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6255" tabRatio="872"/>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externalReferences>
    <externalReference r:id="rId23"/>
  </externalReferences>
  <definedNames>
    <definedName name="Abbadon">Tablas!$E$1891:$E$1901</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Tablas!$E$1878:$E$1889</definedName>
    <definedName name="Baile_final">PDs!$AA$169</definedName>
    <definedName name="Barakiel">Tablas!$E$1903:$E$1915</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Tablas!$E$1929:$E$1939</definedName>
    <definedName name="Elan">Elan!$G$11</definedName>
    <definedName name="ElanPersonalizado">Tablas!$E$1955:$E$1970</definedName>
    <definedName name="Eliminacióndepeso">Ki!$R$27</definedName>
    <definedName name="Erebus">Tablas!$E$1866:$E$1876</definedName>
    <definedName name="Eriol">Tablas!$E$1917:$E$1927</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Tablas!$E$1826:$E$1837</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Tablas!$E$1812:$E$1824</definedName>
    <definedName name="Lenguas">Tablas!$BO$107:$DB$107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Tablas!$AB$639</definedName>
    <definedName name="Lista_A2Manos">Tablas!$AC$639</definedName>
    <definedName name="Lista_Armas">Tablas!$D$638:$D$774</definedName>
    <definedName name="Lista_ArmasArquetipo">Tablas!$X$586:$X$601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Tablas!$C$1770:$C$1783</definedName>
    <definedName name="Lista_LuzyOscuridadmasuno">Tablas!$C$1770:$C$1784</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Tablas!$AD$639</definedName>
    <definedName name="Lista_ProyA2manos">Tablas!$AE$639</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Tablas!$E$1941:$E$1953</definedName>
    <definedName name="Mikael">Tablas!$E$1772:$E$1783</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Tablas!$AF$640:$AF$658</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Tablas!$E$1839:$E$1850</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Tablas!$Z$1294:$AC$1294</definedName>
    <definedName name="PodHab_Ataqueadicional">Tablas!$Z$1249:$AF$1249</definedName>
    <definedName name="PodHab_Ataqueautomáticocondicionado">Tablas!$Z$1295:$AI$1295</definedName>
    <definedName name="PodHab_Ataquecamuflado">Tablas!$Z$1297:$AD$1297</definedName>
    <definedName name="PodHab_Ataqueelemental">Tablas!$Z$1250:$AE$1250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Tablas!$Z$1301:$AF$1301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Tablas!$AD$640:$AD$655</definedName>
    <definedName name="Proyectiles2M">Tablas!$AE$640:$AE$660</definedName>
    <definedName name="Psíquico">Principal!$AN$37</definedName>
    <definedName name="Rafael">Tablas!$E$1852:$E$1864</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Tablas!$E$1771:$R$1970</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Tablas!$T$1771:$Y$1891</definedName>
    <definedName name="Tabla_Municiones">Tablas!$AB$780:$AU$813</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Tablas!$O$1249:$S$1762</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Tablas!$E$1798:$E$1810</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odoun">Místicos!#REF!</definedName>
    <definedName name="VOL">Principal!$G$18</definedName>
    <definedName name="VueloKi">Ki!$R$31</definedName>
    <definedName name="Yelmos">Tablas!$V$620:$V$628</definedName>
    <definedName name="Zemial">Tablas!$E$1785:$E$1796</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P53" i="4" l="1"/>
  <c r="AT33" i="2"/>
  <c r="AG139" i="9" l="1"/>
  <c r="AG123" i="9"/>
  <c r="AB139" i="9"/>
  <c r="AB123" i="9"/>
  <c r="AG107" i="9"/>
  <c r="AB107" i="9"/>
  <c r="BA6" i="6" l="1"/>
  <c r="I2035" i="11" s="1"/>
  <c r="S1976" i="11"/>
  <c r="E354" i="11"/>
  <c r="E353" i="11"/>
  <c r="E352" i="11"/>
  <c r="E342" i="11"/>
  <c r="Y127" i="11"/>
  <c r="X127" i="11"/>
  <c r="V127" i="11"/>
  <c r="U127" i="11"/>
  <c r="T127" i="11"/>
  <c r="S127" i="11"/>
  <c r="Q127" i="11"/>
  <c r="O127" i="11"/>
  <c r="N127"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P26" i="2"/>
  <c r="AA25" i="2"/>
  <c r="AT79" i="10"/>
  <c r="AU17" i="10"/>
  <c r="AU16" i="10"/>
  <c r="AU15" i="10"/>
  <c r="AU14" i="10"/>
  <c r="AU13" i="10"/>
  <c r="AU12" i="10"/>
  <c r="AU11" i="10"/>
  <c r="AU10" i="10"/>
  <c r="AU9" i="10"/>
  <c r="AU8" i="10"/>
  <c r="AU7" i="10"/>
  <c r="AU6" i="10"/>
  <c r="AU5" i="10"/>
  <c r="AU4" i="10"/>
  <c r="W14" i="4"/>
  <c r="W16" i="4"/>
  <c r="W12" i="4"/>
  <c r="AU3" i="10" l="1"/>
  <c r="Q11" i="14"/>
  <c r="Q12" i="14"/>
  <c r="Q13" i="14"/>
  <c r="Q14" i="14"/>
  <c r="Q15" i="14"/>
  <c r="Q16" i="14"/>
  <c r="Q19" i="14"/>
  <c r="Q21" i="14"/>
  <c r="Q22" i="14"/>
  <c r="Q23" i="14"/>
  <c r="Q29" i="14"/>
  <c r="Q31" i="14"/>
  <c r="Q32" i="14"/>
  <c r="Q36" i="14"/>
  <c r="Q47" i="14"/>
  <c r="Q52" i="14"/>
  <c r="Q53" i="14"/>
  <c r="Q54" i="14"/>
  <c r="Q57" i="14"/>
  <c r="Q58" i="14"/>
  <c r="Q59" i="14"/>
  <c r="Q60" i="14"/>
  <c r="Q61" i="14"/>
  <c r="Q62" i="14"/>
  <c r="Q63" i="14"/>
  <c r="Q64" i="14"/>
  <c r="Q65" i="14"/>
  <c r="I2027" i="11" l="1"/>
  <c r="I2028" i="11"/>
  <c r="I2029" i="11"/>
  <c r="I2030" i="11"/>
  <c r="I2031" i="11"/>
  <c r="I2032" i="11"/>
  <c r="I2033" i="11"/>
  <c r="I2034"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I2024" i="11" s="1"/>
  <c r="G1160" i="11"/>
  <c r="C1160" i="11"/>
  <c r="I2026" i="11"/>
  <c r="I2025" i="11"/>
  <c r="G2016" i="11"/>
  <c r="F49" i="14" l="1"/>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X8" i="14" s="1"/>
  <c r="Q50" i="14" s="1"/>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1" i="13"/>
  <c r="M49" i="13"/>
  <c r="M56" i="13"/>
  <c r="M50" i="13"/>
  <c r="M53" i="13"/>
  <c r="M47" i="13"/>
  <c r="M48" i="13"/>
  <c r="M52" i="13"/>
  <c r="M57" i="13"/>
  <c r="M54" i="13"/>
  <c r="M55" i="13"/>
  <c r="Q43" i="14" l="1"/>
  <c r="Q30" i="14"/>
  <c r="Q33" i="14"/>
  <c r="Q10" i="14"/>
  <c r="Q35" i="14"/>
  <c r="Q39" i="14"/>
  <c r="Q20" i="14"/>
  <c r="Q48" i="14"/>
  <c r="Q38" i="14"/>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AN39" i="2"/>
  <c r="C407" i="11"/>
  <c r="D406" i="11"/>
  <c r="Q45" i="14" l="1"/>
  <c r="Q18" i="14"/>
  <c r="Q56" i="14"/>
  <c r="Q27" i="14"/>
  <c r="Q49" i="14"/>
  <c r="Q55" i="14"/>
  <c r="Q17" i="14"/>
  <c r="Q41" i="14"/>
  <c r="Q26" i="14"/>
  <c r="Q34" i="14"/>
  <c r="Q28" i="14"/>
  <c r="Q37" i="14"/>
  <c r="Q42" i="14"/>
  <c r="Q51" i="14"/>
  <c r="Q40" i="14"/>
  <c r="E1954"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B107" i="11"/>
  <c r="DA107" i="11"/>
  <c r="CZ107" i="11"/>
  <c r="AC804" i="11" l="1"/>
  <c r="AC805" i="11"/>
  <c r="AC806" i="11"/>
  <c r="AC807" i="11"/>
  <c r="AC808" i="11"/>
  <c r="AC809" i="11"/>
  <c r="AC810" i="11"/>
  <c r="AC811" i="11"/>
  <c r="AC812" i="11"/>
  <c r="AC813" i="11"/>
  <c r="AD656" i="11"/>
  <c r="AB757" i="11" l="1"/>
  <c r="D452" i="11"/>
  <c r="D516" i="11"/>
  <c r="E818" i="11"/>
  <c r="AP42" i="2"/>
  <c r="AJ831" i="11" l="1"/>
  <c r="AJ830" i="11"/>
  <c r="AJ829" i="11"/>
  <c r="AJ828" i="11"/>
  <c r="AJ827" i="11"/>
  <c r="AJ826" i="11"/>
  <c r="AJ825" i="11"/>
  <c r="AJ824" i="11"/>
  <c r="AJ823" i="11"/>
  <c r="AJ822" i="11"/>
  <c r="AI822" i="11"/>
  <c r="AI831" i="11"/>
  <c r="AI830" i="11"/>
  <c r="AI829" i="11"/>
  <c r="AI828" i="11"/>
  <c r="AI827" i="11"/>
  <c r="AI826" i="11"/>
  <c r="AI825" i="11"/>
  <c r="AI824" i="11"/>
  <c r="AI823"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Y108" i="11"/>
  <c r="DB112" i="11"/>
  <c r="DA112" i="11"/>
  <c r="CZ112" i="11"/>
  <c r="DB111" i="11"/>
  <c r="DA111" i="11"/>
  <c r="CZ111" i="11"/>
  <c r="DB110" i="11"/>
  <c r="DA110" i="11"/>
  <c r="CZ110" i="11"/>
  <c r="DB109" i="11"/>
  <c r="DA109" i="11"/>
  <c r="CZ109" i="11"/>
  <c r="CZ108" i="11" l="1"/>
  <c r="DA108" i="11"/>
  <c r="DB108" i="11"/>
  <c r="M86" i="3"/>
  <c r="T122" i="3"/>
  <c r="R122" i="3"/>
  <c r="P122" i="3"/>
  <c r="N122" i="3"/>
  <c r="L122" i="3"/>
  <c r="T106" i="3"/>
  <c r="R106" i="3"/>
  <c r="P106" i="3"/>
  <c r="N106" i="3"/>
  <c r="L106" i="3"/>
  <c r="T88" i="3"/>
  <c r="R88" i="3"/>
  <c r="P88" i="3"/>
  <c r="N88" i="3"/>
  <c r="L88" i="3"/>
  <c r="T7" i="3"/>
  <c r="M88" i="3" l="1"/>
  <c r="AI10" i="3"/>
  <c r="M106" i="3"/>
  <c r="L104" i="3"/>
  <c r="L86" i="3"/>
  <c r="M122" i="3"/>
  <c r="R45" i="4"/>
  <c r="Q45" i="4"/>
  <c r="P45" i="4"/>
  <c r="O45" i="4"/>
  <c r="N45" i="4"/>
  <c r="AL9" i="23"/>
  <c r="V16" i="3" l="1"/>
  <c r="O86" i="3"/>
  <c r="AK186" i="10"/>
  <c r="AL31" i="1"/>
  <c r="D78" i="2"/>
  <c r="E78" i="2" s="1"/>
  <c r="Y3" i="10"/>
  <c r="Q86" i="3" l="1"/>
  <c r="S86" i="3" s="1"/>
  <c r="AL29" i="23"/>
  <c r="AL28" i="23"/>
  <c r="AN64" i="9"/>
  <c r="AO60" i="9"/>
  <c r="AI54" i="11" s="1"/>
  <c r="AO61" i="9"/>
  <c r="AO62" i="9"/>
  <c r="AO63" i="9"/>
  <c r="AO59" i="9"/>
  <c r="C2064" i="11"/>
  <c r="C2065" i="11"/>
  <c r="C2060" i="11"/>
  <c r="C2061" i="11"/>
  <c r="C2062" i="11"/>
  <c r="C2063" i="11"/>
  <c r="C2059" i="11"/>
  <c r="C2057" i="11"/>
  <c r="C2058" i="11"/>
  <c r="C2056" i="11"/>
  <c r="C2054"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8" i="11"/>
  <c r="Q1637" i="11"/>
  <c r="Q1636" i="11"/>
  <c r="Q1635" i="11"/>
  <c r="Q1550" i="11"/>
  <c r="Q1402" i="11"/>
  <c r="Q1347" i="11"/>
  <c r="Q1346" i="11"/>
  <c r="AJ63" i="2"/>
  <c r="AJ64" i="2"/>
  <c r="AJ65" i="2"/>
  <c r="AJ66" i="2"/>
  <c r="AI63" i="2"/>
  <c r="AI64" i="2"/>
  <c r="AI65" i="2"/>
  <c r="AI66"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55"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L810" i="11" s="1"/>
  <c r="H1021" i="11"/>
  <c r="L808" i="11" s="1"/>
  <c r="H1022" i="11"/>
  <c r="L809" i="11" s="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E63" i="11" l="1"/>
  <c r="E59" i="11"/>
  <c r="E55" i="11"/>
  <c r="E51" i="11"/>
  <c r="E47" i="11"/>
  <c r="E43" i="11"/>
  <c r="E62" i="11"/>
  <c r="E58" i="11"/>
  <c r="E54" i="11"/>
  <c r="E50" i="11"/>
  <c r="E46" i="11"/>
  <c r="E42" i="11"/>
  <c r="E65" i="11"/>
  <c r="E61" i="11"/>
  <c r="E57" i="11"/>
  <c r="E53" i="11"/>
  <c r="E49" i="11"/>
  <c r="E45" i="11"/>
  <c r="E41" i="11"/>
  <c r="E64" i="11"/>
  <c r="E60" i="11"/>
  <c r="E56" i="11"/>
  <c r="E52" i="11"/>
  <c r="E48" i="11"/>
  <c r="E44" i="11"/>
  <c r="E40" i="11"/>
  <c r="C664" i="26"/>
  <c r="C663" i="26"/>
  <c r="C661" i="26"/>
  <c r="C662" i="26"/>
  <c r="K12" i="9"/>
  <c r="I2041" i="11"/>
  <c r="H2041" i="11"/>
  <c r="J2041" i="11"/>
  <c r="H2040" i="11"/>
  <c r="J2040" i="11"/>
  <c r="I2040" i="11"/>
  <c r="K14" i="9"/>
  <c r="H2043" i="11"/>
  <c r="I2043" i="11"/>
  <c r="J2043" i="11"/>
  <c r="K13" i="9"/>
  <c r="H2042" i="11"/>
  <c r="J2042" i="11"/>
  <c r="I2042" i="11"/>
  <c r="K11" i="9"/>
  <c r="K15" i="9"/>
  <c r="I2044" i="11"/>
  <c r="J2044" i="11"/>
  <c r="H2044"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94" i="11"/>
  <c r="H1995" i="11"/>
  <c r="H1996" i="11"/>
  <c r="H1997" i="11"/>
  <c r="H1998" i="11"/>
  <c r="H1999" i="11"/>
  <c r="H2000" i="11"/>
  <c r="H2001" i="11"/>
  <c r="H2002" i="11"/>
  <c r="H2003" i="11"/>
  <c r="H2004" i="11"/>
  <c r="H2005" i="11"/>
  <c r="H1993" i="11"/>
  <c r="H1979" i="11"/>
  <c r="H1980" i="11"/>
  <c r="H1981" i="11"/>
  <c r="H1982" i="11"/>
  <c r="H1983" i="11"/>
  <c r="H1984" i="11"/>
  <c r="H1985" i="11"/>
  <c r="H1986" i="11"/>
  <c r="H1987" i="11"/>
  <c r="H1988" i="11"/>
  <c r="H1989" i="11"/>
  <c r="H1990" i="11"/>
  <c r="H1991" i="11"/>
  <c r="H1992"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P62" i="4"/>
  <c r="E62" i="4"/>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50"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16" i="11"/>
  <c r="H2007" i="11"/>
  <c r="H2008" i="11"/>
  <c r="H2006" i="11"/>
  <c r="H1978" i="11"/>
  <c r="G2001" i="11" l="1"/>
  <c r="I2001" i="11" s="1"/>
  <c r="G1978" i="11"/>
  <c r="I1978" i="11" s="1"/>
  <c r="G1986" i="11"/>
  <c r="I1986" i="11" s="1"/>
  <c r="G1991" i="11"/>
  <c r="I1991" i="11" s="1"/>
  <c r="G1983" i="11"/>
  <c r="I1983" i="11" s="1"/>
  <c r="G1990" i="11"/>
  <c r="I1990" i="11" s="1"/>
  <c r="G1982" i="11"/>
  <c r="I1982" i="11" s="1"/>
  <c r="G1987" i="11"/>
  <c r="I1987" i="11" s="1"/>
  <c r="G1993" i="11"/>
  <c r="I1993" i="11" s="1"/>
  <c r="G2005" i="11"/>
  <c r="I2005" i="11" s="1"/>
  <c r="G1985" i="11"/>
  <c r="I1985" i="11" s="1"/>
  <c r="G1979" i="11"/>
  <c r="I1979" i="11" s="1"/>
  <c r="G1981" i="11"/>
  <c r="I1981" i="11" s="1"/>
  <c r="G1984" i="11"/>
  <c r="I1984" i="11" s="1"/>
  <c r="G1989" i="11"/>
  <c r="I1989" i="11" s="1"/>
  <c r="G1980" i="11"/>
  <c r="I1980" i="11" s="1"/>
  <c r="G1992" i="11"/>
  <c r="I1992" i="11" s="1"/>
  <c r="G1988" i="11"/>
  <c r="I1988" i="11" s="1"/>
  <c r="G2000" i="11"/>
  <c r="I2000" i="11" s="1"/>
  <c r="G1996" i="11"/>
  <c r="I1996" i="11" s="1"/>
  <c r="G2002" i="11"/>
  <c r="I2002" i="11" s="1"/>
  <c r="G1998" i="11"/>
  <c r="I1998" i="11" s="1"/>
  <c r="G2004" i="11"/>
  <c r="I2004" i="11" s="1"/>
  <c r="G1997" i="11"/>
  <c r="I1997" i="11" s="1"/>
  <c r="G2006" i="11"/>
  <c r="I2006" i="11" s="1"/>
  <c r="G1994" i="11"/>
  <c r="I1994" i="11" s="1"/>
  <c r="G2008" i="11"/>
  <c r="I2008" i="11" s="1"/>
  <c r="G2003" i="11"/>
  <c r="I2003" i="11" s="1"/>
  <c r="G1999" i="11"/>
  <c r="I1999" i="11" s="1"/>
  <c r="G1995" i="11"/>
  <c r="I1995" i="11" s="1"/>
  <c r="G2007" i="11"/>
  <c r="I2007"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X11" i="14"/>
  <c r="S11" i="14" s="1"/>
  <c r="X12" i="14"/>
  <c r="S12" i="14" s="1"/>
  <c r="X13" i="14"/>
  <c r="S13" i="14" s="1"/>
  <c r="X14" i="14"/>
  <c r="S14" i="14" s="1"/>
  <c r="X15" i="14"/>
  <c r="S15" i="14" s="1"/>
  <c r="X16" i="14"/>
  <c r="S16" i="14" s="1"/>
  <c r="X17" i="14"/>
  <c r="S17" i="14" s="1"/>
  <c r="X19" i="14"/>
  <c r="S19" i="14" s="1"/>
  <c r="X20" i="14"/>
  <c r="S20" i="14" s="1"/>
  <c r="X21" i="14"/>
  <c r="S21" i="14" s="1"/>
  <c r="X22" i="14"/>
  <c r="S22" i="14" s="1"/>
  <c r="X23" i="14"/>
  <c r="S23" i="14" s="1"/>
  <c r="X26" i="14"/>
  <c r="S26" i="14" s="1"/>
  <c r="X27" i="14"/>
  <c r="S27" i="14" s="1"/>
  <c r="X28" i="14"/>
  <c r="X29" i="14"/>
  <c r="S29" i="14" s="1"/>
  <c r="X30" i="14"/>
  <c r="S30" i="14" s="1"/>
  <c r="X31" i="14"/>
  <c r="X32" i="14"/>
  <c r="S32" i="14" s="1"/>
  <c r="X33" i="14"/>
  <c r="X34" i="14"/>
  <c r="S34" i="14" s="1"/>
  <c r="X35" i="14"/>
  <c r="S35" i="14" s="1"/>
  <c r="X36" i="14"/>
  <c r="S36" i="14" s="1"/>
  <c r="X37" i="14"/>
  <c r="X39" i="14"/>
  <c r="S39" i="14" s="1"/>
  <c r="X42" i="14"/>
  <c r="S42" i="14" s="1"/>
  <c r="X43" i="14"/>
  <c r="S43" i="14" s="1"/>
  <c r="X47" i="14"/>
  <c r="S47" i="14" s="1"/>
  <c r="X48" i="14"/>
  <c r="X49" i="14"/>
  <c r="S49" i="14" s="1"/>
  <c r="X52" i="14"/>
  <c r="S52" i="14" s="1"/>
  <c r="X53" i="14"/>
  <c r="S53" i="14" s="1"/>
  <c r="X54" i="14"/>
  <c r="S54" i="14" s="1"/>
  <c r="X55" i="14"/>
  <c r="X57" i="14"/>
  <c r="X58" i="14"/>
  <c r="S58" i="14" s="1"/>
  <c r="X59" i="14"/>
  <c r="S59" i="14" s="1"/>
  <c r="X60" i="14"/>
  <c r="S60" i="14" s="1"/>
  <c r="X61" i="14"/>
  <c r="S61" i="14" s="1"/>
  <c r="X62" i="14"/>
  <c r="S62" i="14" s="1"/>
  <c r="X63" i="14"/>
  <c r="S63" i="14" s="1"/>
  <c r="X64" i="14"/>
  <c r="S64" i="14" s="1"/>
  <c r="X65" i="14"/>
  <c r="S65"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C403" i="11"/>
  <c r="C400" i="11"/>
  <c r="C404" i="11"/>
  <c r="C398" i="11"/>
  <c r="C401" i="11"/>
  <c r="G401" i="11"/>
  <c r="AL12" i="8"/>
  <c r="C395" i="11" l="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53"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50" i="2" l="1"/>
  <c r="AI50" i="2"/>
  <c r="AI49" i="2"/>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L63"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AM214" i="25" l="1"/>
  <c r="U183" i="25"/>
  <c r="U148" i="25"/>
  <c r="AM169" i="25" s="1"/>
  <c r="AM179" i="25"/>
  <c r="AM316" i="25"/>
  <c r="U285" i="25"/>
  <c r="AM306" i="25" s="1"/>
  <c r="U80" i="25"/>
  <c r="AM101" i="25" s="1"/>
  <c r="AM111" i="25"/>
  <c r="O187" i="25"/>
  <c r="AL200" i="25"/>
  <c r="O152" i="25"/>
  <c r="AL165" i="25"/>
  <c r="AD157" i="25" s="1"/>
  <c r="O289" i="25"/>
  <c r="AL302" i="25"/>
  <c r="O84" i="25"/>
  <c r="AL97" i="25"/>
  <c r="AM282" i="25"/>
  <c r="U251" i="25"/>
  <c r="AM272" i="25" s="1"/>
  <c r="U217" i="25"/>
  <c r="AM248" i="25"/>
  <c r="O118" i="25"/>
  <c r="AL131" i="25"/>
  <c r="O255" i="25"/>
  <c r="AL268" i="25"/>
  <c r="AD260" i="25" s="1"/>
  <c r="O221" i="25"/>
  <c r="AL234" i="25"/>
  <c r="AM77" i="25"/>
  <c r="U46" i="25"/>
  <c r="AM67" i="25" s="1"/>
  <c r="AM145" i="25"/>
  <c r="U114" i="25"/>
  <c r="AM135" i="25" s="1"/>
  <c r="U319" i="25"/>
  <c r="AM340" i="25" s="1"/>
  <c r="AM350" i="25"/>
  <c r="O323" i="25"/>
  <c r="AL336" i="25"/>
  <c r="AD328" i="25" s="1"/>
  <c r="AM204" i="25"/>
  <c r="AM238" i="25"/>
  <c r="AD123" i="25"/>
  <c r="AD192" i="25"/>
  <c r="O50" i="25"/>
  <c r="AD294" i="25"/>
  <c r="AD89" i="25"/>
  <c r="AD226"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L859" i="11" s="1"/>
  <c r="AJ859" i="11"/>
  <c r="AI860" i="11"/>
  <c r="AK860" i="11" s="1"/>
  <c r="AL860" i="11" s="1"/>
  <c r="AJ860" i="11"/>
  <c r="AI861" i="11"/>
  <c r="AK861" i="11" s="1"/>
  <c r="AL861" i="11" s="1"/>
  <c r="AJ861" i="11"/>
  <c r="AI862" i="11"/>
  <c r="AK862" i="11" s="1"/>
  <c r="AL862" i="11" s="1"/>
  <c r="AJ862" i="11"/>
  <c r="AI863" i="11"/>
  <c r="AK863" i="11" s="1"/>
  <c r="AL863" i="11" s="1"/>
  <c r="AJ863" i="11"/>
  <c r="AI864" i="11"/>
  <c r="AK864" i="11" s="1"/>
  <c r="AL864" i="11" s="1"/>
  <c r="AJ864" i="11"/>
  <c r="AI865" i="11"/>
  <c r="AK865" i="11" s="1"/>
  <c r="AL865" i="11" s="1"/>
  <c r="AJ865" i="11"/>
  <c r="AI866" i="11"/>
  <c r="AK866" i="11" s="1"/>
  <c r="AL866" i="11" s="1"/>
  <c r="AJ866" i="11"/>
  <c r="AI867" i="11"/>
  <c r="AK867" i="11" s="1"/>
  <c r="AL867" i="11" s="1"/>
  <c r="AJ867" i="11"/>
  <c r="AI868" i="11"/>
  <c r="AK868" i="11" s="1"/>
  <c r="AL868" i="11" s="1"/>
  <c r="AJ868" i="11"/>
  <c r="AE61" i="3" l="1"/>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3"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T60" i="3"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T63" i="3"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P55" i="4"/>
  <c r="AB57" i="4"/>
  <c r="AB59" i="4"/>
  <c r="AH59" i="4" s="1"/>
  <c r="AB61" i="4"/>
  <c r="AH61" i="4" s="1"/>
  <c r="AB63" i="4"/>
  <c r="AH63" i="4" s="1"/>
  <c r="P64" i="4"/>
  <c r="AU865" i="11" l="1"/>
  <c r="AU861" i="11"/>
  <c r="AV868" i="11"/>
  <c r="AW868" i="11" s="1"/>
  <c r="BA868" i="11" s="1"/>
  <c r="BB868" i="11" s="1"/>
  <c r="AV864" i="11"/>
  <c r="AW864" i="11" s="1"/>
  <c r="BA864" i="11" s="1"/>
  <c r="AV862" i="11"/>
  <c r="AW862" i="11" s="1"/>
  <c r="BA862" i="11" s="1"/>
  <c r="AV858" i="11"/>
  <c r="AW858" i="11" s="1"/>
  <c r="BA858" i="11" s="1"/>
  <c r="R74" i="3"/>
  <c r="AV865" i="11"/>
  <c r="AV861" i="11"/>
  <c r="AW861" i="11" s="1"/>
  <c r="BA861" i="11" s="1"/>
  <c r="AV866" i="11"/>
  <c r="AW866" i="11" s="1"/>
  <c r="BA866" i="11" s="1"/>
  <c r="BB866" i="11" s="1"/>
  <c r="AV863" i="11"/>
  <c r="AW863" i="11" s="1"/>
  <c r="BA863" i="11" s="1"/>
  <c r="AV860" i="11"/>
  <c r="AW860" i="11" s="1"/>
  <c r="BA860" i="11" s="1"/>
  <c r="BB860" i="11" s="1"/>
  <c r="AV853" i="11"/>
  <c r="AW853" i="11" s="1"/>
  <c r="BA853" i="11" s="1"/>
  <c r="BB853" i="11" s="1"/>
  <c r="AV855" i="11"/>
  <c r="AW855" i="11" s="1"/>
  <c r="AV854" i="11"/>
  <c r="AW854"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BA865" i="11" s="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BC860" i="11"/>
  <c r="BD860" i="11" s="1"/>
  <c r="BE860" i="11" s="1"/>
  <c r="BC861" i="11"/>
  <c r="BD861" i="11" s="1"/>
  <c r="BE861" i="11" s="1"/>
  <c r="BB861" i="11"/>
  <c r="BF861" i="11" s="1"/>
  <c r="BG861" i="11" s="1"/>
  <c r="AH76" i="3"/>
  <c r="AW867" i="11"/>
  <c r="BA867" i="11" s="1"/>
  <c r="BC864" i="11"/>
  <c r="BD864" i="11" s="1"/>
  <c r="BE864" i="11" s="1"/>
  <c r="BB864" i="11"/>
  <c r="BF864" i="11" s="1"/>
  <c r="BC863" i="11"/>
  <c r="BD863" i="11" s="1"/>
  <c r="BE863" i="11" s="1"/>
  <c r="BB863" i="11"/>
  <c r="BF863" i="11" s="1"/>
  <c r="BC858" i="11"/>
  <c r="BD858" i="11" s="1"/>
  <c r="BE858" i="11" s="1"/>
  <c r="BB858" i="11"/>
  <c r="BF858" i="11" s="1"/>
  <c r="BC862" i="11"/>
  <c r="BD862" i="11" s="1"/>
  <c r="BE862" i="11" s="1"/>
  <c r="BB862" i="11"/>
  <c r="BF862" i="11" s="1"/>
  <c r="BG862" i="11" s="1"/>
  <c r="AH66" i="3"/>
  <c r="AW857" i="11"/>
  <c r="BA857" i="11" s="1"/>
  <c r="AX852" i="11"/>
  <c r="AY852" i="11" s="1"/>
  <c r="AZ852" i="11" s="1"/>
  <c r="BF860" i="11"/>
  <c r="BG860" i="11" s="1"/>
  <c r="AI69" i="3"/>
  <c r="BF853" i="11"/>
  <c r="BG853" i="11" s="1"/>
  <c r="AI62" i="3"/>
  <c r="AI70" i="3"/>
  <c r="BC853" i="11"/>
  <c r="BD853" i="11" s="1"/>
  <c r="BE853" i="11" s="1"/>
  <c r="AX859" i="11"/>
  <c r="AY859" i="11" s="1"/>
  <c r="AZ859" i="11" s="1"/>
  <c r="AH68" i="3"/>
  <c r="BF866" i="11"/>
  <c r="BG866" i="11" s="1"/>
  <c r="AI75" i="3"/>
  <c r="AI73" i="3"/>
  <c r="AI77" i="3"/>
  <c r="AI72" i="3"/>
  <c r="AI67" i="3"/>
  <c r="AI71" i="3"/>
  <c r="BA852" i="11"/>
  <c r="AH61" i="3"/>
  <c r="AH60" i="3"/>
  <c r="AX851" i="11"/>
  <c r="AY851" i="11" s="1"/>
  <c r="AZ851" i="11" s="1"/>
  <c r="BA851" i="11" s="1"/>
  <c r="BA859" i="11"/>
  <c r="BB859" i="11" s="1"/>
  <c r="AU856" i="11"/>
  <c r="AX857" i="11"/>
  <c r="AY857" i="11" s="1"/>
  <c r="AZ857" i="11" s="1"/>
  <c r="AX867" i="11"/>
  <c r="AY867" i="11" s="1"/>
  <c r="AZ867" i="11" s="1"/>
  <c r="AV856" i="11"/>
  <c r="BC866" i="11"/>
  <c r="BD866" i="11" s="1"/>
  <c r="BE866" i="11" s="1"/>
  <c r="BF868" i="11"/>
  <c r="BG868" i="11" s="1"/>
  <c r="BC868" i="11"/>
  <c r="BD868" i="11" s="1"/>
  <c r="BE868" i="11" s="1"/>
  <c r="Y890" i="11"/>
  <c r="Y888" i="11" s="1"/>
  <c r="Y887" i="11" s="1"/>
  <c r="Y885" i="11" s="1"/>
  <c r="BB865" i="11" l="1"/>
  <c r="BF865" i="11" s="1"/>
  <c r="AI74" i="3"/>
  <c r="BC865" i="11"/>
  <c r="BD865" i="11" s="1"/>
  <c r="BE865" i="11" s="1"/>
  <c r="BA855" i="11"/>
  <c r="BA854" i="11"/>
  <c r="BH860" i="11"/>
  <c r="BI860" i="11" s="1"/>
  <c r="BJ860" i="11" s="1"/>
  <c r="BH861" i="11"/>
  <c r="BI861" i="11" s="1"/>
  <c r="BJ861" i="11" s="1"/>
  <c r="AI76" i="3"/>
  <c r="BB867" i="11"/>
  <c r="BF867" i="11" s="1"/>
  <c r="BH863" i="11"/>
  <c r="BI863" i="11" s="1"/>
  <c r="BJ863" i="11" s="1"/>
  <c r="BG863" i="11"/>
  <c r="BK863" i="11" s="1"/>
  <c r="AI66" i="3"/>
  <c r="BB857" i="11"/>
  <c r="BF857" i="11" s="1"/>
  <c r="BH858" i="11"/>
  <c r="BI858" i="11" s="1"/>
  <c r="BJ858" i="11" s="1"/>
  <c r="BG858" i="11"/>
  <c r="BK858" i="11" s="1"/>
  <c r="BH864" i="11"/>
  <c r="BI864" i="11" s="1"/>
  <c r="BJ864" i="11" s="1"/>
  <c r="BG864" i="11"/>
  <c r="BK864" i="11" s="1"/>
  <c r="BH853" i="11"/>
  <c r="BI853" i="11" s="1"/>
  <c r="BJ853" i="11" s="1"/>
  <c r="AH65" i="3"/>
  <c r="AW856" i="11"/>
  <c r="BC852" i="11"/>
  <c r="BD852" i="11" s="1"/>
  <c r="BE852" i="11" s="1"/>
  <c r="BB852" i="11"/>
  <c r="BF852" i="11" s="1"/>
  <c r="BG852" i="11" s="1"/>
  <c r="AI60" i="3"/>
  <c r="P60" i="3" s="1"/>
  <c r="BB851" i="11"/>
  <c r="AJ75" i="3"/>
  <c r="BK862" i="11"/>
  <c r="AJ71" i="3"/>
  <c r="BK861" i="11"/>
  <c r="AJ70" i="3"/>
  <c r="BK860" i="11"/>
  <c r="AJ69" i="3"/>
  <c r="AJ73" i="3"/>
  <c r="AJ67" i="3"/>
  <c r="AJ72" i="3"/>
  <c r="BH862" i="11"/>
  <c r="BI862" i="11" s="1"/>
  <c r="BJ862" i="11" s="1"/>
  <c r="BK868" i="11"/>
  <c r="AJ77" i="3"/>
  <c r="BF859" i="11"/>
  <c r="BG859" i="11" s="1"/>
  <c r="AI68" i="3"/>
  <c r="BK853" i="11"/>
  <c r="AJ62" i="3"/>
  <c r="AI61" i="3"/>
  <c r="BC859" i="11"/>
  <c r="BD859" i="11" s="1"/>
  <c r="BE859" i="11" s="1"/>
  <c r="BC857" i="11"/>
  <c r="BD857" i="11" s="1"/>
  <c r="BE857" i="11" s="1"/>
  <c r="BC867" i="11"/>
  <c r="BD867" i="11" s="1"/>
  <c r="BE867" i="11" s="1"/>
  <c r="AX856" i="11"/>
  <c r="AY856" i="11" s="1"/>
  <c r="AZ856" i="11" s="1"/>
  <c r="BC851" i="11"/>
  <c r="BD851" i="11" s="1"/>
  <c r="BE851" i="11" s="1"/>
  <c r="BH868" i="11"/>
  <c r="BI868" i="11" s="1"/>
  <c r="BJ868" i="11" s="1"/>
  <c r="BK866" i="11"/>
  <c r="BH866" i="11"/>
  <c r="BI866" i="11" s="1"/>
  <c r="BJ866" i="11" s="1"/>
  <c r="H940" i="11"/>
  <c r="Y884" i="11"/>
  <c r="BF34" i="4"/>
  <c r="BE34" i="4"/>
  <c r="BD34" i="4"/>
  <c r="BC34" i="4"/>
  <c r="BG865" i="11" l="1"/>
  <c r="BK865" i="11" s="1"/>
  <c r="AJ74" i="3"/>
  <c r="BH865" i="11"/>
  <c r="BI865" i="11" s="1"/>
  <c r="BJ865" i="11" s="1"/>
  <c r="BA856" i="11"/>
  <c r="AI65" i="3" s="1"/>
  <c r="P65" i="3" s="1"/>
  <c r="AI64" i="3"/>
  <c r="P64" i="3" s="1"/>
  <c r="BB855" i="11"/>
  <c r="BF855" i="11" s="1"/>
  <c r="BC855" i="11"/>
  <c r="BD855" i="11" s="1"/>
  <c r="BE855" i="11" s="1"/>
  <c r="BB854" i="11"/>
  <c r="BF854" i="11" s="1"/>
  <c r="BC854" i="11"/>
  <c r="BD854" i="11" s="1"/>
  <c r="BE854" i="11" s="1"/>
  <c r="AI63" i="3"/>
  <c r="P63" i="3" s="1"/>
  <c r="AJ66" i="3"/>
  <c r="BG857" i="11"/>
  <c r="BK857" i="11" s="1"/>
  <c r="AJ76" i="3"/>
  <c r="BG867" i="11"/>
  <c r="BK867" i="11" s="1"/>
  <c r="BK859" i="11"/>
  <c r="AJ68" i="3"/>
  <c r="BH859" i="11"/>
  <c r="BI859" i="11" s="1"/>
  <c r="BJ859" i="11" s="1"/>
  <c r="BL863" i="11"/>
  <c r="AL72" i="3" s="1"/>
  <c r="AK72" i="3"/>
  <c r="BL860" i="11"/>
  <c r="AL69" i="3" s="1"/>
  <c r="AK69" i="3"/>
  <c r="BL862" i="11"/>
  <c r="AL71" i="3" s="1"/>
  <c r="AK71" i="3"/>
  <c r="BL866" i="11"/>
  <c r="AL75" i="3" s="1"/>
  <c r="AK75" i="3"/>
  <c r="BL868" i="11"/>
  <c r="AL77" i="3" s="1"/>
  <c r="AK77" i="3"/>
  <c r="BL853" i="11"/>
  <c r="AL62" i="3" s="1"/>
  <c r="AK62" i="3"/>
  <c r="BL858" i="11"/>
  <c r="AL67" i="3" s="1"/>
  <c r="AK67" i="3"/>
  <c r="BL864" i="11"/>
  <c r="AL73" i="3" s="1"/>
  <c r="AK73" i="3"/>
  <c r="BL861" i="11"/>
  <c r="AL70" i="3" s="1"/>
  <c r="AK70" i="3"/>
  <c r="BK852" i="11"/>
  <c r="AJ61" i="3"/>
  <c r="BH852" i="11"/>
  <c r="BI852" i="11" s="1"/>
  <c r="BJ852" i="11" s="1"/>
  <c r="BH867" i="11"/>
  <c r="BI867" i="11" s="1"/>
  <c r="BJ867" i="11" s="1"/>
  <c r="BH857" i="11"/>
  <c r="BI857" i="11" s="1"/>
  <c r="BJ857" i="11" s="1"/>
  <c r="BF851" i="11"/>
  <c r="BG851" i="11" s="1"/>
  <c r="Y882" i="11"/>
  <c r="Y881" i="11" s="1"/>
  <c r="Y879" i="11" s="1"/>
  <c r="Y878" i="11" s="1"/>
  <c r="BB856" i="11" l="1"/>
  <c r="BF856" i="11" s="1"/>
  <c r="AJ65" i="3" s="1"/>
  <c r="BC856" i="11"/>
  <c r="BD856" i="11" s="1"/>
  <c r="BE856" i="11" s="1"/>
  <c r="AK74" i="3"/>
  <c r="BL865" i="11"/>
  <c r="AL74" i="3" s="1"/>
  <c r="BH855" i="11"/>
  <c r="BI855" i="11" s="1"/>
  <c r="BJ855" i="11" s="1"/>
  <c r="BG855" i="11"/>
  <c r="BK855" i="11" s="1"/>
  <c r="AJ64" i="3"/>
  <c r="BG854" i="11"/>
  <c r="BK854" i="11" s="1"/>
  <c r="BH854" i="11"/>
  <c r="BI854" i="11" s="1"/>
  <c r="BJ854" i="11" s="1"/>
  <c r="AJ63" i="3"/>
  <c r="BL857" i="11"/>
  <c r="AL66" i="3" s="1"/>
  <c r="AK66" i="3"/>
  <c r="BL867" i="11"/>
  <c r="AL76" i="3" s="1"/>
  <c r="AK76" i="3"/>
  <c r="BL859" i="11"/>
  <c r="AL68" i="3" s="1"/>
  <c r="AK68" i="3"/>
  <c r="BL852" i="11"/>
  <c r="AL61" i="3" s="1"/>
  <c r="AK61" i="3"/>
  <c r="AJ60" i="3"/>
  <c r="Y876" i="11"/>
  <c r="Y875" i="11" s="1"/>
  <c r="Y873" i="11" s="1"/>
  <c r="Y872" i="11" s="1"/>
  <c r="Y870" i="11" s="1"/>
  <c r="Y869" i="11" s="1"/>
  <c r="Y866" i="11" s="1"/>
  <c r="Y864" i="11" s="1"/>
  <c r="L940" i="11"/>
  <c r="BH851" i="11"/>
  <c r="BI851" i="11" s="1"/>
  <c r="BJ851" i="11" s="1"/>
  <c r="BH856" i="11" l="1"/>
  <c r="BI856" i="11" s="1"/>
  <c r="BJ856" i="11" s="1"/>
  <c r="BG856" i="11"/>
  <c r="BK856" i="11" s="1"/>
  <c r="BL856" i="11" s="1"/>
  <c r="AL65" i="3" s="1"/>
  <c r="BL855" i="11"/>
  <c r="AL64" i="3" s="1"/>
  <c r="AK64" i="3"/>
  <c r="BL854" i="11"/>
  <c r="AL63" i="3" s="1"/>
  <c r="AK63" i="3"/>
  <c r="BK851" i="11"/>
  <c r="BL851" i="11" s="1"/>
  <c r="AL60" i="3" s="1"/>
  <c r="Y863" i="11"/>
  <c r="Y861" i="11" s="1"/>
  <c r="Y860" i="11" s="1"/>
  <c r="J940" i="11"/>
  <c r="O57" i="4"/>
  <c r="D57" i="4"/>
  <c r="O48" i="4"/>
  <c r="D48" i="4"/>
  <c r="D27" i="4"/>
  <c r="AK65" i="3" l="1"/>
  <c r="AK60" i="3"/>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56" i="11"/>
  <c r="E1957" i="11"/>
  <c r="E1958" i="11"/>
  <c r="E1959" i="11"/>
  <c r="E1960" i="11"/>
  <c r="E1961" i="11"/>
  <c r="E1962" i="11"/>
  <c r="E1963" i="11"/>
  <c r="E1964" i="11"/>
  <c r="E1965" i="11"/>
  <c r="E1966" i="11"/>
  <c r="E1967" i="11"/>
  <c r="G1967" i="11" s="1"/>
  <c r="E1968" i="11"/>
  <c r="L1968" i="11" s="1"/>
  <c r="E1969" i="11"/>
  <c r="J1969" i="11" s="1"/>
  <c r="E1970" i="11"/>
  <c r="I51" i="9" l="1"/>
  <c r="AC127" i="11"/>
  <c r="I1969" i="11"/>
  <c r="L1967" i="11"/>
  <c r="G1969" i="11"/>
  <c r="I1968" i="11"/>
  <c r="J1967" i="11"/>
  <c r="G1968" i="11"/>
  <c r="I1967" i="11"/>
  <c r="L1969" i="11"/>
  <c r="J1968"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56" i="11" l="1"/>
  <c r="L1957" i="11"/>
  <c r="J1958" i="11"/>
  <c r="I1959" i="11"/>
  <c r="G1960" i="11"/>
  <c r="L1961" i="11"/>
  <c r="J1962" i="11"/>
  <c r="I1963" i="11"/>
  <c r="G1964" i="11"/>
  <c r="L1965" i="11"/>
  <c r="J1966" i="11"/>
  <c r="L1970" i="11"/>
  <c r="G1962" i="11" l="1"/>
  <c r="G1959" i="11"/>
  <c r="I1962" i="11"/>
  <c r="J1965" i="11"/>
  <c r="I1965" i="11"/>
  <c r="G1966" i="11"/>
  <c r="G1958" i="11"/>
  <c r="I1961" i="11"/>
  <c r="J1961" i="11"/>
  <c r="I1957" i="11"/>
  <c r="G1963" i="11"/>
  <c r="I1966" i="11"/>
  <c r="I1958" i="11"/>
  <c r="J1957" i="11"/>
  <c r="L1964" i="11"/>
  <c r="L1956" i="11"/>
  <c r="J1960" i="11"/>
  <c r="L1963" i="11"/>
  <c r="G1965" i="11"/>
  <c r="G1961" i="11"/>
  <c r="G1957" i="11"/>
  <c r="I1964" i="11"/>
  <c r="I1960" i="11"/>
  <c r="I1956" i="11"/>
  <c r="J1963" i="11"/>
  <c r="J1959" i="11"/>
  <c r="L1966" i="11"/>
  <c r="L1962" i="11"/>
  <c r="L1958" i="11"/>
  <c r="L1960" i="11"/>
  <c r="J1964" i="11"/>
  <c r="J1956" i="11"/>
  <c r="L1959" i="11"/>
  <c r="G1970" i="11"/>
  <c r="I1970" i="11"/>
  <c r="J1970"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B20" i="4" s="1"/>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8" i="11" s="1"/>
  <c r="AG58" i="3"/>
  <c r="AG57" i="3"/>
  <c r="H2084" i="11"/>
  <c r="I2084" i="11" s="1"/>
  <c r="V56" i="3"/>
  <c r="AH26" i="4" s="1"/>
  <c r="AG54" i="3"/>
  <c r="AG56" i="3"/>
  <c r="AG52" i="3"/>
  <c r="AG50" i="3"/>
  <c r="AG55" i="3"/>
  <c r="AG51" i="3"/>
  <c r="H2083" i="11"/>
  <c r="V55" i="3"/>
  <c r="AH25" i="4" s="1"/>
  <c r="H2082" i="11"/>
  <c r="V58" i="3"/>
  <c r="AH28" i="4" s="1"/>
  <c r="V54" i="3"/>
  <c r="AH24" i="4" s="1"/>
  <c r="H2085" i="11"/>
  <c r="H2081" i="11"/>
  <c r="V57" i="3"/>
  <c r="AH27" i="4" s="1"/>
  <c r="V50" i="3"/>
  <c r="AH20" i="4" s="1"/>
  <c r="V52" i="3"/>
  <c r="AH22" i="4" s="1"/>
  <c r="H2079" i="11"/>
  <c r="I2079" i="11" s="1"/>
  <c r="V51" i="3"/>
  <c r="AH21" i="4" s="1"/>
  <c r="D2084" i="11" l="1"/>
  <c r="E2084" i="11" s="1"/>
  <c r="I2078" i="11"/>
  <c r="D2078" i="11"/>
  <c r="I2081" i="11"/>
  <c r="D2081" i="11"/>
  <c r="I2082" i="11"/>
  <c r="D2082" i="11"/>
  <c r="I2085" i="11"/>
  <c r="D2085" i="11"/>
  <c r="I2083" i="11"/>
  <c r="D2083" i="11"/>
  <c r="D2079" i="11"/>
  <c r="E2085" i="11" l="1"/>
  <c r="E2081" i="11"/>
  <c r="E2083" i="11"/>
  <c r="E2082" i="11"/>
  <c r="H22" i="6"/>
  <c r="G2031" i="11" s="1"/>
  <c r="H23" i="6"/>
  <c r="G2032" i="11" s="1"/>
  <c r="H24" i="6"/>
  <c r="G2033" i="11" s="1"/>
  <c r="H25" i="6"/>
  <c r="G2034"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35" i="11"/>
  <c r="P2034" i="11"/>
  <c r="P2033" i="11"/>
  <c r="P2032" i="11"/>
  <c r="P2031" i="11"/>
  <c r="S2031" i="11"/>
  <c r="S2032" i="11"/>
  <c r="S2033" i="11"/>
  <c r="S2034" i="11"/>
  <c r="S2035"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2029" i="11"/>
  <c r="R2030" i="11"/>
  <c r="R2031" i="11"/>
  <c r="R2032" i="11"/>
  <c r="R2033" i="11"/>
  <c r="R2034" i="11"/>
  <c r="R2035" i="11"/>
  <c r="R1980" i="11"/>
  <c r="AC2017" i="11" l="1"/>
  <c r="AC1981" i="11"/>
  <c r="AC2033" i="11"/>
  <c r="AC2001" i="11"/>
  <c r="AC1982" i="11"/>
  <c r="AC2029" i="11"/>
  <c r="AC2013" i="11"/>
  <c r="AC1997" i="11"/>
  <c r="AC1985" i="11"/>
  <c r="AC1980" i="11"/>
  <c r="AC2025" i="11"/>
  <c r="AC2009" i="11"/>
  <c r="AC1993" i="11"/>
  <c r="AC2021" i="11"/>
  <c r="AC2005" i="11"/>
  <c r="AC1989" i="11"/>
  <c r="W122" i="11"/>
  <c r="X122" i="11"/>
  <c r="AC2032" i="11"/>
  <c r="AC2028" i="11"/>
  <c r="AC2024" i="11"/>
  <c r="AC2020" i="11"/>
  <c r="AC2016" i="11"/>
  <c r="AC2012" i="11"/>
  <c r="AC2008" i="11"/>
  <c r="AC2004" i="11"/>
  <c r="AC2000" i="11"/>
  <c r="AC1996" i="11"/>
  <c r="AC1992" i="11"/>
  <c r="AC1988" i="11"/>
  <c r="AC1984" i="11"/>
  <c r="AC2035" i="11"/>
  <c r="AC2031" i="11"/>
  <c r="AC2027" i="11"/>
  <c r="AC2023" i="11"/>
  <c r="AC2019" i="11"/>
  <c r="AC2015" i="11"/>
  <c r="AC2011" i="11"/>
  <c r="AC2007" i="11"/>
  <c r="AC2003" i="11"/>
  <c r="AC1999" i="11"/>
  <c r="AC1995" i="11"/>
  <c r="AC1991" i="11"/>
  <c r="AC1987" i="11"/>
  <c r="AC1983" i="11"/>
  <c r="AC2034" i="11"/>
  <c r="AC2030" i="11"/>
  <c r="AC2026" i="11"/>
  <c r="AC2022" i="11"/>
  <c r="AC2018" i="11"/>
  <c r="AC2014" i="11"/>
  <c r="AC2010" i="11"/>
  <c r="AC2006" i="11"/>
  <c r="AC2002" i="11"/>
  <c r="AC1998" i="11"/>
  <c r="AC1994" i="11"/>
  <c r="AC1990" i="11"/>
  <c r="AC1986"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53" i="11"/>
  <c r="O1754" i="11"/>
  <c r="O1755" i="11"/>
  <c r="O1756" i="11"/>
  <c r="O1757" i="11"/>
  <c r="O1758" i="11"/>
  <c r="O1759" i="11"/>
  <c r="O1760" i="11"/>
  <c r="O1761" i="11"/>
  <c r="O1762" i="11"/>
  <c r="AA113" i="3"/>
  <c r="Z113" i="3"/>
  <c r="Y113" i="3"/>
  <c r="X113" i="3"/>
  <c r="W113" i="3"/>
  <c r="AA103" i="3"/>
  <c r="Z103" i="3"/>
  <c r="Y103" i="3"/>
  <c r="X103" i="3"/>
  <c r="W103" i="3"/>
  <c r="AA102" i="3"/>
  <c r="Z102" i="3"/>
  <c r="Y102" i="3"/>
  <c r="X102" i="3"/>
  <c r="W102" i="3"/>
  <c r="L113" i="3"/>
  <c r="Q718" i="11"/>
  <c r="Q717" i="11"/>
  <c r="Q716" i="11"/>
  <c r="F430" i="19" l="1"/>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82" i="11"/>
  <c r="AF1986" i="11"/>
  <c r="AF1987" i="11"/>
  <c r="AF1988" i="11"/>
  <c r="AF1989" i="11"/>
  <c r="AF1990" i="11"/>
  <c r="AF1991" i="11"/>
  <c r="AF1992" i="11"/>
  <c r="AF1993" i="11"/>
  <c r="AF1996" i="11"/>
  <c r="AF1997" i="11"/>
  <c r="AF1998" i="11"/>
  <c r="AF1999" i="11"/>
  <c r="AF2000" i="11"/>
  <c r="AF2001" i="11"/>
  <c r="AF2002" i="11"/>
  <c r="AF2003" i="11"/>
  <c r="AF2004" i="11"/>
  <c r="AF2005" i="11"/>
  <c r="AF2006" i="11"/>
  <c r="AF2007" i="11"/>
  <c r="AF2008" i="11"/>
  <c r="AF2009" i="11"/>
  <c r="AF2011" i="11"/>
  <c r="AF2012" i="11"/>
  <c r="AF2013" i="11"/>
  <c r="AF2015" i="11"/>
  <c r="AF2017" i="11"/>
  <c r="AF2018" i="11"/>
  <c r="AF2019" i="11"/>
  <c r="AF2021" i="11"/>
  <c r="AF2022" i="11"/>
  <c r="AF2023" i="11"/>
  <c r="AF2024" i="11"/>
  <c r="AF2025" i="11"/>
  <c r="AF2026" i="11"/>
  <c r="AF2027" i="11"/>
  <c r="AF2028" i="11"/>
  <c r="AF2029" i="11"/>
  <c r="AF2030" i="11"/>
  <c r="AF2031" i="11"/>
  <c r="AF2032" i="11"/>
  <c r="AF2033" i="11"/>
  <c r="AF2034" i="11"/>
  <c r="AF2035"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51" i="11" s="1"/>
  <c r="H62" i="5"/>
  <c r="H61" i="5"/>
  <c r="P64" i="5"/>
  <c r="AJ50" i="11" s="1"/>
  <c r="C2052"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40" i="11"/>
  <c r="L1949" i="11" s="1"/>
  <c r="F1916" i="11"/>
  <c r="L1926" i="11" s="1"/>
  <c r="F1902" i="11"/>
  <c r="F1890" i="11"/>
  <c r="F1877" i="11"/>
  <c r="F1865" i="11"/>
  <c r="L1870" i="11" s="1"/>
  <c r="F1851" i="11"/>
  <c r="L1862" i="11" s="1"/>
  <c r="F1838" i="11"/>
  <c r="F1825" i="11"/>
  <c r="F1811" i="11"/>
  <c r="F1797" i="11"/>
  <c r="L1805" i="11" s="1"/>
  <c r="F1784" i="11"/>
  <c r="F1771" i="11"/>
  <c r="F1928" i="11"/>
  <c r="L1946" i="11" l="1"/>
  <c r="L1945" i="11"/>
  <c r="L1938" i="11"/>
  <c r="L1931" i="11"/>
  <c r="L1936" i="11"/>
  <c r="L1935" i="11"/>
  <c r="L1933" i="11"/>
  <c r="L1918" i="11"/>
  <c r="L1922" i="11"/>
  <c r="L1921" i="11"/>
  <c r="L1920" i="11"/>
  <c r="L1925" i="11"/>
  <c r="L1895" i="11"/>
  <c r="L1893" i="11"/>
  <c r="L1888" i="11"/>
  <c r="L1883" i="11"/>
  <c r="L1884" i="11"/>
  <c r="L1852" i="11"/>
  <c r="L1856" i="11"/>
  <c r="L1861" i="11"/>
  <c r="L1854" i="11"/>
  <c r="L1859" i="11"/>
  <c r="L1860" i="11"/>
  <c r="L1853" i="11"/>
  <c r="L1863" i="11"/>
  <c r="L1858" i="11"/>
  <c r="L1847" i="11"/>
  <c r="L1848" i="11"/>
  <c r="L1844" i="11"/>
  <c r="L1843" i="11"/>
  <c r="L1835" i="11"/>
  <c r="L1836" i="11"/>
  <c r="L1832" i="11"/>
  <c r="L1830" i="11"/>
  <c r="L1821" i="11"/>
  <c r="L1819" i="11"/>
  <c r="L1818" i="11"/>
  <c r="L1823" i="11"/>
  <c r="L1817" i="11"/>
  <c r="L1804" i="11"/>
  <c r="L1800" i="11"/>
  <c r="L1793" i="11"/>
  <c r="L1792" i="11"/>
  <c r="L1790" i="11"/>
  <c r="L1789" i="11"/>
  <c r="L1777" i="11"/>
  <c r="L1776" i="11"/>
  <c r="L1773" i="11"/>
  <c r="R1307" i="11"/>
  <c r="R1311" i="11"/>
  <c r="R1308" i="11"/>
  <c r="R1312" i="11"/>
  <c r="R1309" i="11"/>
  <c r="R1313" i="11"/>
  <c r="R1310" i="11"/>
  <c r="AJ62" i="2"/>
  <c r="AI62" i="2"/>
  <c r="AJ61" i="2"/>
  <c r="AI61" i="2"/>
  <c r="AJ60" i="2"/>
  <c r="AI60" i="2"/>
  <c r="AI58" i="2"/>
  <c r="H1258" i="11"/>
  <c r="H1257" i="11"/>
  <c r="H1255" i="11"/>
  <c r="H1256" i="11"/>
  <c r="AJ59" i="2"/>
  <c r="AI59" i="2"/>
  <c r="AJ57" i="2"/>
  <c r="AI57" i="2"/>
  <c r="AI67" i="2"/>
  <c r="AJ67" i="2"/>
  <c r="AJ68" i="2"/>
  <c r="AI68" i="2"/>
  <c r="AJ69" i="2"/>
  <c r="AI69" i="2"/>
  <c r="AJ56" i="2"/>
  <c r="AI56" i="2"/>
  <c r="AJ55" i="2"/>
  <c r="AI55" i="2"/>
  <c r="AJ54" i="2"/>
  <c r="AI54" i="2"/>
  <c r="AJ53" i="2"/>
  <c r="AI53" i="2"/>
  <c r="AJ52" i="2"/>
  <c r="AI52" i="2"/>
  <c r="AI51" i="2"/>
  <c r="AJ42" i="2"/>
  <c r="Q47" i="4"/>
  <c r="F47" i="4"/>
  <c r="Q40" i="4"/>
  <c r="F40" i="4"/>
  <c r="Q33" i="4"/>
  <c r="E84" i="11"/>
  <c r="AI47" i="2"/>
  <c r="AI46" i="2"/>
  <c r="AJ45" i="2"/>
  <c r="AI45" i="2"/>
  <c r="AI43" i="2"/>
  <c r="AI42" i="2"/>
  <c r="R1550"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Y11" i="3" l="1"/>
  <c r="Y13" i="3"/>
  <c r="X829" i="11"/>
  <c r="X835" i="11"/>
  <c r="X839" i="11"/>
  <c r="X832" i="11"/>
  <c r="X836" i="11"/>
  <c r="X840" i="11"/>
  <c r="X833" i="11"/>
  <c r="X837" i="11"/>
  <c r="X831" i="11"/>
  <c r="X834" i="11"/>
  <c r="X838" i="11"/>
  <c r="X821" i="11"/>
  <c r="X825" i="11"/>
  <c r="X820" i="11"/>
  <c r="X822" i="11"/>
  <c r="X826" i="11"/>
  <c r="X823" i="11"/>
  <c r="X827" i="11"/>
  <c r="X824" i="11"/>
  <c r="X828" i="11"/>
  <c r="M86" i="11"/>
  <c r="U82" i="11"/>
  <c r="H83" i="11" s="1"/>
  <c r="W80" i="11"/>
  <c r="J81" i="11" s="1"/>
  <c r="V86" i="11"/>
  <c r="I87" i="11" s="1"/>
  <c r="R86" i="11"/>
  <c r="E87" i="11" s="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AK44" i="2" l="1"/>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I611"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55" i="11"/>
  <c r="F1954" i="11"/>
  <c r="T1885" i="11"/>
  <c r="U1885" i="11"/>
  <c r="V1885" i="11"/>
  <c r="W1885" i="11"/>
  <c r="X1885" i="11"/>
  <c r="Y1885" i="11"/>
  <c r="T1886" i="11"/>
  <c r="U1886" i="11"/>
  <c r="V1886" i="11"/>
  <c r="W1886" i="11"/>
  <c r="X1886" i="11"/>
  <c r="Y1886" i="11"/>
  <c r="T1887" i="11"/>
  <c r="U1887" i="11"/>
  <c r="V1887" i="11"/>
  <c r="W1887" i="11"/>
  <c r="X1887" i="11"/>
  <c r="Y1887" i="11"/>
  <c r="T1888" i="11"/>
  <c r="U1888" i="11"/>
  <c r="V1888" i="11"/>
  <c r="W1888" i="11"/>
  <c r="X1888" i="11"/>
  <c r="Y1888" i="11"/>
  <c r="T1889" i="11"/>
  <c r="U1889" i="11"/>
  <c r="V1889" i="11"/>
  <c r="W1889" i="11"/>
  <c r="X1889" i="11"/>
  <c r="Y1889" i="11"/>
  <c r="T1890" i="11"/>
  <c r="U1890" i="11"/>
  <c r="V1890" i="11"/>
  <c r="W1890" i="11"/>
  <c r="T1891" i="11"/>
  <c r="U1891" i="11"/>
  <c r="V1891" i="11"/>
  <c r="W1891" i="11"/>
  <c r="R1784" i="11"/>
  <c r="R1797" i="11"/>
  <c r="R1811" i="11"/>
  <c r="R1825" i="11"/>
  <c r="R1838" i="11"/>
  <c r="R1851" i="11"/>
  <c r="R1865" i="11"/>
  <c r="R1877" i="11"/>
  <c r="R1890" i="11"/>
  <c r="R1902" i="11"/>
  <c r="R1916" i="11"/>
  <c r="R1928" i="11"/>
  <c r="R1940" i="11"/>
  <c r="R1954" i="11"/>
  <c r="J1953" i="11"/>
  <c r="J1952" i="11"/>
  <c r="J1951" i="11"/>
  <c r="J1950" i="11"/>
  <c r="J1949" i="11"/>
  <c r="J1948" i="11"/>
  <c r="J1947" i="11"/>
  <c r="J1946" i="11"/>
  <c r="J1945" i="11"/>
  <c r="J1944" i="11"/>
  <c r="J1943" i="11"/>
  <c r="J1942" i="11"/>
  <c r="J1941" i="11"/>
  <c r="J1939" i="11"/>
  <c r="J1938" i="11"/>
  <c r="J1937" i="11"/>
  <c r="J1936" i="11"/>
  <c r="J1935" i="11"/>
  <c r="J1934" i="11"/>
  <c r="J1933" i="11"/>
  <c r="J1932" i="11"/>
  <c r="J1931" i="11"/>
  <c r="K1931" i="11" s="1"/>
  <c r="J1930" i="11"/>
  <c r="J1929" i="11"/>
  <c r="J1927" i="11"/>
  <c r="J1926" i="11"/>
  <c r="J1925" i="11"/>
  <c r="J1924" i="11"/>
  <c r="J1923" i="11"/>
  <c r="J1922" i="11"/>
  <c r="J1921" i="11"/>
  <c r="J1920" i="11"/>
  <c r="J1919" i="11"/>
  <c r="J1918" i="11"/>
  <c r="J1917" i="11"/>
  <c r="J1915" i="11"/>
  <c r="J1914" i="11"/>
  <c r="J1913" i="11"/>
  <c r="J1912" i="11"/>
  <c r="J1911" i="11"/>
  <c r="J1910" i="11"/>
  <c r="J1909" i="11"/>
  <c r="J1908" i="11"/>
  <c r="J1907" i="11"/>
  <c r="J1906" i="11"/>
  <c r="J1905" i="11"/>
  <c r="J1904" i="11"/>
  <c r="J1903" i="11"/>
  <c r="J1901" i="11"/>
  <c r="J1900" i="11"/>
  <c r="J1899" i="11"/>
  <c r="J1898" i="11"/>
  <c r="J1897" i="11"/>
  <c r="J1896" i="11"/>
  <c r="J1895" i="11"/>
  <c r="J1894" i="11"/>
  <c r="J1893" i="11"/>
  <c r="J1892" i="11"/>
  <c r="J1891" i="11"/>
  <c r="J1889" i="11"/>
  <c r="J1888" i="11"/>
  <c r="J1887" i="11"/>
  <c r="J1886" i="11"/>
  <c r="J1885" i="11"/>
  <c r="J1884" i="11"/>
  <c r="J1883" i="11"/>
  <c r="J1882" i="11"/>
  <c r="J1881" i="11"/>
  <c r="J1880" i="11"/>
  <c r="J1879" i="11"/>
  <c r="J1878" i="11"/>
  <c r="J1876" i="11"/>
  <c r="J1875" i="11"/>
  <c r="J1874" i="11"/>
  <c r="J1873" i="11"/>
  <c r="J1872" i="11"/>
  <c r="J1871" i="11"/>
  <c r="J1870" i="11"/>
  <c r="J1869" i="11"/>
  <c r="J1868" i="11"/>
  <c r="J1867" i="11"/>
  <c r="J1866" i="11"/>
  <c r="J1864" i="11"/>
  <c r="J1863" i="11"/>
  <c r="J1862" i="11"/>
  <c r="J1861" i="11"/>
  <c r="J1860" i="11"/>
  <c r="J1859" i="11"/>
  <c r="J1858" i="11"/>
  <c r="J1857" i="11"/>
  <c r="J1856" i="11"/>
  <c r="J1855" i="11"/>
  <c r="J1854" i="11"/>
  <c r="J1853" i="11"/>
  <c r="J1852" i="11"/>
  <c r="J1850" i="11"/>
  <c r="J1849" i="11"/>
  <c r="J1848" i="11"/>
  <c r="J1847" i="11"/>
  <c r="J1846" i="11"/>
  <c r="J1845" i="11"/>
  <c r="J1844" i="11"/>
  <c r="J1843" i="11"/>
  <c r="J1842" i="11"/>
  <c r="AI63" i="11" s="1"/>
  <c r="J1841" i="11"/>
  <c r="J1840" i="11"/>
  <c r="J1839" i="11"/>
  <c r="J1837" i="11"/>
  <c r="J1836" i="11"/>
  <c r="J1835" i="11"/>
  <c r="J1834" i="11"/>
  <c r="J1833" i="11"/>
  <c r="J1832" i="11"/>
  <c r="J1831" i="11"/>
  <c r="J1830" i="11"/>
  <c r="J1829" i="11"/>
  <c r="J1828" i="11"/>
  <c r="J1827" i="11"/>
  <c r="J1826" i="11"/>
  <c r="J1824" i="11"/>
  <c r="J1823" i="11"/>
  <c r="J1822" i="11"/>
  <c r="J1821" i="11"/>
  <c r="J1820" i="11"/>
  <c r="J1819" i="11"/>
  <c r="J1818" i="11"/>
  <c r="J1817" i="11"/>
  <c r="J1816" i="11"/>
  <c r="J1815" i="11"/>
  <c r="H1819" i="11" s="1"/>
  <c r="J1814" i="11"/>
  <c r="J1813" i="11"/>
  <c r="J1812" i="11"/>
  <c r="J1810" i="11"/>
  <c r="J1809" i="11"/>
  <c r="J1808" i="11"/>
  <c r="J1807" i="11"/>
  <c r="J1806" i="11"/>
  <c r="J1805" i="11"/>
  <c r="J1804" i="11"/>
  <c r="J1803" i="11"/>
  <c r="J1802" i="11"/>
  <c r="J1801" i="11"/>
  <c r="J1800" i="11"/>
  <c r="J1799" i="11"/>
  <c r="J1798" i="11"/>
  <c r="J1796" i="11"/>
  <c r="J1795" i="11"/>
  <c r="J1794" i="11"/>
  <c r="J1793" i="11"/>
  <c r="J1792" i="11"/>
  <c r="J1791" i="11"/>
  <c r="J1790" i="11"/>
  <c r="J1789" i="11"/>
  <c r="J1788" i="11"/>
  <c r="J1787" i="11"/>
  <c r="K1787" i="11" s="1"/>
  <c r="L1787" i="11" s="1"/>
  <c r="J1786" i="11"/>
  <c r="J1785" i="11"/>
  <c r="J1783" i="11"/>
  <c r="J1782" i="11"/>
  <c r="J1781" i="11"/>
  <c r="J1780" i="11"/>
  <c r="J1779" i="11"/>
  <c r="J1778" i="11"/>
  <c r="J1777" i="11"/>
  <c r="J1776" i="11"/>
  <c r="J1775" i="11"/>
  <c r="K1775" i="11" s="1"/>
  <c r="L1775" i="11" s="1"/>
  <c r="J1774" i="11"/>
  <c r="J1773" i="11"/>
  <c r="J1772" i="11"/>
  <c r="R1953" i="11" l="1"/>
  <c r="R1952" i="11"/>
  <c r="R1951" i="11"/>
  <c r="R1950" i="11"/>
  <c r="R1949" i="11"/>
  <c r="R1948" i="11"/>
  <c r="R1947" i="11"/>
  <c r="R1946" i="11"/>
  <c r="R1944" i="11"/>
  <c r="R1945" i="11"/>
  <c r="R1943" i="11"/>
  <c r="R1942" i="11"/>
  <c r="R1941" i="11"/>
  <c r="R1939" i="11"/>
  <c r="R1938" i="11"/>
  <c r="R1937" i="11"/>
  <c r="R1936" i="11"/>
  <c r="R1935" i="11"/>
  <c r="R1934" i="11"/>
  <c r="R1927" i="11"/>
  <c r="R1926" i="11"/>
  <c r="R1925" i="11"/>
  <c r="R1924" i="11"/>
  <c r="R1923" i="11"/>
  <c r="R1922" i="11"/>
  <c r="R1920" i="11"/>
  <c r="R1918" i="11"/>
  <c r="R1917" i="11"/>
  <c r="R1915" i="11"/>
  <c r="R1914" i="11"/>
  <c r="R1913" i="11"/>
  <c r="R1912" i="11"/>
  <c r="R1911" i="11"/>
  <c r="R1910" i="11"/>
  <c r="R1909" i="11"/>
  <c r="R1908" i="11"/>
  <c r="R1907" i="11"/>
  <c r="R1906" i="11"/>
  <c r="R1905" i="11"/>
  <c r="R1903" i="11"/>
  <c r="R1904" i="11"/>
  <c r="R1901" i="11"/>
  <c r="R1900" i="11"/>
  <c r="R1899" i="11"/>
  <c r="R1898" i="11"/>
  <c r="R1897" i="11"/>
  <c r="R1895" i="11"/>
  <c r="R1894" i="11"/>
  <c r="R1893" i="11"/>
  <c r="R1892" i="11"/>
  <c r="R1891" i="11"/>
  <c r="R1889" i="11"/>
  <c r="R1888" i="11"/>
  <c r="R1886" i="11"/>
  <c r="R1885" i="11"/>
  <c r="R1883" i="11"/>
  <c r="R1882" i="11"/>
  <c r="R1881" i="11"/>
  <c r="R1880" i="11"/>
  <c r="R1879" i="11"/>
  <c r="R1878" i="11"/>
  <c r="R1875" i="11"/>
  <c r="R1874" i="11"/>
  <c r="R1873" i="11"/>
  <c r="R1872" i="11"/>
  <c r="R1870" i="11"/>
  <c r="R1869" i="11"/>
  <c r="R1868" i="11"/>
  <c r="R1867" i="11"/>
  <c r="R1866" i="11"/>
  <c r="R1864" i="11"/>
  <c r="R1863" i="11"/>
  <c r="R1862" i="11"/>
  <c r="R1861" i="11"/>
  <c r="R1860" i="11"/>
  <c r="R1858" i="11"/>
  <c r="R1855" i="11"/>
  <c r="R1853" i="11"/>
  <c r="R1852" i="11"/>
  <c r="R1850" i="11"/>
  <c r="R1849" i="11"/>
  <c r="R1848" i="11"/>
  <c r="R1847" i="11"/>
  <c r="R1846" i="11"/>
  <c r="R1844" i="11"/>
  <c r="R1843" i="11"/>
  <c r="R1841" i="11"/>
  <c r="R1840" i="11"/>
  <c r="R1837" i="11"/>
  <c r="R1836" i="11"/>
  <c r="R1833" i="11"/>
  <c r="R1832" i="11"/>
  <c r="R1831" i="11"/>
  <c r="R1859" i="11"/>
  <c r="R1824" i="11"/>
  <c r="R1823" i="11"/>
  <c r="R1821" i="11"/>
  <c r="R1810" i="11"/>
  <c r="AN26" i="2"/>
  <c r="R1809" i="11"/>
  <c r="R1822" i="11"/>
  <c r="R1806" i="11"/>
  <c r="R1805" i="11"/>
  <c r="R1804" i="11"/>
  <c r="R1803" i="11"/>
  <c r="R1801" i="11"/>
  <c r="R1800" i="11"/>
  <c r="R1799" i="11"/>
  <c r="R1798" i="11"/>
  <c r="R1793" i="11"/>
  <c r="R1782" i="11"/>
  <c r="R1781" i="11"/>
  <c r="R1780" i="11"/>
  <c r="R1779" i="11"/>
  <c r="R1778" i="11"/>
  <c r="R1777" i="11"/>
  <c r="R1776" i="11"/>
  <c r="R1774" i="11"/>
  <c r="R1835" i="11"/>
  <c r="R1854" i="11"/>
  <c r="R1857" i="11"/>
  <c r="R1775" i="11"/>
  <c r="R1834" i="11"/>
  <c r="R1829" i="11"/>
  <c r="R1828" i="11"/>
  <c r="R1827" i="11"/>
  <c r="R1826" i="11"/>
  <c r="R1796" i="11"/>
  <c r="R1795" i="11"/>
  <c r="R1794" i="11"/>
  <c r="R1792" i="11"/>
  <c r="R1791" i="11"/>
  <c r="R1789" i="11"/>
  <c r="R1788" i="11"/>
  <c r="R1787" i="11"/>
  <c r="R1790" i="11"/>
  <c r="R1786" i="11"/>
  <c r="R1785" i="11"/>
  <c r="R1919" i="11"/>
  <c r="M89" i="11"/>
  <c r="R1819" i="11"/>
  <c r="R1818" i="11"/>
  <c r="R1817" i="11"/>
  <c r="R1816" i="11"/>
  <c r="R1815" i="11"/>
  <c r="R1814" i="11"/>
  <c r="R1813" i="11"/>
  <c r="R1812" i="11"/>
  <c r="R1842" i="11"/>
  <c r="R1856" i="11"/>
  <c r="AF25" i="23"/>
  <c r="J1955" i="11"/>
  <c r="R1955" i="11" s="1"/>
  <c r="L1955" i="11"/>
  <c r="I1955" i="11"/>
  <c r="G1955" i="11"/>
  <c r="R1808" i="11"/>
  <c r="R1896" i="11"/>
  <c r="K1896" i="11"/>
  <c r="L1896" i="11" s="1"/>
  <c r="R1932" i="11"/>
  <c r="R1876" i="11"/>
  <c r="R1871" i="11"/>
  <c r="O91" i="9"/>
  <c r="U85" i="11"/>
  <c r="H86" i="11" s="1"/>
  <c r="W83" i="11"/>
  <c r="J84" i="11" s="1"/>
  <c r="R89" i="11"/>
  <c r="E90" i="11" s="1"/>
  <c r="V89" i="11"/>
  <c r="I90" i="11" s="1"/>
  <c r="Z89" i="11"/>
  <c r="R1884" i="11"/>
  <c r="R1933" i="11"/>
  <c r="R1830" i="11"/>
  <c r="R1802" i="11"/>
  <c r="R1931" i="11"/>
  <c r="R1930" i="11"/>
  <c r="R1929" i="11"/>
  <c r="R1887" i="11"/>
  <c r="K1887" i="11"/>
  <c r="R1845" i="11"/>
  <c r="R1807" i="11"/>
  <c r="K1807" i="11"/>
  <c r="R1820" i="11"/>
  <c r="K1820" i="11"/>
  <c r="K1826" i="11"/>
  <c r="K1841" i="11"/>
  <c r="L1841" i="11" s="1"/>
  <c r="K1941" i="11"/>
  <c r="K1903" i="11"/>
  <c r="K1905" i="11"/>
  <c r="L1905" i="11" s="1"/>
  <c r="K1816" i="11"/>
  <c r="L1816" i="11" s="1"/>
  <c r="K1813" i="11"/>
  <c r="L1813" i="11" s="1"/>
  <c r="K1812" i="11"/>
  <c r="K1867" i="11"/>
  <c r="K1866" i="11"/>
  <c r="L1866" i="11" s="1"/>
  <c r="K1852" i="11"/>
  <c r="K1853" i="11"/>
  <c r="K1878" i="11"/>
  <c r="L1878" i="11" s="1"/>
  <c r="K1879" i="11"/>
  <c r="L1879" i="11" s="1"/>
  <c r="C1784" i="11"/>
  <c r="G14" i="23"/>
  <c r="R1839" i="11"/>
  <c r="R1783" i="11"/>
  <c r="R1772" i="11"/>
  <c r="R1773" i="11"/>
  <c r="R1921" i="11"/>
  <c r="F89" i="9"/>
  <c r="P91" i="9"/>
  <c r="N91" i="9"/>
  <c r="L4" i="23"/>
  <c r="I10" i="23"/>
  <c r="T1884" i="11"/>
  <c r="AD160" i="3" l="1"/>
  <c r="L1941" i="11"/>
  <c r="AD136" i="3"/>
  <c r="L1903" i="11"/>
  <c r="AD137" i="3"/>
  <c r="L1867" i="11"/>
  <c r="AD174" i="3"/>
  <c r="L1826" i="11"/>
  <c r="AD139" i="3"/>
  <c r="L1812" i="11"/>
  <c r="AD150" i="3"/>
  <c r="R1970" i="11"/>
  <c r="R1969" i="11"/>
  <c r="R1968" i="11"/>
  <c r="R1967" i="11"/>
  <c r="R1966" i="11"/>
  <c r="R1965" i="11"/>
  <c r="R1964" i="11"/>
  <c r="R1963" i="11"/>
  <c r="R1962" i="11"/>
  <c r="R1961" i="11"/>
  <c r="R1960" i="11"/>
  <c r="R1959" i="11"/>
  <c r="R1958" i="11"/>
  <c r="R1957" i="11"/>
  <c r="R1956"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N46" i="3" l="1"/>
  <c r="N45" i="3"/>
  <c r="T44" i="3"/>
  <c r="T43" i="3"/>
  <c r="R43" i="3"/>
  <c r="R44" i="3"/>
  <c r="P44" i="3"/>
  <c r="P43" i="3"/>
  <c r="N44" i="3"/>
  <c r="N43" i="3"/>
  <c r="L43" i="3"/>
  <c r="L47" i="3"/>
  <c r="L48" i="3"/>
  <c r="L46" i="3"/>
  <c r="L45" i="3"/>
  <c r="L44" i="3"/>
  <c r="L49" i="3"/>
  <c r="T49" i="3"/>
  <c r="T53" i="3"/>
  <c r="R49" i="3"/>
  <c r="R53" i="3"/>
  <c r="P49" i="3"/>
  <c r="P53" i="3"/>
  <c r="BF26" i="4"/>
  <c r="AJ610" i="11"/>
  <c r="AG610" i="11" s="1"/>
  <c r="H2077" i="1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80" i="11" s="1"/>
  <c r="AG53" i="3"/>
  <c r="V53" i="3"/>
  <c r="AH23" i="4" s="1"/>
  <c r="AB19" i="4"/>
  <c r="H2076" i="11" s="1"/>
  <c r="D2077" i="11"/>
  <c r="I2077" i="11"/>
  <c r="K131" i="11"/>
  <c r="U99" i="11"/>
  <c r="W97" i="11"/>
  <c r="J98" i="11" s="1"/>
  <c r="Z131" i="11"/>
  <c r="L131" i="11"/>
  <c r="M131" i="11"/>
  <c r="S131" i="11"/>
  <c r="W131" i="11"/>
  <c r="AA131" i="11"/>
  <c r="N131" i="11"/>
  <c r="V131" i="11"/>
  <c r="X131" i="11"/>
  <c r="O131" i="11"/>
  <c r="AO18" i="2" l="1"/>
  <c r="AO17" i="2"/>
  <c r="AO16" i="2"/>
  <c r="AO13" i="2"/>
  <c r="I2080" i="11"/>
  <c r="D2080" i="11"/>
  <c r="D2076" i="11"/>
  <c r="I2076"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80"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7" i="11"/>
  <c r="E2078" i="11"/>
  <c r="E2076" i="11"/>
  <c r="E2079"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8" i="11"/>
  <c r="Q1699" i="11"/>
  <c r="Q1698" i="11"/>
  <c r="Q1697" i="11"/>
  <c r="Q1696" i="11"/>
  <c r="Q1695" i="11"/>
  <c r="Q1692" i="11"/>
  <c r="Q1691" i="11"/>
  <c r="Q1690" i="11"/>
  <c r="Q1679" i="11"/>
  <c r="Q1678" i="11"/>
  <c r="Q1677" i="11"/>
  <c r="Q1676" i="11"/>
  <c r="Q1675" i="11"/>
  <c r="Q1674" i="11"/>
  <c r="Q1668" i="11"/>
  <c r="Q1667" i="11"/>
  <c r="Q1666" i="11"/>
  <c r="Q1665" i="11"/>
  <c r="AJ43" i="2" s="1"/>
  <c r="Q1663" i="11"/>
  <c r="Q1662" i="11"/>
  <c r="Q1640" i="11"/>
  <c r="Q1639" i="11"/>
  <c r="Q1634" i="11"/>
  <c r="Q1617" i="11"/>
  <c r="Q1616" i="11"/>
  <c r="Q1615" i="11"/>
  <c r="Q1614" i="11"/>
  <c r="Q1613" i="11"/>
  <c r="Q1612" i="11"/>
  <c r="Q1611"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63" i="11"/>
  <c r="Q1562" i="11"/>
  <c r="Q1554" i="11"/>
  <c r="Q1553" i="11"/>
  <c r="Q1401" i="11"/>
  <c r="Q1400" i="11"/>
  <c r="Q1359" i="11"/>
  <c r="Q1358" i="11"/>
  <c r="Q1357" i="11"/>
  <c r="Q1356" i="11"/>
  <c r="Q1355" i="11"/>
  <c r="Q1354" i="11"/>
  <c r="Q1353" i="11"/>
  <c r="Q1352" i="11"/>
  <c r="Q1351" i="11"/>
  <c r="Q1350" i="11"/>
  <c r="Q1349" i="11"/>
  <c r="Q1348" i="11"/>
  <c r="Q1345" i="11"/>
  <c r="Q1344" i="11"/>
  <c r="Q1343" i="11"/>
  <c r="Q1342" i="11"/>
  <c r="Q1341" i="11"/>
  <c r="Q1340" i="11"/>
  <c r="Q1339" i="11"/>
  <c r="Q1338" i="11"/>
  <c r="Q1337" i="11"/>
  <c r="Q1336" i="11"/>
  <c r="AJ51" i="2" s="1"/>
  <c r="Q1335" i="11"/>
  <c r="Q1334" i="11"/>
  <c r="Q1333" i="11"/>
  <c r="Q1301" i="11"/>
  <c r="Q1300" i="11"/>
  <c r="Q1299" i="11"/>
  <c r="Q1298" i="11"/>
  <c r="Q1297" i="11"/>
  <c r="Q1296" i="11"/>
  <c r="Q1295" i="11"/>
  <c r="Q1294" i="11"/>
  <c r="Q1293" i="11"/>
  <c r="Q1292" i="11"/>
  <c r="Q1291" i="11"/>
  <c r="Q1290" i="11"/>
  <c r="Q1289" i="11"/>
  <c r="Q1288" i="11"/>
  <c r="Q1287" i="11"/>
  <c r="Q1286" i="11"/>
  <c r="Q1285" i="11"/>
  <c r="Q1284" i="11"/>
  <c r="AJ58" i="2" s="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J44" i="2" l="1"/>
  <c r="AJ47" i="2"/>
  <c r="AJ46" i="2"/>
  <c r="AO135" i="9"/>
  <c r="AO119" i="9"/>
  <c r="AO103" i="9"/>
  <c r="V25" i="3"/>
  <c r="X93" i="3"/>
  <c r="Y93" i="3"/>
  <c r="Y28" i="3"/>
  <c r="Y42" i="3"/>
  <c r="X586" i="11"/>
  <c r="N631" i="11"/>
  <c r="F631" i="11"/>
  <c r="E631" i="11"/>
  <c r="AA620" i="11"/>
  <c r="AB620" i="11"/>
  <c r="X620" i="11"/>
  <c r="Y620" i="11"/>
  <c r="V72" i="2" l="1"/>
  <c r="AJ40" i="2"/>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9" i="11"/>
  <c r="D2089" i="11" s="1"/>
  <c r="H2094" i="11"/>
  <c r="D2094" i="11" s="1"/>
  <c r="H2098" i="11"/>
  <c r="D2098" i="11" s="1"/>
  <c r="C2098" i="11" s="1"/>
  <c r="H2102" i="11"/>
  <c r="D2102" i="11" s="1"/>
  <c r="C2102" i="11" s="1"/>
  <c r="H949" i="11"/>
  <c r="H2088" i="11"/>
  <c r="H2095" i="11"/>
  <c r="D2095" i="11" s="1"/>
  <c r="C2095" i="11" s="1"/>
  <c r="H2099" i="11"/>
  <c r="D2099" i="11" s="1"/>
  <c r="C2099" i="11" s="1"/>
  <c r="H2103" i="11"/>
  <c r="D2103" i="11" s="1"/>
  <c r="C2103" i="11" s="1"/>
  <c r="H2090" i="11"/>
  <c r="D2090" i="11" s="1"/>
  <c r="H2096" i="11"/>
  <c r="D2096" i="11" s="1"/>
  <c r="C2096" i="11" s="1"/>
  <c r="H2100" i="11"/>
  <c r="D2100" i="11" s="1"/>
  <c r="C2100" i="11" s="1"/>
  <c r="H2104" i="11"/>
  <c r="D2104" i="11" s="1"/>
  <c r="C2104" i="11" s="1"/>
  <c r="H2093" i="11"/>
  <c r="D2093" i="11" s="1"/>
  <c r="H2097" i="11"/>
  <c r="D2097" i="11" s="1"/>
  <c r="C2097" i="11" s="1"/>
  <c r="H2101" i="11"/>
  <c r="D2101" i="11" s="1"/>
  <c r="C2101" i="11" s="1"/>
  <c r="H2091" i="11"/>
  <c r="D2091" i="11" s="1"/>
  <c r="H2092" i="11"/>
  <c r="D2092"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E803" i="11" l="1"/>
  <c r="AF803" i="11" s="1"/>
  <c r="AG803" i="11" s="1"/>
  <c r="AC803" i="11" s="1"/>
  <c r="N38" i="4"/>
  <c r="R38" i="4"/>
  <c r="O38" i="4"/>
  <c r="E55" i="4"/>
  <c r="AE784" i="11"/>
  <c r="AF784" i="11" s="1"/>
  <c r="AG784" i="11" s="1"/>
  <c r="D62" i="4"/>
  <c r="BE36" i="4" s="1"/>
  <c r="E64" i="4"/>
  <c r="G62" i="4"/>
  <c r="R53" i="4"/>
  <c r="H2087" i="11"/>
  <c r="D2087" i="11" s="1"/>
  <c r="I940" i="11"/>
  <c r="AU63" i="4"/>
  <c r="AU64" i="4" s="1"/>
  <c r="AE799"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86" i="11"/>
  <c r="D2086" i="11" s="1"/>
  <c r="D2088" i="11"/>
  <c r="P940" i="11"/>
  <c r="O940" i="11"/>
  <c r="AL613" i="11"/>
  <c r="AM613" i="11"/>
  <c r="BB24" i="4"/>
  <c r="BC24" i="4"/>
  <c r="BA24" i="4"/>
  <c r="AZ24" i="4"/>
  <c r="BD24" i="4"/>
  <c r="AY24" i="4"/>
  <c r="BE24" i="4"/>
  <c r="AC771" i="11" l="1"/>
  <c r="AN5" i="9" s="1"/>
  <c r="AC639" i="11"/>
  <c r="AZ36" i="4"/>
  <c r="AG613" i="11"/>
  <c r="E21" i="4"/>
  <c r="BF24" i="4"/>
  <c r="F657" i="26"/>
  <c r="G657" i="26" s="1"/>
  <c r="F659" i="26"/>
  <c r="G659" i="26" s="1"/>
  <c r="AF801" i="11"/>
  <c r="AG801" i="11" s="1"/>
  <c r="AC801" i="11" s="1"/>
  <c r="AF800" i="11"/>
  <c r="AG800" i="11" s="1"/>
  <c r="AC800" i="11" s="1"/>
  <c r="AF802" i="11"/>
  <c r="AG802" i="11" s="1"/>
  <c r="AF799" i="11"/>
  <c r="AG799" i="11" s="1"/>
  <c r="AB641" i="11"/>
  <c r="AB640" i="11" s="1"/>
  <c r="AB771" i="11" s="1"/>
  <c r="AD641" i="11"/>
  <c r="AD640" i="11" s="1"/>
  <c r="AE641" i="11"/>
  <c r="AE640" i="11" s="1"/>
  <c r="AU782" i="11"/>
  <c r="AU781" i="11"/>
  <c r="AH787" i="11"/>
  <c r="AU780" i="11"/>
  <c r="AG796" i="11"/>
  <c r="AI786" i="11"/>
  <c r="AG798" i="11"/>
  <c r="AI785" i="11"/>
  <c r="AI795" i="11"/>
  <c r="AG797" i="11"/>
  <c r="AG792" i="11"/>
  <c r="AG794" i="11"/>
  <c r="AG790" i="11"/>
  <c r="AG793" i="11"/>
  <c r="AG791" i="11"/>
  <c r="AG789" i="11"/>
  <c r="AI788" i="11"/>
  <c r="E2086" i="11"/>
  <c r="E2099" i="11"/>
  <c r="E2101" i="11"/>
  <c r="E2104" i="11"/>
  <c r="E2097" i="11"/>
  <c r="E2094" i="11"/>
  <c r="E2096" i="11"/>
  <c r="E2091" i="11"/>
  <c r="E2089" i="11"/>
  <c r="E2092" i="11"/>
  <c r="E2103" i="11"/>
  <c r="E2087" i="11"/>
  <c r="E2090" i="11"/>
  <c r="E2100" i="11"/>
  <c r="E2093" i="11"/>
  <c r="E2095" i="11"/>
  <c r="E2102" i="11"/>
  <c r="E2098" i="11"/>
  <c r="E208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N3" i="9" l="1"/>
  <c r="F658" i="26"/>
  <c r="G658" i="26" s="1"/>
  <c r="AE639" i="11"/>
  <c r="AE771" i="11"/>
  <c r="AN6" i="9" s="1"/>
  <c r="AD771" i="11"/>
  <c r="AN4" i="9" s="1"/>
  <c r="AC802" i="11"/>
  <c r="AC799" i="11"/>
  <c r="AC787" i="11"/>
  <c r="AC780" i="11"/>
  <c r="AC793" i="11"/>
  <c r="AC797" i="11"/>
  <c r="AC786" i="11"/>
  <c r="AC788" i="11"/>
  <c r="AC794" i="11"/>
  <c r="AC795" i="11"/>
  <c r="AC796" i="11"/>
  <c r="AC785" i="11"/>
  <c r="AC789" i="11"/>
  <c r="AC781" i="11"/>
  <c r="AC782" i="11"/>
  <c r="AC784" i="11"/>
  <c r="AC790" i="11"/>
  <c r="AC791" i="11"/>
  <c r="AC792" i="11"/>
  <c r="AC798" i="11"/>
  <c r="S43" i="2"/>
  <c r="M58" i="4" l="1"/>
  <c r="X58" i="4"/>
  <c r="S44" i="2"/>
  <c r="S45" i="2" l="1"/>
  <c r="AD14" i="6"/>
  <c r="AQ2079" i="11"/>
  <c r="AQ2080" i="11"/>
  <c r="AQ2081" i="11"/>
  <c r="AQ2082" i="11"/>
  <c r="AQ2083" i="11"/>
  <c r="AQ2084" i="11"/>
  <c r="AQ2085" i="11"/>
  <c r="AQ2086" i="11"/>
  <c r="AQ2087" i="11"/>
  <c r="AQ2088" i="11"/>
  <c r="AQ2089" i="11"/>
  <c r="AQ2090" i="11"/>
  <c r="AQ2091" i="11"/>
  <c r="AQ2092" i="11"/>
  <c r="AQ2093" i="11"/>
  <c r="AQ2094" i="11"/>
  <c r="AQ2095" i="11"/>
  <c r="AQ2096" i="11"/>
  <c r="AQ2097" i="11"/>
  <c r="AQ2098" i="11"/>
  <c r="AQ2099" i="11"/>
  <c r="AQ2100" i="11"/>
  <c r="AQ2101" i="11"/>
  <c r="AQ2102" i="11"/>
  <c r="AQ2103" i="11"/>
  <c r="AQ2104" i="11"/>
  <c r="AQ2078" i="11"/>
  <c r="S46" i="2" l="1"/>
  <c r="T184" i="3"/>
  <c r="T183" i="3"/>
  <c r="T182" i="3"/>
  <c r="T181" i="3"/>
  <c r="T180" i="3"/>
  <c r="S47" i="2" l="1"/>
  <c r="S48" i="2" l="1"/>
  <c r="E811" i="11"/>
  <c r="S49" i="2" l="1"/>
  <c r="AQ2077" i="11"/>
  <c r="T63" i="2"/>
  <c r="T64" i="2"/>
  <c r="T65" i="2"/>
  <c r="T66" i="2"/>
  <c r="T67" i="2"/>
  <c r="T68" i="2"/>
  <c r="T69" i="2"/>
  <c r="T43" i="2"/>
  <c r="T44" i="2" s="1"/>
  <c r="S50" i="2" l="1"/>
  <c r="AP2102" i="11"/>
  <c r="AP2098" i="11"/>
  <c r="AP2094" i="11"/>
  <c r="AP2077" i="11"/>
  <c r="AP2078" i="11" s="1"/>
  <c r="AP2079" i="11" s="1"/>
  <c r="AP2080" i="11" s="1"/>
  <c r="AP2101" i="11"/>
  <c r="AP2097" i="11"/>
  <c r="AP2104" i="11"/>
  <c r="AP2100" i="11"/>
  <c r="AP2096" i="11"/>
  <c r="AP2103" i="11"/>
  <c r="AP2099" i="11"/>
  <c r="T45" i="2"/>
  <c r="M39" i="5"/>
  <c r="T46" i="2" l="1"/>
  <c r="AP2081" i="11"/>
  <c r="AP2082" i="11" s="1"/>
  <c r="S51" i="2"/>
  <c r="T47" i="2" l="1"/>
  <c r="AP2083" i="11"/>
  <c r="T48" i="2"/>
  <c r="S52" i="2"/>
  <c r="T49" i="2" l="1"/>
  <c r="T50" i="2" s="1"/>
  <c r="T51" i="2" s="1"/>
  <c r="AP2084" i="11"/>
  <c r="S53" i="2"/>
  <c r="T52" i="2" l="1"/>
  <c r="T53" i="2" s="1"/>
  <c r="AP2085" i="11"/>
  <c r="S54" i="2"/>
  <c r="T54" i="2" l="1"/>
  <c r="T55" i="2" s="1"/>
  <c r="T56" i="2" s="1"/>
  <c r="AP2086" i="11"/>
  <c r="AP2087" i="11" s="1"/>
  <c r="S55" i="2"/>
  <c r="S56" i="2" s="1"/>
  <c r="L11" i="10"/>
  <c r="T57" i="2" l="1"/>
  <c r="T58" i="2" s="1"/>
  <c r="T59" i="2" s="1"/>
  <c r="T60" i="2" s="1"/>
  <c r="T61" i="2" s="1"/>
  <c r="AP2088" i="11"/>
  <c r="S57" i="2"/>
  <c r="S58" i="2" s="1"/>
  <c r="S59" i="2" s="1"/>
  <c r="S60" i="2" s="1"/>
  <c r="S61" i="2" s="1"/>
  <c r="S62" i="2" s="1"/>
  <c r="S63" i="2" s="1"/>
  <c r="S64" i="2" s="1"/>
  <c r="S65" i="2" s="1"/>
  <c r="S66" i="2" s="1"/>
  <c r="S67" i="2" s="1"/>
  <c r="S68" i="2" s="1"/>
  <c r="S69" i="2" s="1"/>
  <c r="J2096" i="11" s="1"/>
  <c r="AP2089" i="11" l="1"/>
  <c r="AP2090" i="11" s="1"/>
  <c r="AP2091" i="11" s="1"/>
  <c r="T62" i="2"/>
  <c r="J2075" i="11"/>
  <c r="K2075" i="11" s="1"/>
  <c r="J2078" i="11"/>
  <c r="J2076" i="11"/>
  <c r="J2077" i="11"/>
  <c r="J2079" i="11"/>
  <c r="J2080" i="11"/>
  <c r="J2081" i="11"/>
  <c r="J2082" i="11"/>
  <c r="J2083" i="11"/>
  <c r="J2084" i="11"/>
  <c r="J2085" i="11"/>
  <c r="J2086" i="11"/>
  <c r="J2088" i="11"/>
  <c r="Y9" i="3"/>
  <c r="Y7" i="3"/>
  <c r="K319" i="11" a="1"/>
  <c r="J2093" i="11"/>
  <c r="J2087" i="11"/>
  <c r="J2099" i="11"/>
  <c r="J2091" i="11"/>
  <c r="J2092" i="11"/>
  <c r="J2104" i="11"/>
  <c r="J2089" i="11"/>
  <c r="J2101" i="11"/>
  <c r="J2100" i="11"/>
  <c r="J2097" i="11"/>
  <c r="J2094" i="11"/>
  <c r="J2098" i="11"/>
  <c r="J2103" i="11"/>
  <c r="J2095" i="11"/>
  <c r="J2090" i="11"/>
  <c r="J2102" i="11"/>
  <c r="AP2092" i="11" l="1"/>
  <c r="AP2093" i="11" s="1"/>
  <c r="K2076" i="11"/>
  <c r="K2077" i="11" s="1"/>
  <c r="K2078" i="11" s="1"/>
  <c r="AB23" i="2"/>
  <c r="AP2095" i="11" l="1"/>
  <c r="AM2074" i="11" s="1"/>
  <c r="AM2103" i="11" s="1"/>
  <c r="K2079" i="1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K2098" i="11" s="1"/>
  <c r="K2099" i="11" s="1"/>
  <c r="K2100" i="11" s="1"/>
  <c r="K2101" i="11" s="1"/>
  <c r="K2102" i="11" s="1"/>
  <c r="K2103" i="11" s="1"/>
  <c r="K2104" i="11" s="1"/>
  <c r="R1381" i="11"/>
  <c r="R1383" i="11"/>
  <c r="R1258" i="11"/>
  <c r="R1274" i="11"/>
  <c r="R1290" i="11"/>
  <c r="R1306" i="11"/>
  <c r="R1329" i="11"/>
  <c r="R1345" i="11"/>
  <c r="R1361" i="11"/>
  <c r="R1377" i="11"/>
  <c r="R1399" i="11"/>
  <c r="R1415" i="11"/>
  <c r="R1432" i="11"/>
  <c r="R1448" i="11"/>
  <c r="R1464" i="11"/>
  <c r="R1481" i="11"/>
  <c r="R1497" i="11"/>
  <c r="R1513" i="11"/>
  <c r="R1530" i="11"/>
  <c r="R1548" i="11"/>
  <c r="R1565" i="11"/>
  <c r="R1581" i="11"/>
  <c r="R1597" i="11"/>
  <c r="R1255" i="11"/>
  <c r="R1275" i="11"/>
  <c r="R1291" i="11"/>
  <c r="R1314" i="11"/>
  <c r="R1330" i="11"/>
  <c r="R1346" i="11"/>
  <c r="R1362" i="11"/>
  <c r="R1378" i="11"/>
  <c r="AX63" i="4" s="1"/>
  <c r="AX64" i="4" s="1"/>
  <c r="R1400" i="11"/>
  <c r="R1416" i="11"/>
  <c r="R1433" i="11"/>
  <c r="R1449" i="11"/>
  <c r="R1465" i="11"/>
  <c r="R1482" i="11"/>
  <c r="R1498" i="11"/>
  <c r="R1515" i="11"/>
  <c r="R1531" i="11"/>
  <c r="R1549" i="11"/>
  <c r="R1566" i="11"/>
  <c r="R1582" i="11"/>
  <c r="R1598" i="11"/>
  <c r="R1264" i="11"/>
  <c r="R1280" i="11"/>
  <c r="R1296" i="11"/>
  <c r="R1319" i="11"/>
  <c r="R1335" i="11"/>
  <c r="R1351" i="11"/>
  <c r="R1367" i="11"/>
  <c r="R1389" i="11"/>
  <c r="R1405" i="11"/>
  <c r="R1421" i="11"/>
  <c r="R1438" i="11"/>
  <c r="R1454" i="11"/>
  <c r="R1470" i="11"/>
  <c r="R1487" i="11"/>
  <c r="R1503" i="11"/>
  <c r="R1520" i="11"/>
  <c r="R1536" i="11"/>
  <c r="R1555" i="11"/>
  <c r="R1571" i="11"/>
  <c r="R1587" i="11"/>
  <c r="R1603" i="11"/>
  <c r="R1301" i="11"/>
  <c r="R1372" i="11"/>
  <c r="R1443" i="11"/>
  <c r="R1508" i="11"/>
  <c r="R1289" i="11"/>
  <c r="R1360" i="11"/>
  <c r="R1431" i="11"/>
  <c r="R1496" i="11"/>
  <c r="R1564" i="11"/>
  <c r="R1610" i="11"/>
  <c r="R1626" i="11"/>
  <c r="R1643" i="11"/>
  <c r="R1659" i="11"/>
  <c r="R1675" i="11"/>
  <c r="R1691" i="11"/>
  <c r="R1707" i="11"/>
  <c r="R1724" i="11"/>
  <c r="R1741" i="11"/>
  <c r="R1704" i="11"/>
  <c r="R1738" i="11"/>
  <c r="R1267" i="11"/>
  <c r="R1379" i="11"/>
  <c r="R1262" i="11"/>
  <c r="R1278" i="11"/>
  <c r="R1294" i="11"/>
  <c r="R1317" i="11"/>
  <c r="R1333" i="11"/>
  <c r="R1349" i="11"/>
  <c r="R1365" i="11"/>
  <c r="R1387" i="11"/>
  <c r="R1403" i="11"/>
  <c r="R1419" i="11"/>
  <c r="R1436" i="11"/>
  <c r="R1452" i="11"/>
  <c r="R1468" i="11"/>
  <c r="R1485" i="11"/>
  <c r="R1501" i="11"/>
  <c r="R1518" i="11"/>
  <c r="R1534" i="11"/>
  <c r="R1553" i="11"/>
  <c r="R1569" i="11"/>
  <c r="R1585" i="11"/>
  <c r="R1601" i="11"/>
  <c r="R1259" i="11"/>
  <c r="R1279" i="11"/>
  <c r="R1295" i="11"/>
  <c r="R1318" i="11"/>
  <c r="R1334" i="11"/>
  <c r="R1350" i="11"/>
  <c r="R1366" i="11"/>
  <c r="R1388" i="11"/>
  <c r="R1404" i="11"/>
  <c r="R1420" i="11"/>
  <c r="R1437" i="11"/>
  <c r="R1453" i="11"/>
  <c r="R1469" i="11"/>
  <c r="R1486" i="11"/>
  <c r="R1502" i="11"/>
  <c r="R1519" i="11"/>
  <c r="R1535" i="11"/>
  <c r="R1554" i="11"/>
  <c r="R1570" i="11"/>
  <c r="R1586" i="11"/>
  <c r="R1252" i="11"/>
  <c r="R1268" i="11"/>
  <c r="R1284" i="11"/>
  <c r="R1300" i="11"/>
  <c r="R1323" i="11"/>
  <c r="R1339" i="11"/>
  <c r="R1355" i="11"/>
  <c r="R1371" i="11"/>
  <c r="R1393" i="11"/>
  <c r="R1409" i="11"/>
  <c r="R1426" i="11"/>
  <c r="R1442" i="11"/>
  <c r="R1458" i="11"/>
  <c r="R1475" i="11"/>
  <c r="R1491" i="11"/>
  <c r="R1507" i="11"/>
  <c r="R1524" i="11"/>
  <c r="R1540" i="11"/>
  <c r="R1559" i="11"/>
  <c r="R1575" i="11"/>
  <c r="R1591" i="11"/>
  <c r="R1253" i="11"/>
  <c r="R1324" i="11"/>
  <c r="R1394" i="11"/>
  <c r="R1459" i="11"/>
  <c r="R1525" i="11"/>
  <c r="R1305" i="11"/>
  <c r="R1376" i="11"/>
  <c r="R1447" i="11"/>
  <c r="R1512" i="11"/>
  <c r="R1580" i="11"/>
  <c r="R1614" i="11"/>
  <c r="R1630" i="11"/>
  <c r="R1647" i="11"/>
  <c r="R1663" i="11"/>
  <c r="R1679" i="11"/>
  <c r="R1695" i="11"/>
  <c r="R1380" i="11"/>
  <c r="AY63" i="4" s="1"/>
  <c r="AY64" i="4" s="1"/>
  <c r="R1250" i="11"/>
  <c r="R1266" i="11"/>
  <c r="R1282" i="11"/>
  <c r="R1298" i="11"/>
  <c r="R1321" i="11"/>
  <c r="R1337" i="11"/>
  <c r="R1353" i="11"/>
  <c r="R1369" i="11"/>
  <c r="R1391" i="11"/>
  <c r="R1407" i="11"/>
  <c r="R1423" i="11"/>
  <c r="R1440" i="11"/>
  <c r="R1456" i="11"/>
  <c r="R1473" i="11"/>
  <c r="R1489" i="11"/>
  <c r="R1505" i="11"/>
  <c r="R1522" i="11"/>
  <c r="R1538" i="11"/>
  <c r="R1557" i="11"/>
  <c r="R1573" i="11"/>
  <c r="R1589" i="11"/>
  <c r="R1605" i="11"/>
  <c r="R1263" i="11"/>
  <c r="R1283" i="11"/>
  <c r="R1299" i="11"/>
  <c r="R1322" i="11"/>
  <c r="R1338" i="11"/>
  <c r="R1354" i="11"/>
  <c r="R1370" i="11"/>
  <c r="R1392" i="11"/>
  <c r="R1408" i="11"/>
  <c r="R1425" i="11"/>
  <c r="R1441" i="11"/>
  <c r="R1457" i="11"/>
  <c r="R1474" i="11"/>
  <c r="R1490" i="11"/>
  <c r="R1506" i="11"/>
  <c r="R1523" i="11"/>
  <c r="R1539" i="11"/>
  <c r="R1558" i="11"/>
  <c r="R1574" i="11"/>
  <c r="R1590" i="11"/>
  <c r="R1256" i="11"/>
  <c r="R1272" i="11"/>
  <c r="R1288" i="11"/>
  <c r="R1304" i="11"/>
  <c r="R1327" i="11"/>
  <c r="R1343" i="11"/>
  <c r="R1359" i="11"/>
  <c r="R1375" i="11"/>
  <c r="R1397" i="11"/>
  <c r="R1413" i="11"/>
  <c r="R1430" i="11"/>
  <c r="R1446" i="11"/>
  <c r="R1462" i="11"/>
  <c r="R1479" i="11"/>
  <c r="R1495" i="11"/>
  <c r="R1511" i="11"/>
  <c r="R1528" i="11"/>
  <c r="R1546" i="11"/>
  <c r="R1563" i="11"/>
  <c r="R1579" i="11"/>
  <c r="R1595" i="11"/>
  <c r="R1269" i="11"/>
  <c r="R1340" i="11"/>
  <c r="R1410" i="11"/>
  <c r="R1476" i="11"/>
  <c r="R1257" i="11"/>
  <c r="R1328" i="11"/>
  <c r="R1398" i="11"/>
  <c r="R1463" i="11"/>
  <c r="R1529" i="11"/>
  <c r="R1596" i="11"/>
  <c r="R1618" i="11"/>
  <c r="R1634" i="11"/>
  <c r="R1651" i="11"/>
  <c r="R1667" i="11"/>
  <c r="R1683" i="11"/>
  <c r="R1699" i="11"/>
  <c r="R1715" i="11"/>
  <c r="R1732" i="11"/>
  <c r="R1382" i="11"/>
  <c r="R1254" i="11"/>
  <c r="R1270" i="11"/>
  <c r="R1286" i="11"/>
  <c r="R1302" i="11"/>
  <c r="R1325" i="11"/>
  <c r="R1341" i="11"/>
  <c r="R1357" i="11"/>
  <c r="R1373" i="11"/>
  <c r="R1395" i="11"/>
  <c r="R1411" i="11"/>
  <c r="R1428" i="11"/>
  <c r="R1444" i="11"/>
  <c r="R1460" i="11"/>
  <c r="R1477" i="11"/>
  <c r="R1493" i="11"/>
  <c r="R1509" i="11"/>
  <c r="R1526" i="11"/>
  <c r="R1543" i="11"/>
  <c r="R1561" i="11"/>
  <c r="R1577" i="11"/>
  <c r="R1593" i="11"/>
  <c r="R1251" i="11"/>
  <c r="R1271" i="11"/>
  <c r="R1287" i="11"/>
  <c r="R1303" i="11"/>
  <c r="R1326" i="11"/>
  <c r="R1342" i="11"/>
  <c r="R1358" i="11"/>
  <c r="R1374" i="11"/>
  <c r="R1396" i="11"/>
  <c r="R1412" i="11"/>
  <c r="R1429" i="11"/>
  <c r="R1445" i="11"/>
  <c r="R1461" i="11"/>
  <c r="R1478" i="11"/>
  <c r="R1494" i="11"/>
  <c r="R1510" i="11"/>
  <c r="R1527" i="11"/>
  <c r="R1544" i="11"/>
  <c r="R1562" i="11"/>
  <c r="R1578" i="11"/>
  <c r="R1594" i="11"/>
  <c r="R1260" i="11"/>
  <c r="R1276" i="11"/>
  <c r="R1292" i="11"/>
  <c r="R1315" i="11"/>
  <c r="R1331" i="11"/>
  <c r="R1347" i="11"/>
  <c r="R1363" i="11"/>
  <c r="R1385" i="11"/>
  <c r="R1401" i="11"/>
  <c r="R1417" i="11"/>
  <c r="R1434" i="11"/>
  <c r="R1450" i="11"/>
  <c r="R1466" i="11"/>
  <c r="R1483" i="11"/>
  <c r="R1499" i="11"/>
  <c r="R1516" i="11"/>
  <c r="R1532" i="11"/>
  <c r="R1551" i="11"/>
  <c r="R1567" i="11"/>
  <c r="R1583" i="11"/>
  <c r="R1599" i="11"/>
  <c r="R1285" i="11"/>
  <c r="R1356" i="11"/>
  <c r="R1427" i="11"/>
  <c r="R1492" i="11"/>
  <c r="R1273" i="11"/>
  <c r="R1344" i="11"/>
  <c r="R1414" i="11"/>
  <c r="R1480" i="11"/>
  <c r="R1547" i="11"/>
  <c r="R1606" i="11"/>
  <c r="R1622" i="11"/>
  <c r="R1638" i="11"/>
  <c r="R1655" i="11"/>
  <c r="R1671" i="11"/>
  <c r="R1687" i="11"/>
  <c r="R1703" i="11"/>
  <c r="R1719" i="11"/>
  <c r="R1737" i="11"/>
  <c r="R1696" i="11"/>
  <c r="R1711" i="11"/>
  <c r="R1716" i="11"/>
  <c r="R1747" i="11"/>
  <c r="R1352" i="11"/>
  <c r="R1455" i="11"/>
  <c r="R1556" i="11"/>
  <c r="R1624" i="11"/>
  <c r="R1649" i="11"/>
  <c r="R1316" i="11"/>
  <c r="R1386" i="11"/>
  <c r="R1451" i="11"/>
  <c r="R1517" i="11"/>
  <c r="R1584" i="11"/>
  <c r="R1615" i="11"/>
  <c r="R1631" i="11"/>
  <c r="R1648" i="11"/>
  <c r="R1668" i="11"/>
  <c r="R1684" i="11"/>
  <c r="R1708" i="11"/>
  <c r="R1751" i="11"/>
  <c r="R1439" i="11"/>
  <c r="R1602" i="11"/>
  <c r="R1645" i="11"/>
  <c r="R1637" i="11"/>
  <c r="R1677" i="11"/>
  <c r="R1709" i="11"/>
  <c r="R1744" i="11"/>
  <c r="R1745" i="11"/>
  <c r="R1657" i="11"/>
  <c r="R1713" i="11"/>
  <c r="R1633" i="11"/>
  <c r="R1690" i="11"/>
  <c r="R1749" i="11"/>
  <c r="R1642" i="11"/>
  <c r="R1678" i="11"/>
  <c r="R1736" i="11"/>
  <c r="R1705" i="11"/>
  <c r="R1650" i="11"/>
  <c r="R1740" i="11"/>
  <c r="R1753" i="11"/>
  <c r="R1756" i="11"/>
  <c r="R1702" i="11"/>
  <c r="R1722" i="11"/>
  <c r="R1560" i="11"/>
  <c r="R1686" i="11"/>
  <c r="R1682" i="11"/>
  <c r="R1759" i="11"/>
  <c r="R1728" i="11"/>
  <c r="R1720" i="11"/>
  <c r="R1265" i="11"/>
  <c r="R1390" i="11"/>
  <c r="R1472" i="11"/>
  <c r="R1588" i="11"/>
  <c r="R1628" i="11"/>
  <c r="R1261" i="11"/>
  <c r="R1332" i="11"/>
  <c r="R1402" i="11"/>
  <c r="R1467" i="11"/>
  <c r="R1533" i="11"/>
  <c r="R1600" i="11"/>
  <c r="R1619" i="11"/>
  <c r="R1635" i="11"/>
  <c r="R1652" i="11"/>
  <c r="R1672" i="11"/>
  <c r="R1688" i="11"/>
  <c r="R1712" i="11"/>
  <c r="R1281" i="11"/>
  <c r="R1488" i="11"/>
  <c r="R1608" i="11"/>
  <c r="R1542" i="11"/>
  <c r="R1653" i="11"/>
  <c r="R1685" i="11"/>
  <c r="R1717" i="11"/>
  <c r="R1746" i="11"/>
  <c r="R1729" i="11"/>
  <c r="R1297" i="11"/>
  <c r="R1406" i="11"/>
  <c r="R1504" i="11"/>
  <c r="R1612" i="11"/>
  <c r="R1636" i="11"/>
  <c r="R1277" i="11"/>
  <c r="R1348" i="11"/>
  <c r="R1418" i="11"/>
  <c r="R1484" i="11"/>
  <c r="R1552" i="11"/>
  <c r="R1607" i="11"/>
  <c r="R1623" i="11"/>
  <c r="R1639" i="11"/>
  <c r="R1656" i="11"/>
  <c r="R1676" i="11"/>
  <c r="R1692" i="11"/>
  <c r="R1725" i="11"/>
  <c r="R1336" i="11"/>
  <c r="R1521" i="11"/>
  <c r="R1620" i="11"/>
  <c r="R1604" i="11"/>
  <c r="R1661" i="11"/>
  <c r="R1693" i="11"/>
  <c r="R1726" i="11"/>
  <c r="R1710" i="11"/>
  <c r="R1613" i="11"/>
  <c r="R1689" i="11"/>
  <c r="R1739" i="11"/>
  <c r="R1666" i="11"/>
  <c r="R1714" i="11"/>
  <c r="R1609" i="11"/>
  <c r="R1662" i="11"/>
  <c r="R1694" i="11"/>
  <c r="R1665" i="11"/>
  <c r="R1748" i="11"/>
  <c r="R1706" i="11"/>
  <c r="R1755" i="11"/>
  <c r="R1754" i="11"/>
  <c r="R1762" i="11"/>
  <c r="R1723" i="11"/>
  <c r="R1760" i="11"/>
  <c r="R1673" i="11"/>
  <c r="R1698" i="11"/>
  <c r="R1629" i="11"/>
  <c r="R1761" i="11"/>
  <c r="R1750" i="11"/>
  <c r="R1742" i="11"/>
  <c r="R1320" i="11"/>
  <c r="R1422" i="11"/>
  <c r="R1537" i="11"/>
  <c r="R1616" i="11"/>
  <c r="R1640" i="11"/>
  <c r="R1293" i="11"/>
  <c r="R1364" i="11"/>
  <c r="R1435" i="11"/>
  <c r="R1500" i="11"/>
  <c r="R1568" i="11"/>
  <c r="R1611" i="11"/>
  <c r="R1627" i="11"/>
  <c r="R1644" i="11"/>
  <c r="R1660" i="11"/>
  <c r="R1680" i="11"/>
  <c r="R1700" i="11"/>
  <c r="R1734" i="11"/>
  <c r="R1368" i="11"/>
  <c r="R1572" i="11"/>
  <c r="R1632" i="11"/>
  <c r="R1621" i="11"/>
  <c r="R1669" i="11"/>
  <c r="R1701" i="11"/>
  <c r="R1735" i="11"/>
  <c r="R1718" i="11"/>
  <c r="R1646" i="11"/>
  <c r="R1697" i="11"/>
  <c r="R1592" i="11"/>
  <c r="R1674" i="11"/>
  <c r="R1731" i="11"/>
  <c r="R1625" i="11"/>
  <c r="R1670" i="11"/>
  <c r="R1727" i="11"/>
  <c r="R1681" i="11"/>
  <c r="R1617" i="11"/>
  <c r="R1758" i="11"/>
  <c r="R1576" i="11"/>
  <c r="R1658" i="11"/>
  <c r="R1654" i="11"/>
  <c r="R1730" i="11"/>
  <c r="R1757" i="11"/>
  <c r="O2074" i="11" l="1"/>
  <c r="AM2100" i="11"/>
  <c r="AM2090" i="11"/>
  <c r="AM2096" i="11"/>
  <c r="AM2078" i="11"/>
  <c r="AM2081" i="11"/>
  <c r="AM2086" i="11"/>
  <c r="AM2083" i="11"/>
  <c r="AM2091" i="11"/>
  <c r="AM2079" i="11"/>
  <c r="AM2082" i="11"/>
  <c r="AM2084" i="11"/>
  <c r="AM2095" i="11"/>
  <c r="AM2080" i="11"/>
  <c r="AM2102" i="11"/>
  <c r="AM2085" i="11"/>
  <c r="AM2104" i="11"/>
  <c r="AM2098" i="11"/>
  <c r="AM2076" i="11"/>
  <c r="AM2087" i="11"/>
  <c r="AM2089" i="11"/>
  <c r="AM2092" i="11"/>
  <c r="AM2097" i="11"/>
  <c r="AT65" i="2"/>
  <c r="AM2101" i="11"/>
  <c r="AM2088" i="11"/>
  <c r="AM2094" i="11"/>
  <c r="AM2077" i="11"/>
  <c r="AM2099" i="11"/>
  <c r="AM2093" i="11"/>
  <c r="AJ2074" i="11"/>
  <c r="AJ2098" i="11" s="1"/>
  <c r="AG2074" i="11"/>
  <c r="AG2094" i="11" s="1"/>
  <c r="X2074" i="11"/>
  <c r="X2079" i="11" s="1"/>
  <c r="R2074" i="11"/>
  <c r="R2085" i="11" s="1"/>
  <c r="AA2074" i="11"/>
  <c r="AA2086" i="11" s="1"/>
  <c r="U2074" i="11"/>
  <c r="U2093" i="11" s="1"/>
  <c r="AD2074" i="11"/>
  <c r="AD2079" i="11" s="1"/>
  <c r="L2074" i="11"/>
  <c r="M2101" i="11" s="1"/>
  <c r="N2101" i="11" s="1"/>
  <c r="AJ2077" i="11"/>
  <c r="O2099" i="11"/>
  <c r="O2083" i="11"/>
  <c r="O2094" i="11"/>
  <c r="O2078" i="11"/>
  <c r="O2093" i="11"/>
  <c r="O2104" i="11"/>
  <c r="O2096" i="11"/>
  <c r="O2095" i="11"/>
  <c r="O2079" i="11"/>
  <c r="O2090" i="11"/>
  <c r="O2089" i="11"/>
  <c r="O2085" i="11"/>
  <c r="O2088" i="11"/>
  <c r="O2080" i="11"/>
  <c r="O2091" i="11"/>
  <c r="O2102" i="11"/>
  <c r="O2086" i="11"/>
  <c r="O2101" i="11"/>
  <c r="O2081" i="11"/>
  <c r="O2100" i="11"/>
  <c r="O2092" i="11"/>
  <c r="O2103" i="11"/>
  <c r="O2087" i="11"/>
  <c r="O2098" i="11"/>
  <c r="O2082" i="11"/>
  <c r="O2097" i="11"/>
  <c r="O2077" i="11"/>
  <c r="O2084" i="11"/>
  <c r="O2076" i="11"/>
  <c r="AT57" i="2"/>
  <c r="S1680" i="11" a="1"/>
  <c r="S1680" i="11" s="1"/>
  <c r="L639" i="11"/>
  <c r="J639" i="11"/>
  <c r="I639" i="11"/>
  <c r="T60" i="11"/>
  <c r="U1657" i="11"/>
  <c r="R1664" i="11" s="1"/>
  <c r="AZ63" i="4"/>
  <c r="AZ64" i="4" s="1"/>
  <c r="AV63" i="4"/>
  <c r="AV64" i="4" s="1"/>
  <c r="AN2094" i="11"/>
  <c r="AO2094" i="11" s="1"/>
  <c r="AN2078" i="11"/>
  <c r="AO2078" i="11" s="1"/>
  <c r="AN2089" i="11"/>
  <c r="AO2089" i="11" s="1"/>
  <c r="AN2099" i="11"/>
  <c r="AO2099" i="11" s="1"/>
  <c r="AN2092" i="11"/>
  <c r="AO2092" i="11" s="1"/>
  <c r="AN2076" i="11"/>
  <c r="AO2076" i="11" s="1"/>
  <c r="AN2079" i="11"/>
  <c r="AO2079" i="11" s="1"/>
  <c r="AN2082" i="11"/>
  <c r="AO2082" i="11" s="1"/>
  <c r="AN2096" i="11"/>
  <c r="AO2096" i="11" s="1"/>
  <c r="AN2090" i="11"/>
  <c r="AO2090" i="11" s="1"/>
  <c r="AN2101" i="11"/>
  <c r="AO2101" i="11" s="1"/>
  <c r="AN2085" i="11"/>
  <c r="AO2085" i="11" s="1"/>
  <c r="AN2104" i="11"/>
  <c r="AO2104" i="11" s="1"/>
  <c r="AN2088" i="11"/>
  <c r="AO2088" i="11" s="1"/>
  <c r="AN2103" i="11"/>
  <c r="AO2103" i="11" s="1"/>
  <c r="AN2087" i="11"/>
  <c r="AO2087" i="11" s="1"/>
  <c r="AN2093" i="11"/>
  <c r="AO2093" i="11" s="1"/>
  <c r="AN2080" i="11"/>
  <c r="AO2080" i="11" s="1"/>
  <c r="AN2102" i="11"/>
  <c r="AO2102" i="11" s="1"/>
  <c r="AN2086" i="11"/>
  <c r="AO2086" i="11" s="1"/>
  <c r="AN2097" i="11"/>
  <c r="AO2097" i="11" s="1"/>
  <c r="AN2081" i="11"/>
  <c r="AO2081" i="11" s="1"/>
  <c r="AN2100" i="11"/>
  <c r="AO2100" i="11" s="1"/>
  <c r="AN2084" i="11"/>
  <c r="AO2084" i="11" s="1"/>
  <c r="AN2095" i="11"/>
  <c r="AO2095" i="11" s="1"/>
  <c r="AN2083" i="11"/>
  <c r="AO2083" i="11" s="1"/>
  <c r="AN2098" i="11"/>
  <c r="AO2098" i="11" s="1"/>
  <c r="AN2077" i="11"/>
  <c r="AO2077" i="11" s="1"/>
  <c r="AN2091" i="11"/>
  <c r="AO2091" i="11" s="1"/>
  <c r="P2098" i="11"/>
  <c r="Q2098" i="11" s="1"/>
  <c r="P2082" i="11"/>
  <c r="Q2082" i="11" s="1"/>
  <c r="P2093" i="11"/>
  <c r="Q2093" i="11" s="1"/>
  <c r="P2077" i="11"/>
  <c r="P2092" i="11"/>
  <c r="Q2092" i="11" s="1"/>
  <c r="P2076" i="11"/>
  <c r="P2095" i="11"/>
  <c r="Q2095" i="11" s="1"/>
  <c r="P2097" i="11"/>
  <c r="Q2097" i="11" s="1"/>
  <c r="P2080" i="11"/>
  <c r="Q2080" i="11" s="1"/>
  <c r="AE2101" i="11"/>
  <c r="AF2101" i="11" s="1"/>
  <c r="P2094" i="11"/>
  <c r="Q2094" i="11" s="1"/>
  <c r="P2078" i="11"/>
  <c r="Q2078" i="11" s="1"/>
  <c r="P2089" i="11"/>
  <c r="Q2089" i="11" s="1"/>
  <c r="P2104" i="11"/>
  <c r="Q2104" i="11" s="1"/>
  <c r="P2088" i="11"/>
  <c r="Q2088" i="11" s="1"/>
  <c r="P2099" i="11"/>
  <c r="Q2099" i="11" s="1"/>
  <c r="P2079" i="11"/>
  <c r="Q2079" i="11" s="1"/>
  <c r="AE2093" i="11"/>
  <c r="AF2093" i="11" s="1"/>
  <c r="P2102" i="11"/>
  <c r="Q2102" i="11" s="1"/>
  <c r="P2081" i="11"/>
  <c r="Q2081" i="11" s="1"/>
  <c r="P2087" i="11"/>
  <c r="Q2087" i="11" s="1"/>
  <c r="P2090" i="11"/>
  <c r="Q2090" i="11" s="1"/>
  <c r="P2101" i="11"/>
  <c r="Q2101" i="11" s="1"/>
  <c r="P2085" i="11"/>
  <c r="Q2085" i="11" s="1"/>
  <c r="P2100" i="11"/>
  <c r="Q2100" i="11" s="1"/>
  <c r="P2084" i="11"/>
  <c r="Q2084" i="11" s="1"/>
  <c r="P2083" i="11"/>
  <c r="Q2083" i="11" s="1"/>
  <c r="P2091" i="11"/>
  <c r="Q2091" i="11" s="1"/>
  <c r="AE2104" i="11"/>
  <c r="AF2104" i="11" s="1"/>
  <c r="P2086" i="11"/>
  <c r="Q2086" i="11" s="1"/>
  <c r="P2096" i="11"/>
  <c r="Q2096" i="11" s="1"/>
  <c r="P2103" i="11"/>
  <c r="Q2103" i="11" s="1"/>
  <c r="AE2085" i="11"/>
  <c r="AF2085" i="11" s="1"/>
  <c r="AM823" i="11" a="1"/>
  <c r="AS823" i="11"/>
  <c r="AO831" i="11"/>
  <c r="AM831" i="11" a="1"/>
  <c r="AQ831" i="11"/>
  <c r="AO823" i="11"/>
  <c r="AP823" i="11" a="1"/>
  <c r="AR823" i="11"/>
  <c r="AQ823" i="11"/>
  <c r="AS831" i="11"/>
  <c r="AR831" i="11"/>
  <c r="AL831" i="11"/>
  <c r="AP831" i="11" a="1"/>
  <c r="AL823" i="11"/>
  <c r="AJ2088" i="11" l="1"/>
  <c r="AJ2078" i="11"/>
  <c r="AK2093" i="11"/>
  <c r="AL2093" i="11" s="1"/>
  <c r="AT61" i="2"/>
  <c r="AK2103" i="11"/>
  <c r="AL2103" i="11" s="1"/>
  <c r="M2087" i="11"/>
  <c r="N2087" i="11" s="1"/>
  <c r="AK2088" i="11"/>
  <c r="AL2088" i="11" s="1"/>
  <c r="AJ2080" i="11"/>
  <c r="AJ2103" i="11"/>
  <c r="AK2097" i="11"/>
  <c r="AL2097" i="11" s="1"/>
  <c r="AK2079" i="11"/>
  <c r="AL2079" i="11" s="1"/>
  <c r="AB2090" i="11"/>
  <c r="AC2090" i="11" s="1"/>
  <c r="AJ2091" i="11"/>
  <c r="M2104" i="11"/>
  <c r="N2104" i="11" s="1"/>
  <c r="AG2083" i="11"/>
  <c r="AB2095" i="11"/>
  <c r="AC2095" i="11" s="1"/>
  <c r="Y2095" i="11"/>
  <c r="Z2095" i="11" s="1"/>
  <c r="Y2096" i="11"/>
  <c r="Z2096" i="11" s="1"/>
  <c r="AT60" i="2"/>
  <c r="AA2092" i="11"/>
  <c r="AA2093" i="11"/>
  <c r="AK2104" i="11"/>
  <c r="AL2104" i="11" s="1"/>
  <c r="AK2084" i="11"/>
  <c r="AL2084" i="11" s="1"/>
  <c r="AK2092" i="11"/>
  <c r="AL2092" i="11" s="1"/>
  <c r="AK2086" i="11"/>
  <c r="AL2086" i="11" s="1"/>
  <c r="AK2089" i="11"/>
  <c r="AL2089" i="11" s="1"/>
  <c r="AK2085" i="11"/>
  <c r="AL2085" i="11" s="1"/>
  <c r="AK2095" i="11"/>
  <c r="AL2095" i="11" s="1"/>
  <c r="AJ2081" i="11"/>
  <c r="AJ2090" i="11"/>
  <c r="AJ2086" i="11"/>
  <c r="AJ2095" i="11"/>
  <c r="AJ2094" i="11"/>
  <c r="AK2076" i="11"/>
  <c r="AL2076" i="11" s="1"/>
  <c r="AK2082" i="11"/>
  <c r="AL2082" i="11" s="1"/>
  <c r="AK2100" i="11"/>
  <c r="AL2100" i="11" s="1"/>
  <c r="AK2098" i="11"/>
  <c r="AL2098" i="11" s="1"/>
  <c r="AK2078" i="11"/>
  <c r="AL2078" i="11" s="1"/>
  <c r="AK2096" i="11"/>
  <c r="AL2096" i="11" s="1"/>
  <c r="AK2102" i="11"/>
  <c r="AL2102" i="11" s="1"/>
  <c r="AK2083" i="11"/>
  <c r="AL2083" i="11" s="1"/>
  <c r="AE2080" i="11"/>
  <c r="AF2080" i="11" s="1"/>
  <c r="AK2101" i="11"/>
  <c r="AL2101" i="11" s="1"/>
  <c r="AJ2102" i="11"/>
  <c r="AJ2089" i="11"/>
  <c r="AJ2084" i="11"/>
  <c r="AJ2082" i="11"/>
  <c r="AK2094" i="11"/>
  <c r="AL2094" i="11" s="1"/>
  <c r="AE2082" i="11"/>
  <c r="AF2082" i="11" s="1"/>
  <c r="AK2077" i="11"/>
  <c r="AL2077" i="11" s="1"/>
  <c r="AK2087" i="11"/>
  <c r="AL2087" i="11" s="1"/>
  <c r="AK2099" i="11"/>
  <c r="AL2099" i="11" s="1"/>
  <c r="AE2091" i="11"/>
  <c r="AF2091" i="11" s="1"/>
  <c r="AK2081" i="11"/>
  <c r="AL2081" i="11" s="1"/>
  <c r="AK2091" i="11"/>
  <c r="AL2091" i="11" s="1"/>
  <c r="AK2080" i="11"/>
  <c r="AL2080" i="11" s="1"/>
  <c r="AK2090" i="11"/>
  <c r="AL2090" i="11" s="1"/>
  <c r="AJ2087" i="11"/>
  <c r="AJ2100" i="11"/>
  <c r="AJ2079" i="11"/>
  <c r="R2090" i="11"/>
  <c r="M2084" i="11"/>
  <c r="N2084" i="11" s="1"/>
  <c r="M2076" i="11"/>
  <c r="N2076" i="11" s="1"/>
  <c r="M2080" i="11"/>
  <c r="N2080" i="11" s="1"/>
  <c r="M2090" i="11"/>
  <c r="N2090" i="11" s="1"/>
  <c r="M2078" i="11"/>
  <c r="N2078" i="11" s="1"/>
  <c r="M2096" i="11"/>
  <c r="N2096" i="11" s="1"/>
  <c r="M2097" i="11"/>
  <c r="N2097" i="11" s="1"/>
  <c r="M2094" i="11"/>
  <c r="N2094" i="11" s="1"/>
  <c r="M2079" i="11"/>
  <c r="N2079" i="11" s="1"/>
  <c r="AH2096" i="11"/>
  <c r="AI2096" i="11" s="1"/>
  <c r="AH2089" i="11"/>
  <c r="AI2089" i="11" s="1"/>
  <c r="M2099" i="11"/>
  <c r="N2099" i="11" s="1"/>
  <c r="M2098" i="11"/>
  <c r="N2098" i="11" s="1"/>
  <c r="M2089" i="11"/>
  <c r="N2089" i="11" s="1"/>
  <c r="M2086" i="11"/>
  <c r="N2086" i="11" s="1"/>
  <c r="M2100" i="11"/>
  <c r="N2100" i="11" s="1"/>
  <c r="AH2092" i="11"/>
  <c r="AI2092" i="11" s="1"/>
  <c r="Y2089" i="11"/>
  <c r="Z2089" i="11" s="1"/>
  <c r="Y2077" i="11"/>
  <c r="Z2077" i="11" s="1"/>
  <c r="Y2081" i="11"/>
  <c r="Z2081" i="11" s="1"/>
  <c r="X2083" i="11"/>
  <c r="X2102" i="11"/>
  <c r="AA2076" i="11"/>
  <c r="AB2089" i="11"/>
  <c r="AC2089" i="11" s="1"/>
  <c r="Y2078" i="11"/>
  <c r="Z2078" i="11" s="1"/>
  <c r="Y2098" i="11"/>
  <c r="Z2098" i="11" s="1"/>
  <c r="AB2096" i="11"/>
  <c r="AC2096" i="11" s="1"/>
  <c r="Y2097" i="11"/>
  <c r="Z2097" i="11" s="1"/>
  <c r="X2101" i="11"/>
  <c r="X2077" i="11"/>
  <c r="Y2101" i="11"/>
  <c r="Z2101" i="11" s="1"/>
  <c r="Y2099" i="11"/>
  <c r="Z2099" i="11" s="1"/>
  <c r="AB2077" i="11"/>
  <c r="AC2077" i="11" s="1"/>
  <c r="Y2087" i="11"/>
  <c r="Z2087" i="11" s="1"/>
  <c r="AB2102" i="11"/>
  <c r="AC2102" i="11" s="1"/>
  <c r="Y2076" i="11"/>
  <c r="Z2076" i="11" s="1"/>
  <c r="Y2091" i="11"/>
  <c r="Z2091" i="11" s="1"/>
  <c r="AB2084" i="11"/>
  <c r="AC2084" i="11" s="1"/>
  <c r="X2087" i="11"/>
  <c r="X2095" i="11"/>
  <c r="AA2102" i="11"/>
  <c r="AD2078" i="11"/>
  <c r="S2097" i="11"/>
  <c r="T2097" i="11" s="1"/>
  <c r="S2084" i="11"/>
  <c r="T2084" i="11" s="1"/>
  <c r="AD2089" i="11"/>
  <c r="AE2087" i="11"/>
  <c r="AF2087" i="11" s="1"/>
  <c r="AE2096" i="11"/>
  <c r="AF2096" i="11" s="1"/>
  <c r="AE2103" i="11"/>
  <c r="AF2103" i="11" s="1"/>
  <c r="AE2100" i="11"/>
  <c r="AF2100" i="11" s="1"/>
  <c r="AE2094" i="11"/>
  <c r="AF2094" i="11" s="1"/>
  <c r="AE2092" i="11"/>
  <c r="AF2092" i="11" s="1"/>
  <c r="AE2090" i="11"/>
  <c r="AF2090" i="11" s="1"/>
  <c r="AE2079" i="11"/>
  <c r="AF2079" i="11" s="1"/>
  <c r="AE2081" i="11"/>
  <c r="AF2081" i="11" s="1"/>
  <c r="AJ2097" i="11"/>
  <c r="AJ2101" i="11"/>
  <c r="AJ2085" i="11"/>
  <c r="AJ2099" i="11"/>
  <c r="AJ2104" i="11"/>
  <c r="AT64" i="2"/>
  <c r="AD2083" i="11"/>
  <c r="AG2092" i="11"/>
  <c r="AE2089" i="11"/>
  <c r="AF2089" i="11" s="1"/>
  <c r="AE2083" i="11"/>
  <c r="AF2083" i="11" s="1"/>
  <c r="AE2076" i="11"/>
  <c r="AF2076" i="11" s="1"/>
  <c r="AE2102" i="11"/>
  <c r="AF2102" i="11" s="1"/>
  <c r="AE2086" i="11"/>
  <c r="AF2086" i="11" s="1"/>
  <c r="AE2099" i="11"/>
  <c r="AF2099" i="11" s="1"/>
  <c r="AE2078" i="11"/>
  <c r="AF2078" i="11" s="1"/>
  <c r="AE2088" i="11"/>
  <c r="AF2088" i="11" s="1"/>
  <c r="AE2098" i="11"/>
  <c r="AF2098" i="11" s="1"/>
  <c r="AE2077" i="11"/>
  <c r="AF2077" i="11" s="1"/>
  <c r="AE2084" i="11"/>
  <c r="AF2084" i="11" s="1"/>
  <c r="AE2095" i="11"/>
  <c r="AF2095" i="11" s="1"/>
  <c r="AE2097" i="11"/>
  <c r="AF2097" i="11" s="1"/>
  <c r="AH2086" i="11"/>
  <c r="AI2086" i="11" s="1"/>
  <c r="AH2090" i="11"/>
  <c r="AI2090" i="11" s="1"/>
  <c r="AH2083" i="11"/>
  <c r="AI2083" i="11" s="1"/>
  <c r="U2081" i="11"/>
  <c r="AJ2096" i="11"/>
  <c r="AJ2093" i="11"/>
  <c r="AJ2083" i="11"/>
  <c r="AJ2076" i="11"/>
  <c r="AJ2092" i="11"/>
  <c r="AD2094" i="11"/>
  <c r="AP831" i="11"/>
  <c r="AM831" i="11"/>
  <c r="AB2088" i="11"/>
  <c r="AC2088" i="11" s="1"/>
  <c r="AB2091" i="11"/>
  <c r="AC2091" i="11" s="1"/>
  <c r="AB2093" i="11"/>
  <c r="AC2093" i="11" s="1"/>
  <c r="AB2103" i="11"/>
  <c r="AC2103" i="11" s="1"/>
  <c r="AB2083" i="11"/>
  <c r="AC2083" i="11" s="1"/>
  <c r="AB2081" i="11"/>
  <c r="AC2081" i="11" s="1"/>
  <c r="AB2100" i="11"/>
  <c r="AC2100" i="11" s="1"/>
  <c r="AH2082" i="11"/>
  <c r="AI2082" i="11" s="1"/>
  <c r="AH2102" i="11"/>
  <c r="AI2102" i="11" s="1"/>
  <c r="AH2077" i="11"/>
  <c r="AI2077" i="11" s="1"/>
  <c r="AH2079" i="11"/>
  <c r="AI2079" i="11" s="1"/>
  <c r="AH2087" i="11"/>
  <c r="AI2087" i="11" s="1"/>
  <c r="AH2097" i="11"/>
  <c r="AI2097" i="11" s="1"/>
  <c r="AH2099" i="11"/>
  <c r="AI2099" i="11" s="1"/>
  <c r="AA2099" i="11"/>
  <c r="AA2098" i="11"/>
  <c r="AA2088" i="11"/>
  <c r="AA2087" i="11"/>
  <c r="AD2103" i="11"/>
  <c r="AG2093" i="11"/>
  <c r="AG2098" i="11"/>
  <c r="AB2087" i="11"/>
  <c r="AC2087" i="11" s="1"/>
  <c r="AB2097" i="11"/>
  <c r="AC2097" i="11" s="1"/>
  <c r="AB2099" i="11"/>
  <c r="AC2099" i="11" s="1"/>
  <c r="AB2085" i="11"/>
  <c r="AC2085" i="11" s="1"/>
  <c r="AH2103" i="11"/>
  <c r="AI2103" i="11" s="1"/>
  <c r="AH2093" i="11"/>
  <c r="AI2093" i="11" s="1"/>
  <c r="AH2091" i="11"/>
  <c r="AI2091" i="11" s="1"/>
  <c r="AH2098" i="11"/>
  <c r="AI2098" i="11" s="1"/>
  <c r="AH2081" i="11"/>
  <c r="AI2081" i="11" s="1"/>
  <c r="AH2095" i="11"/>
  <c r="AI2095" i="11" s="1"/>
  <c r="AH2104" i="11"/>
  <c r="AI2104" i="11" s="1"/>
  <c r="AH2078" i="11"/>
  <c r="AI2078" i="11" s="1"/>
  <c r="AH2084" i="11"/>
  <c r="AI2084" i="11" s="1"/>
  <c r="AA2097" i="11"/>
  <c r="AA2089" i="11"/>
  <c r="AA2080" i="11"/>
  <c r="AA2078" i="11"/>
  <c r="AA2101" i="11"/>
  <c r="AG2084" i="11"/>
  <c r="AG2091" i="11"/>
  <c r="AB2076" i="11"/>
  <c r="AC2076" i="11" s="1"/>
  <c r="AB2082" i="11"/>
  <c r="AC2082" i="11" s="1"/>
  <c r="AB2104" i="11"/>
  <c r="AC2104" i="11" s="1"/>
  <c r="AB2094" i="11"/>
  <c r="AC2094" i="11" s="1"/>
  <c r="AB2092" i="11"/>
  <c r="AC2092" i="11" s="1"/>
  <c r="AB2098" i="11"/>
  <c r="AC2098" i="11" s="1"/>
  <c r="AB2078" i="11"/>
  <c r="AC2078" i="11" s="1"/>
  <c r="AB2080" i="11"/>
  <c r="AC2080" i="11" s="1"/>
  <c r="AB2086" i="11"/>
  <c r="AC2086" i="11" s="1"/>
  <c r="AB2079" i="11"/>
  <c r="AC2079" i="11" s="1"/>
  <c r="AB2101" i="11"/>
  <c r="AC2101" i="11" s="1"/>
  <c r="AH2085" i="11"/>
  <c r="AI2085" i="11" s="1"/>
  <c r="AH2076" i="11"/>
  <c r="AI2076" i="11" s="1"/>
  <c r="AH2088" i="11"/>
  <c r="AI2088" i="11" s="1"/>
  <c r="AH2101" i="11"/>
  <c r="AI2101" i="11" s="1"/>
  <c r="AH2080" i="11"/>
  <c r="AI2080" i="11" s="1"/>
  <c r="AH2094" i="11"/>
  <c r="AI2094" i="11" s="1"/>
  <c r="AH2100" i="11"/>
  <c r="AI2100" i="11" s="1"/>
  <c r="AA2103" i="11"/>
  <c r="AA2090" i="11"/>
  <c r="AA2085" i="11"/>
  <c r="AA2077" i="11"/>
  <c r="AD2077" i="11"/>
  <c r="AD2095" i="11"/>
  <c r="AG2102" i="11"/>
  <c r="AG2103" i="11"/>
  <c r="S2102" i="11"/>
  <c r="T2102" i="11" s="1"/>
  <c r="S2100" i="11"/>
  <c r="T2100" i="11" s="1"/>
  <c r="R2082" i="11"/>
  <c r="AD2084" i="11"/>
  <c r="AD2092" i="11"/>
  <c r="AT63" i="2"/>
  <c r="AG2090" i="11"/>
  <c r="S2087" i="11"/>
  <c r="T2087" i="11" s="1"/>
  <c r="S2092" i="11"/>
  <c r="T2092" i="11" s="1"/>
  <c r="R2098" i="11"/>
  <c r="S2079" i="11"/>
  <c r="T2079" i="11" s="1"/>
  <c r="R2101" i="11"/>
  <c r="U2089" i="11"/>
  <c r="S2077" i="11"/>
  <c r="T2077" i="11" s="1"/>
  <c r="S2095" i="11"/>
  <c r="T2095" i="11" s="1"/>
  <c r="S2094" i="11"/>
  <c r="T2094" i="11" s="1"/>
  <c r="R2089" i="11"/>
  <c r="R2086" i="11"/>
  <c r="V2079" i="11"/>
  <c r="W2079" i="11" s="1"/>
  <c r="S2098" i="11"/>
  <c r="T2098" i="11" s="1"/>
  <c r="S2086" i="11"/>
  <c r="T2086" i="11" s="1"/>
  <c r="S2081" i="11"/>
  <c r="T2081" i="11" s="1"/>
  <c r="V2099" i="11"/>
  <c r="W2099" i="11" s="1"/>
  <c r="S2089" i="11"/>
  <c r="T2089" i="11" s="1"/>
  <c r="S2078" i="11"/>
  <c r="T2078" i="11" s="1"/>
  <c r="R2078" i="11"/>
  <c r="R2102" i="11"/>
  <c r="V2082" i="11"/>
  <c r="W2082" i="11" s="1"/>
  <c r="U2083" i="11"/>
  <c r="U2076" i="11"/>
  <c r="V2076" i="11"/>
  <c r="W2076" i="11" s="1"/>
  <c r="V2088" i="11"/>
  <c r="W2088" i="11" s="1"/>
  <c r="U2085" i="11"/>
  <c r="R2083" i="11"/>
  <c r="R2076" i="11"/>
  <c r="R2080" i="11"/>
  <c r="R2103" i="11"/>
  <c r="V2091" i="11"/>
  <c r="W2091" i="11" s="1"/>
  <c r="V2101" i="11"/>
  <c r="W2101" i="11" s="1"/>
  <c r="U2079" i="11"/>
  <c r="U2087" i="11"/>
  <c r="R2091" i="11"/>
  <c r="R2092" i="11"/>
  <c r="R2096" i="11"/>
  <c r="R2084" i="11"/>
  <c r="V2085" i="11"/>
  <c r="W2085" i="11" s="1"/>
  <c r="V2078" i="11"/>
  <c r="W2078" i="11" s="1"/>
  <c r="V2084" i="11"/>
  <c r="W2084" i="11" s="1"/>
  <c r="U2095" i="11"/>
  <c r="U2099" i="11"/>
  <c r="U2101" i="11"/>
  <c r="U2103" i="11"/>
  <c r="U2086" i="11"/>
  <c r="U2092" i="11"/>
  <c r="S2104" i="11"/>
  <c r="T2104" i="11" s="1"/>
  <c r="S2091" i="11"/>
  <c r="T2091" i="11" s="1"/>
  <c r="S2093" i="11"/>
  <c r="T2093" i="11" s="1"/>
  <c r="V2089" i="11"/>
  <c r="W2089" i="11" s="1"/>
  <c r="V2080" i="11"/>
  <c r="W2080" i="11" s="1"/>
  <c r="S2088" i="11"/>
  <c r="T2088" i="11" s="1"/>
  <c r="V2097" i="11"/>
  <c r="W2097" i="11" s="1"/>
  <c r="S2080" i="11"/>
  <c r="T2080" i="11" s="1"/>
  <c r="V2094" i="11"/>
  <c r="W2094" i="11" s="1"/>
  <c r="V2100" i="11"/>
  <c r="W2100" i="11" s="1"/>
  <c r="S2082" i="11"/>
  <c r="T2082" i="11" s="1"/>
  <c r="V2081" i="11"/>
  <c r="W2081" i="11" s="1"/>
  <c r="S2083" i="11"/>
  <c r="T2083" i="11" s="1"/>
  <c r="S2085" i="11"/>
  <c r="T2085" i="11" s="1"/>
  <c r="V2077" i="11"/>
  <c r="W2077" i="11" s="1"/>
  <c r="V2087" i="11"/>
  <c r="W2087" i="11" s="1"/>
  <c r="AT59" i="2"/>
  <c r="U2080" i="11"/>
  <c r="U2082" i="11"/>
  <c r="U2084" i="11"/>
  <c r="U2098" i="11"/>
  <c r="U2088" i="11"/>
  <c r="U2094" i="11"/>
  <c r="U2077" i="11"/>
  <c r="R2088" i="11"/>
  <c r="R2094" i="11"/>
  <c r="R2077" i="11"/>
  <c r="R2079" i="11"/>
  <c r="R2081" i="11"/>
  <c r="AT58" i="2"/>
  <c r="R2100" i="11"/>
  <c r="V2092" i="11"/>
  <c r="W2092" i="11" s="1"/>
  <c r="V2095" i="11"/>
  <c r="W2095" i="11" s="1"/>
  <c r="V2098" i="11"/>
  <c r="W2098" i="11" s="1"/>
  <c r="V2104" i="11"/>
  <c r="W2104" i="11" s="1"/>
  <c r="U2097" i="11"/>
  <c r="V2086" i="11"/>
  <c r="W2086" i="11" s="1"/>
  <c r="S2076" i="11"/>
  <c r="T2076" i="11" s="1"/>
  <c r="V2090" i="11"/>
  <c r="W2090" i="11" s="1"/>
  <c r="V2096" i="11"/>
  <c r="W2096" i="11" s="1"/>
  <c r="V2102" i="11"/>
  <c r="W2102" i="11" s="1"/>
  <c r="S2090" i="11"/>
  <c r="T2090" i="11" s="1"/>
  <c r="S2096" i="11"/>
  <c r="T2096" i="11" s="1"/>
  <c r="V2083" i="11"/>
  <c r="W2083" i="11" s="1"/>
  <c r="S2103" i="11"/>
  <c r="T2103" i="11" s="1"/>
  <c r="S2099" i="11"/>
  <c r="T2099" i="11" s="1"/>
  <c r="S2101" i="11"/>
  <c r="T2101" i="11" s="1"/>
  <c r="V2093" i="11"/>
  <c r="W2093" i="11" s="1"/>
  <c r="V2103" i="11"/>
  <c r="W2103" i="11" s="1"/>
  <c r="U2102" i="11"/>
  <c r="U2096" i="11"/>
  <c r="U2090" i="11"/>
  <c r="U2100" i="11"/>
  <c r="U2078" i="11"/>
  <c r="U2104" i="11"/>
  <c r="U2091" i="11"/>
  <c r="R2104" i="11"/>
  <c r="R2099" i="11"/>
  <c r="R2093" i="11"/>
  <c r="R2087" i="11"/>
  <c r="R2097" i="11"/>
  <c r="R2095" i="11"/>
  <c r="Y2088" i="11"/>
  <c r="Z2088" i="11" s="1"/>
  <c r="M2092" i="11"/>
  <c r="N2092" i="11" s="1"/>
  <c r="Y2104" i="11"/>
  <c r="Z2104" i="11" s="1"/>
  <c r="Y2094" i="11"/>
  <c r="Z2094" i="11" s="1"/>
  <c r="M2093" i="11"/>
  <c r="N2093" i="11" s="1"/>
  <c r="M2103" i="11"/>
  <c r="N2103" i="11" s="1"/>
  <c r="Y2085" i="11"/>
  <c r="Z2085" i="11" s="1"/>
  <c r="M2083" i="11"/>
  <c r="N2083" i="11" s="1"/>
  <c r="Y2093" i="11"/>
  <c r="Z2093" i="11" s="1"/>
  <c r="Y2103" i="11"/>
  <c r="Z2103" i="11" s="1"/>
  <c r="M2088" i="11"/>
  <c r="N2088" i="11" s="1"/>
  <c r="M2102" i="11"/>
  <c r="N2102" i="11" s="1"/>
  <c r="Y2090" i="11"/>
  <c r="Z2090" i="11" s="1"/>
  <c r="Y2100" i="11"/>
  <c r="Z2100" i="11" s="1"/>
  <c r="Y2086" i="11"/>
  <c r="Z2086" i="11" s="1"/>
  <c r="M2085" i="11"/>
  <c r="N2085" i="11" s="1"/>
  <c r="M2095" i="11"/>
  <c r="N2095" i="11" s="1"/>
  <c r="X2093" i="11"/>
  <c r="X2099" i="11"/>
  <c r="X2081" i="11"/>
  <c r="X2103" i="11"/>
  <c r="X2089" i="11"/>
  <c r="X2091" i="11"/>
  <c r="X2085" i="11"/>
  <c r="X2080" i="11"/>
  <c r="AG2104" i="11"/>
  <c r="AG2095" i="11"/>
  <c r="AG2081" i="11"/>
  <c r="AG2096" i="11"/>
  <c r="AG2082" i="11"/>
  <c r="Y2092" i="11"/>
  <c r="Z2092" i="11" s="1"/>
  <c r="Y2083" i="11"/>
  <c r="Z2083" i="11" s="1"/>
  <c r="M2077" i="11"/>
  <c r="N2077" i="11" s="1"/>
  <c r="M2082" i="11"/>
  <c r="N2082" i="11" s="1"/>
  <c r="Y2079" i="11"/>
  <c r="Z2079" i="11" s="1"/>
  <c r="Y2080" i="11"/>
  <c r="Z2080" i="11" s="1"/>
  <c r="Y2082" i="11"/>
  <c r="Z2082" i="11" s="1"/>
  <c r="M2081" i="11"/>
  <c r="N2081" i="11" s="1"/>
  <c r="M2091" i="11"/>
  <c r="N2091" i="11" s="1"/>
  <c r="Y2084" i="11"/>
  <c r="Z2084" i="11" s="1"/>
  <c r="Y2102" i="11"/>
  <c r="Z2102" i="11" s="1"/>
  <c r="X2078" i="11"/>
  <c r="X2084" i="11"/>
  <c r="X2082" i="11"/>
  <c r="X2088" i="11"/>
  <c r="X2097" i="11"/>
  <c r="X2076" i="11"/>
  <c r="X2090" i="11"/>
  <c r="X2096" i="11"/>
  <c r="X2094" i="11"/>
  <c r="X2100" i="11"/>
  <c r="X2098" i="11"/>
  <c r="X2104" i="11"/>
  <c r="X2086" i="11"/>
  <c r="X2092" i="11"/>
  <c r="AG2101" i="11"/>
  <c r="AG2085" i="11"/>
  <c r="AG2088" i="11"/>
  <c r="AG2099" i="11"/>
  <c r="AG2079" i="11"/>
  <c r="AG2078" i="11"/>
  <c r="AG2077" i="11"/>
  <c r="AG2086" i="11"/>
  <c r="AG2097" i="11"/>
  <c r="AG2100" i="11"/>
  <c r="AG2080" i="11"/>
  <c r="AG2076" i="11"/>
  <c r="AG2087" i="11"/>
  <c r="AG2089" i="11"/>
  <c r="AD2086" i="11"/>
  <c r="AD2097" i="11"/>
  <c r="J829" i="11"/>
  <c r="J832" i="11"/>
  <c r="J834" i="11"/>
  <c r="J836" i="11"/>
  <c r="J838" i="11"/>
  <c r="J840" i="11"/>
  <c r="J833" i="11"/>
  <c r="J835" i="11"/>
  <c r="J837" i="11"/>
  <c r="J839" i="11"/>
  <c r="J831" i="11"/>
  <c r="AA2091" i="11"/>
  <c r="AA2094" i="11"/>
  <c r="AA2104" i="11"/>
  <c r="AA2079" i="11"/>
  <c r="AA2081" i="11"/>
  <c r="AD2088" i="11"/>
  <c r="AD2102" i="11"/>
  <c r="AD2101" i="11"/>
  <c r="AD2080" i="11"/>
  <c r="AD2085" i="11"/>
  <c r="AD2099" i="11"/>
  <c r="AA2096" i="11"/>
  <c r="AA2095" i="11"/>
  <c r="AA2082" i="11"/>
  <c r="AA2084" i="11"/>
  <c r="AA2100" i="11"/>
  <c r="AD2090" i="11"/>
  <c r="AD2096" i="11"/>
  <c r="AD2087" i="11"/>
  <c r="AA2083" i="11"/>
  <c r="L2078" i="11"/>
  <c r="L2084" i="11"/>
  <c r="L2082" i="11"/>
  <c r="L2100" i="11"/>
  <c r="L2102" i="11"/>
  <c r="AT56" i="2"/>
  <c r="L2079" i="11"/>
  <c r="L2094" i="11"/>
  <c r="L2092" i="11"/>
  <c r="L2098" i="11"/>
  <c r="L2085" i="11"/>
  <c r="L2091" i="11"/>
  <c r="L2089" i="11"/>
  <c r="L2095" i="11"/>
  <c r="L2077" i="11"/>
  <c r="L2083" i="11"/>
  <c r="L2081" i="11"/>
  <c r="L2087" i="11"/>
  <c r="L2101" i="11"/>
  <c r="L2080" i="11"/>
  <c r="L2076" i="11"/>
  <c r="L2096" i="11"/>
  <c r="L2093" i="11"/>
  <c r="L2099" i="11"/>
  <c r="L2097" i="11"/>
  <c r="L2103" i="11"/>
  <c r="L2086" i="11"/>
  <c r="L2088" i="11"/>
  <c r="L2090" i="11"/>
  <c r="L2104" i="11"/>
  <c r="AD2082" i="11"/>
  <c r="AD2100" i="11"/>
  <c r="AD2091" i="11"/>
  <c r="AD2076" i="11"/>
  <c r="AD2098" i="11"/>
  <c r="AD2104" i="11"/>
  <c r="AT62" i="2"/>
  <c r="AD2093" i="11"/>
  <c r="AD2081" i="11"/>
  <c r="AM823" i="11"/>
  <c r="AP823" i="11"/>
  <c r="J824" i="11"/>
  <c r="J828" i="11"/>
  <c r="J821" i="11"/>
  <c r="J825" i="11"/>
  <c r="J822" i="11"/>
  <c r="J826" i="11"/>
  <c r="J820" i="11"/>
  <c r="J823" i="11"/>
  <c r="J827" i="11"/>
  <c r="Q2077" i="11"/>
  <c r="Q2076" i="11"/>
  <c r="AM2105" i="11"/>
  <c r="BB36" i="4"/>
  <c r="I793" i="11"/>
  <c r="C53" i="4" s="1"/>
  <c r="J793" i="11"/>
  <c r="D53" i="4" s="1"/>
  <c r="U60" i="11"/>
  <c r="V60" i="11"/>
  <c r="AV65" i="4"/>
  <c r="T639" i="11"/>
  <c r="T831" i="11" s="1"/>
  <c r="S639" i="11"/>
  <c r="S831" i="11" s="1"/>
  <c r="AR824" i="11"/>
  <c r="AS829" i="11"/>
  <c r="AL827" i="11"/>
  <c r="AQ826" i="11"/>
  <c r="AN823" i="11"/>
  <c r="AS827" i="11"/>
  <c r="AR830" i="11"/>
  <c r="AO824" i="11"/>
  <c r="AQ828" i="11"/>
  <c r="AQ827" i="11"/>
  <c r="AL824" i="11"/>
  <c r="AR829" i="11"/>
  <c r="AQ822" i="11"/>
  <c r="AS822" i="11"/>
  <c r="AO826" i="11"/>
  <c r="AO829" i="11"/>
  <c r="AL828" i="11"/>
  <c r="AS824" i="11"/>
  <c r="AS830" i="11"/>
  <c r="AL829" i="11"/>
  <c r="AL822" i="11"/>
  <c r="AL826" i="11"/>
  <c r="AO822" i="11"/>
  <c r="AQ830" i="11"/>
  <c r="AR822" i="11"/>
  <c r="AS825" i="11"/>
  <c r="AO828" i="11"/>
  <c r="AL830" i="11"/>
  <c r="AQ825" i="11"/>
  <c r="AQ829" i="11"/>
  <c r="AR825" i="11"/>
  <c r="AO825" i="11"/>
  <c r="AP822" i="11" a="1"/>
  <c r="AS826" i="11"/>
  <c r="AR828" i="11"/>
  <c r="AS828" i="11"/>
  <c r="AO830" i="11"/>
  <c r="AL825" i="11"/>
  <c r="AR827" i="11"/>
  <c r="AM822" i="11" a="1"/>
  <c r="AQ824" i="11"/>
  <c r="AR826" i="11"/>
  <c r="AO827" i="11"/>
  <c r="AN831" i="11"/>
  <c r="AJ2105" i="11" l="1"/>
  <c r="AD2105" i="11"/>
  <c r="X2105" i="11"/>
  <c r="AG2105" i="11"/>
  <c r="AA2105" i="11"/>
  <c r="AP822" i="11"/>
  <c r="AM822" i="11"/>
  <c r="L2105" i="11"/>
  <c r="R2105" i="11"/>
  <c r="U2105" i="11"/>
  <c r="O2105" i="11"/>
  <c r="BC36" i="4"/>
  <c r="O64" i="4"/>
  <c r="D64" i="4"/>
  <c r="O55" i="4"/>
  <c r="J2105" i="11"/>
  <c r="BF201" i="11"/>
  <c r="BF224" i="11" s="1"/>
  <c r="BI201" i="11"/>
  <c r="BI224" i="11" s="1"/>
  <c r="AN822" i="11"/>
  <c r="L2106" i="11" l="1"/>
  <c r="J2107" i="11" s="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76" i="11"/>
  <c r="T1868" i="11"/>
  <c r="T1860" i="11"/>
  <c r="T1852" i="11"/>
  <c r="T1844" i="11"/>
  <c r="T1836" i="11"/>
  <c r="T1828" i="11"/>
  <c r="T1820" i="11"/>
  <c r="T1812" i="11"/>
  <c r="T1804" i="11"/>
  <c r="T1795" i="11"/>
  <c r="T1787" i="11"/>
  <c r="T1779"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8" i="11" a="1"/>
  <c r="T63" i="11"/>
  <c r="Q58" i="6"/>
  <c r="P58" i="6"/>
  <c r="Q57" i="6"/>
  <c r="P57" i="6"/>
  <c r="AJ19" i="18" l="1"/>
  <c r="AJ20" i="18" s="1"/>
  <c r="AJ21" i="18" s="1"/>
  <c r="AJ22" i="18" s="1"/>
  <c r="U62" i="11"/>
  <c r="V62" i="11"/>
  <c r="S1411" i="11" a="1"/>
  <c r="S1411" i="11" s="1"/>
  <c r="S1416" i="11" a="1"/>
  <c r="S1416" i="11" s="1"/>
  <c r="S1433" i="11" a="1"/>
  <c r="S1433" i="11" s="1"/>
  <c r="S1408" i="11"/>
  <c r="S1268" i="11"/>
  <c r="D28" i="2" s="1"/>
  <c r="T64" i="11"/>
  <c r="S1453" i="11"/>
  <c r="S1521" i="11" a="1"/>
  <c r="S1521" i="11" s="1"/>
  <c r="BE22" i="4" s="1"/>
  <c r="S1467" i="11" a="1"/>
  <c r="S1467" i="11" s="1"/>
  <c r="S1443" i="11" a="1"/>
  <c r="S1443" i="11" s="1"/>
  <c r="S1515" i="11" a="1"/>
  <c r="S1515" i="11" s="1"/>
  <c r="AY22" i="4" s="1"/>
  <c r="S1519" i="11" a="1"/>
  <c r="S1519" i="11" s="1"/>
  <c r="BC22" i="4" s="1"/>
  <c r="S1427" i="11" a="1"/>
  <c r="S1427" i="11" s="1"/>
  <c r="S1425" i="11" a="1"/>
  <c r="S1425" i="11" s="1"/>
  <c r="S1518" i="11" a="1"/>
  <c r="S1518" i="11" s="1"/>
  <c r="BB22" i="4" s="1"/>
  <c r="S1426" i="11" a="1"/>
  <c r="S1426" i="11" s="1"/>
  <c r="S1516" i="11" a="1"/>
  <c r="S1516" i="11" s="1"/>
  <c r="AZ22" i="4" s="1"/>
  <c r="S1520" i="11" a="1"/>
  <c r="S1520" i="11" s="1"/>
  <c r="BD22" i="4" s="1"/>
  <c r="S1517" i="11" a="1"/>
  <c r="S1517" i="11" s="1"/>
  <c r="BA22" i="4" s="1"/>
  <c r="S1746" i="11"/>
  <c r="V6" i="14"/>
  <c r="U64" i="11" l="1"/>
  <c r="V64" i="11"/>
  <c r="AJ23" i="18"/>
  <c r="AJ24" i="18" l="1"/>
  <c r="AJ25" i="18" s="1"/>
  <c r="AJ26" i="18" s="1"/>
  <c r="AJ27" i="18" s="1"/>
  <c r="AJ28" i="18" l="1"/>
  <c r="AJ29" i="18" s="1"/>
  <c r="H1896" i="11"/>
  <c r="H1875" i="11"/>
  <c r="H1924" i="11"/>
  <c r="H1949" i="11"/>
  <c r="H1862" i="11"/>
  <c r="H1792" i="11"/>
  <c r="H1805" i="11"/>
  <c r="H1848" i="11"/>
  <c r="H1858" i="11"/>
  <c r="H1863" i="11"/>
  <c r="H1883" i="11"/>
  <c r="H1898" i="11"/>
  <c r="H1936" i="11"/>
  <c r="H1788" i="11"/>
  <c r="H1821" i="11"/>
  <c r="H1908" i="11"/>
  <c r="H1777" i="11"/>
  <c r="H1888" i="11"/>
  <c r="H1927" i="11"/>
  <c r="H1953" i="11"/>
  <c r="H1823" i="11"/>
  <c r="H1793" i="11"/>
  <c r="H1914" i="11"/>
  <c r="H1951" i="11"/>
  <c r="H1913"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43" i="11" s="1"/>
  <c r="U55" i="5"/>
  <c r="P55" i="5"/>
  <c r="R55" i="5" s="1"/>
  <c r="H55" i="5"/>
  <c r="B55" i="5" s="1"/>
  <c r="P54" i="5"/>
  <c r="H54" i="5"/>
  <c r="U53" i="5"/>
  <c r="P53" i="5"/>
  <c r="R53" i="5" s="1"/>
  <c r="H53" i="5"/>
  <c r="P52" i="5"/>
  <c r="R52" i="5" s="1"/>
  <c r="H52" i="5"/>
  <c r="B52" i="5" s="1"/>
  <c r="U51" i="5"/>
  <c r="P51" i="5"/>
  <c r="H51" i="5"/>
  <c r="B51" i="5" s="1"/>
  <c r="H50" i="5"/>
  <c r="B50" i="5" s="1"/>
  <c r="U49" i="5"/>
  <c r="P49" i="5"/>
  <c r="R49" i="5" s="1"/>
  <c r="C2016" i="11" s="1"/>
  <c r="H49" i="5"/>
  <c r="B49" i="5" s="1"/>
  <c r="P48" i="5"/>
  <c r="R48" i="5" s="1"/>
  <c r="H48" i="5"/>
  <c r="U47" i="5"/>
  <c r="P47" i="5"/>
  <c r="R47" i="5" s="1"/>
  <c r="H47" i="5"/>
  <c r="B47" i="5" s="1"/>
  <c r="P46" i="5"/>
  <c r="H46" i="5"/>
  <c r="B46" i="5" s="1"/>
  <c r="U45" i="5"/>
  <c r="P45" i="5"/>
  <c r="R45" i="5" s="1"/>
  <c r="H45" i="5"/>
  <c r="P44" i="5"/>
  <c r="R44" i="5" s="1"/>
  <c r="U43" i="5"/>
  <c r="P43" i="5"/>
  <c r="H43" i="5"/>
  <c r="C2032" i="11" s="1"/>
  <c r="P42" i="5"/>
  <c r="U41" i="5"/>
  <c r="P41" i="5"/>
  <c r="P40" i="5"/>
  <c r="R40" i="5" s="1"/>
  <c r="U39" i="5"/>
  <c r="P39" i="5"/>
  <c r="P38" i="5"/>
  <c r="R38" i="5" s="1"/>
  <c r="U37" i="5"/>
  <c r="P37" i="5"/>
  <c r="C2004"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81" i="11" s="1"/>
  <c r="P13" i="5"/>
  <c r="P12" i="5"/>
  <c r="R12" i="5" s="1"/>
  <c r="P10" i="5"/>
  <c r="R10" i="5" s="1"/>
  <c r="C2050" i="11"/>
  <c r="C2049"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I3" i="14"/>
  <c r="J194" i="13"/>
  <c r="B187" i="13"/>
  <c r="B176" i="13"/>
  <c r="B165" i="13"/>
  <c r="B154" i="13"/>
  <c r="B143" i="13"/>
  <c r="B132" i="13"/>
  <c r="B121" i="13"/>
  <c r="B110" i="13"/>
  <c r="B109" i="13"/>
  <c r="B106" i="13"/>
  <c r="B102" i="13"/>
  <c r="B97" i="13"/>
  <c r="B91" i="13"/>
  <c r="B54" i="5" l="1"/>
  <c r="AW63" i="4" s="1"/>
  <c r="AW64" i="4" s="1"/>
  <c r="Z900" i="11"/>
  <c r="C2039" i="11"/>
  <c r="G15" i="14"/>
  <c r="L177" i="13" s="1"/>
  <c r="G16" i="14"/>
  <c r="G11" i="14"/>
  <c r="G13" i="14"/>
  <c r="C2046" i="11"/>
  <c r="L150" i="13"/>
  <c r="B59" i="5"/>
  <c r="R57" i="5"/>
  <c r="X51" i="14"/>
  <c r="X40" i="14"/>
  <c r="S40" i="14" s="1"/>
  <c r="X41" i="14"/>
  <c r="S41" i="14" s="1"/>
  <c r="X10" i="14"/>
  <c r="S10" i="14" s="1"/>
  <c r="X50" i="14"/>
  <c r="V24" i="14"/>
  <c r="V25" i="14"/>
  <c r="Q25" i="14" s="1"/>
  <c r="X25" i="14" s="1"/>
  <c r="S25" i="14" s="1"/>
  <c r="X56" i="14"/>
  <c r="S56" i="14" s="1"/>
  <c r="X45" i="14"/>
  <c r="S45" i="14" s="1"/>
  <c r="X38" i="14"/>
  <c r="X18" i="14"/>
  <c r="S18" i="14" s="1"/>
  <c r="V46" i="14"/>
  <c r="V44" i="14"/>
  <c r="H166" i="13"/>
  <c r="B166" i="13" s="1"/>
  <c r="H160" i="13"/>
  <c r="B160" i="13" s="1"/>
  <c r="G12" i="14"/>
  <c r="G10" i="14"/>
  <c r="G14" i="14"/>
  <c r="H14" i="14" s="1"/>
  <c r="C1978" i="11"/>
  <c r="G9" i="14"/>
  <c r="J19" i="14" s="1"/>
  <c r="C2020" i="11"/>
  <c r="C2023" i="11"/>
  <c r="C2028" i="11"/>
  <c r="C2034" i="11"/>
  <c r="C1996" i="11"/>
  <c r="H112" i="13"/>
  <c r="B112" i="13" s="1"/>
  <c r="H93" i="13"/>
  <c r="B93" i="13" s="1"/>
  <c r="C1979" i="11"/>
  <c r="C1983" i="11"/>
  <c r="C1990" i="11"/>
  <c r="C1993" i="11"/>
  <c r="C2024" i="11"/>
  <c r="C1987" i="11"/>
  <c r="C2001" i="11"/>
  <c r="C2011" i="11"/>
  <c r="C2019" i="11"/>
  <c r="C2047" i="11"/>
  <c r="C1998" i="11"/>
  <c r="C1989" i="11"/>
  <c r="C1997" i="11"/>
  <c r="C1992" i="11"/>
  <c r="R25" i="5"/>
  <c r="C1985" i="11"/>
  <c r="C1995" i="11"/>
  <c r="R28" i="5"/>
  <c r="C1986" i="11"/>
  <c r="C2000" i="11"/>
  <c r="C2014" i="11"/>
  <c r="C2022" i="11"/>
  <c r="C2027" i="11"/>
  <c r="C2037" i="11"/>
  <c r="C2042" i="11"/>
  <c r="C2048" i="11"/>
  <c r="C2041" i="11"/>
  <c r="B53" i="5"/>
  <c r="C2012" i="11"/>
  <c r="C2025" i="11"/>
  <c r="C2035" i="11"/>
  <c r="C2040" i="11"/>
  <c r="C1982" i="11"/>
  <c r="C2015" i="11"/>
  <c r="C2038" i="11"/>
  <c r="C2044" i="11"/>
  <c r="R13" i="5"/>
  <c r="C1984" i="11"/>
  <c r="R17" i="5"/>
  <c r="C1988" i="11"/>
  <c r="R21" i="5"/>
  <c r="C1991" i="11"/>
  <c r="R24" i="5"/>
  <c r="C1994" i="11"/>
  <c r="R27" i="5"/>
  <c r="C1999" i="11"/>
  <c r="R32" i="5"/>
  <c r="C2033" i="11"/>
  <c r="B45" i="5"/>
  <c r="C2036" i="11"/>
  <c r="B48" i="5"/>
  <c r="I988" i="11"/>
  <c r="C2006" i="11"/>
  <c r="R39" i="5"/>
  <c r="C2029" i="11"/>
  <c r="R62" i="5"/>
  <c r="R37" i="5"/>
  <c r="C2009" i="11"/>
  <c r="R42" i="5"/>
  <c r="C2007" i="11"/>
  <c r="C2013" i="11"/>
  <c r="R46" i="5"/>
  <c r="C2018" i="11"/>
  <c r="R51" i="5"/>
  <c r="C2021" i="11"/>
  <c r="R54" i="5"/>
  <c r="C2026" i="11"/>
  <c r="R59" i="5"/>
  <c r="C2008" i="11"/>
  <c r="R41" i="5"/>
  <c r="C2010" i="11"/>
  <c r="R43" i="5"/>
  <c r="C2002" i="11"/>
  <c r="R35" i="5"/>
  <c r="BE27" i="4" s="1"/>
  <c r="BF27" i="4" s="1"/>
  <c r="R36" i="5"/>
  <c r="P38" i="4" s="1"/>
  <c r="C2045" i="11"/>
  <c r="H108" i="13"/>
  <c r="B108" i="13" s="1"/>
  <c r="C2005" i="11"/>
  <c r="B92" i="13"/>
  <c r="H118" i="13"/>
  <c r="B118" i="13" s="1"/>
  <c r="H105" i="13"/>
  <c r="B105" i="13" s="1"/>
  <c r="H116" i="13"/>
  <c r="B116" i="13" s="1"/>
  <c r="K22" i="14"/>
  <c r="H100" i="13"/>
  <c r="B100" i="13" s="1"/>
  <c r="I58" i="14"/>
  <c r="Q44" i="14" l="1"/>
  <c r="X44" i="14" s="1"/>
  <c r="S44" i="14" s="1"/>
  <c r="Q46" i="14"/>
  <c r="X46" i="14" s="1"/>
  <c r="S46" i="14" s="1"/>
  <c r="Q24" i="14"/>
  <c r="X24" i="14" s="1"/>
  <c r="S24" i="14" s="1"/>
  <c r="L194" i="13"/>
  <c r="J14" i="14"/>
  <c r="M9" i="14" s="1"/>
  <c r="K14" i="14" s="1"/>
  <c r="AY65" i="4"/>
  <c r="AW65" i="4"/>
  <c r="AX65" i="4"/>
  <c r="AZ65" i="4"/>
  <c r="L156" i="13"/>
  <c r="L155" i="13"/>
  <c r="Z908" i="11"/>
  <c r="Z938" i="11"/>
  <c r="BG26" i="4"/>
  <c r="H113" i="13"/>
  <c r="H94" i="13"/>
  <c r="B94" i="13" s="1"/>
  <c r="C2003" i="11"/>
  <c r="H98" i="13"/>
  <c r="N21" i="4" l="1"/>
  <c r="B113" i="13"/>
  <c r="H114" i="13"/>
  <c r="H95" i="13"/>
  <c r="B95" i="13" s="1"/>
  <c r="B98" i="13"/>
  <c r="H15" i="14"/>
  <c r="H12" i="14"/>
  <c r="H9" i="14"/>
  <c r="H13" i="14"/>
  <c r="B111" i="13"/>
  <c r="L171" i="13" l="1"/>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H1002" i="11"/>
  <c r="H1003" i="11"/>
  <c r="H1004" i="11"/>
  <c r="H1005" i="11"/>
  <c r="H1006" i="11"/>
  <c r="H1007" i="11"/>
  <c r="H1008" i="11"/>
  <c r="H1009" i="11"/>
  <c r="H1010" i="11"/>
  <c r="H1011" i="11"/>
  <c r="G28" i="5" s="1"/>
  <c r="H1012" i="11"/>
  <c r="H1014" i="11"/>
  <c r="L797" i="11" s="1"/>
  <c r="H1015" i="11"/>
  <c r="H1016" i="11"/>
  <c r="H1017" i="11"/>
  <c r="H1018" i="11"/>
  <c r="H1019" i="11"/>
  <c r="H1020" i="11"/>
  <c r="H1024" i="11"/>
  <c r="H1025" i="11"/>
  <c r="H1026" i="11"/>
  <c r="H1027" i="11"/>
  <c r="H1028" i="11"/>
  <c r="L815" i="11" s="1"/>
  <c r="H1029" i="11"/>
  <c r="L816" i="11" s="1"/>
  <c r="H1030" i="11"/>
  <c r="L817"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7" i="11"/>
  <c r="P1508" i="11"/>
  <c r="P1509" i="11"/>
  <c r="P1510" i="11"/>
  <c r="P1511" i="11"/>
  <c r="P1512" i="11"/>
  <c r="P1513" i="11"/>
  <c r="P1753" i="11"/>
  <c r="Q1753" i="11"/>
  <c r="P1754" i="11"/>
  <c r="Q1754" i="11"/>
  <c r="P1755" i="11"/>
  <c r="Q1755" i="11"/>
  <c r="P1756" i="11"/>
  <c r="Q1756" i="11"/>
  <c r="P1757" i="11"/>
  <c r="Q1757" i="11"/>
  <c r="P1758" i="11"/>
  <c r="Q1758" i="11"/>
  <c r="P1759" i="11"/>
  <c r="Q1759" i="11"/>
  <c r="P1760" i="11"/>
  <c r="Q1760" i="11"/>
  <c r="P1761" i="11"/>
  <c r="Q1761" i="11"/>
  <c r="P1762" i="11"/>
  <c r="Q1762"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105" i="11"/>
  <c r="D2106" i="11"/>
  <c r="D2107" i="11"/>
  <c r="V42" i="3"/>
  <c r="V97" i="3"/>
  <c r="L114" i="3"/>
  <c r="V114" i="3"/>
  <c r="L115" i="3"/>
  <c r="V115" i="3"/>
  <c r="L116" i="3"/>
  <c r="V116" i="3"/>
  <c r="L117" i="3"/>
  <c r="V117" i="3"/>
  <c r="L118" i="3"/>
  <c r="V118" i="3"/>
  <c r="L119" i="3"/>
  <c r="V119" i="3"/>
  <c r="D12" i="2"/>
  <c r="AO12" i="2" s="1"/>
  <c r="F57" i="2"/>
  <c r="J57" i="2" s="1"/>
  <c r="O818" i="11" s="1"/>
  <c r="M73" i="2"/>
  <c r="M74" i="2"/>
  <c r="M75" i="2"/>
  <c r="M76" i="2"/>
  <c r="M77" i="2"/>
  <c r="AD130" i="9" l="1"/>
  <c r="AI130" i="9"/>
  <c r="AE127" i="9"/>
  <c r="AJ127" i="9"/>
  <c r="AJ130" i="9"/>
  <c r="AH127" i="9"/>
  <c r="AH111" i="9"/>
  <c r="AG127" i="9"/>
  <c r="AH130" i="9"/>
  <c r="AF127" i="9"/>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L807"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94" i="11" s="1"/>
  <c r="O37" i="2"/>
  <c r="AF1995" i="11" s="1"/>
  <c r="B133" i="13"/>
  <c r="H134" i="13"/>
  <c r="U606" i="11"/>
  <c r="U610" i="11"/>
  <c r="V600" i="11"/>
  <c r="U607" i="11"/>
  <c r="U605" i="11"/>
  <c r="V601" i="11"/>
  <c r="V599" i="11"/>
  <c r="V597" i="11"/>
  <c r="E814" i="11" s="1"/>
  <c r="E799" i="11"/>
  <c r="V598" i="11"/>
  <c r="V602" i="11"/>
  <c r="U609" i="11"/>
  <c r="E2107" i="11"/>
  <c r="E2106" i="11"/>
  <c r="E2105" i="11"/>
  <c r="Q1138" i="11"/>
  <c r="P1138" i="11" s="1"/>
  <c r="L811" i="11"/>
  <c r="AE59" i="9"/>
  <c r="L814" i="1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N4" i="14"/>
  <c r="S8" i="14" s="1"/>
  <c r="F16" i="8"/>
  <c r="E12" i="8" s="1"/>
  <c r="G2053" i="11"/>
  <c r="D2111" i="11"/>
  <c r="G2054" i="11"/>
  <c r="D2112" i="11"/>
  <c r="AQ43" i="4"/>
  <c r="AQ35" i="4"/>
  <c r="AQ32" i="4"/>
  <c r="AQ48" i="4"/>
  <c r="AQ41" i="4"/>
  <c r="AQ38" i="4"/>
  <c r="G2052" i="11"/>
  <c r="D2110" i="11"/>
  <c r="D2109" i="11"/>
  <c r="G2050" i="11"/>
  <c r="D2108" i="11"/>
  <c r="AE57" i="9"/>
  <c r="X15" i="11"/>
  <c r="U9" i="11" s="1"/>
  <c r="V49" i="6"/>
  <c r="V45" i="6"/>
  <c r="V39" i="6"/>
  <c r="V50" i="6"/>
  <c r="V44" i="6"/>
  <c r="V40" i="6"/>
  <c r="V47" i="6"/>
  <c r="V43" i="6"/>
  <c r="V41" i="6"/>
  <c r="V37" i="6"/>
  <c r="V48" i="6"/>
  <c r="V46" i="6"/>
  <c r="V42" i="6"/>
  <c r="V38" i="6"/>
  <c r="V13" i="6"/>
  <c r="M68" i="6"/>
  <c r="Q1140" i="11"/>
  <c r="AD53" i="7"/>
  <c r="S1138"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51"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H22" i="14" l="1"/>
  <c r="AK23" i="2"/>
  <c r="AG115" i="3"/>
  <c r="AF120" i="3"/>
  <c r="V120" i="3" s="1"/>
  <c r="S104" i="3"/>
  <c r="O194" i="3"/>
  <c r="V799" i="11"/>
  <c r="X328" i="11"/>
  <c r="X335" i="11"/>
  <c r="V183" i="3" s="1"/>
  <c r="X332" i="11"/>
  <c r="V180" i="3" s="1"/>
  <c r="AG611" i="11"/>
  <c r="AG614" i="11" s="1"/>
  <c r="P1139" i="11"/>
  <c r="P1140" i="11" s="1"/>
  <c r="P1141" i="11" s="1"/>
  <c r="P1142" i="11" s="1"/>
  <c r="P1143" i="11" s="1"/>
  <c r="P1144" i="11" s="1"/>
  <c r="P1145" i="11" s="1"/>
  <c r="P1146" i="11" s="1"/>
  <c r="H16" i="4"/>
  <c r="H17" i="4"/>
  <c r="H1260" i="11"/>
  <c r="H1267" i="11"/>
  <c r="H1250" i="11"/>
  <c r="E58" i="14"/>
  <c r="L58" i="14" s="1"/>
  <c r="B134" i="13"/>
  <c r="H135" i="13"/>
  <c r="V814" i="11"/>
  <c r="E2111" i="11"/>
  <c r="E2112" i="11"/>
  <c r="E2110" i="11"/>
  <c r="E2109" i="11"/>
  <c r="E2108" i="11"/>
  <c r="Z194" i="3"/>
  <c r="AK18" i="2"/>
  <c r="AK19" i="2"/>
  <c r="AK17" i="2"/>
  <c r="AK16" i="2"/>
  <c r="AK14" i="2"/>
  <c r="AK13" i="2"/>
  <c r="AK15" i="2"/>
  <c r="AK12" i="2"/>
  <c r="AY19" i="4"/>
  <c r="BE19" i="4"/>
  <c r="H15" i="10"/>
  <c r="T10" i="11"/>
  <c r="U11" i="11"/>
  <c r="T11" i="11"/>
  <c r="T9" i="11"/>
  <c r="U10" i="11"/>
  <c r="H26" i="6"/>
  <c r="G2035" i="11" s="1"/>
  <c r="AA111" i="3"/>
  <c r="P1147" i="11" l="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N5" i="14"/>
  <c r="H61" i="6" s="1"/>
  <c r="L640" i="11" l="1"/>
  <c r="L642" i="11"/>
  <c r="L641" i="11"/>
  <c r="U1995" i="11"/>
  <c r="U1996" i="11"/>
  <c r="U1994" i="11"/>
  <c r="V1996" i="11"/>
  <c r="V1995" i="11"/>
  <c r="V1994" i="11"/>
  <c r="U1037" i="11"/>
  <c r="U1038" i="11"/>
  <c r="U1042" i="11"/>
  <c r="U1044" i="11"/>
  <c r="U1041" i="11"/>
  <c r="U1039" i="11"/>
  <c r="U1043" i="11"/>
  <c r="U1040" i="11"/>
  <c r="U1045" i="11"/>
  <c r="L646" i="11"/>
  <c r="L681"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3" i="11"/>
  <c r="H18" i="6"/>
  <c r="G2027" i="11" s="1"/>
  <c r="J167" i="13"/>
  <c r="F70" i="14"/>
  <c r="K49" i="14"/>
  <c r="J178" i="13"/>
  <c r="AN33" i="2"/>
  <c r="B137" i="13"/>
  <c r="H139" i="13"/>
  <c r="H140" i="13" s="1"/>
  <c r="H21" i="6"/>
  <c r="G2030" i="11" s="1"/>
  <c r="I21" i="6" l="1"/>
  <c r="I18" i="6"/>
  <c r="L798" i="11"/>
  <c r="L800"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4" i="3" l="1"/>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92" i="11"/>
  <c r="S2016" i="11"/>
  <c r="S2000" i="11"/>
  <c r="S2002" i="11"/>
  <c r="S2006" i="11"/>
  <c r="S1996" i="11"/>
  <c r="S2030" i="11"/>
  <c r="S2025" i="11"/>
  <c r="S2022" i="11"/>
  <c r="S2015" i="11"/>
  <c r="S2013" i="11"/>
  <c r="S2008" i="11"/>
  <c r="S1997" i="11"/>
  <c r="S2005" i="11"/>
  <c r="S1994" i="11"/>
  <c r="S1982" i="11"/>
  <c r="S2004" i="11"/>
  <c r="S2012" i="11"/>
  <c r="S1999" i="11"/>
  <c r="S2029" i="11"/>
  <c r="S2019" i="11"/>
  <c r="S2014" i="11"/>
  <c r="S2021" i="11"/>
  <c r="S2011" i="11"/>
  <c r="S1989" i="11"/>
  <c r="S2024" i="11"/>
  <c r="S2007" i="11"/>
  <c r="S2009" i="11"/>
  <c r="S1998" i="11"/>
  <c r="S2026" i="11"/>
  <c r="S2017" i="11"/>
  <c r="S2023" i="11"/>
  <c r="S2018" i="11"/>
  <c r="S1980"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96" i="11" s="1"/>
  <c r="AJ145" i="3"/>
  <c r="AJ141" i="3"/>
  <c r="AI141" i="3"/>
  <c r="AI138" i="3"/>
  <c r="T1989" i="11" s="1"/>
  <c r="AJ138" i="3"/>
  <c r="AJ131" i="3"/>
  <c r="AI131" i="3"/>
  <c r="AI162" i="3"/>
  <c r="T2013" i="11" s="1"/>
  <c r="AJ162" i="3"/>
  <c r="AI179" i="3"/>
  <c r="T2030" i="11" s="1"/>
  <c r="AJ179" i="3"/>
  <c r="AJ158" i="3"/>
  <c r="AI158" i="3"/>
  <c r="AJ155" i="3"/>
  <c r="AI155" i="3"/>
  <c r="AI147" i="3"/>
  <c r="T1998" i="11" s="1"/>
  <c r="AJ147" i="3"/>
  <c r="AI178" i="3"/>
  <c r="T2029" i="11" s="1"/>
  <c r="AJ178" i="3"/>
  <c r="AJ175" i="3"/>
  <c r="AI175" i="3"/>
  <c r="AI149" i="3"/>
  <c r="T2000" i="11" s="1"/>
  <c r="AJ149" i="3"/>
  <c r="AI146" i="3"/>
  <c r="T1997" i="11" s="1"/>
  <c r="AJ146" i="3"/>
  <c r="AI156" i="3"/>
  <c r="T2007" i="11" s="1"/>
  <c r="AJ156" i="3"/>
  <c r="AI154" i="3"/>
  <c r="T2005" i="11" s="1"/>
  <c r="AJ154" i="3"/>
  <c r="AI151" i="3"/>
  <c r="T2002" i="11" s="1"/>
  <c r="AJ151" i="3"/>
  <c r="AI143" i="3"/>
  <c r="T1994" i="11" s="1"/>
  <c r="AJ143" i="3"/>
  <c r="AI171" i="3"/>
  <c r="T2022" i="11" s="1"/>
  <c r="AJ171" i="3"/>
  <c r="AJ164" i="3"/>
  <c r="AI164" i="3"/>
  <c r="AJ165" i="3"/>
  <c r="AI165" i="3"/>
  <c r="AI173" i="3"/>
  <c r="T2024" i="11" s="1"/>
  <c r="AJ173" i="3"/>
  <c r="AI157" i="3"/>
  <c r="T2008" i="11" s="1"/>
  <c r="AJ157" i="3"/>
  <c r="AJ166" i="3"/>
  <c r="AI166" i="3"/>
  <c r="AJ163" i="3"/>
  <c r="AI163" i="3"/>
  <c r="AJ172" i="3"/>
  <c r="AI172" i="3"/>
  <c r="AJ170" i="3"/>
  <c r="AI170" i="3"/>
  <c r="AJ167" i="3"/>
  <c r="AI167" i="3"/>
  <c r="AJ160" i="3"/>
  <c r="AI160" i="3"/>
  <c r="D552" i="11" l="1"/>
  <c r="D553" i="11" s="1"/>
  <c r="D554" i="11" s="1"/>
  <c r="D555" i="11" s="1"/>
  <c r="D556" i="11" s="1"/>
  <c r="S1991" i="11"/>
  <c r="S1986" i="11"/>
  <c r="S1988" i="11"/>
  <c r="S2003" i="11"/>
  <c r="S2020" i="11"/>
  <c r="S1993" i="11"/>
  <c r="S1990" i="11"/>
  <c r="S2010" i="11"/>
  <c r="S1987" i="11"/>
  <c r="S1983" i="11"/>
  <c r="S2028" i="11"/>
  <c r="S1981" i="11"/>
  <c r="S1995" i="11"/>
  <c r="S2001" i="11"/>
  <c r="S1985" i="11"/>
  <c r="S1984" i="11"/>
  <c r="B150" i="13"/>
  <c r="H152" i="13"/>
  <c r="B149" i="13"/>
  <c r="T2023" i="11"/>
  <c r="T1999" i="11"/>
  <c r="T2004" i="11"/>
  <c r="T2018" i="11"/>
  <c r="T2017" i="11"/>
  <c r="T2015" i="11"/>
  <c r="T2011" i="11"/>
  <c r="T2006" i="11"/>
  <c r="T1992" i="11"/>
  <c r="T2012" i="11"/>
  <c r="T2026" i="11"/>
  <c r="T2009" i="11"/>
  <c r="T2021" i="11"/>
  <c r="T2014" i="11"/>
  <c r="T2016" i="11"/>
  <c r="AJ150" i="3"/>
  <c r="AI150" i="3"/>
  <c r="AI140" i="3"/>
  <c r="T1991" i="11" s="1"/>
  <c r="AI135" i="3"/>
  <c r="T1986" i="11" s="1"/>
  <c r="AI169" i="3"/>
  <c r="T2020" i="11" s="1"/>
  <c r="AI142" i="3"/>
  <c r="AJ159" i="3"/>
  <c r="AI136" i="3"/>
  <c r="T1987" i="11" s="1"/>
  <c r="AJ132" i="3"/>
  <c r="AI144" i="3"/>
  <c r="T1995" i="11" s="1"/>
  <c r="AI134" i="3"/>
  <c r="AI152" i="3"/>
  <c r="T2003" i="11" s="1"/>
  <c r="AJ135" i="3"/>
  <c r="AI137" i="3"/>
  <c r="AJ152" i="3"/>
  <c r="AJ137" i="3"/>
  <c r="AJ140" i="3"/>
  <c r="AJ139" i="3"/>
  <c r="AI133" i="3"/>
  <c r="AI159" i="3"/>
  <c r="T2010" i="11" s="1"/>
  <c r="AJ134" i="3"/>
  <c r="AI139" i="3"/>
  <c r="AJ142" i="3"/>
  <c r="AJ144" i="3"/>
  <c r="AJ133" i="3"/>
  <c r="T1980" i="11"/>
  <c r="T1982" i="11"/>
  <c r="AJ169" i="3"/>
  <c r="AI130" i="3"/>
  <c r="AI177" i="3"/>
  <c r="T2028" i="11" s="1"/>
  <c r="AJ130" i="3"/>
  <c r="AJ177" i="3"/>
  <c r="AJ136" i="3"/>
  <c r="AI132" i="3"/>
  <c r="D563" i="11" l="1"/>
  <c r="D559" i="11"/>
  <c r="D562" i="11"/>
  <c r="D561" i="11"/>
  <c r="D564" i="11"/>
  <c r="D558" i="11"/>
  <c r="D560" i="11"/>
  <c r="D557" i="11"/>
  <c r="T2001" i="11"/>
  <c r="B152" i="13"/>
  <c r="H153" i="13"/>
  <c r="H155" i="13" s="1"/>
  <c r="H156" i="13" s="1"/>
  <c r="T1990" i="11"/>
  <c r="T1993" i="11"/>
  <c r="T1988" i="11"/>
  <c r="T1985" i="11"/>
  <c r="T1984" i="11"/>
  <c r="T1981" i="11"/>
  <c r="T1983"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7" i="11" l="1"/>
  <c r="B183" i="13"/>
  <c r="H185" i="13"/>
  <c r="H188" i="13" s="1"/>
  <c r="AI176" i="3"/>
  <c r="T2027" i="11" s="1"/>
  <c r="AJ176" i="3"/>
  <c r="B188" i="13" l="1"/>
  <c r="H189" i="13"/>
  <c r="B185" i="13"/>
  <c r="AJ174" i="3"/>
  <c r="B189" i="13" l="1"/>
  <c r="H190" i="13"/>
  <c r="H191" i="13" s="1"/>
  <c r="AI174" i="3"/>
  <c r="T2025" i="11" s="1"/>
  <c r="AI168" i="3"/>
  <c r="T2019"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s="1"/>
  <c r="AI59" i="3" l="1"/>
  <c r="P59" i="3" s="1"/>
  <c r="N51" i="4"/>
  <c r="N60" i="4"/>
  <c r="BF32" i="4" s="1"/>
  <c r="N36" i="4"/>
  <c r="AZ32" i="4" s="1"/>
  <c r="N43" i="4"/>
  <c r="BB32" i="4" s="1"/>
  <c r="BC850" i="11"/>
  <c r="L812" i="11"/>
  <c r="L813" i="11" s="1"/>
  <c r="I1043" i="1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50" i="11" l="1"/>
  <c r="BE850" i="11" s="1"/>
  <c r="L801" i="11"/>
  <c r="BD32" i="4"/>
  <c r="BF850" i="11" l="1"/>
  <c r="BG850" i="11" s="1"/>
  <c r="AJ59" i="3" l="1"/>
  <c r="BH850" i="11"/>
  <c r="BI850" i="11" s="1"/>
  <c r="BJ850" i="11" s="1"/>
  <c r="BK850" i="11" l="1"/>
  <c r="BL850" i="11" l="1"/>
  <c r="AL59" i="3" s="1"/>
  <c r="AK59" i="3"/>
  <c r="T59" i="3" s="1"/>
  <c r="BL683" i="11" l="1"/>
  <c r="BL682" i="11"/>
  <c r="BS683" i="11" l="1"/>
  <c r="BS682" i="11"/>
  <c r="AQ683" i="11"/>
  <c r="AQ682" i="11"/>
  <c r="BE683" i="11"/>
  <c r="AJ683" i="11" l="1"/>
  <c r="AX683" i="11" l="1"/>
  <c r="AX682" i="11"/>
  <c r="C2107" i="11" l="1"/>
  <c r="C2085" i="11"/>
  <c r="C2083" i="11"/>
  <c r="C2082" i="11"/>
  <c r="C2084" i="11"/>
  <c r="C2081" i="11"/>
  <c r="C2106" i="11"/>
  <c r="C2080" i="11"/>
  <c r="C2079" i="11"/>
  <c r="C2077" i="11"/>
  <c r="C2078" i="11"/>
  <c r="C2093" i="11" l="1"/>
  <c r="C2094" i="11"/>
  <c r="AM26" i="5" l="1"/>
  <c r="AN26" i="5" s="1"/>
  <c r="G43" i="10" s="1"/>
  <c r="AV16" i="25" l="1"/>
  <c r="AX16" i="25"/>
  <c r="AY16" i="25" s="1"/>
  <c r="AO24" i="25" s="1"/>
  <c r="P16" i="25" a="1"/>
  <c r="P16" i="25" s="1"/>
  <c r="AW16" i="25" a="1"/>
  <c r="AW16" i="25" s="1"/>
  <c r="J656" i="26" l="1"/>
  <c r="I656" i="26"/>
  <c r="AM29" i="25" a="1"/>
  <c r="AM29" i="25" s="1"/>
  <c r="AT16" i="25" a="1"/>
  <c r="AT16" i="25" s="1"/>
  <c r="AL29" i="25" s="1"/>
  <c r="O16" i="25" l="1"/>
  <c r="AD21" i="25"/>
  <c r="AM42" i="25" l="1"/>
  <c r="S57" i="14"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L1094" i="11"/>
  <c r="H19" i="6"/>
  <c r="G2028" i="11" s="1"/>
  <c r="H20" i="6"/>
  <c r="G2029" i="11" s="1"/>
  <c r="N18" i="25"/>
  <c r="AD44" i="5"/>
  <c r="X84" i="26"/>
  <c r="I20" i="6" l="1"/>
  <c r="C2092" i="11"/>
  <c r="C2090" i="11"/>
  <c r="C2091" i="11"/>
  <c r="C2088" i="11"/>
  <c r="C2089" i="11"/>
  <c r="C2087" i="1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34" i="11" s="1"/>
  <c r="N2034" i="11" s="1"/>
  <c r="BB21" i="4"/>
  <c r="AZ21" i="4"/>
  <c r="V164" i="3"/>
  <c r="BC21" i="4"/>
  <c r="AA181" i="3"/>
  <c r="AA182" i="3"/>
  <c r="AA184" i="3"/>
  <c r="O2035" i="11" s="1"/>
  <c r="N2035" i="11" s="1"/>
  <c r="BD21" i="4"/>
  <c r="H262" i="11"/>
  <c r="AY21" i="4"/>
  <c r="H265" i="11"/>
  <c r="H263" i="11"/>
  <c r="H259" i="11"/>
  <c r="H264" i="11"/>
  <c r="H260" i="11"/>
  <c r="H258" i="11"/>
  <c r="H261" i="11"/>
  <c r="G2011" i="11" l="1"/>
  <c r="K73" i="10" s="1"/>
  <c r="F35" i="5"/>
  <c r="C1980" i="11" s="1"/>
  <c r="Q2033" i="11"/>
  <c r="W2033" i="11" s="1"/>
  <c r="O2033" i="11"/>
  <c r="N2033" i="11" s="1"/>
  <c r="Q2032" i="11"/>
  <c r="W2032" i="11" s="1"/>
  <c r="O2032" i="11"/>
  <c r="N2032" i="11" s="1"/>
  <c r="Q76" i="2"/>
  <c r="AB183" i="3"/>
  <c r="Q74" i="2"/>
  <c r="AB181" i="3"/>
  <c r="Q77" i="2"/>
  <c r="AB184" i="3"/>
  <c r="AB182" i="3"/>
  <c r="Q75" i="2"/>
  <c r="Q2035" i="11"/>
  <c r="W2035" i="11" s="1"/>
  <c r="Q2034" i="11"/>
  <c r="W2034" i="11" s="1"/>
  <c r="AD2025" i="11" l="1"/>
  <c r="K2025" i="11" s="1"/>
  <c r="H356" i="11"/>
  <c r="AD175" i="3"/>
  <c r="H375" i="11"/>
  <c r="H374" i="11"/>
  <c r="AD158" i="3"/>
  <c r="U1990" i="11"/>
  <c r="H377" i="11"/>
  <c r="V1990"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H17" i="6" s="1"/>
  <c r="G2026"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V48"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V188" i="3" l="1"/>
  <c r="T188" i="3"/>
  <c r="I17" i="6"/>
  <c r="H16" i="6"/>
  <c r="G2025" i="11" s="1"/>
  <c r="H15" i="6"/>
  <c r="G2024" i="11" s="1"/>
  <c r="J46" i="4"/>
  <c r="U32" i="4"/>
  <c r="U46" i="4"/>
  <c r="J39" i="4"/>
  <c r="U39" i="4"/>
  <c r="N639" i="11"/>
  <c r="E639" i="11"/>
  <c r="V53" i="4"/>
  <c r="J32" i="4"/>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2003" i="11" s="1"/>
  <c r="AF137" i="3"/>
  <c r="T137" i="3" s="1"/>
  <c r="AF168" i="3"/>
  <c r="T168" i="3" s="1"/>
  <c r="AF133" i="3"/>
  <c r="T133" i="3" s="1"/>
  <c r="AU154" i="3"/>
  <c r="AU155" i="3"/>
  <c r="AU159" i="3"/>
  <c r="AF130" i="3"/>
  <c r="T130" i="3" s="1"/>
  <c r="AF140" i="3"/>
  <c r="T140" i="3" s="1"/>
  <c r="AF154" i="3"/>
  <c r="T154" i="3" s="1"/>
  <c r="AU135" i="3"/>
  <c r="AF170" i="3"/>
  <c r="T170" i="3" s="1"/>
  <c r="AA170" i="3" s="1"/>
  <c r="O2021"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76" i="11"/>
  <c r="AU129" i="3"/>
  <c r="W35" i="3"/>
  <c r="AA35" i="3" s="1"/>
  <c r="N14" i="10"/>
  <c r="H18" i="2"/>
  <c r="AL60" i="1"/>
  <c r="AK57" i="1"/>
  <c r="K53" i="4"/>
  <c r="V62" i="4"/>
  <c r="K62"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AT32" i="2" l="1"/>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7" i="11" s="1"/>
  <c r="AA174" i="3"/>
  <c r="AA147" i="3"/>
  <c r="O1998" i="11" s="1"/>
  <c r="M793" i="11"/>
  <c r="F940" i="11"/>
  <c r="L24" i="4" s="1"/>
  <c r="E915" i="11" s="1"/>
  <c r="X915" i="11" s="1"/>
  <c r="AB152" i="3"/>
  <c r="Q45" i="2"/>
  <c r="Q2003" i="11"/>
  <c r="W2003" i="11" s="1"/>
  <c r="AB170" i="3"/>
  <c r="Q63" i="2"/>
  <c r="Q2021" i="11"/>
  <c r="W2021" i="11" s="1"/>
  <c r="C29" i="6"/>
  <c r="E234" i="11"/>
  <c r="J54" i="2" s="1"/>
  <c r="G54" i="2" s="1"/>
  <c r="J1107" i="11"/>
  <c r="J1110" i="11"/>
  <c r="J1114" i="11"/>
  <c r="J1108" i="11"/>
  <c r="J1105" i="11"/>
  <c r="L1093" i="11" s="1"/>
  <c r="J1109" i="11"/>
  <c r="J1111" i="11"/>
  <c r="J1112" i="11"/>
  <c r="L31" i="14"/>
  <c r="J16" i="10"/>
  <c r="AE185" i="3"/>
  <c r="D186" i="3" s="1"/>
  <c r="J1104" i="11"/>
  <c r="J1106" i="11"/>
  <c r="J1113" i="11"/>
  <c r="G93" i="10"/>
  <c r="X2033" i="11"/>
  <c r="X2034" i="11"/>
  <c r="X2020" i="11"/>
  <c r="X2023" i="11"/>
  <c r="X2000" i="11"/>
  <c r="X2003" i="11"/>
  <c r="X1988" i="11"/>
  <c r="X1996" i="11"/>
  <c r="X2006" i="11"/>
  <c r="X2028" i="11"/>
  <c r="X2001" i="11"/>
  <c r="X2035" i="11"/>
  <c r="X2016" i="11"/>
  <c r="X2009" i="11"/>
  <c r="X1991" i="11"/>
  <c r="X1992" i="11"/>
  <c r="X1980" i="11"/>
  <c r="X2015" i="11"/>
  <c r="X1999" i="11"/>
  <c r="X2031" i="11"/>
  <c r="X2027" i="11"/>
  <c r="X1987" i="11"/>
  <c r="X2019" i="11"/>
  <c r="X2026" i="11"/>
  <c r="X1997" i="11"/>
  <c r="X1984" i="11"/>
  <c r="X1993" i="11"/>
  <c r="X2011" i="11"/>
  <c r="X1990" i="11"/>
  <c r="X1989" i="11"/>
  <c r="X2005" i="11"/>
  <c r="X2010" i="11"/>
  <c r="X1994" i="11"/>
  <c r="X2030" i="11"/>
  <c r="X2004" i="11"/>
  <c r="X2014" i="11"/>
  <c r="X2013" i="11"/>
  <c r="X1982" i="11"/>
  <c r="X2008" i="11"/>
  <c r="X2018" i="11"/>
  <c r="X1998" i="11"/>
  <c r="X2032" i="11"/>
  <c r="X1981" i="11"/>
  <c r="X2029" i="11"/>
  <c r="X2022" i="11"/>
  <c r="X2021" i="11"/>
  <c r="X2024" i="11"/>
  <c r="X2025" i="11"/>
  <c r="X2007" i="11"/>
  <c r="X1983" i="11"/>
  <c r="X2012" i="11"/>
  <c r="X1995" i="11"/>
  <c r="X1985" i="11"/>
  <c r="X2017" i="11"/>
  <c r="X1986" i="11"/>
  <c r="X2002" i="11"/>
  <c r="U158" i="3"/>
  <c r="G62" i="2"/>
  <c r="J62" i="2" s="1"/>
  <c r="W99" i="3"/>
  <c r="U137" i="3"/>
  <c r="U160" i="3"/>
  <c r="AI73" i="22" l="1"/>
  <c r="P140" i="22"/>
  <c r="AI140" i="22"/>
  <c r="AI274" i="22"/>
  <c r="AI6" i="22"/>
  <c r="P73" i="22"/>
  <c r="P274" i="22"/>
  <c r="P207" i="22"/>
  <c r="AI207" i="22"/>
  <c r="AA160" i="3"/>
  <c r="O2011" i="11" s="1"/>
  <c r="AA158" i="3"/>
  <c r="O2009" i="11" s="1"/>
  <c r="AK10" i="6"/>
  <c r="AA167" i="3"/>
  <c r="AA157" i="3"/>
  <c r="S51" i="14"/>
  <c r="S33" i="14"/>
  <c r="AA100" i="3"/>
  <c r="M28" i="6" s="1"/>
  <c r="AB50" i="10" s="1"/>
  <c r="AA137" i="3"/>
  <c r="O1988" i="11" s="1"/>
  <c r="AA172" i="3"/>
  <c r="O2023" i="11" s="1"/>
  <c r="AA140" i="3"/>
  <c r="O1991" i="11" s="1"/>
  <c r="AA151" i="3"/>
  <c r="O2002" i="11" s="1"/>
  <c r="AA173" i="3"/>
  <c r="O2024" i="11" s="1"/>
  <c r="AA153" i="3"/>
  <c r="O2004" i="11" s="1"/>
  <c r="AA136" i="3"/>
  <c r="O1987" i="11" s="1"/>
  <c r="AA101" i="3"/>
  <c r="M29" i="6" s="1"/>
  <c r="AH50" i="10" s="1"/>
  <c r="AA146" i="3"/>
  <c r="O1997" i="11" s="1"/>
  <c r="AA98" i="3"/>
  <c r="M26" i="6" s="1"/>
  <c r="S50" i="10" s="1"/>
  <c r="AA99" i="3"/>
  <c r="AA139" i="3"/>
  <c r="O1990" i="11" s="1"/>
  <c r="AA154" i="3"/>
  <c r="O2005" i="11" s="1"/>
  <c r="AA155" i="3"/>
  <c r="AA142" i="3"/>
  <c r="O1993" i="11" s="1"/>
  <c r="H11" i="8"/>
  <c r="J62" i="10" s="1"/>
  <c r="AA149" i="3"/>
  <c r="O2000" i="11" s="1"/>
  <c r="AA138" i="3"/>
  <c r="O1989" i="11" s="1"/>
  <c r="AA168" i="3"/>
  <c r="O2019" i="11" s="1"/>
  <c r="AA179" i="3"/>
  <c r="O2030" i="11" s="1"/>
  <c r="AA150" i="3"/>
  <c r="CV108" i="11" s="1"/>
  <c r="AA94" i="3"/>
  <c r="W95" i="3" s="1"/>
  <c r="AA95" i="3" s="1"/>
  <c r="I12" i="6" s="1"/>
  <c r="J12" i="6" s="1"/>
  <c r="AD48" i="10" s="1"/>
  <c r="O2025" i="11"/>
  <c r="AA180" i="3"/>
  <c r="Q2031" i="11" s="1"/>
  <c r="W2031" i="11" s="1"/>
  <c r="AA148" i="3"/>
  <c r="O1999" i="11" s="1"/>
  <c r="AA141" i="3"/>
  <c r="O1992" i="11" s="1"/>
  <c r="BE9" i="4"/>
  <c r="O16" i="4" s="1"/>
  <c r="AF32" i="10" s="1"/>
  <c r="Q2007" i="11"/>
  <c r="W2007" i="11" s="1"/>
  <c r="Q49" i="2"/>
  <c r="Q67" i="2"/>
  <c r="AB174" i="3"/>
  <c r="Q2025" i="11"/>
  <c r="W2025" i="11" s="1"/>
  <c r="AB156" i="3"/>
  <c r="AB147" i="3"/>
  <c r="Q1998" i="11"/>
  <c r="W1998" i="11" s="1"/>
  <c r="Q40" i="2"/>
  <c r="E914" i="11"/>
  <c r="X914" i="11" s="1"/>
  <c r="AA2002" i="11"/>
  <c r="Z2002" i="11"/>
  <c r="Y2002" i="11"/>
  <c r="AA1995" i="11"/>
  <c r="Y1995" i="11"/>
  <c r="AA2025" i="11"/>
  <c r="Z2025" i="11"/>
  <c r="Y2025" i="11"/>
  <c r="Y2029" i="11"/>
  <c r="Z2029" i="11"/>
  <c r="AA2029" i="11"/>
  <c r="AA2014" i="11"/>
  <c r="Y2014" i="11"/>
  <c r="Z2014" i="11"/>
  <c r="Y2010" i="11"/>
  <c r="AA2010" i="11"/>
  <c r="Z2010" i="11"/>
  <c r="AA2011" i="11"/>
  <c r="Y2011" i="11"/>
  <c r="Z2011" i="11"/>
  <c r="Y2026" i="11"/>
  <c r="Z2026" i="11"/>
  <c r="AA2026" i="11"/>
  <c r="Y2031" i="11"/>
  <c r="AA2031" i="11"/>
  <c r="Z2031" i="11"/>
  <c r="Y1992" i="11"/>
  <c r="AA1992" i="11"/>
  <c r="Y2035" i="11"/>
  <c r="AA2035" i="11"/>
  <c r="Z2035" i="11"/>
  <c r="Y1996" i="11"/>
  <c r="AA1996" i="11"/>
  <c r="Z2023" i="11"/>
  <c r="AA2023" i="11"/>
  <c r="Y2023" i="11"/>
  <c r="Y1986" i="11"/>
  <c r="AA1986" i="11"/>
  <c r="Z1986" i="11"/>
  <c r="Z2012" i="11"/>
  <c r="Y2012" i="11"/>
  <c r="AA2012" i="11"/>
  <c r="Z2024" i="11"/>
  <c r="AA2024" i="11"/>
  <c r="Y2024" i="11"/>
  <c r="AA1981" i="11"/>
  <c r="Y1981" i="11"/>
  <c r="Z1981" i="11"/>
  <c r="Y2008" i="11"/>
  <c r="AA2008" i="11"/>
  <c r="Z2008" i="11"/>
  <c r="Y2004" i="11"/>
  <c r="Z2004" i="11"/>
  <c r="AA2004" i="11"/>
  <c r="AA2005" i="11"/>
  <c r="Y2005" i="11"/>
  <c r="Z2005" i="11"/>
  <c r="AA1993" i="11"/>
  <c r="Y1993" i="11"/>
  <c r="Z1993" i="11"/>
  <c r="Y2019" i="11"/>
  <c r="Z2019" i="11"/>
  <c r="AA2019" i="11"/>
  <c r="Z1999" i="11"/>
  <c r="AA1999" i="11"/>
  <c r="Y1999" i="11"/>
  <c r="AA1991" i="11"/>
  <c r="Y1991" i="11"/>
  <c r="Z1991" i="11"/>
  <c r="Z2001" i="11"/>
  <c r="AA2001" i="11"/>
  <c r="Y1988" i="11"/>
  <c r="AA1988" i="11"/>
  <c r="Z1988" i="11"/>
  <c r="AA2020" i="11"/>
  <c r="Z2020" i="11"/>
  <c r="Y2020" i="11"/>
  <c r="L32" i="14"/>
  <c r="N16" i="10"/>
  <c r="Y2017" i="11"/>
  <c r="Z2017" i="11"/>
  <c r="AA2017" i="11"/>
  <c r="Z1983" i="11"/>
  <c r="Y1983" i="11"/>
  <c r="AA1983" i="11"/>
  <c r="Z2021" i="11"/>
  <c r="AA2021" i="11"/>
  <c r="Y2021" i="11"/>
  <c r="Y2032" i="11"/>
  <c r="AA2032" i="11"/>
  <c r="Z2032" i="11"/>
  <c r="Z1982" i="11"/>
  <c r="AA1982" i="11"/>
  <c r="Y1982" i="11"/>
  <c r="Y2030" i="11"/>
  <c r="Z2030" i="11"/>
  <c r="AA2030" i="11"/>
  <c r="Z1989" i="11"/>
  <c r="AA1989" i="11"/>
  <c r="Y1989" i="11"/>
  <c r="AA1984" i="11"/>
  <c r="Y1984" i="11"/>
  <c r="Z1984" i="11"/>
  <c r="Y1987" i="11"/>
  <c r="AA1987" i="11"/>
  <c r="Z1987" i="11"/>
  <c r="Z2015" i="11"/>
  <c r="Y2015" i="11"/>
  <c r="AA2015" i="11"/>
  <c r="AA2009" i="11"/>
  <c r="Z2009" i="11"/>
  <c r="Y2009" i="11"/>
  <c r="Y2028" i="11"/>
  <c r="Z2028" i="11"/>
  <c r="AA2028" i="11"/>
  <c r="AA2003" i="11"/>
  <c r="Y2003" i="11"/>
  <c r="Z2003" i="11"/>
  <c r="AA2034" i="11"/>
  <c r="Z2034" i="11"/>
  <c r="Y2034" i="11"/>
  <c r="Q2011" i="11"/>
  <c r="W2011" i="11" s="1"/>
  <c r="Y1985" i="11"/>
  <c r="Z1985" i="11"/>
  <c r="AA1985" i="11"/>
  <c r="Y2007" i="11"/>
  <c r="Z2007" i="11"/>
  <c r="AA2007" i="11"/>
  <c r="Z2022" i="11"/>
  <c r="Y2022" i="11"/>
  <c r="AA2022" i="11"/>
  <c r="Y1998" i="11"/>
  <c r="Z1998" i="11"/>
  <c r="AA1998" i="11"/>
  <c r="Z2013" i="11"/>
  <c r="Y2013" i="11"/>
  <c r="AA2013" i="11"/>
  <c r="AA1994" i="11"/>
  <c r="Y1994" i="11"/>
  <c r="Y1990" i="11"/>
  <c r="AA1990" i="11"/>
  <c r="Y1997" i="11"/>
  <c r="AA1997" i="11"/>
  <c r="Z1997" i="11"/>
  <c r="Y2027" i="11"/>
  <c r="Z2027" i="11"/>
  <c r="AA2027" i="11"/>
  <c r="Z1980" i="11"/>
  <c r="Y1980" i="11"/>
  <c r="AA1980" i="11"/>
  <c r="Y2016" i="11"/>
  <c r="AA2016" i="11"/>
  <c r="Z2016" i="11"/>
  <c r="Y2006" i="11"/>
  <c r="AA2006" i="11"/>
  <c r="Z2006" i="11"/>
  <c r="AA2000" i="11"/>
  <c r="Y2000" i="11"/>
  <c r="Z2000" i="11"/>
  <c r="AA2033" i="11"/>
  <c r="Z2033" i="11"/>
  <c r="Y2033" i="11"/>
  <c r="Y2018" i="11"/>
  <c r="AA2018" i="11"/>
  <c r="Z2018" i="11"/>
  <c r="AB158" i="3" l="1"/>
  <c r="Q2009" i="11"/>
  <c r="W2009" i="11" s="1"/>
  <c r="Q51" i="2"/>
  <c r="AB160" i="3"/>
  <c r="Q53" i="2"/>
  <c r="O2008" i="11"/>
  <c r="Q50" i="2"/>
  <c r="Q2008" i="11"/>
  <c r="W2008" i="11" s="1"/>
  <c r="AB2008" i="11" s="1"/>
  <c r="AB157" i="3"/>
  <c r="O2018" i="11"/>
  <c r="Q60" i="2"/>
  <c r="Q2018" i="11"/>
  <c r="W2018" i="11" s="1"/>
  <c r="AB2018" i="11" s="1"/>
  <c r="AB167" i="3"/>
  <c r="S28" i="14"/>
  <c r="S55" i="14"/>
  <c r="J36" i="14"/>
  <c r="S37" i="14"/>
  <c r="AB137" i="3"/>
  <c r="AB140" i="3"/>
  <c r="Q66" i="2"/>
  <c r="Q30" i="2"/>
  <c r="CR108" i="11"/>
  <c r="CU108" i="11"/>
  <c r="Q2023" i="11"/>
  <c r="W2023" i="11" s="1"/>
  <c r="AB2023" i="11" s="1"/>
  <c r="N2023" i="11" s="1"/>
  <c r="Q65" i="2"/>
  <c r="AB172" i="3"/>
  <c r="Q33" i="2"/>
  <c r="Q2024" i="11"/>
  <c r="W2024" i="11" s="1"/>
  <c r="AB2024" i="11" s="1"/>
  <c r="N2024" i="11" s="1"/>
  <c r="AB173" i="3"/>
  <c r="Q1988" i="11"/>
  <c r="W1988" i="11" s="1"/>
  <c r="AB1988" i="11" s="1"/>
  <c r="N1988" i="11" s="1"/>
  <c r="Q1991" i="11"/>
  <c r="W1991" i="11" s="1"/>
  <c r="AB1991" i="11" s="1"/>
  <c r="N1991" i="11" s="1"/>
  <c r="Q44" i="2"/>
  <c r="AB151" i="3"/>
  <c r="Q2002" i="11"/>
  <c r="W2002" i="11" s="1"/>
  <c r="AB2002" i="11" s="1"/>
  <c r="N2002" i="11" s="1"/>
  <c r="Q46" i="2"/>
  <c r="Q2004" i="11"/>
  <c r="W2004" i="11" s="1"/>
  <c r="AB2004" i="11" s="1"/>
  <c r="N2004" i="11" s="1"/>
  <c r="AB153" i="3"/>
  <c r="AL23" i="8"/>
  <c r="AB168" i="3"/>
  <c r="Q32" i="2"/>
  <c r="AL39" i="8"/>
  <c r="AL29" i="8"/>
  <c r="Q35" i="2"/>
  <c r="Q1987" i="11"/>
  <c r="W1987" i="11" s="1"/>
  <c r="AB1987" i="11" s="1"/>
  <c r="N1987" i="11" s="1"/>
  <c r="Z875" i="11"/>
  <c r="Q1993" i="11"/>
  <c r="W1993" i="11" s="1"/>
  <c r="AB1993" i="11" s="1"/>
  <c r="Q29" i="2"/>
  <c r="Q61" i="2"/>
  <c r="Q2019" i="11"/>
  <c r="W2019" i="11" s="1"/>
  <c r="AB2019" i="11" s="1"/>
  <c r="N2019" i="11" s="1"/>
  <c r="AB142" i="3"/>
  <c r="M27" i="6"/>
  <c r="X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90" i="11"/>
  <c r="W1990" i="11" s="1"/>
  <c r="Z1990" i="11" s="1"/>
  <c r="AL61" i="8"/>
  <c r="AL43" i="8"/>
  <c r="AL45" i="8"/>
  <c r="AL33" i="8"/>
  <c r="AL25" i="8"/>
  <c r="Q39" i="2"/>
  <c r="AB146" i="3"/>
  <c r="Q1997" i="11"/>
  <c r="W1997" i="11" s="1"/>
  <c r="AB1997" i="11" s="1"/>
  <c r="N1997" i="11" s="1"/>
  <c r="Q2000" i="11"/>
  <c r="W2000" i="11" s="1"/>
  <c r="AB2000" i="11" s="1"/>
  <c r="Q47" i="2"/>
  <c r="Q42" i="2"/>
  <c r="AB149" i="3"/>
  <c r="Q2005" i="11"/>
  <c r="W2005" i="11" s="1"/>
  <c r="AB2005" i="11" s="1"/>
  <c r="N2005" i="11" s="1"/>
  <c r="AB154" i="3"/>
  <c r="Q1989" i="11"/>
  <c r="W1989" i="11" s="1"/>
  <c r="AB1989" i="11" s="1"/>
  <c r="L12" i="6"/>
  <c r="Q31" i="2"/>
  <c r="AB155" i="3"/>
  <c r="AB138" i="3"/>
  <c r="O2006" i="11"/>
  <c r="Q2006" i="11"/>
  <c r="W2006" i="11" s="1"/>
  <c r="AB2006" i="11" s="1"/>
  <c r="CM108" i="11"/>
  <c r="Q48" i="2"/>
  <c r="Q2001" i="11"/>
  <c r="W2001" i="11" s="1"/>
  <c r="Y2001" i="11" s="1"/>
  <c r="Q43" i="2"/>
  <c r="O2001" i="11"/>
  <c r="AB150" i="3"/>
  <c r="CK108" i="11"/>
  <c r="CP108" i="11"/>
  <c r="CN108" i="11"/>
  <c r="CX108" i="11"/>
  <c r="Q2030" i="11"/>
  <c r="W2030" i="11" s="1"/>
  <c r="AB2030" i="11" s="1"/>
  <c r="N2030" i="11" s="1"/>
  <c r="AB179" i="3"/>
  <c r="Q72" i="2"/>
  <c r="CW108" i="11"/>
  <c r="CJ108" i="11"/>
  <c r="CT108" i="11"/>
  <c r="CL108" i="11"/>
  <c r="CS108" i="11"/>
  <c r="CQ108" i="11"/>
  <c r="CO108" i="11"/>
  <c r="Q1999" i="11"/>
  <c r="W1999" i="11" s="1"/>
  <c r="AB1999" i="11" s="1"/>
  <c r="N1999" i="11" s="1"/>
  <c r="AB148" i="3"/>
  <c r="Q34" i="2"/>
  <c r="W57" i="18"/>
  <c r="AH57" i="18" s="1"/>
  <c r="W55" i="18"/>
  <c r="Q1992" i="11"/>
  <c r="W1992" i="11" s="1"/>
  <c r="Z1992" i="11" s="1"/>
  <c r="AB1992" i="11" s="1"/>
  <c r="N1992" i="11" s="1"/>
  <c r="Q41" i="2"/>
  <c r="AB141" i="3"/>
  <c r="O2031" i="11"/>
  <c r="Q73" i="2"/>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11" i="11"/>
  <c r="N2011" i="11" s="1"/>
  <c r="AB2033" i="11"/>
  <c r="AB2032" i="11"/>
  <c r="AB2034" i="11"/>
  <c r="AB2035" i="11"/>
  <c r="AB2031" i="11"/>
  <c r="AB2003" i="11"/>
  <c r="N2003" i="11" s="1"/>
  <c r="AB1998" i="11"/>
  <c r="AB2009" i="11"/>
  <c r="N2009" i="11" s="1"/>
  <c r="AB2025" i="11"/>
  <c r="N2025" i="11" s="1"/>
  <c r="AB2021" i="11"/>
  <c r="N2021" i="11" s="1"/>
  <c r="AB2007" i="11"/>
  <c r="L1091" i="11" l="1"/>
  <c r="L1090" i="11"/>
  <c r="L1092" i="11"/>
  <c r="L1089" i="11"/>
  <c r="S48" i="14"/>
  <c r="S38" i="14"/>
  <c r="F51" i="14"/>
  <c r="S31" i="14"/>
  <c r="AD1984" i="11"/>
  <c r="K1984" i="11" s="1"/>
  <c r="AD1983" i="11"/>
  <c r="K1983" i="11" s="1"/>
  <c r="AD1985" i="11"/>
  <c r="K1985" i="11" s="1"/>
  <c r="BA25" i="4"/>
  <c r="BB25" i="4"/>
  <c r="AY25" i="4"/>
  <c r="BD25" i="4"/>
  <c r="BC25" i="4"/>
  <c r="AZ25" i="4"/>
  <c r="AR12" i="2"/>
  <c r="AS12" i="2" s="1"/>
  <c r="G12" i="2" s="1"/>
  <c r="AR14" i="2"/>
  <c r="AS14" i="2" s="1"/>
  <c r="G14" i="2" s="1"/>
  <c r="W108" i="18"/>
  <c r="AH108" i="18" s="1"/>
  <c r="W110" i="18"/>
  <c r="AH110" i="18" s="1"/>
  <c r="L14" i="6"/>
  <c r="AB2001" i="11"/>
  <c r="N2001" i="11" s="1"/>
  <c r="AB1990" i="11"/>
  <c r="N1990" i="11" s="1"/>
  <c r="N2006" i="11"/>
  <c r="AH55" i="18"/>
  <c r="AI55" i="18"/>
  <c r="AD2007" i="11"/>
  <c r="K2007" i="11" s="1"/>
  <c r="AD2000" i="11"/>
  <c r="K2000" i="11" s="1"/>
  <c r="AD1998" i="11"/>
  <c r="K1998" i="11" s="1"/>
  <c r="AD1994" i="11"/>
  <c r="K1994" i="11" s="1"/>
  <c r="AD2004" i="11"/>
  <c r="K2004" i="11" s="1"/>
  <c r="N1989" i="11"/>
  <c r="AD2006" i="11"/>
  <c r="K2006" i="11" s="1"/>
  <c r="AD2001" i="11"/>
  <c r="K2001" i="11" s="1"/>
  <c r="N2000" i="11"/>
  <c r="AD2030" i="11"/>
  <c r="K2030" i="11" s="1"/>
  <c r="AD2005" i="11"/>
  <c r="K2005" i="11" s="1"/>
  <c r="N2018" i="11"/>
  <c r="AD2035" i="11"/>
  <c r="K2035" i="11" s="1"/>
  <c r="AD1999" i="11"/>
  <c r="K1999" i="11" s="1"/>
  <c r="N1993" i="11"/>
  <c r="N2007" i="11"/>
  <c r="N2008" i="11"/>
  <c r="AD2034" i="11"/>
  <c r="K2034" i="11" s="1"/>
  <c r="N1998" i="11"/>
  <c r="N2031" i="11"/>
  <c r="AD1993" i="11"/>
  <c r="K1993" i="11" s="1"/>
  <c r="AR13" i="2"/>
  <c r="AS13" i="2" s="1"/>
  <c r="G13" i="2" s="1"/>
  <c r="AR16" i="2"/>
  <c r="AS16" i="2" s="1"/>
  <c r="G16" i="2" s="1"/>
  <c r="R14" i="10" s="1"/>
  <c r="AR11" i="2"/>
  <c r="U61" i="11"/>
  <c r="W59" i="11"/>
  <c r="AD2003" i="11"/>
  <c r="K2003" i="11" s="1"/>
  <c r="F31" i="4" l="1"/>
  <c r="AO19" i="2"/>
  <c r="W188" i="3"/>
  <c r="M1090" i="11"/>
  <c r="M1094" i="11"/>
  <c r="M1095" i="11"/>
  <c r="M1093" i="11"/>
  <c r="M1096" i="11"/>
  <c r="M1099" i="11"/>
  <c r="M1098" i="11"/>
  <c r="M1091" i="11"/>
  <c r="M1097" i="11"/>
  <c r="M1092" i="11"/>
  <c r="M1089" i="11"/>
  <c r="AD2002" i="11"/>
  <c r="K2002" i="11" s="1"/>
  <c r="U832" i="11"/>
  <c r="U836" i="11"/>
  <c r="U840" i="11"/>
  <c r="U833" i="11"/>
  <c r="U837" i="11"/>
  <c r="U834" i="11"/>
  <c r="U838" i="11"/>
  <c r="U835" i="11"/>
  <c r="U839" i="11"/>
  <c r="Q38" i="4"/>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H95" i="10"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831" i="11" s="1"/>
  <c r="U762" i="11"/>
  <c r="Y762" i="11" s="1"/>
  <c r="J13" i="10"/>
  <c r="E23" i="4"/>
  <c r="H13" i="2"/>
  <c r="F13" i="10"/>
  <c r="AI31" i="1"/>
  <c r="F23" i="4"/>
  <c r="W33" i="3"/>
  <c r="AA33" i="3" s="1"/>
  <c r="H14" i="2"/>
  <c r="Y640" i="11" s="1"/>
  <c r="AT11" i="2"/>
  <c r="AO20" i="2" s="1"/>
  <c r="H16" i="2"/>
  <c r="U143" i="3" s="1"/>
  <c r="AA143" i="3" s="1"/>
  <c r="O1994" i="11" s="1"/>
  <c r="AD1982" i="11" s="1"/>
  <c r="K1982" i="11" s="1"/>
  <c r="W60" i="11"/>
  <c r="W64" i="11"/>
  <c r="X64" i="11" s="1"/>
  <c r="W63" i="11"/>
  <c r="X63" i="11" s="1"/>
  <c r="W62" i="11"/>
  <c r="X62" i="11" s="1"/>
  <c r="W61" i="11"/>
  <c r="X61" i="11" s="1"/>
  <c r="E693" i="11" l="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Q1097" i="1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10"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26"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7" i="11" s="1"/>
  <c r="AD2031" i="11" s="1"/>
  <c r="K2031" i="11" s="1"/>
  <c r="W96" i="3"/>
  <c r="AA96" i="3" s="1"/>
  <c r="P12" i="6" s="1"/>
  <c r="U171" i="3"/>
  <c r="AA171" i="3" s="1"/>
  <c r="U163" i="3"/>
  <c r="AA163" i="3" s="1"/>
  <c r="O2014" i="11" s="1"/>
  <c r="U170" i="3"/>
  <c r="U135" i="3"/>
  <c r="U161" i="3"/>
  <c r="AA161" i="3" s="1"/>
  <c r="O2012" i="11" s="1"/>
  <c r="AD1992" i="11" s="1"/>
  <c r="K1992" i="11" s="1"/>
  <c r="U164" i="3"/>
  <c r="AA164" i="3" s="1"/>
  <c r="O2015" i="11" s="1"/>
  <c r="W26" i="3"/>
  <c r="U176" i="3"/>
  <c r="AA176" i="3" s="1"/>
  <c r="O2027" i="11" s="1"/>
  <c r="U162" i="3"/>
  <c r="AA162" i="3" s="1"/>
  <c r="O2013" i="11" s="1"/>
  <c r="W112" i="3"/>
  <c r="AA112" i="3" s="1"/>
  <c r="P12" i="8" s="1"/>
  <c r="AQ32" i="6"/>
  <c r="U178" i="3"/>
  <c r="AA178" i="3" s="1"/>
  <c r="O2029" i="11" s="1"/>
  <c r="U177" i="3"/>
  <c r="AA177" i="3" s="1"/>
  <c r="O2028" i="11" s="1"/>
  <c r="W25" i="3"/>
  <c r="U144" i="3"/>
  <c r="AA144" i="3" s="1"/>
  <c r="O1995" i="11" s="1"/>
  <c r="U145" i="3"/>
  <c r="AA145" i="3" s="1"/>
  <c r="O1996" i="11" s="1"/>
  <c r="S16" i="4"/>
  <c r="AF15" i="4" s="1"/>
  <c r="I25" i="2" s="1"/>
  <c r="W65" i="11"/>
  <c r="Q36" i="2"/>
  <c r="I989" i="11"/>
  <c r="AB143" i="3"/>
  <c r="Z893" i="11"/>
  <c r="Q1994" i="11"/>
  <c r="W1994" i="11" s="1"/>
  <c r="E12" i="10" l="1"/>
  <c r="N14" i="2"/>
  <c r="Q1091" i="11"/>
  <c r="P1089" i="11"/>
  <c r="Q1090" i="11"/>
  <c r="P1095" i="11"/>
  <c r="P1092" i="11"/>
  <c r="Q1093" i="11"/>
  <c r="P1091" i="11"/>
  <c r="Q1094" i="11"/>
  <c r="Q1099" i="11"/>
  <c r="P1098" i="11"/>
  <c r="Q1096" i="11"/>
  <c r="V16" i="10"/>
  <c r="L29" i="14"/>
  <c r="Z1994" i="11"/>
  <c r="AB1994" i="11" s="1"/>
  <c r="N1994" i="11" s="1"/>
  <c r="U133" i="3"/>
  <c r="AA133" i="3" s="1"/>
  <c r="U131" i="3"/>
  <c r="AA131" i="3" s="1"/>
  <c r="W27" i="3"/>
  <c r="AA27" i="3" s="1"/>
  <c r="U165" i="3"/>
  <c r="AA165" i="3" s="1"/>
  <c r="O2016" i="11" s="1"/>
  <c r="AD2027" i="11" s="1"/>
  <c r="K2027" i="11" s="1"/>
  <c r="U129" i="3"/>
  <c r="AA129" i="3" s="1"/>
  <c r="O1980" i="11" s="1"/>
  <c r="U169" i="3"/>
  <c r="AA169" i="3" s="1"/>
  <c r="Q2020" i="11" s="1"/>
  <c r="U130" i="3"/>
  <c r="AA130" i="3" s="1"/>
  <c r="Z884" i="11" s="1"/>
  <c r="U132" i="3"/>
  <c r="AA132" i="3" s="1"/>
  <c r="O1983" i="11" s="1"/>
  <c r="H18" i="4"/>
  <c r="H31" i="10" s="1"/>
  <c r="O2022" i="11"/>
  <c r="AD2024" i="11" s="1"/>
  <c r="K2024" i="11" s="1"/>
  <c r="AD1990" i="11"/>
  <c r="K1990" i="11" s="1"/>
  <c r="H28" i="2"/>
  <c r="E16" i="4"/>
  <c r="F36" i="5"/>
  <c r="C2017" i="11" s="1"/>
  <c r="AT39" i="10" s="1"/>
  <c r="Z902" i="11"/>
  <c r="Q2012" i="11"/>
  <c r="W2012" i="11" s="1"/>
  <c r="AB2012" i="11" s="1"/>
  <c r="N2012" i="11" s="1"/>
  <c r="Z851" i="11"/>
  <c r="Z869" i="11"/>
  <c r="Q2026" i="11"/>
  <c r="W2026" i="11" s="1"/>
  <c r="AB2026" i="11" s="1"/>
  <c r="N2026" i="11" s="1"/>
  <c r="AB175" i="3"/>
  <c r="Q55" i="2"/>
  <c r="Q54" i="2"/>
  <c r="AB176" i="3"/>
  <c r="Z878" i="11"/>
  <c r="Q68" i="2"/>
  <c r="Q2013" i="11"/>
  <c r="W2013" i="11" s="1"/>
  <c r="AB2013" i="11" s="1"/>
  <c r="N2013" i="11" s="1"/>
  <c r="Z854" i="11"/>
  <c r="AB162" i="3"/>
  <c r="AB161" i="3"/>
  <c r="Z881" i="11"/>
  <c r="Q2015" i="11"/>
  <c r="W2015" i="11" s="1"/>
  <c r="AB2015" i="11" s="1"/>
  <c r="N2015" i="11" s="1"/>
  <c r="Q2017" i="11"/>
  <c r="W2017" i="11" s="1"/>
  <c r="AB2017" i="11" s="1"/>
  <c r="N2017" i="11" s="1"/>
  <c r="Z860" i="11"/>
  <c r="Q59" i="2"/>
  <c r="Q941" i="11"/>
  <c r="L21" i="4" s="1"/>
  <c r="AV51" i="4" s="1"/>
  <c r="AB163" i="3"/>
  <c r="AB159" i="3"/>
  <c r="Q2010" i="11"/>
  <c r="AB166" i="3"/>
  <c r="AB144" i="3"/>
  <c r="Q69" i="2"/>
  <c r="AB171" i="3"/>
  <c r="Q12" i="6"/>
  <c r="J48" i="10" s="1"/>
  <c r="AB164" i="3"/>
  <c r="Q12" i="8"/>
  <c r="K64" i="10" s="1"/>
  <c r="Q57" i="2"/>
  <c r="Q2014" i="11"/>
  <c r="Q1995" i="11"/>
  <c r="W1995" i="11" s="1"/>
  <c r="Q37" i="2"/>
  <c r="Q64" i="2"/>
  <c r="Q2027" i="11"/>
  <c r="W2027" i="11" s="1"/>
  <c r="AB2027" i="11" s="1"/>
  <c r="N2027" i="11" s="1"/>
  <c r="Q2022" i="11"/>
  <c r="W2022" i="11" s="1"/>
  <c r="AB2022" i="11" s="1"/>
  <c r="AB178" i="3"/>
  <c r="AB177" i="3"/>
  <c r="Q2028" i="11"/>
  <c r="W2028" i="11" s="1"/>
  <c r="AB2028" i="11" s="1"/>
  <c r="N2028" i="11" s="1"/>
  <c r="Q2029" i="11"/>
  <c r="W2029" i="11" s="1"/>
  <c r="AB2029" i="11" s="1"/>
  <c r="N2029" i="11" s="1"/>
  <c r="Q70" i="2"/>
  <c r="Q71" i="2"/>
  <c r="Q1996" i="11"/>
  <c r="W1996" i="11" s="1"/>
  <c r="AB145" i="3"/>
  <c r="Q38" i="2"/>
  <c r="AD1997" i="11"/>
  <c r="K1997" i="11" s="1"/>
  <c r="AA134" i="3"/>
  <c r="O1985" i="11" s="1"/>
  <c r="AD2026" i="11" s="1"/>
  <c r="K2026" i="11" s="1"/>
  <c r="AA25" i="3"/>
  <c r="AA26" i="3"/>
  <c r="AA135" i="3"/>
  <c r="O1986" i="11" s="1"/>
  <c r="O25" i="2"/>
  <c r="AF1983" i="11" s="1"/>
  <c r="O22" i="2"/>
  <c r="AF1980" i="11" s="1"/>
  <c r="D27" i="2"/>
  <c r="E25" i="2" s="1"/>
  <c r="D31" i="2" s="1"/>
  <c r="O58" i="2"/>
  <c r="AF2016" i="11" s="1"/>
  <c r="O62" i="2"/>
  <c r="AF2020" i="11" s="1"/>
  <c r="O27" i="2"/>
  <c r="O26" i="2"/>
  <c r="AF1984" i="11" s="1"/>
  <c r="O56" i="2"/>
  <c r="O52" i="2"/>
  <c r="O23" i="2"/>
  <c r="AF1981" i="11" s="1"/>
  <c r="P1100" i="11" l="1"/>
  <c r="Q1100" i="11"/>
  <c r="AD1991" i="11"/>
  <c r="K1991" i="11" s="1"/>
  <c r="AD2020" i="11"/>
  <c r="K2020" i="11" s="1"/>
  <c r="AD2029" i="11"/>
  <c r="K2029" i="11" s="1"/>
  <c r="AD2014" i="11"/>
  <c r="K2014" i="11" s="1"/>
  <c r="AD1989" i="11"/>
  <c r="K1989" i="11" s="1"/>
  <c r="AB937" i="11" a="1"/>
  <c r="AB937" i="11" s="1"/>
  <c r="O2020" i="11"/>
  <c r="Z857" i="11"/>
  <c r="AB169" i="3"/>
  <c r="Z1996" i="11"/>
  <c r="AB1996" i="11" s="1"/>
  <c r="AD2019" i="11" s="1"/>
  <c r="K2019" i="11" s="1"/>
  <c r="Z1995" i="11"/>
  <c r="AB1995" i="11" s="1"/>
  <c r="N1995" i="11" s="1"/>
  <c r="AD1981" i="11"/>
  <c r="K1981" i="11" s="1"/>
  <c r="AB165" i="3"/>
  <c r="Q2016" i="11"/>
  <c r="W2016" i="11" s="1"/>
  <c r="AB2016" i="11" s="1"/>
  <c r="N2016" i="11" s="1"/>
  <c r="AD1995" i="11"/>
  <c r="K1995" i="11" s="1"/>
  <c r="N2022" i="11"/>
  <c r="AD2021" i="11"/>
  <c r="K2021" i="11" s="1"/>
  <c r="O1982" i="11"/>
  <c r="O1984" i="11"/>
  <c r="AD2032" i="11" s="1"/>
  <c r="K2032" i="11" s="1"/>
  <c r="AB916" i="11" a="1"/>
  <c r="AB916" i="11" s="1"/>
  <c r="AB909" i="11" a="1"/>
  <c r="H39" i="10"/>
  <c r="AB938" i="11" a="1"/>
  <c r="AB918" i="11" a="1"/>
  <c r="AB918" i="11" s="1"/>
  <c r="AB908" i="11" a="1"/>
  <c r="AB922" i="11" a="1"/>
  <c r="AB932" i="11" a="1"/>
  <c r="AB913" i="11" a="1"/>
  <c r="AB915" i="11" a="1"/>
  <c r="AB911" i="11" a="1"/>
  <c r="AB911" i="11" s="1"/>
  <c r="AB919" i="11" a="1"/>
  <c r="AB921" i="11" a="1"/>
  <c r="AB921" i="11" s="1"/>
  <c r="AB929" i="11" a="1"/>
  <c r="AB914" i="11" a="1"/>
  <c r="AB936" i="11" a="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10" i="11" a="1"/>
  <c r="AB910" i="11" s="1"/>
  <c r="AB933" i="11" a="1"/>
  <c r="AB852" i="11"/>
  <c r="AD1996" i="11"/>
  <c r="K1996" i="11" s="1"/>
  <c r="AB889" i="11"/>
  <c r="W2020" i="11"/>
  <c r="AB2020" i="11" s="1"/>
  <c r="Q62" i="2"/>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80" i="11"/>
  <c r="W1980" i="11" s="1"/>
  <c r="AB1980" i="11" s="1"/>
  <c r="N1980" i="11" s="1"/>
  <c r="Q1982" i="11"/>
  <c r="W1982" i="11" s="1"/>
  <c r="AB1982" i="11" s="1"/>
  <c r="Z872" i="11"/>
  <c r="AB129" i="3"/>
  <c r="AB133" i="3"/>
  <c r="Q1984" i="11"/>
  <c r="W1984" i="11" s="1"/>
  <c r="AB1984" i="11" s="1"/>
  <c r="Q24" i="2"/>
  <c r="AB131" i="3"/>
  <c r="Q1981" i="11"/>
  <c r="W1981" i="11" s="1"/>
  <c r="AB1981" i="11" s="1"/>
  <c r="AB854" i="11"/>
  <c r="AB863" i="11"/>
  <c r="AB930" i="11"/>
  <c r="AB851" i="11"/>
  <c r="AB878" i="11"/>
  <c r="AB859" i="11"/>
  <c r="Z859" i="11" s="1"/>
  <c r="AB923" i="11"/>
  <c r="AB909" i="11"/>
  <c r="AB892" i="11"/>
  <c r="AB858" i="11"/>
  <c r="Z858" i="11" s="1"/>
  <c r="AB938" i="11"/>
  <c r="AB862" i="11"/>
  <c r="AB900" i="11"/>
  <c r="AB132" i="3"/>
  <c r="Q1983" i="11"/>
  <c r="W1983" i="11" s="1"/>
  <c r="AB1983" i="11" s="1"/>
  <c r="N1983" i="11" s="1"/>
  <c r="Z863" i="11"/>
  <c r="O1981" i="11"/>
  <c r="AD2009" i="11"/>
  <c r="K2009" i="11" s="1"/>
  <c r="AB853" i="11"/>
  <c r="AB856" i="11"/>
  <c r="AB873" i="11"/>
  <c r="AB901" i="11"/>
  <c r="AB861" i="11"/>
  <c r="AB890" i="11"/>
  <c r="AB895" i="11"/>
  <c r="AB867" i="11"/>
  <c r="AB915" i="11"/>
  <c r="AB855" i="11"/>
  <c r="AB881" i="11"/>
  <c r="AB932" i="11"/>
  <c r="AB927" i="11"/>
  <c r="AB882" i="11"/>
  <c r="AT21" i="4"/>
  <c r="AT27" i="4" s="1"/>
  <c r="AV54" i="4" s="1"/>
  <c r="AB894" i="11"/>
  <c r="AB926" i="11"/>
  <c r="AB883" i="11"/>
  <c r="AB880" i="11"/>
  <c r="AB908" i="11"/>
  <c r="AB864" i="11"/>
  <c r="AB928" i="11"/>
  <c r="AB860" i="11"/>
  <c r="AB877" i="11"/>
  <c r="AB866" i="11"/>
  <c r="AB913" i="11"/>
  <c r="AB903" i="11"/>
  <c r="AB919" i="11"/>
  <c r="AB871" i="11"/>
  <c r="AB902" i="11"/>
  <c r="AB896" i="11"/>
  <c r="AB897" i="11"/>
  <c r="AB922" i="11"/>
  <c r="AB885" i="11"/>
  <c r="AB869" i="11"/>
  <c r="AB936" i="11"/>
  <c r="AB898" i="11"/>
  <c r="AB875" i="11"/>
  <c r="AB870" i="11"/>
  <c r="AB931" i="11"/>
  <c r="AB872" i="11"/>
  <c r="AB893" i="11"/>
  <c r="AB868" i="11"/>
  <c r="AB929" i="11"/>
  <c r="AB914" i="11"/>
  <c r="AB876" i="11"/>
  <c r="AB933" i="11"/>
  <c r="AB934" i="11"/>
  <c r="AB874" i="11"/>
  <c r="AB865" i="11"/>
  <c r="AB920" i="11"/>
  <c r="AB857" i="11"/>
  <c r="AB887" i="11"/>
  <c r="AB904" i="11"/>
  <c r="AB879" i="11"/>
  <c r="AB899" i="11"/>
  <c r="AB884" i="11"/>
  <c r="F26" i="2"/>
  <c r="AD26" i="3"/>
  <c r="I1039" i="11" s="1"/>
  <c r="Q1986" i="11"/>
  <c r="W1986" i="11" s="1"/>
  <c r="AB1986"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85" i="11"/>
  <c r="Q23" i="2"/>
  <c r="AF2010" i="11"/>
  <c r="W2010" i="11" s="1"/>
  <c r="AB2010" i="11" s="1"/>
  <c r="AD2015" i="11" s="1"/>
  <c r="K2015" i="11" s="1"/>
  <c r="Q52" i="2"/>
  <c r="AF2014" i="11"/>
  <c r="W2014" i="11" s="1"/>
  <c r="AB2014" i="11" s="1"/>
  <c r="AD2012" i="11" s="1"/>
  <c r="K2012" i="11" s="1"/>
  <c r="Q56" i="2"/>
  <c r="O12" i="6"/>
  <c r="O12" i="8"/>
  <c r="H21" i="4"/>
  <c r="Q22" i="2"/>
  <c r="Q58" i="2"/>
  <c r="AF1985" i="11"/>
  <c r="Q27" i="2"/>
  <c r="Q25" i="2"/>
  <c r="Q26" i="2"/>
  <c r="H1100" i="11" l="1"/>
  <c r="F50" i="10" s="1"/>
  <c r="S50" i="14"/>
  <c r="AV48" i="4"/>
  <c r="N1984" i="11"/>
  <c r="AD1988" i="11"/>
  <c r="K1988" i="11" s="1"/>
  <c r="AD2018" i="11"/>
  <c r="K2018" i="11" s="1"/>
  <c r="N1996" i="11"/>
  <c r="N1982" i="11"/>
  <c r="AD1987" i="11"/>
  <c r="K1987" i="11" s="1"/>
  <c r="Z935" i="11"/>
  <c r="J21" i="4"/>
  <c r="AV53" i="4" s="1"/>
  <c r="I21" i="4"/>
  <c r="AV49" i="4" s="1"/>
  <c r="AD1986" i="11"/>
  <c r="K1986" i="11" s="1"/>
  <c r="N2020" i="11"/>
  <c r="AD2008" i="11"/>
  <c r="K2008" i="11" s="1"/>
  <c r="AD2028" i="11"/>
  <c r="K2028"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10" i="11"/>
  <c r="K2010" i="11" s="1"/>
  <c r="Z873" i="11"/>
  <c r="N2010" i="11"/>
  <c r="AD2016" i="11"/>
  <c r="K2016" i="11" s="1"/>
  <c r="N1986" i="11"/>
  <c r="N1981" i="11"/>
  <c r="AD2011" i="11"/>
  <c r="K2011" i="11" s="1"/>
  <c r="AD1980" i="11"/>
  <c r="K1980" i="11" s="1"/>
  <c r="N2014" i="11"/>
  <c r="AD2013" i="11"/>
  <c r="K2013" i="11" s="1"/>
  <c r="AD2033" i="11"/>
  <c r="K2033" i="11" s="1"/>
  <c r="AT23" i="4"/>
  <c r="I1005" i="11" s="1"/>
  <c r="Z891" i="11"/>
  <c r="V62" i="3" s="1"/>
  <c r="Z852" i="11"/>
  <c r="Z912" i="11"/>
  <c r="Z886" i="11"/>
  <c r="Z874" i="11"/>
  <c r="Z901" i="11"/>
  <c r="Z855" i="11"/>
  <c r="Z911" i="11"/>
  <c r="Z898" i="11"/>
  <c r="W1985" i="11"/>
  <c r="AB1985" i="11" s="1"/>
  <c r="AD2022" i="11" s="1"/>
  <c r="K2022" i="11" s="1"/>
  <c r="I994" i="11"/>
  <c r="I1006" i="11"/>
  <c r="I998" i="11"/>
  <c r="I993" i="11"/>
  <c r="AD2017" i="11"/>
  <c r="K2017" i="11" s="1"/>
  <c r="I996" i="11"/>
  <c r="K51" i="14"/>
  <c r="Z903" i="11"/>
  <c r="Z904" i="11"/>
  <c r="AC111" i="9" l="1"/>
  <c r="AC127" i="9"/>
  <c r="AV52" i="4"/>
  <c r="AH95" i="9"/>
  <c r="AC95" i="9"/>
  <c r="H24" i="2"/>
  <c r="Z29" i="3"/>
  <c r="V61" i="3"/>
  <c r="V60" i="3"/>
  <c r="I1010" i="11"/>
  <c r="I1003" i="11"/>
  <c r="I1000" i="11"/>
  <c r="N1985" i="11"/>
  <c r="N2036" i="11" s="1"/>
  <c r="D98" i="10" s="1"/>
  <c r="AD2023" i="11"/>
  <c r="K2023" i="11" s="1"/>
  <c r="K2036" i="11" s="1"/>
  <c r="H26" i="2"/>
  <c r="H562" i="11"/>
  <c r="F234" i="11" s="1"/>
  <c r="F54" i="2" s="1"/>
  <c r="C54" i="2" s="1"/>
  <c r="Q236" i="11"/>
  <c r="T236" i="11"/>
  <c r="T260" i="11"/>
  <c r="Q260" i="11"/>
  <c r="H2045" i="1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V639" i="11"/>
  <c r="V84" i="3"/>
  <c r="V85" i="3"/>
  <c r="AA41" i="3"/>
  <c r="D22" i="5" s="1"/>
  <c r="AA40" i="3"/>
  <c r="D20" i="5" s="1"/>
  <c r="AA36" i="3"/>
  <c r="D12" i="5" s="1"/>
  <c r="AA39" i="3"/>
  <c r="D18" i="5" s="1"/>
  <c r="AA38" i="3"/>
  <c r="D16" i="5" s="1"/>
  <c r="AA37" i="3"/>
  <c r="D14" i="5" s="1"/>
  <c r="AI64" i="11"/>
  <c r="I1022" i="11"/>
  <c r="I1021" i="11"/>
  <c r="I1023" i="11"/>
  <c r="BL639" i="11"/>
  <c r="K194" i="3"/>
  <c r="AA194" i="3" s="1"/>
  <c r="T194" i="3" s="1"/>
  <c r="BG639" i="11"/>
  <c r="BG640" i="11" s="1"/>
  <c r="BT639" i="11"/>
  <c r="BU639" i="11"/>
  <c r="BU640" i="11" s="1"/>
  <c r="L30" i="14"/>
  <c r="F16" i="10"/>
  <c r="AQ639" i="11"/>
  <c r="AX639" i="11"/>
  <c r="AS639" i="11"/>
  <c r="AR639" i="11"/>
  <c r="AA26" i="2"/>
  <c r="BF639" i="11"/>
  <c r="K12" i="2"/>
  <c r="E20" i="2"/>
  <c r="I1008" i="11"/>
  <c r="AI65" i="11"/>
  <c r="I1024" i="11"/>
  <c r="I1027" i="11"/>
  <c r="I1020" i="11"/>
  <c r="I1029" i="11"/>
  <c r="Z937" i="11"/>
  <c r="I1025" i="11"/>
  <c r="I1007" i="11"/>
  <c r="I1014" i="11"/>
  <c r="I1026" i="11"/>
  <c r="Z931" i="11"/>
  <c r="I1017" i="11"/>
  <c r="I1001" i="11"/>
  <c r="Z907" i="11"/>
  <c r="V65" i="3" s="1"/>
  <c r="I999" i="11"/>
  <c r="Z915" i="11"/>
  <c r="I1012" i="11"/>
  <c r="Z917" i="11"/>
  <c r="I1018" i="11"/>
  <c r="V82" i="3" s="1"/>
  <c r="Z928" i="11"/>
  <c r="V59" i="3" s="1"/>
  <c r="Z927" i="11"/>
  <c r="I1015" i="11"/>
  <c r="I1030" i="11"/>
  <c r="Z919" i="11"/>
  <c r="Z909" i="11"/>
  <c r="V64" i="3" s="1"/>
  <c r="Z913" i="11"/>
  <c r="I1031" i="11"/>
  <c r="I1016" i="11"/>
  <c r="I1002" i="11"/>
  <c r="Z924" i="11"/>
  <c r="I995" i="11"/>
  <c r="I1019" i="11"/>
  <c r="I1004" i="11"/>
  <c r="Z921" i="11"/>
  <c r="Z925" i="11"/>
  <c r="I1028" i="11"/>
  <c r="BM639" i="11"/>
  <c r="AL639" i="11"/>
  <c r="BN639" i="11"/>
  <c r="AK639" i="11"/>
  <c r="AZ639" i="11"/>
  <c r="AY639" i="11"/>
  <c r="AJ639" i="11"/>
  <c r="BE639" i="11"/>
  <c r="BS639" i="11"/>
  <c r="AK640" i="11" l="1"/>
  <c r="BT640" i="11"/>
  <c r="BF640" i="11"/>
  <c r="BF641" i="11" s="1"/>
  <c r="AR640" i="11"/>
  <c r="AR641" i="11" s="1"/>
  <c r="AY640" i="11"/>
  <c r="AY641" i="11" s="1"/>
  <c r="BM640" i="11"/>
  <c r="BM641" i="11" s="1"/>
  <c r="AC37" i="10"/>
  <c r="E20" i="5"/>
  <c r="E22" i="5"/>
  <c r="AG37" i="10"/>
  <c r="E14" i="5"/>
  <c r="Y37" i="10"/>
  <c r="Q37" i="10"/>
  <c r="E16" i="5"/>
  <c r="E18" i="5"/>
  <c r="M37" i="10"/>
  <c r="R5" i="25"/>
  <c r="E12" i="5"/>
  <c r="U37" i="10"/>
  <c r="D24" i="5"/>
  <c r="I37" i="10" s="1"/>
  <c r="V83" i="3"/>
  <c r="AJ640" i="11"/>
  <c r="BS640" i="11"/>
  <c r="AQ640" i="11"/>
  <c r="BL640" i="11"/>
  <c r="BE640" i="11"/>
  <c r="AX640" i="11"/>
  <c r="V81" i="3"/>
  <c r="AH32" i="1"/>
  <c r="AK32" i="1"/>
  <c r="Q95" i="10"/>
  <c r="BG641" i="11"/>
  <c r="BU641" i="11"/>
  <c r="BU642" i="11" s="1"/>
  <c r="BU643" i="11" s="1"/>
  <c r="BN640" i="11"/>
  <c r="BN641" i="11" s="1"/>
  <c r="AZ640" i="11"/>
  <c r="AS640" i="11"/>
  <c r="AS641" i="11" s="1"/>
  <c r="AL640" i="11"/>
  <c r="BF642" i="11" l="1"/>
  <c r="BF643" i="11" s="1"/>
  <c r="BF644" i="11" s="1"/>
  <c r="AR642" i="11"/>
  <c r="AR643" i="11" s="1"/>
  <c r="AR644" i="11" s="1"/>
  <c r="AK641" i="11"/>
  <c r="AK642" i="11" s="1"/>
  <c r="AK643" i="11" s="1"/>
  <c r="AH638" i="11" s="1"/>
  <c r="V86" i="3"/>
  <c r="BR638" i="11"/>
  <c r="AY642" i="11"/>
  <c r="AY643" i="11" s="1"/>
  <c r="AY644" i="11" s="1"/>
  <c r="BM642" i="11"/>
  <c r="BM643" i="11" s="1"/>
  <c r="BT641" i="11"/>
  <c r="BT642" i="11" s="1"/>
  <c r="E24" i="5"/>
  <c r="AQ641" i="11"/>
  <c r="AQ642" i="11" s="1"/>
  <c r="AX641" i="11"/>
  <c r="AX642" i="11" s="1"/>
  <c r="BE641" i="11"/>
  <c r="BE642" i="11" s="1"/>
  <c r="BL641" i="11"/>
  <c r="BS641" i="11"/>
  <c r="BS642" i="11" s="1"/>
  <c r="AJ641" i="11"/>
  <c r="AJ642" i="11" s="1"/>
  <c r="AJ643" i="11"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M645" i="11" s="1"/>
  <c r="BM646" i="11" s="1"/>
  <c r="BJ638" i="11"/>
  <c r="BT643" i="11"/>
  <c r="AG638" i="11"/>
  <c r="BE643" i="11"/>
  <c r="BB638" i="11" s="1"/>
  <c r="AX643" i="11"/>
  <c r="AU638" i="11" s="1"/>
  <c r="BS643" i="11"/>
  <c r="AQ643" i="11"/>
  <c r="BL642" i="11"/>
  <c r="AJ644" i="11"/>
  <c r="AR647" i="11"/>
  <c r="BG644" i="11"/>
  <c r="BD639" i="11" s="1"/>
  <c r="AK645" i="11"/>
  <c r="AK646" i="11" s="1"/>
  <c r="BF645" i="11"/>
  <c r="BF646" i="11" s="1"/>
  <c r="AY645" i="11"/>
  <c r="AZ643" i="11"/>
  <c r="AZ644" i="11" s="1"/>
  <c r="AL643" i="11"/>
  <c r="AI638" i="11" s="1"/>
  <c r="BN644" i="11"/>
  <c r="BK639" i="11" s="1"/>
  <c r="AS643" i="11"/>
  <c r="AP638" i="11" s="1"/>
  <c r="BU646" i="11"/>
  <c r="BM647" i="11" l="1"/>
  <c r="AN638" i="11"/>
  <c r="AX644" i="11"/>
  <c r="AX645" i="11" s="1"/>
  <c r="AX646" i="11" s="1"/>
  <c r="AX647" i="11" s="1"/>
  <c r="AW638" i="11"/>
  <c r="AQ644" i="11"/>
  <c r="AQ645" i="11" s="1"/>
  <c r="AQ646" i="11" s="1"/>
  <c r="AQ647" i="11" s="1"/>
  <c r="BE644" i="11"/>
  <c r="BE645" i="11" s="1"/>
  <c r="BE646" i="11" s="1"/>
  <c r="BQ638" i="11"/>
  <c r="BT644" i="11"/>
  <c r="AR648" i="11"/>
  <c r="AR649" i="11"/>
  <c r="AY646" i="11"/>
  <c r="AY647" i="11" s="1"/>
  <c r="AY648" i="11" s="1"/>
  <c r="BP638" i="11"/>
  <c r="AJ645" i="11"/>
  <c r="AJ646" i="11" s="1"/>
  <c r="AW639" i="11"/>
  <c r="BS644" i="11"/>
  <c r="BL643" i="11"/>
  <c r="BG645" i="11"/>
  <c r="BF647" i="11"/>
  <c r="AK647"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R651" i="11" s="1"/>
  <c r="AY649" i="11"/>
  <c r="BF648" i="11"/>
  <c r="BM653" i="11"/>
  <c r="BM649" i="11"/>
  <c r="AY650" i="11"/>
  <c r="BM650" i="11"/>
  <c r="BI638" i="11"/>
  <c r="AX648" i="11"/>
  <c r="BS645" i="11"/>
  <c r="AQ648" i="11"/>
  <c r="BG646" i="11"/>
  <c r="BG647" i="11" s="1"/>
  <c r="AS645" i="11"/>
  <c r="BE649" i="11"/>
  <c r="BE650" i="11" s="1"/>
  <c r="AK648" i="11"/>
  <c r="BM651" i="11"/>
  <c r="BN646" i="11"/>
  <c r="AL645" i="11"/>
  <c r="BU648" i="11"/>
  <c r="AZ648" i="11"/>
  <c r="AR652" i="11" l="1"/>
  <c r="BS646" i="11"/>
  <c r="BS647" i="11" s="1"/>
  <c r="AQ649" i="11"/>
  <c r="AJ649" i="11"/>
  <c r="AQ650" i="11"/>
  <c r="AX649" i="11"/>
  <c r="BM652" i="11"/>
  <c r="BT646" i="11"/>
  <c r="BT647" i="11" s="1"/>
  <c r="BF649" i="11"/>
  <c r="BT650" i="11"/>
  <c r="AY651" i="11"/>
  <c r="AY652" i="11" s="1"/>
  <c r="AK649" i="11"/>
  <c r="AR653" i="11"/>
  <c r="BL648" i="11"/>
  <c r="AS646" i="11"/>
  <c r="AS647" i="11" s="1"/>
  <c r="BN647" i="11"/>
  <c r="BN648" i="11" s="1"/>
  <c r="BM654" i="11"/>
  <c r="BE651" i="11"/>
  <c r="BE652" i="11" s="1"/>
  <c r="BE653" i="11" s="1"/>
  <c r="AJ682" i="11"/>
  <c r="BU649" i="11"/>
  <c r="AL646" i="11"/>
  <c r="BG648" i="11"/>
  <c r="AZ649" i="11"/>
  <c r="AQ651" i="11" l="1"/>
  <c r="BS648" i="11"/>
  <c r="AJ650" i="11"/>
  <c r="AJ651" i="11" s="1"/>
  <c r="AJ652" i="11" s="1"/>
  <c r="AJ653" i="11" s="1"/>
  <c r="BS649" i="11"/>
  <c r="AX650" i="11"/>
  <c r="BL649" i="11"/>
  <c r="BL650" i="11" s="1"/>
  <c r="AS648" i="11"/>
  <c r="BT648" i="11"/>
  <c r="AY653" i="11"/>
  <c r="BM655" i="11"/>
  <c r="BF650" i="11"/>
  <c r="AK650" i="11"/>
  <c r="BT653" i="11"/>
  <c r="AR654" i="11"/>
  <c r="BE654" i="11"/>
  <c r="BN649" i="11"/>
  <c r="BN650" i="11" s="1"/>
  <c r="BM656" i="11"/>
  <c r="BM657" i="11" s="1"/>
  <c r="BG649" i="11"/>
  <c r="BU650" i="11"/>
  <c r="AL647" i="11"/>
  <c r="AZ650" i="11"/>
  <c r="BT649" i="11" l="1"/>
  <c r="BT651" i="11" s="1"/>
  <c r="BT652" i="11" s="1"/>
  <c r="AX651" i="11"/>
  <c r="AX652" i="11" s="1"/>
  <c r="AX653" i="11" s="1"/>
  <c r="AX654" i="11" s="1"/>
  <c r="AQ652" i="11"/>
  <c r="AQ653" i="11" s="1"/>
  <c r="AJ654" i="11"/>
  <c r="AJ655" i="11" s="1"/>
  <c r="AJ656" i="11" s="1"/>
  <c r="AJ657" i="11" s="1"/>
  <c r="BE655" i="11"/>
  <c r="BE656" i="11" s="1"/>
  <c r="AQ655" i="11"/>
  <c r="BL651" i="11"/>
  <c r="AS649" i="11"/>
  <c r="AS650" i="11" s="1"/>
  <c r="AS651" i="11" s="1"/>
  <c r="BS650" i="11"/>
  <c r="BE658" i="11"/>
  <c r="BM658" i="11"/>
  <c r="AY656" i="11"/>
  <c r="AK651" i="11"/>
  <c r="BF651" i="11"/>
  <c r="BT654" i="11"/>
  <c r="AR655" i="11"/>
  <c r="AY654" i="11"/>
  <c r="AY655" i="11" s="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Q654" i="11" l="1"/>
  <c r="AJ659" i="11"/>
  <c r="AJ660" i="11" s="1"/>
  <c r="AJ661" i="11" s="1"/>
  <c r="AJ662" i="11" s="1"/>
  <c r="AJ663" i="11" s="1"/>
  <c r="BE657" i="11"/>
  <c r="BE659" i="11" s="1"/>
  <c r="BE660" i="11" s="1"/>
  <c r="BL652" i="1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Q656" i="11" l="1"/>
  <c r="AQ657" i="11" s="1"/>
  <c r="BL653" i="11"/>
  <c r="BL654" i="11" s="1"/>
  <c r="BL655" i="11" s="1"/>
  <c r="BE662" i="11"/>
  <c r="AX656" i="11"/>
  <c r="AX657" i="11" s="1"/>
  <c r="AX658"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BD643" i="11"/>
  <c r="BS652" i="11"/>
  <c r="BS653" i="11" s="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J666" i="11"/>
  <c r="AJ667" i="11" s="1"/>
  <c r="BK677" i="11"/>
  <c r="BK641" i="11"/>
  <c r="BL658" i="11"/>
  <c r="BE663" i="11"/>
  <c r="BE664" i="11" s="1"/>
  <c r="BK645" i="11"/>
  <c r="BK643" i="11"/>
  <c r="BK644" i="11"/>
  <c r="BK646" i="11"/>
  <c r="BR637" i="11"/>
  <c r="AD48" i="3" s="1"/>
  <c r="AL16" i="4" s="1"/>
  <c r="D2075"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59" i="11" l="1"/>
  <c r="AQ660" i="11" s="1"/>
  <c r="BL656" i="11"/>
  <c r="BL657" i="11" s="1"/>
  <c r="BL659" i="11" s="1"/>
  <c r="BL660" i="11" s="1"/>
  <c r="AZ656" i="11"/>
  <c r="AZ657" i="11" s="1"/>
  <c r="AX659" i="11"/>
  <c r="AX660" i="11" s="1"/>
  <c r="BS654" i="11"/>
  <c r="BD637" i="11"/>
  <c r="AX661" i="11"/>
  <c r="AY661" i="11"/>
  <c r="BM668" i="11"/>
  <c r="BF654" i="11"/>
  <c r="AK654" i="11"/>
  <c r="AR662" i="11"/>
  <c r="BT657" i="11"/>
  <c r="BM667" i="11"/>
  <c r="AJ668" i="11"/>
  <c r="E2075" i="11"/>
  <c r="BL661"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7" i="3" s="1"/>
  <c r="AL15" i="4" s="1"/>
  <c r="D2074" i="11" s="1"/>
  <c r="E2074" i="11" s="1"/>
  <c r="T265" i="11"/>
  <c r="Q265" i="11"/>
  <c r="Q266" i="11"/>
  <c r="T266" i="11"/>
  <c r="AA27" i="2"/>
  <c r="T264" i="11"/>
  <c r="Q264" i="11"/>
  <c r="AQ661" i="11" l="1"/>
  <c r="AQ662" i="11" s="1"/>
  <c r="AQ663" i="11" s="1"/>
  <c r="AA12" i="1"/>
  <c r="AC12" i="1"/>
  <c r="BL662" i="11"/>
  <c r="BL663" i="11" s="1"/>
  <c r="BL664" i="11" s="1"/>
  <c r="BS655" i="1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T34" i="2" s="1"/>
  <c r="O6" i="2"/>
  <c r="F11" i="10"/>
  <c r="AF35" i="2" l="1"/>
  <c r="AT36" i="2"/>
  <c r="D65" i="2" s="1"/>
  <c r="X14" i="1"/>
  <c r="BE668" i="11"/>
  <c r="BE669" i="11" s="1"/>
  <c r="AX664" i="11"/>
  <c r="AX665" i="11" s="1"/>
  <c r="AX666" i="11" s="1"/>
  <c r="AX667" i="11" s="1"/>
  <c r="G234" i="11"/>
  <c r="C234" i="11" s="1"/>
  <c r="J34" i="2" s="1"/>
  <c r="AQ667" i="11"/>
  <c r="AQ668" i="11" s="1"/>
  <c r="AJ670" i="11"/>
  <c r="AJ672" i="11" s="1"/>
  <c r="BS661" i="11"/>
  <c r="BM671" i="11"/>
  <c r="BM672" i="11" s="1"/>
  <c r="AY663" i="11"/>
  <c r="AR664" i="11"/>
  <c r="AR665" i="11" s="1"/>
  <c r="BF656" i="11"/>
  <c r="BM673" i="1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M736" i="26" l="1"/>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BM674" i="11"/>
  <c r="BM675" i="11" s="1"/>
  <c r="X37" i="26"/>
  <c r="M838" i="26"/>
  <c r="G838" i="26" s="1"/>
  <c r="BL668" i="11"/>
  <c r="BL669" i="11" s="1"/>
  <c r="BS662" i="11"/>
  <c r="BS663" i="11" s="1"/>
  <c r="BS664" i="11" s="1"/>
  <c r="AQ669" i="11"/>
  <c r="AX668" i="11"/>
  <c r="AX669" i="11" s="1"/>
  <c r="AJ673" i="11"/>
  <c r="M829" i="26"/>
  <c r="G829" i="26" s="1"/>
  <c r="M724" i="26"/>
  <c r="G724" i="26" s="1"/>
  <c r="M667" i="26"/>
  <c r="G667" i="26" s="1"/>
  <c r="X50" i="26"/>
  <c r="M673" i="26"/>
  <c r="G673" i="26" s="1"/>
  <c r="AR666" i="11"/>
  <c r="AR667" i="11" s="1"/>
  <c r="AR669" i="11"/>
  <c r="AR668" i="11"/>
  <c r="AW645" i="11"/>
  <c r="AW642" i="11"/>
  <c r="AW643" i="11"/>
  <c r="BT662" i="11"/>
  <c r="AY664" i="11"/>
  <c r="AW644" i="11"/>
  <c r="AK657" i="11"/>
  <c r="BF657"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U12" i="25" l="1"/>
  <c r="AM43" i="25"/>
  <c r="BM676" i="11"/>
  <c r="BM677" i="11" s="1"/>
  <c r="AJ59" i="5"/>
  <c r="AB59" i="5"/>
  <c r="AJ51" i="5"/>
  <c r="AJ27" i="5"/>
  <c r="AB27" i="5"/>
  <c r="AJ35" i="5"/>
  <c r="AJ43" i="5"/>
  <c r="AB35" i="5"/>
  <c r="AB43" i="5"/>
  <c r="AB51" i="5"/>
  <c r="AQ670" i="11"/>
  <c r="BS665" i="11"/>
  <c r="AX670" i="11"/>
  <c r="AJ674" i="11"/>
  <c r="BE672" i="11"/>
  <c r="BE673" i="11" s="1"/>
  <c r="AQ672" i="11"/>
  <c r="BF658" i="11"/>
  <c r="BF659" i="11" s="1"/>
  <c r="AY665" i="11"/>
  <c r="AK658" i="11"/>
  <c r="AK659" i="11" s="1"/>
  <c r="BT663" i="11"/>
  <c r="AR670" i="11"/>
  <c r="BL670" i="11"/>
  <c r="BL672" i="11" s="1"/>
  <c r="AW637" i="11"/>
  <c r="AL658" i="11"/>
  <c r="BM678" i="11" l="1"/>
  <c r="BM679" i="11" s="1"/>
  <c r="BM680" i="11" s="1"/>
  <c r="AJ675" i="11"/>
  <c r="AJ676" i="11" s="1"/>
  <c r="AJ677" i="11" s="1"/>
  <c r="AJ678" i="11" s="1"/>
  <c r="E29" i="5"/>
  <c r="C31" i="5" s="1"/>
  <c r="AX672" i="11"/>
  <c r="BS666" i="11"/>
  <c r="AQ673" i="11"/>
  <c r="AQ674" i="11" s="1"/>
  <c r="BE674" i="11"/>
  <c r="BE675" i="11" s="1"/>
  <c r="BE676" i="11" s="1"/>
  <c r="AX674" i="11"/>
  <c r="BL673" i="11"/>
  <c r="AM33" i="25"/>
  <c r="D43" i="25" s="1"/>
  <c r="F656" i="26"/>
  <c r="G656" i="26" s="1"/>
  <c r="AX681" i="11"/>
  <c r="AK660" i="11"/>
  <c r="BF660" i="11"/>
  <c r="BF661" i="11" s="1"/>
  <c r="BF662" i="11" s="1"/>
  <c r="BF663" i="11" s="1"/>
  <c r="BF664" i="11" s="1"/>
  <c r="AY666" i="11"/>
  <c r="AR671" i="11"/>
  <c r="AR672" i="11" s="1"/>
  <c r="BT664" i="11"/>
  <c r="BE677" i="11"/>
  <c r="AL659" i="11"/>
  <c r="BF665" i="11" l="1"/>
  <c r="BF666" i="11" s="1"/>
  <c r="AJ679" i="11"/>
  <c r="AJ680" i="11" s="1"/>
  <c r="BS667" i="11"/>
  <c r="AX673" i="11"/>
  <c r="AX675" i="11" s="1"/>
  <c r="AX676" i="11" s="1"/>
  <c r="AX677" i="11"/>
  <c r="AQ675" i="11"/>
  <c r="AQ676" i="11" s="1"/>
  <c r="AJ681" i="11"/>
  <c r="BE678" i="11"/>
  <c r="BE679" i="11" s="1"/>
  <c r="BL674" i="11"/>
  <c r="BL675" i="11" s="1"/>
  <c r="AX678" i="11"/>
  <c r="BM681" i="11"/>
  <c r="BM682" i="11" s="1"/>
  <c r="AR673" i="11"/>
  <c r="AR674" i="11" s="1"/>
  <c r="AR675" i="11" s="1"/>
  <c r="AR676" i="11" s="1"/>
  <c r="AR677" i="11" s="1"/>
  <c r="AR678" i="11" s="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BS669" i="11" l="1"/>
  <c r="BS668" i="11"/>
  <c r="AX679" i="11"/>
  <c r="AX680" i="11" s="1"/>
  <c r="AX684" i="11" s="1"/>
  <c r="AX685" i="11" s="1"/>
  <c r="AX686" i="11" s="1"/>
  <c r="AQ677" i="11"/>
  <c r="AJ684" i="11"/>
  <c r="AJ685" i="11" s="1"/>
  <c r="AJ686" i="11" s="1"/>
  <c r="AJ687" i="11" s="1"/>
  <c r="AJ688" i="11" s="1"/>
  <c r="AJ689" i="11" s="1"/>
  <c r="AQ678" i="11"/>
  <c r="BE680" i="11"/>
  <c r="BE684" i="11" s="1"/>
  <c r="BE685" i="11" s="1"/>
  <c r="BL676" i="11"/>
  <c r="BS672" i="1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S670" i="11" l="1"/>
  <c r="BS673" i="11" s="1"/>
  <c r="AQ679" i="11"/>
  <c r="AQ680" i="11" s="1"/>
  <c r="BL677" i="11"/>
  <c r="BL678" i="11" s="1"/>
  <c r="BL679" i="11" s="1"/>
  <c r="BL680" i="11" s="1"/>
  <c r="AJ690" i="11"/>
  <c r="AJ691" i="11" s="1"/>
  <c r="BS674" i="11"/>
  <c r="AX687" i="11"/>
  <c r="BF672" i="11"/>
  <c r="BF673" i="11" s="1"/>
  <c r="BE686" i="11"/>
  <c r="AR682" i="11"/>
  <c r="AR683" i="11" s="1"/>
  <c r="AR684" i="11" s="1"/>
  <c r="AR685" i="11" s="1"/>
  <c r="AR686" i="11" s="1"/>
  <c r="AR687" i="11" s="1"/>
  <c r="AR688" i="11" s="1"/>
  <c r="AR689" i="11" s="1"/>
  <c r="AR690" i="11" s="1"/>
  <c r="AK663" i="11"/>
  <c r="BT667" i="11"/>
  <c r="BF686" i="11"/>
  <c r="AY669" i="11"/>
  <c r="BM685" i="11"/>
  <c r="AI637" i="11"/>
  <c r="AD43" i="3" s="1"/>
  <c r="AL11" i="4" s="1"/>
  <c r="D2070" i="11" s="1"/>
  <c r="AQ20" i="2"/>
  <c r="AS20" i="2" s="1"/>
  <c r="BS675" i="11" l="1"/>
  <c r="BF674" i="11"/>
  <c r="BF675" i="11" s="1"/>
  <c r="BF676" i="11" s="1"/>
  <c r="BF677" i="11" s="1"/>
  <c r="BF678" i="11" s="1"/>
  <c r="BF679" i="11" s="1"/>
  <c r="AQ681" i="11"/>
  <c r="AJ692" i="11"/>
  <c r="BS676" i="11"/>
  <c r="BL681" i="11"/>
  <c r="AX688" i="11"/>
  <c r="AX689" i="11" s="1"/>
  <c r="BE687" i="11"/>
  <c r="AR691" i="11"/>
  <c r="BM686" i="11"/>
  <c r="BM687" i="11"/>
  <c r="BM688" i="11"/>
  <c r="BM689" i="11" s="1"/>
  <c r="BF687" i="11"/>
  <c r="BT669" i="11"/>
  <c r="BT668" i="11"/>
  <c r="AY670" i="11"/>
  <c r="AK664" i="11"/>
  <c r="E2070" i="11"/>
  <c r="U58" i="11"/>
  <c r="BS677" i="11" l="1"/>
  <c r="U63" i="11"/>
  <c r="T65" i="11" s="1"/>
  <c r="S93" i="10" s="1"/>
  <c r="AQ684" i="11"/>
  <c r="AQ685" i="11" s="1"/>
  <c r="AQ686" i="11" s="1"/>
  <c r="AQ687" i="11" s="1"/>
  <c r="BS678" i="11"/>
  <c r="AJ693" i="11"/>
  <c r="BL684" i="11"/>
  <c r="BL685" i="11" s="1"/>
  <c r="BL686" i="11" s="1"/>
  <c r="AJ711" i="11"/>
  <c r="AX690" i="11"/>
  <c r="AX691" i="11" s="1"/>
  <c r="BE688" i="11"/>
  <c r="BF680" i="11"/>
  <c r="BF681" i="11" s="1"/>
  <c r="AX702" i="11"/>
  <c r="AR692" i="11"/>
  <c r="BE702" i="11"/>
  <c r="AK665" i="11"/>
  <c r="AY671" i="11"/>
  <c r="AY672" i="11" s="1"/>
  <c r="BT670" i="11"/>
  <c r="BM690" i="11"/>
  <c r="J16" i="2"/>
  <c r="K17" i="2" s="1"/>
  <c r="BS679" i="11" l="1"/>
  <c r="BS680" i="11" s="1"/>
  <c r="BF682" i="11"/>
  <c r="AJ694" i="11"/>
  <c r="AX692" i="11"/>
  <c r="AX693" i="11" s="1"/>
  <c r="AX694" i="11" s="1"/>
  <c r="AQ688" i="11"/>
  <c r="AQ689" i="11" s="1"/>
  <c r="AQ690" i="11" s="1"/>
  <c r="AQ691" i="11" s="1"/>
  <c r="BL687" i="11"/>
  <c r="BL688" i="11" s="1"/>
  <c r="AQ702" i="11"/>
  <c r="BS681" i="11"/>
  <c r="BE689" i="11"/>
  <c r="AR693" i="11"/>
  <c r="BT671" i="11"/>
  <c r="BM691" i="11"/>
  <c r="AY673" i="11"/>
  <c r="AK666" i="11"/>
  <c r="BF689" i="11"/>
  <c r="BF683" i="11" l="1"/>
  <c r="BF684" i="11" s="1"/>
  <c r="BS684" i="11"/>
  <c r="BS685" i="11" s="1"/>
  <c r="BS686" i="11" s="1"/>
  <c r="BE690" i="11"/>
  <c r="BE691" i="11" s="1"/>
  <c r="AX695" i="11"/>
  <c r="AQ692" i="11"/>
  <c r="AQ693" i="11" s="1"/>
  <c r="AJ695" i="11"/>
  <c r="AJ696" i="11" s="1"/>
  <c r="BE692" i="11"/>
  <c r="BL689" i="11"/>
  <c r="BL690" i="11" s="1"/>
  <c r="BL691" i="11" s="1"/>
  <c r="BL692" i="11" s="1"/>
  <c r="BS702" i="11"/>
  <c r="AR694" i="11"/>
  <c r="AR695" i="11" s="1"/>
  <c r="BT672" i="11"/>
  <c r="BT673" i="11" s="1"/>
  <c r="BT674" i="11" s="1"/>
  <c r="BT675" i="11" s="1"/>
  <c r="BT676" i="11" s="1"/>
  <c r="AK667" i="11"/>
  <c r="BM692" i="11"/>
  <c r="AR703" i="11"/>
  <c r="AK668" i="11"/>
  <c r="AY674" i="11"/>
  <c r="BF685" i="11" l="1"/>
  <c r="BF688" i="11" s="1"/>
  <c r="BE693" i="11"/>
  <c r="BE694" i="11" s="1"/>
  <c r="BE695" i="11" s="1"/>
  <c r="AX696" i="11"/>
  <c r="AX697" i="11" s="1"/>
  <c r="AX698" i="11" s="1"/>
  <c r="AJ697" i="11"/>
  <c r="BS687" i="11"/>
  <c r="BS688" i="11" s="1"/>
  <c r="BS689" i="11" s="1"/>
  <c r="BS690" i="11" s="1"/>
  <c r="AQ694" i="11"/>
  <c r="AQ695" i="11" s="1"/>
  <c r="AQ696" i="11" s="1"/>
  <c r="AJ698" i="11"/>
  <c r="AR696" i="11"/>
  <c r="AR697" i="11" s="1"/>
  <c r="AX699" i="11"/>
  <c r="BT677" i="11"/>
  <c r="BT678" i="11" s="1"/>
  <c r="AY675" i="11"/>
  <c r="BM693" i="11"/>
  <c r="AK669" i="11"/>
  <c r="AK670" i="11" s="1"/>
  <c r="BT692" i="11"/>
  <c r="BT693" i="11" s="1"/>
  <c r="BT694" i="11" s="1"/>
  <c r="BL693" i="11"/>
  <c r="BF690" i="11" l="1"/>
  <c r="BF691" i="11" s="1"/>
  <c r="BS691" i="11"/>
  <c r="AR698" i="11"/>
  <c r="AR699" i="11" s="1"/>
  <c r="AR700" i="11" s="1"/>
  <c r="BE696" i="11"/>
  <c r="AX701" i="11"/>
  <c r="AQ697" i="11"/>
  <c r="AQ698" i="11" s="1"/>
  <c r="BE698" i="11"/>
  <c r="AJ699" i="11"/>
  <c r="BS692" i="11"/>
  <c r="BT679" i="11"/>
  <c r="BT680" i="11" s="1"/>
  <c r="BT681" i="11" s="1"/>
  <c r="BT682" i="11" s="1"/>
  <c r="BT683" i="11" s="1"/>
  <c r="BT684" i="11" s="1"/>
  <c r="BT685" i="11" s="1"/>
  <c r="BT686" i="11" s="1"/>
  <c r="BT687" i="11" s="1"/>
  <c r="BT688" i="11" s="1"/>
  <c r="BT689" i="11" s="1"/>
  <c r="BT690" i="11" s="1"/>
  <c r="BT691"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L694" i="11"/>
  <c r="AX703" i="11" l="1"/>
  <c r="AX704" i="11" s="1"/>
  <c r="AX705" i="11" s="1"/>
  <c r="AX706" i="11" s="1"/>
  <c r="AR701" i="11"/>
  <c r="AR702" i="11" s="1"/>
  <c r="AJ701" i="11"/>
  <c r="AJ703" i="11" s="1"/>
  <c r="BE697" i="11"/>
  <c r="BE699" i="11"/>
  <c r="BE701" i="11" s="1"/>
  <c r="BS693" i="11"/>
  <c r="AQ699" i="11"/>
  <c r="AQ701" i="11" s="1"/>
  <c r="AK699" i="11"/>
  <c r="AK700" i="11" s="1"/>
  <c r="AK701" i="11" s="1"/>
  <c r="AK702" i="11" s="1"/>
  <c r="AY677" i="11"/>
  <c r="BF693" i="11"/>
  <c r="BT696" i="11"/>
  <c r="BM695" i="11"/>
  <c r="AK703" i="11"/>
  <c r="BL695" i="11"/>
  <c r="BL696" i="11" s="1"/>
  <c r="BL697" i="11" s="1"/>
  <c r="AX707" i="11" l="1"/>
  <c r="AX708" i="11" s="1"/>
  <c r="AR704" i="11"/>
  <c r="BE703" i="11"/>
  <c r="BL698" i="11"/>
  <c r="BL699" i="11" s="1"/>
  <c r="BL701" i="11" s="1"/>
  <c r="AQ703" i="11"/>
  <c r="AJ704" i="11"/>
  <c r="AJ705" i="11" s="1"/>
  <c r="BS694" i="11"/>
  <c r="BS695" i="11" s="1"/>
  <c r="BS696" i="11" s="1"/>
  <c r="BM696" i="11"/>
  <c r="BM697" i="11" s="1"/>
  <c r="AK704" i="11"/>
  <c r="AK705" i="11" s="1"/>
  <c r="AK706" i="11" s="1"/>
  <c r="BF694" i="11"/>
  <c r="BT697" i="11"/>
  <c r="BT698" i="11" s="1"/>
  <c r="AK711" i="11"/>
  <c r="AR716" i="11"/>
  <c r="AY678" i="11"/>
  <c r="BL702" i="11"/>
  <c r="AR705" i="11" l="1"/>
  <c r="AR707" i="11" s="1"/>
  <c r="AR708" i="11" s="1"/>
  <c r="AR709" i="11" s="1"/>
  <c r="AK707" i="11"/>
  <c r="AK708" i="11" s="1"/>
  <c r="AK709" i="11" s="1"/>
  <c r="BE704" i="11"/>
  <c r="BS697" i="11"/>
  <c r="AJ706" i="11"/>
  <c r="BS698" i="11"/>
  <c r="AQ704" i="11"/>
  <c r="BM698" i="11"/>
  <c r="BM699" i="11" s="1"/>
  <c r="AX709" i="11"/>
  <c r="BF695" i="11"/>
  <c r="AY679" i="11"/>
  <c r="AK712" i="11"/>
  <c r="BT699" i="11"/>
  <c r="BL703" i="11"/>
  <c r="AK710" i="11" l="1"/>
  <c r="AK713" i="11" s="1"/>
  <c r="AR710" i="11"/>
  <c r="AR711" i="11" s="1"/>
  <c r="AR712" i="11" s="1"/>
  <c r="BE705" i="11"/>
  <c r="AQ705" i="11"/>
  <c r="AJ707" i="11"/>
  <c r="BS699" i="11"/>
  <c r="AX710" i="11"/>
  <c r="AX711" i="11" s="1"/>
  <c r="AX712" i="11" s="1"/>
  <c r="AY680" i="11"/>
  <c r="BM700" i="11"/>
  <c r="BT700" i="11"/>
  <c r="AR718" i="11"/>
  <c r="BF696" i="11"/>
  <c r="BL704" i="11"/>
  <c r="BE706" i="11" l="1"/>
  <c r="AR713" i="11"/>
  <c r="AR714" i="11" s="1"/>
  <c r="AR715" i="11" s="1"/>
  <c r="AR717" i="11" s="1"/>
  <c r="BS701" i="11"/>
  <c r="BS703" i="11" s="1"/>
  <c r="AQ706" i="11"/>
  <c r="AQ707" i="11" s="1"/>
  <c r="AJ708" i="11"/>
  <c r="AJ709" i="11" s="1"/>
  <c r="AJ710" i="11" s="1"/>
  <c r="BE711" i="11"/>
  <c r="BE712" i="11" s="1"/>
  <c r="AX714" i="11"/>
  <c r="AY681" i="11"/>
  <c r="AY682" i="11" s="1"/>
  <c r="BF697" i="11"/>
  <c r="BT701" i="11"/>
  <c r="BM701" i="11"/>
  <c r="AK714" i="11"/>
  <c r="BL705" i="11"/>
  <c r="BE707" i="11" l="1"/>
  <c r="BE708" i="11" s="1"/>
  <c r="BE709" i="11" s="1"/>
  <c r="AR719" i="11"/>
  <c r="BL706" i="11"/>
  <c r="BS704" i="11"/>
  <c r="AQ708" i="11"/>
  <c r="AQ709" i="11" s="1"/>
  <c r="AQ710" i="11" s="1"/>
  <c r="AQ711" i="11" s="1"/>
  <c r="AJ712" i="11"/>
  <c r="AX715" i="11"/>
  <c r="BF698" i="11"/>
  <c r="BF699" i="11" s="1"/>
  <c r="AO640" i="11"/>
  <c r="AR720" i="11"/>
  <c r="BT702" i="11"/>
  <c r="AK715" i="11"/>
  <c r="BM702" i="11"/>
  <c r="AY683" i="11"/>
  <c r="BE710" i="11" l="1"/>
  <c r="BE714" i="11" s="1"/>
  <c r="BE715" i="11" s="1"/>
  <c r="BE716" i="11" s="1"/>
  <c r="BE717" i="11" s="1"/>
  <c r="BL707" i="11"/>
  <c r="BL708" i="11" s="1"/>
  <c r="BL709" i="11" s="1"/>
  <c r="BL710" i="11" s="1"/>
  <c r="BL711" i="11" s="1"/>
  <c r="AQ712" i="11"/>
  <c r="AJ714" i="11"/>
  <c r="BS705" i="11"/>
  <c r="AX716" i="11"/>
  <c r="AX717" i="11" s="1"/>
  <c r="BE718" i="11"/>
  <c r="BF700" i="11"/>
  <c r="BM703" i="11"/>
  <c r="AR721" i="11"/>
  <c r="AY684" i="11"/>
  <c r="AK716" i="11"/>
  <c r="BT703" i="11"/>
  <c r="BB639" i="11" l="1"/>
  <c r="AQ714" i="11"/>
  <c r="AQ715" i="11" s="1"/>
  <c r="AQ716" i="11" s="1"/>
  <c r="BL712" i="11"/>
  <c r="BL714" i="11" s="1"/>
  <c r="BS706" i="11"/>
  <c r="BS707" i="11" s="1"/>
  <c r="BS708" i="11" s="1"/>
  <c r="BS709" i="11" s="1"/>
  <c r="AJ715" i="11"/>
  <c r="BE719" i="11"/>
  <c r="BE720" i="11" s="1"/>
  <c r="BE721" i="11" s="1"/>
  <c r="BE722" i="11" s="1"/>
  <c r="BE723" i="11" s="1"/>
  <c r="BE724" i="11" s="1"/>
  <c r="BE725" i="11" s="1"/>
  <c r="BE726" i="11" s="1"/>
  <c r="BE727" i="11" s="1"/>
  <c r="BE728" i="11" s="1"/>
  <c r="AX718" i="11"/>
  <c r="AX719" i="11" s="1"/>
  <c r="BT704" i="11"/>
  <c r="AY685" i="11"/>
  <c r="AR722" i="11"/>
  <c r="BM704" i="11"/>
  <c r="BF701" i="11"/>
  <c r="AK717" i="11"/>
  <c r="AQ717" i="11" l="1"/>
  <c r="BE729" i="11"/>
  <c r="BE730" i="11" s="1"/>
  <c r="BL715" i="11"/>
  <c r="BL716" i="11" s="1"/>
  <c r="AJ716" i="11"/>
  <c r="AJ717" i="11" s="1"/>
  <c r="AQ718" i="11"/>
  <c r="BS710" i="11"/>
  <c r="AX720" i="11"/>
  <c r="AK718" i="11"/>
  <c r="AR723" i="11"/>
  <c r="AY686" i="11"/>
  <c r="BF702" i="11"/>
  <c r="BM705" i="11"/>
  <c r="BT705" i="11"/>
  <c r="AQ719" i="11" l="1"/>
  <c r="AN640" i="11" s="1"/>
  <c r="BS711" i="11"/>
  <c r="BS712" i="11" s="1"/>
  <c r="BE731" i="11"/>
  <c r="BE732" i="11" s="1"/>
  <c r="BE733" i="11" s="1"/>
  <c r="BE734" i="11" s="1"/>
  <c r="BE735" i="11" s="1"/>
  <c r="BE736" i="11" s="1"/>
  <c r="AX721" i="11"/>
  <c r="AX722" i="11" s="1"/>
  <c r="AX723" i="11" s="1"/>
  <c r="AJ718" i="11"/>
  <c r="BE737" i="11"/>
  <c r="BT706" i="11"/>
  <c r="BT707" i="11" s="1"/>
  <c r="BT708" i="11" s="1"/>
  <c r="BT709" i="11" s="1"/>
  <c r="BT710" i="11" s="1"/>
  <c r="BM706" i="11"/>
  <c r="AY687" i="11"/>
  <c r="BF703" i="11"/>
  <c r="AR724" i="11"/>
  <c r="AK719" i="11"/>
  <c r="AH640" i="11" s="1"/>
  <c r="BL717" i="11"/>
  <c r="BL718" i="11" s="1"/>
  <c r="AQ720" i="11" l="1"/>
  <c r="AQ721" i="11" s="1"/>
  <c r="BS714" i="11"/>
  <c r="BS715" i="11" s="1"/>
  <c r="BE738" i="11"/>
  <c r="BE739" i="11" s="1"/>
  <c r="BE740" i="11" s="1"/>
  <c r="AJ719" i="11"/>
  <c r="AX724" i="11"/>
  <c r="BF704" i="11"/>
  <c r="BF705" i="11" s="1"/>
  <c r="BF706" i="11" s="1"/>
  <c r="BF707" i="11" s="1"/>
  <c r="BF708" i="11" s="1"/>
  <c r="BF709" i="11" s="1"/>
  <c r="BF710" i="11" s="1"/>
  <c r="AK720" i="11"/>
  <c r="BF711" i="11"/>
  <c r="BF712" i="11" s="1"/>
  <c r="BM707" i="11"/>
  <c r="AR725" i="11"/>
  <c r="AY688" i="11"/>
  <c r="BT711" i="11"/>
  <c r="BL719" i="11"/>
  <c r="BL720" i="11" s="1"/>
  <c r="AQ722" i="11" l="1"/>
  <c r="AQ723" i="11" s="1"/>
  <c r="AQ724" i="11" s="1"/>
  <c r="AQ725" i="11" s="1"/>
  <c r="AQ726" i="11" s="1"/>
  <c r="AQ727" i="11" s="1"/>
  <c r="AQ728" i="11" s="1"/>
  <c r="BS716" i="11"/>
  <c r="BE741" i="11"/>
  <c r="BE742" i="11" s="1"/>
  <c r="BE743" i="11" s="1"/>
  <c r="BE744" i="11" s="1"/>
  <c r="AQ729" i="11"/>
  <c r="AQ730" i="11" s="1"/>
  <c r="AJ720" i="11"/>
  <c r="AX725" i="11"/>
  <c r="BF713" i="11"/>
  <c r="AR726" i="11"/>
  <c r="BT712" i="11"/>
  <c r="BM708" i="11"/>
  <c r="AK721" i="11"/>
  <c r="AY689" i="11"/>
  <c r="BL721" i="11"/>
  <c r="BS718" i="11" l="1"/>
  <c r="BS717" i="11"/>
  <c r="AQ731" i="11"/>
  <c r="AQ732" i="11" s="1"/>
  <c r="AQ733" i="11" s="1"/>
  <c r="AQ734" i="11" s="1"/>
  <c r="AQ735" i="11" s="1"/>
  <c r="BE745" i="11"/>
  <c r="BE746" i="11" s="1"/>
  <c r="BE747" i="11" s="1"/>
  <c r="BE748" i="11" s="1"/>
  <c r="BE749" i="11" s="1"/>
  <c r="AJ721" i="11"/>
  <c r="AX726" i="11"/>
  <c r="AX727" i="11" s="1"/>
  <c r="BF714" i="11"/>
  <c r="AY690" i="11"/>
  <c r="BT713" i="11"/>
  <c r="AK722" i="11"/>
  <c r="AR727" i="11"/>
  <c r="AR728" i="11" s="1"/>
  <c r="BM709" i="11"/>
  <c r="BL722" i="11"/>
  <c r="BF715" i="11" l="1"/>
  <c r="BF716" i="11" s="1"/>
  <c r="BF717" i="11" s="1"/>
  <c r="BF718" i="11" s="1"/>
  <c r="BS719" i="11"/>
  <c r="AQ736" i="11"/>
  <c r="AQ737" i="11" s="1"/>
  <c r="AJ722" i="11"/>
  <c r="AX728" i="11"/>
  <c r="AX729" i="11" s="1"/>
  <c r="BE750" i="11"/>
  <c r="BE751" i="11" s="1"/>
  <c r="BS729" i="11"/>
  <c r="BF720" i="11"/>
  <c r="BM710" i="11"/>
  <c r="AR729" i="11"/>
  <c r="AK723" i="11"/>
  <c r="BT714" i="11"/>
  <c r="AY691" i="11"/>
  <c r="BL723" i="11"/>
  <c r="BS725" i="11" l="1"/>
  <c r="BS720" i="11"/>
  <c r="BF719" i="11"/>
  <c r="BF721" i="11" s="1"/>
  <c r="BS730" i="11"/>
  <c r="BS731" i="11" s="1"/>
  <c r="AQ738" i="11"/>
  <c r="AQ739" i="11" s="1"/>
  <c r="AQ740" i="11" s="1"/>
  <c r="AX730" i="11"/>
  <c r="BE752" i="11"/>
  <c r="BE753" i="11" s="1"/>
  <c r="AJ723" i="11"/>
  <c r="BT715" i="11"/>
  <c r="AK724" i="11"/>
  <c r="BF722" i="11"/>
  <c r="BF723" i="11" s="1"/>
  <c r="BF724" i="11" s="1"/>
  <c r="BM711" i="11"/>
  <c r="BF725" i="11"/>
  <c r="BF726" i="11" s="1"/>
  <c r="BF727" i="11" s="1"/>
  <c r="AY692" i="11"/>
  <c r="AR730" i="11"/>
  <c r="BL724" i="11"/>
  <c r="BS721" i="11" l="1"/>
  <c r="BS722" i="11" s="1"/>
  <c r="BS723" i="11" s="1"/>
  <c r="BS724" i="11" s="1"/>
  <c r="BS726" i="11"/>
  <c r="AQ741" i="11"/>
  <c r="AX731" i="11"/>
  <c r="AX732" i="11" s="1"/>
  <c r="AX733" i="11" s="1"/>
  <c r="AX734" i="11" s="1"/>
  <c r="AJ724" i="11"/>
  <c r="BE754" i="11"/>
  <c r="BF728" i="11"/>
  <c r="BF729" i="11" s="1"/>
  <c r="BF730" i="11" s="1"/>
  <c r="BF731" i="11" s="1"/>
  <c r="BF732" i="11" s="1"/>
  <c r="BF733" i="11" s="1"/>
  <c r="BF734" i="11" s="1"/>
  <c r="BF735" i="11" s="1"/>
  <c r="BF736" i="11" s="1"/>
  <c r="BF737" i="11" s="1"/>
  <c r="AY693" i="11"/>
  <c r="BF738" i="11"/>
  <c r="BF739" i="11" s="1"/>
  <c r="AR731" i="11"/>
  <c r="AR732" i="11" s="1"/>
  <c r="AR733" i="11" s="1"/>
  <c r="AR734" i="11" s="1"/>
  <c r="AR735" i="11" s="1"/>
  <c r="AR736" i="11" s="1"/>
  <c r="AR737" i="11" s="1"/>
  <c r="AR738" i="11" s="1"/>
  <c r="AR739" i="11" s="1"/>
  <c r="BM712" i="11"/>
  <c r="BT716" i="11"/>
  <c r="AK725" i="11"/>
  <c r="AQ742" i="11"/>
  <c r="BL725" i="11"/>
  <c r="BL726" i="11" s="1"/>
  <c r="BL727" i="11" s="1"/>
  <c r="BS727" i="11" l="1"/>
  <c r="BS728" i="11" s="1"/>
  <c r="AX735" i="11"/>
  <c r="AX736" i="11" s="1"/>
  <c r="AX737" i="11"/>
  <c r="BL728" i="11"/>
  <c r="BL729" i="11" s="1"/>
  <c r="BL730" i="11" s="1"/>
  <c r="AJ725" i="11"/>
  <c r="BE755" i="11"/>
  <c r="AR740" i="11"/>
  <c r="AR741" i="11" s="1"/>
  <c r="BM713" i="11"/>
  <c r="BM714" i="11" s="1"/>
  <c r="BM715" i="11" s="1"/>
  <c r="AY694" i="11"/>
  <c r="AK726" i="11"/>
  <c r="BT717" i="11"/>
  <c r="BF740" i="11"/>
  <c r="AQ743" i="11"/>
  <c r="BS732" i="11" l="1"/>
  <c r="BS733" i="11" s="1"/>
  <c r="AX738" i="11"/>
  <c r="AX739" i="11" s="1"/>
  <c r="BL731" i="11"/>
  <c r="BL732" i="11" s="1"/>
  <c r="AJ726" i="11"/>
  <c r="BE756" i="11"/>
  <c r="BT718" i="11"/>
  <c r="AY695" i="11"/>
  <c r="AK727" i="11"/>
  <c r="AK728" i="11" s="1"/>
  <c r="AR742" i="11"/>
  <c r="BF741" i="11"/>
  <c r="BM716" i="11"/>
  <c r="BM717" i="11" s="1"/>
  <c r="BM718" i="11" s="1"/>
  <c r="AQ744" i="11"/>
  <c r="BS734" i="11" l="1"/>
  <c r="BS735" i="11" s="1"/>
  <c r="BS736" i="11" s="1"/>
  <c r="BB641" i="11"/>
  <c r="BE757" i="11"/>
  <c r="BE758" i="11" s="1"/>
  <c r="BE759" i="11" s="1"/>
  <c r="BE760" i="11" s="1"/>
  <c r="AX740" i="11"/>
  <c r="AX741" i="11" s="1"/>
  <c r="AX742" i="11" s="1"/>
  <c r="AJ727" i="11"/>
  <c r="AQ745" i="11"/>
  <c r="AQ746" i="11" s="1"/>
  <c r="AQ747" i="11" s="1"/>
  <c r="AK729" i="11"/>
  <c r="AK730" i="11" s="1"/>
  <c r="AK731" i="11" s="1"/>
  <c r="AK732" i="11" s="1"/>
  <c r="AK733" i="11" s="1"/>
  <c r="AK734" i="11" s="1"/>
  <c r="AK735" i="11" s="1"/>
  <c r="AK736" i="11" s="1"/>
  <c r="AK737" i="11" s="1"/>
  <c r="AK738" i="11" s="1"/>
  <c r="AK739" i="11" s="1"/>
  <c r="BT719" i="11"/>
  <c r="BF742" i="11"/>
  <c r="BF743" i="11" s="1"/>
  <c r="BM719" i="11"/>
  <c r="BM720" i="11" s="1"/>
  <c r="BM721" i="11" s="1"/>
  <c r="AR743" i="11"/>
  <c r="AR744" i="11" s="1"/>
  <c r="BT742" i="11"/>
  <c r="BT740" i="11"/>
  <c r="AK742" i="11"/>
  <c r="AK740" i="11"/>
  <c r="AY696" i="11"/>
  <c r="BL733" i="11"/>
  <c r="AX743" i="11" l="1"/>
  <c r="AX744" i="11" s="1"/>
  <c r="AX745" i="11" s="1"/>
  <c r="AX746" i="11" s="1"/>
  <c r="AJ728" i="11"/>
  <c r="AJ729" i="11" s="1"/>
  <c r="BE761" i="11"/>
  <c r="BE762" i="11" s="1"/>
  <c r="BE763" i="11" s="1"/>
  <c r="AR745" i="11"/>
  <c r="AR746" i="11" s="1"/>
  <c r="AR747" i="11" s="1"/>
  <c r="AR748" i="11" s="1"/>
  <c r="AR749" i="11" s="1"/>
  <c r="BS737" i="11"/>
  <c r="AK741" i="11"/>
  <c r="BT720" i="11"/>
  <c r="BM722" i="11"/>
  <c r="BM723" i="11" s="1"/>
  <c r="BM724" i="11" s="1"/>
  <c r="BM725" i="11" s="1"/>
  <c r="BM726" i="11" s="1"/>
  <c r="BM727" i="11" s="1"/>
  <c r="AY697" i="11"/>
  <c r="AY698" i="11" s="1"/>
  <c r="BT744" i="11"/>
  <c r="BF744" i="11"/>
  <c r="BF745" i="11" s="1"/>
  <c r="AQ748"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BF746" i="11"/>
  <c r="BF747" i="11" s="1"/>
  <c r="BF748" i="11" s="1"/>
  <c r="BF749" i="11" s="1"/>
  <c r="BL735" i="11"/>
  <c r="BL736" i="11" s="1"/>
  <c r="BL737" i="11" s="1"/>
  <c r="BL738" i="11" s="1"/>
  <c r="BL739" i="11" s="1"/>
  <c r="BL740" i="11" s="1"/>
  <c r="AR755" i="11" l="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J732" i="1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X748" i="11"/>
  <c r="AX749" i="11" s="1"/>
  <c r="BE765" i="11"/>
  <c r="BL741" i="11"/>
  <c r="BL742" i="11" s="1"/>
  <c r="BS741" i="11"/>
  <c r="BS742" i="11" s="1"/>
  <c r="BM745" i="11"/>
  <c r="BM746" i="11" s="1"/>
  <c r="BM747" i="11" s="1"/>
  <c r="BM748" i="11" s="1"/>
  <c r="BM749" i="11" s="1"/>
  <c r="AK745" i="11"/>
  <c r="AK746" i="11" s="1"/>
  <c r="AK747" i="11" s="1"/>
  <c r="AK748" i="11" s="1"/>
  <c r="AK749" i="11" s="1"/>
  <c r="AQ751" i="11"/>
  <c r="AO639" i="11"/>
  <c r="BT722" i="11"/>
  <c r="AY700" i="11"/>
  <c r="BF750" i="11"/>
  <c r="BF751" i="11" s="1"/>
  <c r="BF752" i="11" s="1"/>
  <c r="BF753" i="11" s="1"/>
  <c r="BF754" i="11" s="1"/>
  <c r="AK772" i="11"/>
  <c r="AK773" i="11" s="1"/>
  <c r="AK774" i="11" s="1"/>
  <c r="AY711" i="11"/>
  <c r="AY712" i="11" s="1"/>
  <c r="BI640" i="11"/>
  <c r="BI639" i="11"/>
  <c r="AO641" i="11" l="1"/>
  <c r="AO645" i="11"/>
  <c r="AO648" i="11"/>
  <c r="AO649" i="11"/>
  <c r="AO643" i="11"/>
  <c r="AO650" i="11"/>
  <c r="AO646" i="11"/>
  <c r="AJ753" i="11"/>
  <c r="AJ754" i="11" s="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AK750" i="11"/>
  <c r="AX750" i="11"/>
  <c r="BE766" i="11"/>
  <c r="BS743" i="11"/>
  <c r="BL743" i="11"/>
  <c r="AQ752" i="11"/>
  <c r="AQ753" i="11" s="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K751" i="11" l="1"/>
  <c r="AK752" i="11" s="1"/>
  <c r="AK753" i="11" s="1"/>
  <c r="BM751" i="11"/>
  <c r="BM752" i="11" s="1"/>
  <c r="AO637" i="11"/>
  <c r="BL744" i="11"/>
  <c r="BL745" i="11" s="1"/>
  <c r="BL746" i="11" s="1"/>
  <c r="BL747" i="11" s="1"/>
  <c r="BL748" i="11" s="1"/>
  <c r="AJ755" i="11"/>
  <c r="AX751" i="11"/>
  <c r="AX752" i="11" s="1"/>
  <c r="AX753" i="11" s="1"/>
  <c r="BE767" i="11"/>
  <c r="BS744" i="11"/>
  <c r="BS745" i="11" s="1"/>
  <c r="AQ754" i="11"/>
  <c r="AK757" i="11"/>
  <c r="BJ639" i="11"/>
  <c r="BJ640" i="11"/>
  <c r="BT724" i="11"/>
  <c r="AY702" i="11"/>
  <c r="BC640" i="11"/>
  <c r="BF772" i="11"/>
  <c r="BF773" i="11" s="1"/>
  <c r="BF774" i="11" s="1"/>
  <c r="AY742" i="11"/>
  <c r="AY740" i="11"/>
  <c r="BM753" i="11" l="1"/>
  <c r="BM754" i="11" s="1"/>
  <c r="AK754" i="11"/>
  <c r="AK755" i="11" s="1"/>
  <c r="AK756" i="11" s="1"/>
  <c r="AH641" i="11" s="1"/>
  <c r="BM755" i="11"/>
  <c r="BL749" i="11"/>
  <c r="BL750" i="11" s="1"/>
  <c r="BL751" i="11" s="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M756" i="11" l="1"/>
  <c r="BJ641" i="11" s="1"/>
  <c r="BM757" i="11"/>
  <c r="BM758" i="11" s="1"/>
  <c r="BM759" i="11" s="1"/>
  <c r="BM760" i="11" s="1"/>
  <c r="BM761" i="11" s="1"/>
  <c r="BM762" i="11" s="1"/>
  <c r="BM763" i="11" s="1"/>
  <c r="BM764" i="11" s="1"/>
  <c r="BM765" i="11" s="1"/>
  <c r="BM766" i="11" s="1"/>
  <c r="BM767" i="11" s="1"/>
  <c r="BM768" i="11" s="1"/>
  <c r="BM769" i="11" s="1"/>
  <c r="BM770" i="11" s="1"/>
  <c r="AJ757" i="11"/>
  <c r="AX755" i="11"/>
  <c r="AX756" i="11" s="1"/>
  <c r="AX757" i="11" s="1"/>
  <c r="BE769" i="11"/>
  <c r="BL753" i="11"/>
  <c r="BL754" i="11" s="1"/>
  <c r="BS747" i="11"/>
  <c r="AQ758" i="11"/>
  <c r="AQ759" i="11" s="1"/>
  <c r="AQ760" i="11" s="1"/>
  <c r="AK759" i="11"/>
  <c r="BC637" i="11"/>
  <c r="BT726" i="11"/>
  <c r="AY704" i="11"/>
  <c r="BM771" i="11" l="1"/>
  <c r="BM772" i="11" s="1"/>
  <c r="BM773" i="11" s="1"/>
  <c r="BM774" i="11" s="1"/>
  <c r="BJ672" i="11" s="1"/>
  <c r="AJ758" i="11"/>
  <c r="AX758" i="11"/>
  <c r="AX759" i="11" s="1"/>
  <c r="AX760" i="11" s="1"/>
  <c r="AX761" i="11" s="1"/>
  <c r="AX762" i="11" s="1"/>
  <c r="AX763" i="11" s="1"/>
  <c r="BE770" i="11"/>
  <c r="AQ761" i="11"/>
  <c r="AQ762" i="11" s="1"/>
  <c r="BL755" i="11"/>
  <c r="BL756" i="11" s="1"/>
  <c r="BI641" i="11" s="1"/>
  <c r="BS748" i="11"/>
  <c r="AK760" i="11"/>
  <c r="BT727" i="11"/>
  <c r="BT728" i="11" s="1"/>
  <c r="AY705" i="11"/>
  <c r="AY707" i="11" s="1"/>
  <c r="AY708" i="11" s="1"/>
  <c r="AY709" i="11" s="1"/>
  <c r="AN641" i="11"/>
  <c r="BJ701" i="11" l="1"/>
  <c r="BJ660" i="11"/>
  <c r="BJ733" i="11"/>
  <c r="BJ669" i="11"/>
  <c r="BJ765" i="11"/>
  <c r="BJ673" i="11"/>
  <c r="BJ693" i="11"/>
  <c r="BJ766" i="11"/>
  <c r="BJ769" i="11"/>
  <c r="BJ663" i="11"/>
  <c r="BJ772" i="11"/>
  <c r="BJ725" i="11"/>
  <c r="BJ753" i="11"/>
  <c r="BJ700" i="11"/>
  <c r="BJ675" i="11"/>
  <c r="BJ698" i="11"/>
  <c r="BJ659" i="11"/>
  <c r="BJ664" i="11"/>
  <c r="BJ668" i="11"/>
  <c r="BJ676" i="11"/>
  <c r="BJ667" i="11"/>
  <c r="BJ764" i="11"/>
  <c r="BJ688" i="11"/>
  <c r="BJ661" i="11"/>
  <c r="BJ674" i="11"/>
  <c r="BJ740" i="11"/>
  <c r="BJ677" i="11"/>
  <c r="BJ666" i="11"/>
  <c r="BJ671" i="11"/>
  <c r="BJ657" i="11"/>
  <c r="BJ707" i="11"/>
  <c r="BJ658" i="11"/>
  <c r="BJ705" i="11"/>
  <c r="BJ670" i="11"/>
  <c r="BJ665" i="11"/>
  <c r="BJ646" i="11"/>
  <c r="BJ662" i="11"/>
  <c r="BJ655" i="11"/>
  <c r="BJ651" i="11"/>
  <c r="BJ736" i="11"/>
  <c r="BJ702" i="11"/>
  <c r="BJ719" i="11"/>
  <c r="BJ773" i="11"/>
  <c r="BJ722" i="11"/>
  <c r="BJ770" i="11"/>
  <c r="BJ697" i="11"/>
  <c r="BJ720" i="11"/>
  <c r="BJ763" i="11"/>
  <c r="BJ755" i="11"/>
  <c r="BJ717" i="11"/>
  <c r="BJ750" i="11"/>
  <c r="BJ679" i="11"/>
  <c r="BJ714" i="11"/>
  <c r="BJ749" i="11"/>
  <c r="BJ739" i="11"/>
  <c r="BJ704" i="11"/>
  <c r="BJ710" i="11"/>
  <c r="BJ695" i="11"/>
  <c r="BJ716" i="11"/>
  <c r="BJ746" i="11"/>
  <c r="BJ762" i="11"/>
  <c r="BJ681" i="11"/>
  <c r="BJ758" i="11"/>
  <c r="BJ752" i="11"/>
  <c r="BJ756" i="11"/>
  <c r="BJ684" i="11"/>
  <c r="BJ760" i="11"/>
  <c r="BJ694" i="11"/>
  <c r="BJ768" i="11"/>
  <c r="BJ724" i="11"/>
  <c r="BJ727" i="11"/>
  <c r="BJ680" i="11"/>
  <c r="BJ711" i="11"/>
  <c r="BJ696" i="11"/>
  <c r="BJ718" i="11"/>
  <c r="BJ747" i="11"/>
  <c r="BJ734" i="11"/>
  <c r="BJ731" i="11"/>
  <c r="BJ721" i="11"/>
  <c r="BJ757" i="11"/>
  <c r="BJ726" i="11"/>
  <c r="BJ767" i="11"/>
  <c r="BJ691" i="11"/>
  <c r="BJ706" i="11"/>
  <c r="BJ754" i="11"/>
  <c r="BJ709" i="11"/>
  <c r="BJ735" i="11"/>
  <c r="BJ729" i="11"/>
  <c r="BJ774" i="11"/>
  <c r="BJ742" i="11"/>
  <c r="BJ744" i="11"/>
  <c r="BJ759" i="11"/>
  <c r="BJ685" i="11"/>
  <c r="BJ712" i="11"/>
  <c r="BJ699" i="11"/>
  <c r="BJ690" i="11"/>
  <c r="BJ689" i="11"/>
  <c r="BJ743" i="11"/>
  <c r="BJ771" i="11"/>
  <c r="BJ745" i="11"/>
  <c r="BJ737" i="11"/>
  <c r="BJ761" i="11"/>
  <c r="BJ708" i="11"/>
  <c r="BJ738" i="11"/>
  <c r="BJ751" i="11"/>
  <c r="BJ692" i="11"/>
  <c r="BJ730" i="11"/>
  <c r="BJ715" i="11"/>
  <c r="BJ713" i="11"/>
  <c r="BJ732" i="11"/>
  <c r="BJ748" i="11"/>
  <c r="BJ687" i="11"/>
  <c r="BJ741" i="11"/>
  <c r="BJ723" i="11"/>
  <c r="BJ703" i="11"/>
  <c r="BJ728" i="11"/>
  <c r="BJ678" i="11"/>
  <c r="BJ686" i="11"/>
  <c r="BJ682" i="11"/>
  <c r="BJ654" i="11"/>
  <c r="BJ643" i="11"/>
  <c r="BJ642" i="11"/>
  <c r="BJ683" i="11"/>
  <c r="BJ649" i="11"/>
  <c r="BJ653" i="11"/>
  <c r="BJ645" i="11"/>
  <c r="BJ647" i="11"/>
  <c r="BJ648" i="11"/>
  <c r="BJ650" i="11"/>
  <c r="BJ644" i="11"/>
  <c r="BJ652" i="11"/>
  <c r="BJ656" i="11"/>
  <c r="BL757" i="11"/>
  <c r="BL758" i="11" s="1"/>
  <c r="BL759" i="11" s="1"/>
  <c r="BL760" i="11" s="1"/>
  <c r="BL761" i="11" s="1"/>
  <c r="AJ759" i="11"/>
  <c r="AX764" i="11"/>
  <c r="BE771" i="11"/>
  <c r="BS749" i="11"/>
  <c r="AQ763" i="11"/>
  <c r="AK761" i="11"/>
  <c r="AY710" i="11"/>
  <c r="AY713" i="11" s="1"/>
  <c r="BT729" i="11"/>
  <c r="AU641" i="11"/>
  <c r="BJ637" i="11" l="1"/>
  <c r="AJ760" i="1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BB644" i="11" l="1"/>
  <c r="BB640" i="11"/>
  <c r="BB642" i="11"/>
  <c r="BB643" i="11"/>
  <c r="AG643" i="11"/>
  <c r="AG640" i="11"/>
  <c r="AG639" i="11"/>
  <c r="AG641" i="11"/>
  <c r="AG642" i="11"/>
  <c r="AG689" i="1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V639" i="11"/>
  <c r="AV640" i="11"/>
  <c r="BT741" i="11"/>
  <c r="BL763" i="11"/>
  <c r="AX770" i="11" l="1"/>
  <c r="AG637" i="11"/>
  <c r="BS752" i="11"/>
  <c r="BB637" i="11"/>
  <c r="AD46" i="3" s="1"/>
  <c r="AL14" i="4" s="1"/>
  <c r="D2073" i="11" s="1"/>
  <c r="E2073" i="11" s="1"/>
  <c r="AY745" i="11"/>
  <c r="AY746" i="11" s="1"/>
  <c r="AY747" i="11" s="1"/>
  <c r="AY748" i="11" s="1"/>
  <c r="AY749" i="11" s="1"/>
  <c r="AQ766" i="11"/>
  <c r="AK764" i="11"/>
  <c r="BT743" i="11"/>
  <c r="BT772" i="11"/>
  <c r="AN639" i="11"/>
  <c r="BL764" i="11"/>
  <c r="AY750" i="11" l="1"/>
  <c r="AX771" i="11"/>
  <c r="AX772" i="11" s="1"/>
  <c r="AX773" i="11" s="1"/>
  <c r="BS753" i="11"/>
  <c r="AQ767" i="11"/>
  <c r="BT745" i="11"/>
  <c r="BT746" i="11" s="1"/>
  <c r="BT747" i="11" s="1"/>
  <c r="BT748" i="11" s="1"/>
  <c r="BT749" i="11" s="1"/>
  <c r="AK765" i="11"/>
  <c r="BT773" i="11"/>
  <c r="BL765" i="11"/>
  <c r="AY751" i="11" l="1"/>
  <c r="BT750" i="11"/>
  <c r="AX774" i="11"/>
  <c r="AU643" i="11" s="1"/>
  <c r="BS754" i="11"/>
  <c r="BS755" i="11" s="1"/>
  <c r="BS756" i="11" s="1"/>
  <c r="AQ768" i="11"/>
  <c r="AQ769" i="11" s="1"/>
  <c r="AK766" i="11"/>
  <c r="BT774" i="11"/>
  <c r="C2075" i="11"/>
  <c r="C2074" i="11"/>
  <c r="BL766" i="11"/>
  <c r="AU645" i="11" l="1"/>
  <c r="AU639" i="11"/>
  <c r="AU640" i="11"/>
  <c r="AU642" i="11"/>
  <c r="AY752" i="11"/>
  <c r="AY753" i="11" s="1"/>
  <c r="BT751" i="11"/>
  <c r="BT752" i="11" s="1"/>
  <c r="BT753" i="11" s="1"/>
  <c r="BT754" i="11" s="1"/>
  <c r="BT755" i="11" s="1"/>
  <c r="AU728" i="11"/>
  <c r="AU644" i="11"/>
  <c r="AU731" i="1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K767" i="11"/>
  <c r="BQ639" i="11"/>
  <c r="BQ640" i="11"/>
  <c r="BL767" i="11"/>
  <c r="BT756" i="11" l="1"/>
  <c r="AY754" i="11"/>
  <c r="AY755" i="11" s="1"/>
  <c r="BS758" i="11"/>
  <c r="BS759" i="11" s="1"/>
  <c r="AU637" i="11"/>
  <c r="AD45" i="3" s="1"/>
  <c r="AL13" i="4" s="1"/>
  <c r="D2072" i="11" s="1"/>
  <c r="E2072" i="11" s="1"/>
  <c r="AQ771" i="11"/>
  <c r="AQ772" i="11" s="1"/>
  <c r="AK768" i="11"/>
  <c r="AK769" i="11" s="1"/>
  <c r="AK770" i="11" s="1"/>
  <c r="AK771" i="11" s="1"/>
  <c r="AH687" i="11" s="1"/>
  <c r="BL768" i="11"/>
  <c r="AN642" i="11" l="1"/>
  <c r="BT771" i="11"/>
  <c r="BQ645" i="11" s="1"/>
  <c r="BQ641" i="11"/>
  <c r="AY756" i="11"/>
  <c r="BS760" i="11"/>
  <c r="BS761" i="11" s="1"/>
  <c r="BS762" i="11" s="1"/>
  <c r="BS763" i="11" s="1"/>
  <c r="BS764" i="11" s="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Q708" i="11" l="1"/>
  <c r="BQ695" i="11"/>
  <c r="BQ740" i="11"/>
  <c r="BQ755" i="11"/>
  <c r="BQ742" i="11"/>
  <c r="BQ670" i="11"/>
  <c r="BQ697" i="11"/>
  <c r="BQ681" i="11"/>
  <c r="BQ718" i="11"/>
  <c r="BQ689" i="11"/>
  <c r="BQ682" i="11"/>
  <c r="BQ760" i="11"/>
  <c r="BQ662" i="11"/>
  <c r="BQ714" i="11"/>
  <c r="BQ741" i="11"/>
  <c r="BQ769" i="11"/>
  <c r="BQ644" i="11"/>
  <c r="BQ743" i="11"/>
  <c r="BQ694" i="11"/>
  <c r="BQ750" i="11"/>
  <c r="BQ673" i="11"/>
  <c r="BQ669" i="11"/>
  <c r="BQ719" i="11"/>
  <c r="BQ664" i="11"/>
  <c r="BQ724" i="11"/>
  <c r="BQ675" i="11"/>
  <c r="BQ744" i="11"/>
  <c r="BQ659" i="11"/>
  <c r="BQ745" i="11"/>
  <c r="BQ674" i="11"/>
  <c r="BQ746" i="11"/>
  <c r="BQ692" i="11"/>
  <c r="BQ665" i="11"/>
  <c r="BQ653" i="11"/>
  <c r="BQ753" i="11"/>
  <c r="BQ648" i="11"/>
  <c r="BQ656" i="11"/>
  <c r="BQ642" i="11"/>
  <c r="BQ657" i="11"/>
  <c r="BQ663" i="11"/>
  <c r="BQ717" i="11"/>
  <c r="BQ646" i="11"/>
  <c r="BQ651" i="11"/>
  <c r="BQ761" i="11"/>
  <c r="BQ749" i="11"/>
  <c r="BQ699" i="11"/>
  <c r="BQ759" i="11"/>
  <c r="BQ722" i="11"/>
  <c r="BQ684" i="11"/>
  <c r="BQ688" i="11"/>
  <c r="BQ766" i="11"/>
  <c r="BQ774" i="11"/>
  <c r="BQ731" i="11"/>
  <c r="BQ725" i="11"/>
  <c r="BQ715" i="11"/>
  <c r="BQ704" i="11"/>
  <c r="BQ729" i="11"/>
  <c r="BQ720" i="11"/>
  <c r="BQ764" i="11"/>
  <c r="BQ687" i="11"/>
  <c r="BQ703" i="11"/>
  <c r="BQ723" i="11"/>
  <c r="BQ748" i="11"/>
  <c r="BQ702" i="11"/>
  <c r="BQ683" i="11"/>
  <c r="BQ685" i="11"/>
  <c r="BQ726" i="11"/>
  <c r="BQ700" i="11"/>
  <c r="BQ661" i="11"/>
  <c r="BQ649" i="11"/>
  <c r="BQ647" i="11"/>
  <c r="BQ650" i="11"/>
  <c r="BQ643" i="11"/>
  <c r="BQ771" i="11"/>
  <c r="BQ758" i="11"/>
  <c r="BQ756" i="11"/>
  <c r="BQ679" i="11"/>
  <c r="BQ696" i="11"/>
  <c r="BQ772" i="11"/>
  <c r="BQ701" i="11"/>
  <c r="BQ713" i="11"/>
  <c r="BQ709" i="11"/>
  <c r="BQ768" i="11"/>
  <c r="BQ767" i="11"/>
  <c r="BQ721" i="11"/>
  <c r="BQ652" i="11"/>
  <c r="BQ737" i="11"/>
  <c r="BQ706" i="11"/>
  <c r="BQ751" i="11"/>
  <c r="BQ676" i="11"/>
  <c r="BQ698" i="11"/>
  <c r="BQ738" i="11"/>
  <c r="BQ730" i="11"/>
  <c r="BQ672" i="11"/>
  <c r="BQ690" i="11"/>
  <c r="BQ668" i="11"/>
  <c r="BQ735" i="11"/>
  <c r="BQ773" i="11"/>
  <c r="BQ705" i="11"/>
  <c r="BQ677" i="11"/>
  <c r="BQ727" i="11"/>
  <c r="BQ754" i="11"/>
  <c r="BQ734" i="11"/>
  <c r="BQ678" i="11"/>
  <c r="BQ770" i="11"/>
  <c r="BQ693" i="11"/>
  <c r="BQ732" i="11"/>
  <c r="BQ752" i="11"/>
  <c r="BQ747" i="11"/>
  <c r="BQ660" i="11"/>
  <c r="BQ736" i="11"/>
  <c r="BQ728" i="11"/>
  <c r="BQ680" i="11"/>
  <c r="BQ691" i="11"/>
  <c r="BQ712" i="11"/>
  <c r="BQ757" i="11"/>
  <c r="BQ667" i="11"/>
  <c r="BQ658" i="11"/>
  <c r="BQ733" i="11"/>
  <c r="BQ763" i="11"/>
  <c r="BQ710" i="11"/>
  <c r="BQ739" i="11"/>
  <c r="BQ765" i="11"/>
  <c r="BQ711" i="11"/>
  <c r="BQ716" i="11"/>
  <c r="AV641" i="11"/>
  <c r="BQ671" i="11"/>
  <c r="BQ655" i="11"/>
  <c r="BQ654" i="11"/>
  <c r="BQ707" i="11"/>
  <c r="BQ666" i="11"/>
  <c r="BQ686" i="11"/>
  <c r="BQ762" i="11"/>
  <c r="AY757" i="11"/>
  <c r="BS765" i="11"/>
  <c r="BS766" i="11" s="1"/>
  <c r="BS767" i="11" s="1"/>
  <c r="AQ774" i="11"/>
  <c r="AN643" i="11" s="1"/>
  <c r="AH637" i="11"/>
  <c r="BL770" i="11"/>
  <c r="BQ637" i="11" l="1"/>
  <c r="AY758" i="11"/>
  <c r="AN670" i="11"/>
  <c r="AN644" i="11"/>
  <c r="AN645" i="11"/>
  <c r="BS768" i="1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AY759" i="11" l="1"/>
  <c r="BS770" i="11"/>
  <c r="BS771" i="11" s="1"/>
  <c r="AN637" i="11"/>
  <c r="AD44" i="3" s="1"/>
  <c r="AL12" i="4" s="1"/>
  <c r="D2071" i="11" s="1"/>
  <c r="C2076" i="11" s="1"/>
  <c r="BL772" i="11"/>
  <c r="AY760" i="11" l="1"/>
  <c r="C2086" i="11"/>
  <c r="C2105" i="11"/>
  <c r="C2072" i="11"/>
  <c r="C2073" i="11"/>
  <c r="C2110" i="11"/>
  <c r="C2112" i="11"/>
  <c r="C2111" i="11"/>
  <c r="C2070" i="11"/>
  <c r="C2108" i="11"/>
  <c r="C2109" i="11"/>
  <c r="C2071" i="11"/>
  <c r="E2071" i="11"/>
  <c r="BS772" i="11"/>
  <c r="BL773" i="11"/>
  <c r="AY761" i="11" l="1"/>
  <c r="F2072" i="11"/>
  <c r="F2095" i="11"/>
  <c r="F2107" i="11"/>
  <c r="F2084" i="11"/>
  <c r="F2101" i="11"/>
  <c r="F2088" i="11"/>
  <c r="F2076" i="11"/>
  <c r="F2104" i="11"/>
  <c r="F2096" i="11"/>
  <c r="F2099" i="11"/>
  <c r="F2098" i="11"/>
  <c r="F2103" i="11"/>
  <c r="F2077" i="11"/>
  <c r="F2081" i="11"/>
  <c r="F2086" i="11"/>
  <c r="F2079" i="11"/>
  <c r="F2070" i="11"/>
  <c r="F2078" i="11"/>
  <c r="F2074" i="11"/>
  <c r="F2087" i="11"/>
  <c r="F2106" i="11"/>
  <c r="F2094" i="11"/>
  <c r="F2089" i="11"/>
  <c r="F2102" i="11"/>
  <c r="F2075" i="11"/>
  <c r="F2092" i="11"/>
  <c r="F2090" i="11"/>
  <c r="F2097" i="11"/>
  <c r="F2073" i="11"/>
  <c r="F2100" i="11"/>
  <c r="F2112" i="11"/>
  <c r="F2111" i="11"/>
  <c r="F2091" i="11"/>
  <c r="F2108" i="11"/>
  <c r="F2082" i="11"/>
  <c r="F2105" i="11"/>
  <c r="F2110" i="11"/>
  <c r="F2093" i="11"/>
  <c r="F2109" i="11"/>
  <c r="F2071" i="11"/>
  <c r="F2083" i="11"/>
  <c r="F2085" i="11"/>
  <c r="F2080" i="11"/>
  <c r="BS773" i="11"/>
  <c r="BL774" i="11"/>
  <c r="BI750" i="11" s="1"/>
  <c r="AY762" i="11" l="1"/>
  <c r="G2070" i="11"/>
  <c r="K76" i="10" s="1"/>
  <c r="BS774" i="1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39" i="11" l="1"/>
  <c r="BP640" i="11"/>
  <c r="BP641" i="11"/>
  <c r="BP642" i="11"/>
  <c r="AY763" i="11"/>
  <c r="AY764" i="11" s="1"/>
  <c r="AY765" i="11" s="1"/>
  <c r="AY766" i="11" s="1"/>
  <c r="AY767" i="11" s="1"/>
  <c r="AY768" i="11" s="1"/>
  <c r="AY769" i="11" s="1"/>
  <c r="AY770" i="11" s="1"/>
  <c r="AY771" i="11" s="1"/>
  <c r="AY772" i="11" s="1"/>
  <c r="AY773" i="11" s="1"/>
  <c r="AY774" i="11" s="1"/>
  <c r="AV772" i="11" s="1"/>
  <c r="BP760" i="11"/>
  <c r="BP643" i="11"/>
  <c r="BP647" i="1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AV683" i="11" l="1"/>
  <c r="AV694" i="11"/>
  <c r="AV752" i="11"/>
  <c r="AV731" i="11"/>
  <c r="AV687" i="11"/>
  <c r="AV766" i="11"/>
  <c r="AV698" i="11"/>
  <c r="AV705" i="11"/>
  <c r="AV713" i="11"/>
  <c r="AV754" i="11"/>
  <c r="AV693" i="11"/>
  <c r="AV727" i="11"/>
  <c r="AV734" i="11"/>
  <c r="AV726" i="11"/>
  <c r="AV736" i="11"/>
  <c r="AV715" i="11"/>
  <c r="AV696" i="11"/>
  <c r="AV765" i="11"/>
  <c r="AV757" i="11"/>
  <c r="AV749" i="11"/>
  <c r="AV750" i="11"/>
  <c r="AV722" i="11"/>
  <c r="AV719" i="11"/>
  <c r="AV756" i="11"/>
  <c r="AV763" i="11"/>
  <c r="AV733" i="11"/>
  <c r="AV768" i="11"/>
  <c r="AV738" i="11"/>
  <c r="AV740" i="11"/>
  <c r="AV686" i="11"/>
  <c r="AV770" i="11"/>
  <c r="AV684" i="11"/>
  <c r="AV720" i="11"/>
  <c r="AV707" i="11"/>
  <c r="AV744" i="11"/>
  <c r="AV679" i="11"/>
  <c r="AV685" i="11"/>
  <c r="AV680" i="11"/>
  <c r="AV710" i="11"/>
  <c r="AV746" i="11"/>
  <c r="AV708" i="11"/>
  <c r="AV758" i="11"/>
  <c r="AV747" i="11"/>
  <c r="AV646" i="11"/>
  <c r="AV663" i="11"/>
  <c r="AV656" i="11"/>
  <c r="AV649" i="11"/>
  <c r="AV650" i="11"/>
  <c r="AV647" i="11"/>
  <c r="AV655" i="11"/>
  <c r="AV659" i="11"/>
  <c r="AV645" i="11"/>
  <c r="AV662" i="11"/>
  <c r="AV657" i="11"/>
  <c r="AV644" i="11"/>
  <c r="AV666" i="11"/>
  <c r="AV670" i="11"/>
  <c r="AV673" i="11"/>
  <c r="AV654" i="11"/>
  <c r="AV651" i="11"/>
  <c r="AV652" i="11"/>
  <c r="AV653" i="11"/>
  <c r="AV672" i="11"/>
  <c r="AV643" i="11"/>
  <c r="AV674" i="11"/>
  <c r="AV660" i="11"/>
  <c r="AV658" i="11"/>
  <c r="AV642" i="11"/>
  <c r="AV648" i="11"/>
  <c r="AV669" i="11"/>
  <c r="AV668" i="11"/>
  <c r="AV661" i="11"/>
  <c r="AV664" i="11"/>
  <c r="AV665" i="11"/>
  <c r="AV667" i="11"/>
  <c r="AV676" i="11"/>
  <c r="AV675" i="11"/>
  <c r="AV753" i="11"/>
  <c r="AV718" i="11"/>
  <c r="AV688" i="11"/>
  <c r="AV712" i="11"/>
  <c r="AV681" i="11"/>
  <c r="AV728" i="11"/>
  <c r="AV671" i="11"/>
  <c r="AV697" i="11"/>
  <c r="AV764" i="11"/>
  <c r="AV769" i="11"/>
  <c r="AV717" i="11"/>
  <c r="AV714" i="11"/>
  <c r="AV725" i="11"/>
  <c r="AV690" i="11"/>
  <c r="AV742" i="11"/>
  <c r="AV682" i="11"/>
  <c r="AV761" i="11"/>
  <c r="AV771" i="11"/>
  <c r="AV762" i="11"/>
  <c r="AV759" i="11"/>
  <c r="AV743" i="11"/>
  <c r="AV709" i="11"/>
  <c r="AV691" i="11"/>
  <c r="AV704" i="11"/>
  <c r="AV741" i="11"/>
  <c r="AV702" i="11"/>
  <c r="AV723" i="11"/>
  <c r="AV700" i="11"/>
  <c r="AV689" i="11"/>
  <c r="AV735" i="11"/>
  <c r="AV721" i="11"/>
  <c r="AV730" i="11"/>
  <c r="AV716" i="11"/>
  <c r="AV706" i="11"/>
  <c r="AV695" i="11"/>
  <c r="AV760" i="11"/>
  <c r="AV678" i="11"/>
  <c r="AV692" i="11"/>
  <c r="AV748" i="11"/>
  <c r="AV745" i="11"/>
  <c r="AV774" i="11"/>
  <c r="AV755" i="11"/>
  <c r="AV724" i="11"/>
  <c r="AV729" i="11"/>
  <c r="AV739" i="11"/>
  <c r="AV737" i="11"/>
  <c r="AV677" i="11"/>
  <c r="AV703" i="11"/>
  <c r="AV732" i="11"/>
  <c r="AV711" i="11"/>
  <c r="AV699" i="11"/>
  <c r="AV701" i="11"/>
  <c r="AV767" i="11"/>
  <c r="AV751" i="11"/>
  <c r="AV773" i="11"/>
  <c r="BP637" i="11"/>
  <c r="P1167" i="11"/>
  <c r="AV637" i="11" l="1"/>
  <c r="P1168" i="11"/>
  <c r="P1169" i="11" s="1"/>
  <c r="Q1170" i="11"/>
  <c r="P1170" i="11" l="1"/>
  <c r="P1171" i="11" l="1"/>
  <c r="P1172" i="11" s="1"/>
  <c r="P1173" i="11" s="1"/>
  <c r="P1174" i="11" s="1"/>
  <c r="P1175" i="11" s="1"/>
  <c r="P1176" i="11" s="1"/>
  <c r="P1177" i="11" s="1"/>
  <c r="P1178" i="11" s="1"/>
  <c r="P1179" i="11" s="1"/>
  <c r="P1180" i="11" s="1"/>
  <c r="AB70" i="6" s="1"/>
  <c r="W71" i="6"/>
  <c r="AL71" i="6" s="1"/>
  <c r="W57" i="6"/>
  <c r="AL57" i="6" s="1"/>
  <c r="W56" i="6"/>
  <c r="AL56" i="6" s="1"/>
  <c r="W68" i="6"/>
  <c r="AL68" i="6" s="1"/>
  <c r="W53" i="6" l="1"/>
  <c r="W66" i="6"/>
  <c r="AL66" i="6" s="1"/>
  <c r="W60" i="6"/>
  <c r="AL60" i="6" s="1"/>
  <c r="W62" i="6"/>
  <c r="AL62" i="6" s="1"/>
  <c r="W63" i="6"/>
  <c r="AL63" i="6" s="1"/>
  <c r="W69" i="6"/>
  <c r="AL69" i="6" s="1"/>
  <c r="W58" i="6"/>
  <c r="AL58" i="6" s="1"/>
  <c r="W64" i="6"/>
  <c r="AL64" i="6" s="1"/>
  <c r="W54" i="6"/>
  <c r="AL54" i="6" s="1"/>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B69" i="6"/>
  <c r="AB59" i="6"/>
  <c r="AB64" i="6"/>
  <c r="AB58" i="6"/>
  <c r="AB63" i="6"/>
  <c r="AB67" i="6"/>
  <c r="AB68" i="6"/>
  <c r="W73" i="6"/>
  <c r="AL73" i="6" s="1"/>
  <c r="AL55" i="6"/>
  <c r="AL53" i="6"/>
  <c r="I2036" i="11" l="1"/>
  <c r="G2036" i="11" s="1"/>
  <c r="G2020" i="11" s="1"/>
  <c r="G52" i="10" s="1"/>
  <c r="AK822" i="11" a="1"/>
  <c r="AK831" i="11" a="1"/>
  <c r="AK823" i="11" a="1"/>
  <c r="AK829" i="11" a="1"/>
  <c r="AK825" i="11" a="1"/>
  <c r="AK824" i="11" a="1"/>
  <c r="AK826" i="11" a="1"/>
  <c r="AK830" i="11" a="1"/>
  <c r="AK827" i="11" a="1"/>
  <c r="AK828" i="11" a="1"/>
  <c r="AK827" i="11" l="1"/>
  <c r="AK828" i="11"/>
  <c r="AK825" i="11"/>
  <c r="AK826" i="11"/>
  <c r="AK831" i="11"/>
  <c r="AK823" i="11"/>
  <c r="AK824" i="11"/>
  <c r="AK829" i="11"/>
  <c r="AK830" i="11"/>
  <c r="AK822" i="11"/>
  <c r="AM828" i="11" a="1"/>
  <c r="AH828" i="11" l="1"/>
  <c r="AD828" i="11" s="1"/>
  <c r="AG829" i="11"/>
  <c r="AG826" i="11"/>
  <c r="AG824" i="11"/>
  <c r="AG825" i="11"/>
  <c r="AG828" i="11"/>
  <c r="AG830" i="11"/>
  <c r="AG831" i="11"/>
  <c r="AG827" i="11"/>
  <c r="AH829" i="11"/>
  <c r="AD829" i="11" s="1"/>
  <c r="AH826" i="11"/>
  <c r="AD826" i="11" s="1"/>
  <c r="AH824" i="11"/>
  <c r="AD824" i="11" s="1"/>
  <c r="AH825" i="11"/>
  <c r="AD825" i="11" s="1"/>
  <c r="AH823" i="11"/>
  <c r="AD823" i="11" s="1"/>
  <c r="AH830" i="11"/>
  <c r="AD830" i="11" s="1"/>
  <c r="AH831" i="11"/>
  <c r="AD831" i="11" s="1"/>
  <c r="AH827" i="11"/>
  <c r="AD827" i="11" s="1"/>
  <c r="AH822" i="11"/>
  <c r="AM828" i="11"/>
  <c r="AM830" i="11" a="1"/>
  <c r="AN828" i="11"/>
  <c r="AG823" i="11" l="1"/>
  <c r="AD822" i="11"/>
  <c r="AC822" i="11" s="1"/>
  <c r="AG822" i="11"/>
  <c r="AM830" i="11"/>
  <c r="AM825" i="11" a="1"/>
  <c r="AN830" i="11"/>
  <c r="AF822" i="11" l="1"/>
  <c r="AC826" i="11"/>
  <c r="AC824" i="11"/>
  <c r="AC829" i="11"/>
  <c r="AC831" i="11"/>
  <c r="AC823" i="11"/>
  <c r="AC830" i="11"/>
  <c r="AC825" i="11"/>
  <c r="AC828" i="11"/>
  <c r="AC827" i="11"/>
  <c r="AF824" i="11"/>
  <c r="AF823" i="11"/>
  <c r="AF831" i="11"/>
  <c r="AF828" i="11"/>
  <c r="AF827" i="11"/>
  <c r="AF830" i="11"/>
  <c r="AF825" i="11"/>
  <c r="AF826" i="11"/>
  <c r="AF829" i="11"/>
  <c r="AM825" i="11"/>
  <c r="AN825" i="11"/>
  <c r="AB829" i="11" l="1"/>
  <c r="D827" i="11" s="1"/>
  <c r="N827" i="11" s="1"/>
  <c r="AB828" i="11"/>
  <c r="D826" i="11" s="1"/>
  <c r="N826" i="11" s="1"/>
  <c r="AB822" i="11"/>
  <c r="D820" i="11" s="1"/>
  <c r="AB827" i="11"/>
  <c r="D825" i="11" s="1"/>
  <c r="N825" i="11" s="1"/>
  <c r="AB824" i="11"/>
  <c r="D822" i="11" s="1"/>
  <c r="N822" i="11" s="1"/>
  <c r="AB823" i="11"/>
  <c r="D821" i="11" s="1"/>
  <c r="N821" i="11" s="1"/>
  <c r="AB826" i="11"/>
  <c r="D824" i="11" s="1"/>
  <c r="N824" i="11" s="1"/>
  <c r="AB831" i="11"/>
  <c r="D829" i="11" s="1"/>
  <c r="AB830" i="11"/>
  <c r="D828" i="11" s="1"/>
  <c r="N828" i="11" s="1"/>
  <c r="AB825" i="11"/>
  <c r="D823" i="11" s="1"/>
  <c r="N823" i="11" s="1"/>
  <c r="AE822" i="11"/>
  <c r="AB804" i="11" s="1"/>
  <c r="AE824" i="11"/>
  <c r="AB806" i="11" s="1"/>
  <c r="AE829" i="11"/>
  <c r="AB811" i="11" s="1"/>
  <c r="AE830" i="11"/>
  <c r="AB812" i="11" s="1"/>
  <c r="AE826" i="11"/>
  <c r="AB808" i="11" s="1"/>
  <c r="AE827" i="11"/>
  <c r="AB809" i="11" s="1"/>
  <c r="AE825" i="11"/>
  <c r="AB807" i="11" s="1"/>
  <c r="AE828" i="11"/>
  <c r="AB810" i="11" s="1"/>
  <c r="AE823" i="11"/>
  <c r="AB805" i="11" s="1"/>
  <c r="AE831" i="11"/>
  <c r="AB813" i="11" s="1"/>
  <c r="D45" i="4"/>
  <c r="G45" i="4"/>
  <c r="F45" i="4"/>
  <c r="E45" i="4"/>
  <c r="C43" i="4"/>
  <c r="BA32" i="4" s="1"/>
  <c r="AJ114" i="9" l="1"/>
  <c r="AB762" i="11"/>
  <c r="AB764" i="11"/>
  <c r="AB765" i="11"/>
  <c r="AB760" i="11"/>
  <c r="AB763" i="11"/>
  <c r="AB766" i="11"/>
  <c r="AB761" i="11"/>
  <c r="AB759" i="11"/>
  <c r="D831" i="11"/>
  <c r="D840" i="11"/>
  <c r="I840" i="11" s="1"/>
  <c r="D837" i="11"/>
  <c r="N837" i="11" s="1"/>
  <c r="D839" i="11"/>
  <c r="E839" i="11" s="1"/>
  <c r="D834" i="11"/>
  <c r="I834" i="11" s="1"/>
  <c r="D838" i="11"/>
  <c r="E838" i="11" s="1"/>
  <c r="D836" i="11"/>
  <c r="E836" i="11" s="1"/>
  <c r="D833" i="11"/>
  <c r="N833" i="11" s="1"/>
  <c r="D832" i="11"/>
  <c r="D835" i="11"/>
  <c r="E835" i="11" s="1"/>
  <c r="AB767" i="11"/>
  <c r="AB758" i="11"/>
  <c r="G31" i="4"/>
  <c r="N820" i="11"/>
  <c r="E38" i="4"/>
  <c r="N829" i="11"/>
  <c r="AS96" i="9" l="1"/>
  <c r="AD98" i="9" s="1"/>
  <c r="AH114" i="9"/>
  <c r="BC45" i="4"/>
  <c r="F56" i="4" s="1"/>
  <c r="C55" i="4" s="1"/>
  <c r="BB46" i="4"/>
  <c r="BA46" i="4"/>
  <c r="BE45" i="4"/>
  <c r="AZ46" i="4"/>
  <c r="W36" i="4" s="1"/>
  <c r="AY46" i="4"/>
  <c r="AX46" i="4"/>
  <c r="AW46"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D38" i="4"/>
  <c r="C29" i="4"/>
  <c r="AW32" i="4" s="1"/>
  <c r="AW43" i="4" s="1"/>
  <c r="AW53" i="4" s="1"/>
  <c r="AB639" i="11"/>
  <c r="M35" i="4" s="1"/>
  <c r="AY44" i="4"/>
  <c r="P31" i="4"/>
  <c r="O31" i="4"/>
  <c r="Q31" i="4"/>
  <c r="V32" i="4"/>
  <c r="E831" i="11"/>
  <c r="AZ43" i="4"/>
  <c r="AZ40" i="4"/>
  <c r="AZ41" i="4" s="1"/>
  <c r="S36" i="4" s="1"/>
  <c r="V39" i="4"/>
  <c r="V38" i="4"/>
  <c r="N40" i="4"/>
  <c r="AZ44" i="4"/>
  <c r="AZ42" i="4"/>
  <c r="T36" i="4" s="1"/>
  <c r="AX40" i="4"/>
  <c r="AX41" i="4" s="1"/>
  <c r="S29" i="4" s="1"/>
  <c r="C33" i="4"/>
  <c r="G33" i="4" s="1"/>
  <c r="K54" i="4"/>
  <c r="AD666" i="11"/>
  <c r="N840" i="11"/>
  <c r="E840" i="11"/>
  <c r="BF42" i="4"/>
  <c r="T59" i="4" s="1"/>
  <c r="BD43" i="4"/>
  <c r="BD53" i="4" s="1"/>
  <c r="AD660" i="11"/>
  <c r="I835" i="11"/>
  <c r="G53" i="4"/>
  <c r="BD42" i="4"/>
  <c r="T50" i="4" s="1"/>
  <c r="N831" i="11"/>
  <c r="AD657" i="11"/>
  <c r="I831" i="11"/>
  <c r="K32" i="4"/>
  <c r="C51" i="4"/>
  <c r="BC32" i="4" s="1"/>
  <c r="BC42" i="4" s="1"/>
  <c r="I50" i="4" s="1"/>
  <c r="K55" i="4"/>
  <c r="G38" i="4"/>
  <c r="AW40" i="4"/>
  <c r="N29" i="4"/>
  <c r="AX32" i="4" s="1"/>
  <c r="AX42" i="4" s="1"/>
  <c r="T29" i="4" s="1"/>
  <c r="V31" i="4"/>
  <c r="E53" i="4"/>
  <c r="I832" i="11"/>
  <c r="K31" i="4"/>
  <c r="K38" i="4"/>
  <c r="AX44" i="4"/>
  <c r="AX54" i="4" s="1" a="1"/>
  <c r="AX54" i="4" s="1"/>
  <c r="AW44" i="4"/>
  <c r="AW54" i="4" s="1" a="1"/>
  <c r="AW54" i="4" s="1"/>
  <c r="C40" i="4"/>
  <c r="C36" i="4"/>
  <c r="AY32" i="4" s="1"/>
  <c r="AY43" i="4" s="1"/>
  <c r="R31" i="4"/>
  <c r="AY40" i="4"/>
  <c r="AY41" i="4" s="1"/>
  <c r="H36" i="4" s="1"/>
  <c r="F38" i="4"/>
  <c r="D31" i="4"/>
  <c r="D55" i="4"/>
  <c r="BC40" i="4"/>
  <c r="BC41" i="4" s="1"/>
  <c r="H50" i="4" s="1"/>
  <c r="C56" i="4"/>
  <c r="D56" i="4" s="1"/>
  <c r="E54" i="4" s="1"/>
  <c r="BC44" i="4"/>
  <c r="BC54" i="4" s="1" a="1"/>
  <c r="BC54" i="4" s="1"/>
  <c r="K39" i="4"/>
  <c r="N33" i="4"/>
  <c r="E833" i="11"/>
  <c r="N838" i="11"/>
  <c r="BE42" i="4"/>
  <c r="I59" i="4" s="1"/>
  <c r="BA43" i="4"/>
  <c r="BA53" i="4" s="1"/>
  <c r="AD664" i="11"/>
  <c r="N839" i="11"/>
  <c r="BB44" i="4"/>
  <c r="BB54" i="4" s="1" a="1"/>
  <c r="BB54" i="4" s="1"/>
  <c r="AD659" i="11"/>
  <c r="AD665" i="11"/>
  <c r="I839" i="11"/>
  <c r="I833" i="11"/>
  <c r="I838" i="11"/>
  <c r="I837" i="11"/>
  <c r="N835" i="11"/>
  <c r="N836" i="11"/>
  <c r="I836" i="11"/>
  <c r="N834" i="11"/>
  <c r="E837" i="11"/>
  <c r="N832" i="11"/>
  <c r="AD662" i="11"/>
  <c r="E834" i="11"/>
  <c r="E832" i="11"/>
  <c r="AD663" i="11"/>
  <c r="BB42" i="4"/>
  <c r="T43" i="4" s="1"/>
  <c r="BE40" i="4"/>
  <c r="BE41" i="4" s="1"/>
  <c r="H59" i="4" s="1"/>
  <c r="BE44" i="4"/>
  <c r="BE54" i="4" s="1" a="1"/>
  <c r="BE54" i="4" s="1"/>
  <c r="AS128" i="9"/>
  <c r="AT128" i="9" s="1"/>
  <c r="V64" i="4"/>
  <c r="AA133" i="9"/>
  <c r="AC104" i="9"/>
  <c r="AE104" i="9" s="1"/>
  <c r="AR113" i="9"/>
  <c r="V63" i="4"/>
  <c r="AF117" i="9"/>
  <c r="K45" i="4"/>
  <c r="AA132" i="9"/>
  <c r="BF43" i="4"/>
  <c r="BB43" i="4"/>
  <c r="BB53" i="4" s="1"/>
  <c r="BE43" i="4"/>
  <c r="BE53" i="4" s="1"/>
  <c r="AF119" i="9"/>
  <c r="AH115" i="9" s="1"/>
  <c r="AJ115" i="9" s="1"/>
  <c r="AA101" i="9"/>
  <c r="AA136" i="9"/>
  <c r="AB136" i="9" s="1"/>
  <c r="BF44" i="4"/>
  <c r="BF54" i="4" s="1" a="1"/>
  <c r="BF54" i="4" s="1"/>
  <c r="AF104" i="9"/>
  <c r="BA42" i="4"/>
  <c r="I43" i="4" s="1"/>
  <c r="AF118" i="9"/>
  <c r="BD40" i="4"/>
  <c r="BD41" i="4" s="1"/>
  <c r="S50" i="4" s="1"/>
  <c r="AA120" i="9"/>
  <c r="AA135" i="9"/>
  <c r="AC131" i="9" s="1"/>
  <c r="AE131" i="9" s="1"/>
  <c r="AA103" i="9"/>
  <c r="AC99" i="9" s="1"/>
  <c r="AE99" i="9" s="1"/>
  <c r="BB40" i="4"/>
  <c r="BB41" i="4" s="1"/>
  <c r="S43" i="4" s="1"/>
  <c r="AD661" i="11"/>
  <c r="V46" i="4"/>
  <c r="AS112" i="9"/>
  <c r="AA119" i="9"/>
  <c r="AC115" i="9" s="1"/>
  <c r="AE115" i="9" s="1"/>
  <c r="BD44" i="4"/>
  <c r="BD54" i="4" s="1" a="1"/>
  <c r="BD54" i="4" s="1"/>
  <c r="AF116" i="9"/>
  <c r="BA40" i="4"/>
  <c r="BA41" i="4" s="1"/>
  <c r="H43" i="4" s="1"/>
  <c r="AC120" i="9"/>
  <c r="AE120" i="9" s="1"/>
  <c r="N65" i="4"/>
  <c r="O65" i="4" s="1"/>
  <c r="P63" i="4" s="1"/>
  <c r="AS97" i="9"/>
  <c r="AI98" i="9" s="1"/>
  <c r="AH120" i="9"/>
  <c r="AJ120" i="9" s="1"/>
  <c r="N56" i="4"/>
  <c r="O56" i="4" s="1"/>
  <c r="P54" i="4" s="1"/>
  <c r="AF135" i="9"/>
  <c r="AH131" i="9" s="1"/>
  <c r="AJ131" i="9" s="1"/>
  <c r="AR96" i="9"/>
  <c r="V45" i="4"/>
  <c r="AF103" i="9"/>
  <c r="AH99" i="9" s="1"/>
  <c r="AJ99" i="9" s="1"/>
  <c r="K64" i="4"/>
  <c r="AA117" i="9"/>
  <c r="AH104" i="9"/>
  <c r="AJ104" i="9" s="1"/>
  <c r="AS113" i="9"/>
  <c r="N47" i="4"/>
  <c r="AA116" i="9"/>
  <c r="K46" i="4"/>
  <c r="AH136" i="9"/>
  <c r="AJ136" i="9" s="1"/>
  <c r="AA104" i="9"/>
  <c r="AB104" i="9" s="1"/>
  <c r="V54" i="4"/>
  <c r="AR97" i="9"/>
  <c r="AA100" i="9"/>
  <c r="AF133" i="9"/>
  <c r="AS129" i="9"/>
  <c r="AT129" i="9" s="1"/>
  <c r="C65" i="4"/>
  <c r="D65" i="4" s="1"/>
  <c r="E63" i="4" s="1"/>
  <c r="AR128" i="9"/>
  <c r="AA134" i="9"/>
  <c r="AF120" i="9"/>
  <c r="AF132" i="9"/>
  <c r="AF134" i="9"/>
  <c r="AC136" i="9"/>
  <c r="AE136" i="9" s="1"/>
  <c r="K63" i="4"/>
  <c r="AA118" i="9"/>
  <c r="AA102" i="9"/>
  <c r="C47" i="4"/>
  <c r="AF136" i="9"/>
  <c r="AG136" i="9" s="1"/>
  <c r="V55" i="4"/>
  <c r="AR129" i="9"/>
  <c r="AR112" i="9"/>
  <c r="BF40" i="4"/>
  <c r="BF41" i="4" s="1"/>
  <c r="S59" i="4" s="1"/>
  <c r="BA44" i="4"/>
  <c r="AD658" i="11"/>
  <c r="AG120" i="9" l="1"/>
  <c r="AI114" i="9"/>
  <c r="AT112" i="9"/>
  <c r="AB120" i="9"/>
  <c r="AD114" i="9"/>
  <c r="AE111" i="9"/>
  <c r="AG104" i="9"/>
  <c r="AF111" i="9"/>
  <c r="AG111" i="9"/>
  <c r="AT113" i="9"/>
  <c r="AJ111" i="9" s="1"/>
  <c r="AA127" i="9"/>
  <c r="AN125" i="9" s="1"/>
  <c r="AP125" i="9" s="1"/>
  <c r="AB127" i="9"/>
  <c r="F53" i="4"/>
  <c r="AA111" i="9"/>
  <c r="AN109" i="9" s="1"/>
  <c r="AB111" i="9"/>
  <c r="BC46" i="4"/>
  <c r="BF46" i="4"/>
  <c r="Q65" i="4"/>
  <c r="N64" i="4" s="1"/>
  <c r="BE46" i="4"/>
  <c r="F65" i="4"/>
  <c r="C64" i="4" s="1"/>
  <c r="BD46" i="4"/>
  <c r="Q56" i="4"/>
  <c r="AW42" i="4"/>
  <c r="I29" i="4" s="1"/>
  <c r="AD127" i="9"/>
  <c r="AD111" i="9"/>
  <c r="BC43" i="4"/>
  <c r="BC53" i="4" s="1"/>
  <c r="AD95" i="9"/>
  <c r="AQ125" i="9"/>
  <c r="AT97" i="9"/>
  <c r="AJ95" i="9" s="1"/>
  <c r="AT96" i="9"/>
  <c r="AE95" i="9" s="1"/>
  <c r="AF95" i="9"/>
  <c r="AG95" i="9"/>
  <c r="AA95" i="9"/>
  <c r="AN93" i="9" s="1"/>
  <c r="AB95" i="9"/>
  <c r="AW41" i="4"/>
  <c r="H29" i="4" s="1"/>
  <c r="AY54" i="4" a="1"/>
  <c r="AY54" i="4" s="1"/>
  <c r="AZ54" i="4" s="1" a="1"/>
  <c r="AZ54" i="4" s="1"/>
  <c r="AW28" i="4" a="1"/>
  <c r="AW28" i="4" s="1"/>
  <c r="K29" i="4"/>
  <c r="D33" i="4"/>
  <c r="E33" i="4" s="1"/>
  <c r="C32" i="4" s="1"/>
  <c r="AY42" i="4"/>
  <c r="I36" i="4" s="1"/>
  <c r="R40" i="4"/>
  <c r="O40" i="4"/>
  <c r="AZ53" i="4"/>
  <c r="V36" i="4"/>
  <c r="AX43" i="4"/>
  <c r="AD639" i="11"/>
  <c r="X49" i="4" s="1"/>
  <c r="G40" i="4"/>
  <c r="D40" i="4"/>
  <c r="R33" i="4"/>
  <c r="O33" i="4"/>
  <c r="M42" i="4"/>
  <c r="M28" i="4"/>
  <c r="X28" i="4"/>
  <c r="K59" i="4"/>
  <c r="J59" i="4" s="1"/>
  <c r="V43" i="4"/>
  <c r="BB52" i="4" s="1"/>
  <c r="BB50" i="4" s="1"/>
  <c r="AY53" i="4"/>
  <c r="K36" i="4"/>
  <c r="X42" i="4"/>
  <c r="X35" i="4"/>
  <c r="BF53" i="4"/>
  <c r="V59" i="4"/>
  <c r="R47" i="4"/>
  <c r="P47" i="4" s="1"/>
  <c r="N46" i="4" s="1"/>
  <c r="O47" i="4"/>
  <c r="AX28" i="4" a="1"/>
  <c r="AX28" i="4" s="1"/>
  <c r="BA54" i="4" a="1"/>
  <c r="BA54" i="4" s="1"/>
  <c r="K43" i="4"/>
  <c r="V50" i="4"/>
  <c r="D47" i="4"/>
  <c r="G47" i="4"/>
  <c r="AO109" i="9" l="1"/>
  <c r="AP109" i="9"/>
  <c r="AO125" i="9"/>
  <c r="AR125" i="9"/>
  <c r="N55" i="4"/>
  <c r="Q53" i="4"/>
  <c r="AQ109" i="9"/>
  <c r="F62" i="4"/>
  <c r="Q62" i="4"/>
  <c r="AW52" i="4"/>
  <c r="AW50" i="4" s="1"/>
  <c r="E47" i="4"/>
  <c r="C46" i="4" s="1"/>
  <c r="P40" i="4"/>
  <c r="N39" i="4" s="1"/>
  <c r="AW49" i="4"/>
  <c r="AR109" i="9"/>
  <c r="AR110" i="9"/>
  <c r="K50" i="4"/>
  <c r="BC52" i="4" s="1"/>
  <c r="AW48" i="4"/>
  <c r="AV50" i="4"/>
  <c r="J29" i="4"/>
  <c r="AQ93" i="9"/>
  <c r="AS5" i="9" s="1"/>
  <c r="AT5" i="9" s="1"/>
  <c r="AO93" i="9"/>
  <c r="AP93" i="9"/>
  <c r="AS4" i="9" s="1"/>
  <c r="AT4" i="9" s="1"/>
  <c r="AZ52" i="4"/>
  <c r="U36" i="4"/>
  <c r="P33" i="4"/>
  <c r="N32" i="4" s="1"/>
  <c r="AX53" i="4"/>
  <c r="V29" i="4"/>
  <c r="M49" i="4"/>
  <c r="E40" i="4"/>
  <c r="C39" i="4" s="1"/>
  <c r="BE52" i="4"/>
  <c r="BE50" i="4" s="1"/>
  <c r="U43" i="4"/>
  <c r="J36" i="4"/>
  <c r="AY52" i="4"/>
  <c r="AY50" i="4" s="1"/>
  <c r="U59" i="4"/>
  <c r="BF52" i="4"/>
  <c r="U50" i="4"/>
  <c r="BD52" i="4"/>
  <c r="BD50" i="4" s="1"/>
  <c r="BA52" i="4"/>
  <c r="BA50" i="4" s="1"/>
  <c r="J43" i="4"/>
  <c r="AS3" i="9" l="1"/>
  <c r="AT3" i="9" s="1"/>
  <c r="AX48" i="4"/>
  <c r="AY48" i="4" s="1"/>
  <c r="AZ48" i="4" s="1"/>
  <c r="AX49" i="4"/>
  <c r="AY49" i="4" s="1"/>
  <c r="AZ49" i="4" s="1"/>
  <c r="BA49" i="4" s="1"/>
  <c r="BB49" i="4" s="1"/>
  <c r="BC49" i="4" s="1"/>
  <c r="BD49" i="4" s="1"/>
  <c r="BE49" i="4" s="1"/>
  <c r="BF49" i="4" s="1"/>
  <c r="AZ50" i="4"/>
  <c r="J50" i="4"/>
  <c r="BC50" i="4"/>
  <c r="U29" i="4"/>
  <c r="AX52" i="4"/>
  <c r="AX50" i="4" s="1"/>
  <c r="BF50" i="4"/>
  <c r="AP825" i="11" a="1"/>
  <c r="BG49" i="4" l="1"/>
  <c r="H22" i="10" s="1"/>
  <c r="BA48" i="4"/>
  <c r="BB48" i="4" s="1"/>
  <c r="BC48" i="4" s="1"/>
  <c r="BD48" i="4" s="1"/>
  <c r="BE48" i="4" s="1"/>
  <c r="BG50" i="4"/>
  <c r="AU67" i="4" s="1"/>
  <c r="AP825" i="11"/>
  <c r="AP828" i="11" a="1"/>
  <c r="AM826" i="11" a="1"/>
  <c r="AP830" i="11" a="1"/>
  <c r="AP826" i="11" a="1"/>
  <c r="BF48" i="4" l="1"/>
  <c r="BG48" i="4" s="1"/>
  <c r="H19" i="10" s="1"/>
  <c r="H25" i="10"/>
  <c r="AM826" i="11"/>
  <c r="AP830" i="11"/>
  <c r="AP826" i="11"/>
  <c r="AP828" i="11"/>
  <c r="AM827" i="11" a="1"/>
  <c r="AN826" i="11"/>
  <c r="AM827" i="11" l="1"/>
  <c r="AP827" i="11" a="1"/>
  <c r="AN827" i="11"/>
  <c r="E820" i="11" l="1"/>
  <c r="AP827" i="11"/>
  <c r="I820" i="11" s="1"/>
  <c r="AP829" i="11" a="1"/>
  <c r="AM829" i="11" a="1"/>
  <c r="W59" i="4" l="1"/>
  <c r="L50" i="4"/>
  <c r="L59" i="4"/>
  <c r="L43" i="4"/>
  <c r="W43" i="4"/>
  <c r="W50" i="4"/>
  <c r="AP829" i="11"/>
  <c r="AM829" i="11"/>
  <c r="AN829" i="11"/>
  <c r="AR93" i="9" l="1"/>
  <c r="AS6" i="9" s="1"/>
  <c r="AT6" i="9" s="1"/>
  <c r="AM824" i="11" a="1"/>
  <c r="AP824" i="11" a="1"/>
  <c r="AM824" i="11" l="1"/>
  <c r="AP824" i="11"/>
  <c r="I829" i="11" s="1"/>
  <c r="I825" i="11"/>
  <c r="I824" i="11"/>
  <c r="AN824" i="11"/>
  <c r="E829" i="11" l="1"/>
  <c r="I827" i="11"/>
  <c r="I828" i="11"/>
  <c r="C45" i="4" s="1"/>
  <c r="BA36" i="4" s="1"/>
  <c r="E828" i="11"/>
  <c r="E827" i="11"/>
  <c r="E825" i="11"/>
  <c r="E824" i="11"/>
  <c r="I822" i="11"/>
  <c r="I823" i="11"/>
  <c r="E823" i="11"/>
  <c r="E822" i="11"/>
  <c r="E821" i="11"/>
  <c r="L29" i="4" s="1"/>
  <c r="I826" i="11"/>
  <c r="C38" i="4" s="1"/>
  <c r="AY36" i="4" s="1"/>
  <c r="I821" i="11"/>
  <c r="N31" i="4" s="1"/>
  <c r="AX36" i="4" s="1"/>
  <c r="E826" i="11"/>
  <c r="L36" i="4" l="1"/>
  <c r="W29" i="4"/>
  <c r="C31" i="4"/>
  <c r="AW36" i="4" s="1"/>
  <c r="AW51" i="4" l="1"/>
  <c r="AX51" i="4" l="1"/>
  <c r="AY51" i="4" s="1"/>
  <c r="AZ51" i="4" s="1"/>
  <c r="BA51" i="4" l="1"/>
  <c r="BB51" i="4" l="1"/>
  <c r="BC51" i="4" l="1"/>
  <c r="BD51" i="4" l="1"/>
  <c r="BE51" i="4" s="1"/>
  <c r="BF51" i="4" s="1"/>
  <c r="BG51" i="4" l="1"/>
  <c r="H28" i="10" s="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Mutante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<sst xmlns="http://schemas.openxmlformats.org/spreadsheetml/2006/main" count="27201" uniqueCount="10470">
  <si>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</si>
  <si>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</si>
  <si>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</si>
  <si>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</si>
  <si>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</si>
  <si>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</si>
  <si>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</si>
  <si>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</si>
  <si>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</si>
  <si>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</si>
  <si>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</si>
  <si>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</si>
  <si>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</si>
  <si>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</si>
  <si>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</si>
  <si>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</si>
  <si>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</si>
  <si>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</si>
  <si>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</si>
  <si>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</si>
  <si>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</si>
  <si>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</si>
  <si>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</si>
  <si>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</si>
  <si>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</si>
  <si>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</si>
  <si>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</si>
  <si>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</si>
  <si>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</si>
  <si>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</si>
  <si>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</si>
  <si>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</si>
  <si>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</si>
  <si>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</si>
  <si>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</si>
  <si>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</si>
  <si>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</si>
  <si>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</si>
  <si>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</si>
  <si>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</si>
  <si>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</si>
  <si>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</si>
  <si>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</si>
  <si>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</si>
  <si>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</si>
  <si>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</si>
  <si>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</si>
  <si>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</si>
  <si>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</si>
  <si>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</si>
  <si>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</si>
  <si>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</si>
  <si>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</si>
  <si>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</si>
  <si>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</si>
  <si>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</si>
  <si>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</si>
  <si>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</si>
  <si>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</si>
  <si>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</si>
  <si>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</si>
  <si>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</si>
  <si>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</si>
  <si>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</si>
  <si>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</si>
  <si>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</si>
  <si>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</si>
  <si>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</si>
  <si>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</si>
  <si>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</si>
  <si>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</si>
  <si>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</si>
  <si>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</si>
  <si>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</si>
  <si>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</si>
  <si>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</si>
  <si>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</si>
  <si>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</si>
  <si>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</si>
  <si>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</si>
  <si>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</si>
  <si>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</si>
  <si>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</si>
  <si>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</si>
  <si>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</si>
  <si>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</si>
  <si>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</si>
  <si>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</si>
  <si>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</si>
  <si>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</si>
  <si>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</si>
  <si>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</si>
  <si>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</si>
  <si>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</si>
  <si>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</si>
  <si>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</si>
  <si>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</si>
  <si>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</si>
  <si>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</si>
  <si>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</si>
  <si>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</si>
  <si>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</si>
  <si>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</si>
  <si>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</si>
  <si>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</si>
  <si>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</si>
  <si>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</si>
  <si>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</si>
  <si>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</si>
  <si>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</si>
  <si>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</si>
  <si>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</si>
  <si>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</si>
  <si>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</si>
  <si>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</si>
  <si>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</si>
  <si>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</si>
  <si>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</si>
  <si>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</si>
  <si>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</si>
  <si>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</si>
  <si>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</si>
  <si>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</si>
  <si>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</si>
  <si>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</si>
  <si>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</si>
  <si>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</si>
  <si>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</si>
  <si>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</si>
  <si>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</si>
  <si>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</si>
  <si>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</si>
  <si>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</si>
  <si>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</si>
  <si>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</si>
  <si>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</si>
  <si>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</si>
  <si>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</si>
  <si>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</si>
  <si>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</si>
  <si>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</si>
  <si>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</si>
  <si>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</si>
  <si>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</si>
  <si>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</si>
  <si>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</si>
  <si>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</si>
  <si>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</si>
  <si>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</si>
  <si>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</si>
  <si>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</si>
  <si>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</si>
  <si>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</si>
  <si>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</si>
  <si>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</si>
  <si>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</si>
  <si>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</si>
  <si>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</si>
  <si>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</si>
  <si>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</si>
  <si>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</si>
  <si>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</si>
  <si>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</si>
  <si>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</si>
  <si>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</si>
  <si>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</si>
  <si>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</si>
  <si>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</si>
  <si>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</si>
  <si>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</si>
  <si>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</si>
  <si>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</si>
  <si>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</si>
  <si>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</si>
  <si>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</si>
  <si>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</si>
  <si>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</si>
  <si>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</si>
  <si>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</si>
  <si>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</si>
  <si>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</si>
  <si>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</si>
  <si>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</si>
  <si>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</si>
  <si>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</si>
  <si>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</si>
  <si>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</si>
  <si>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</si>
  <si>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</si>
  <si>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</si>
  <si>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</si>
  <si>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</si>
  <si>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</si>
  <si>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</si>
  <si>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</si>
  <si>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</si>
  <si>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</si>
  <si>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</si>
  <si>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</si>
  <si>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</si>
  <si>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</si>
  <si>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</si>
  <si>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</si>
  <si>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</si>
  <si>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</si>
  <si>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</si>
  <si>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</si>
  <si>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</si>
  <si>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</si>
  <si>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</si>
  <si>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</si>
  <si>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</si>
  <si>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</si>
  <si>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</si>
  <si>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</si>
  <si>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</si>
  <si>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</si>
  <si>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</si>
  <si>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</si>
  <si>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</si>
  <si>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</si>
  <si>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</si>
  <si>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</si>
  <si>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</si>
  <si>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</si>
  <si>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</si>
  <si>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</si>
  <si>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</si>
  <si>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</si>
  <si>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</si>
  <si>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</si>
  <si>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</si>
  <si>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</si>
  <si>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</si>
  <si>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</si>
  <si>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</si>
  <si>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</si>
  <si>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</si>
  <si>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</si>
  <si>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</si>
  <si>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</si>
  <si>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</si>
  <si>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</si>
  <si>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</si>
  <si>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</si>
  <si>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</si>
  <si>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</si>
  <si>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</si>
  <si>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</si>
  <si>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</si>
  <si>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</si>
  <si>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</si>
  <si>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</si>
  <si>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</si>
  <si>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</si>
  <si>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</si>
  <si>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</si>
  <si>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</si>
  <si>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</si>
  <si>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</si>
  <si>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</si>
  <si>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</si>
  <si>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</si>
  <si>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</si>
  <si>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</si>
  <si>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</si>
  <si>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</si>
  <si>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</si>
  <si>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</si>
  <si>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</si>
  <si>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</si>
  <si>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</si>
  <si>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</si>
  <si>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</si>
  <si>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</si>
  <si>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</si>
  <si>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</si>
  <si>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</si>
  <si>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</si>
  <si>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</si>
  <si>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</si>
  <si>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</si>
  <si>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</si>
  <si>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</si>
  <si>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</si>
  <si>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</si>
  <si>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</si>
  <si>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</si>
  <si>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</si>
  <si>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</si>
  <si>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</si>
  <si>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</si>
  <si>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</si>
  <si>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</si>
  <si>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</si>
  <si>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</si>
  <si>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</si>
  <si>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</si>
  <si>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</si>
  <si>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</si>
  <si>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</si>
  <si>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</si>
  <si>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</si>
  <si>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</si>
  <si>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</si>
  <si>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</si>
  <si>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</si>
  <si>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</si>
  <si>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</si>
  <si>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</si>
  <si>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</si>
  <si>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</si>
  <si>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</si>
  <si>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</si>
  <si>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</si>
  <si>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</si>
  <si>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</si>
  <si>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</si>
  <si>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</si>
  <si>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</si>
  <si>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</si>
  <si>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</si>
  <si>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</si>
  <si>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</si>
  <si>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</si>
  <si>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</si>
  <si>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</si>
  <si>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</si>
  <si>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</si>
  <si>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</si>
  <si>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</si>
  <si>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</si>
  <si>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</si>
  <si>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</si>
  <si>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</si>
  <si>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</si>
  <si>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</si>
  <si>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</si>
  <si>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</si>
  <si>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</si>
  <si>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</si>
  <si>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</si>
  <si>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</si>
  <si>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</si>
  <si>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</si>
  <si>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</si>
  <si>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</si>
  <si>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</si>
  <si>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</si>
  <si>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</si>
  <si>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</si>
  <si>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</si>
  <si>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</si>
  <si>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</si>
  <si>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</si>
  <si>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</si>
  <si>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</si>
  <si>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</si>
  <si>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</si>
  <si>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</si>
  <si>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</si>
  <si>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</si>
  <si>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</si>
  <si>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</si>
  <si>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</si>
  <si>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</si>
  <si>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</si>
  <si>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</si>
  <si>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</si>
  <si>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</si>
  <si>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</si>
  <si>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</si>
  <si>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</si>
  <si>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</si>
  <si>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</si>
  <si>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</si>
  <si>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</si>
  <si>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</si>
  <si>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</si>
  <si>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</si>
  <si>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</si>
  <si>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</si>
  <si>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</si>
  <si>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</si>
  <si>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</si>
  <si>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</si>
  <si>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</si>
  <si>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</si>
  <si>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</si>
  <si>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</si>
  <si>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</si>
  <si>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</si>
  <si>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</si>
  <si>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</si>
  <si>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</si>
  <si>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</si>
  <si>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</si>
  <si>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</si>
  <si>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</si>
  <si>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</si>
  <si>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</si>
  <si>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</si>
  <si>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</si>
  <si>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</si>
  <si>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</si>
  <si>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</si>
  <si>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</si>
  <si>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</si>
  <si>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</si>
  <si>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</si>
  <si>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</si>
  <si>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</si>
  <si>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</si>
  <si>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</si>
  <si>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</si>
  <si>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</si>
  <si>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</si>
  <si>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</si>
  <si>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</si>
  <si>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</si>
  <si>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</si>
  <si>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</si>
  <si>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</si>
  <si>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</si>
  <si>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</si>
  <si>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</si>
  <si>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</si>
  <si>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</si>
  <si>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</si>
  <si>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</si>
  <si>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</si>
  <si>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</si>
  <si>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</si>
  <si>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</si>
  <si>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</si>
  <si>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</si>
  <si>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</si>
  <si>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</si>
  <si>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</si>
  <si>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</si>
  <si>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</si>
  <si>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</si>
  <si>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</si>
  <si>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</si>
  <si>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</si>
  <si>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</si>
  <si>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</si>
  <si>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</si>
  <si>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</si>
  <si>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</si>
  <si>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</si>
  <si>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</si>
  <si>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</si>
  <si>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</si>
  <si>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</si>
  <si>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</si>
  <si>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</si>
  <si>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</si>
  <si>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</si>
  <si>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</si>
  <si>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</si>
  <si>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</si>
  <si>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</si>
  <si>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</si>
  <si>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</si>
  <si>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</si>
  <si>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</si>
  <si>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</si>
  <si>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</si>
  <si>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</si>
  <si>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</si>
  <si>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</si>
  <si>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</si>
  <si>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</si>
  <si>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</si>
  <si>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</si>
  <si>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</si>
  <si>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</si>
  <si>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</si>
  <si>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</si>
  <si>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</si>
  <si>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</si>
  <si>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</si>
  <si>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</si>
  <si>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</si>
  <si>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</si>
  <si>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</si>
  <si>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</si>
  <si>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</si>
  <si>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</si>
  <si>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</si>
  <si>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</si>
  <si>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</si>
  <si>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</si>
  <si>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</si>
  <si>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</si>
  <si>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</si>
  <si>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</si>
  <si>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</si>
  <si>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</si>
  <si>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</si>
  <si>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</si>
  <si>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</si>
  <si>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</si>
  <si>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</si>
  <si>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</si>
  <si>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</si>
  <si>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</si>
  <si>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</si>
  <si>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</si>
  <si>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</si>
  <si>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</si>
  <si>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</si>
  <si>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</si>
  <si>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</si>
  <si>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</si>
  <si>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</si>
  <si>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</si>
  <si>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</si>
  <si>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</si>
  <si>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</si>
  <si>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</si>
  <si>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</si>
  <si>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</si>
  <si>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</si>
  <si>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</si>
  <si>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</si>
  <si>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</si>
  <si>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</si>
  <si>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</si>
  <si>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</si>
  <si>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</si>
  <si>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</si>
  <si>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</si>
  <si>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</si>
  <si>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</si>
  <si>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</si>
  <si>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</si>
  <si>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</si>
  <si>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</si>
  <si>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</si>
  <si>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</si>
  <si>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</si>
  <si>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</si>
  <si>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</si>
  <si>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</si>
  <si>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</si>
  <si>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</si>
  <si>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</si>
  <si>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</si>
  <si>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</si>
  <si>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</si>
  <si>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</si>
  <si>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</si>
  <si>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</si>
  <si>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</si>
  <si>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</si>
  <si>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</si>
  <si>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</si>
  <si>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</si>
  <si>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</si>
  <si>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</si>
  <si>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</si>
  <si>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</si>
  <si>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</si>
  <si>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</si>
  <si>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</si>
  <si>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</si>
  <si>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</si>
  <si>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</si>
  <si>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</si>
  <si>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</si>
  <si>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</si>
  <si>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</si>
  <si>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</si>
  <si>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</si>
  <si>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</si>
  <si>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</si>
  <si>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</si>
  <si>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</si>
  <si>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</si>
  <si>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</si>
  <si>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</si>
  <si>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</si>
  <si>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</si>
  <si>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</si>
  <si>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</si>
  <si>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</si>
  <si>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</si>
  <si>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</si>
  <si>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</si>
  <si>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</si>
  <si>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</si>
  <si>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</si>
  <si>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</si>
  <si>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</si>
  <si>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</si>
  <si>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</si>
  <si>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</si>
  <si>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</si>
  <si>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</si>
  <si>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</si>
  <si>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</si>
  <si>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</si>
  <si>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</si>
  <si>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</si>
  <si>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</si>
  <si>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</si>
  <si>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</si>
  <si>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</si>
  <si>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</si>
  <si>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</si>
  <si>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</si>
  <si>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</si>
  <si>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</si>
  <si>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</si>
  <si>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</si>
  <si>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</si>
  <si>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</si>
  <si>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</si>
  <si>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</si>
  <si>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</si>
  <si>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</si>
  <si>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</si>
  <si>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</si>
  <si>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</si>
  <si>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</si>
  <si>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</si>
  <si>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</si>
  <si>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</si>
  <si>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</si>
  <si>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</si>
  <si>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</si>
  <si>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</si>
  <si>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</si>
  <si>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</si>
  <si>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</si>
  <si>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</si>
  <si>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</si>
  <si>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</si>
  <si>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</si>
  <si>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</si>
  <si>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</si>
  <si>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</si>
  <si>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</si>
  <si>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</si>
  <si>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</si>
  <si>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</si>
  <si>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</si>
  <si>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</si>
  <si>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</si>
  <si>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</si>
  <si>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</si>
  <si>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</si>
  <si>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</si>
  <si>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</si>
  <si>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</si>
  <si>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</si>
  <si>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</si>
  <si>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</si>
  <si>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</si>
  <si>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</si>
  <si>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</si>
  <si>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</si>
  <si>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</si>
  <si>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</si>
  <si>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</si>
  <si>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</si>
  <si>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</si>
  <si>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</si>
  <si>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</si>
  <si>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</si>
  <si>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</si>
  <si>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</si>
  <si>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</si>
  <si>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</si>
  <si>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</si>
  <si>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</si>
  <si>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</si>
  <si>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</si>
  <si>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</si>
  <si>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</si>
  <si>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</si>
  <si>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</si>
  <si>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</si>
  <si>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</si>
  <si>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</si>
  <si>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</si>
  <si>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</si>
  <si>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</si>
  <si>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</si>
  <si>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</si>
  <si>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</si>
  <si>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</si>
  <si>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</si>
  <si>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</si>
  <si>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</si>
  <si>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</si>
  <si>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</si>
  <si>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</si>
  <si>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</si>
  <si>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</si>
  <si>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</si>
  <si>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</si>
  <si>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</si>
  <si>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</si>
  <si>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</si>
  <si>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</si>
  <si>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</si>
  <si>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</si>
  <si>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</si>
  <si>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</si>
  <si>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</si>
  <si>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</si>
  <si>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</si>
  <si>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</si>
  <si>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</si>
  <si>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</si>
  <si>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</si>
  <si>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</si>
  <si>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</si>
  <si>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</si>
  <si>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</si>
  <si>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</si>
  <si>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</si>
  <si>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</si>
  <si>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</si>
  <si>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</si>
  <si>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</si>
  <si>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</si>
  <si>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</si>
  <si>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</si>
  <si>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</si>
  <si>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</si>
  <si>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</si>
  <si>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</si>
  <si>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</si>
  <si>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</si>
  <si>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</si>
  <si>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</si>
  <si>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</si>
  <si>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</si>
  <si>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</si>
  <si>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</si>
  <si>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</si>
  <si>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</si>
  <si>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</si>
  <si>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</si>
  <si>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</si>
  <si>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</si>
  <si>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</si>
  <si>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</si>
  <si>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</si>
  <si>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</si>
  <si>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</si>
  <si>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</si>
  <si>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</si>
  <si>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</si>
  <si>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</si>
  <si>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</si>
  <si>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</si>
  <si>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</si>
  <si>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</si>
  <si>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</si>
  <si>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</si>
  <si>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</si>
  <si>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</si>
  <si>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</si>
  <si>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</si>
  <si>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</si>
  <si>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</si>
  <si>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</si>
  <si>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</si>
  <si>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</si>
  <si>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</si>
  <si>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</si>
  <si>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</si>
  <si>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</si>
  <si>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</si>
  <si>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</si>
  <si>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</si>
  <si>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</si>
  <si>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</si>
  <si>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</si>
  <si>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</si>
  <si>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</si>
  <si>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</si>
  <si>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</si>
  <si>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</si>
  <si>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</si>
  <si>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</si>
  <si>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</si>
  <si>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</si>
  <si>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</si>
  <si>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</si>
  <si>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</si>
  <si>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</si>
  <si>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</si>
  <si>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</si>
  <si>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</si>
  <si>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</si>
  <si>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</si>
  <si>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</si>
  <si>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</si>
  <si>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</si>
  <si>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</si>
  <si>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</si>
  <si>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</si>
  <si>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</si>
  <si>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</si>
  <si>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</si>
  <si>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</si>
  <si>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</si>
  <si>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</si>
  <si>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</si>
  <si>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</si>
  <si>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</si>
  <si>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</si>
  <si>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</si>
  <si>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</si>
  <si>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</si>
  <si>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</si>
  <si>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</si>
  <si>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</si>
  <si>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</si>
  <si>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</si>
  <si>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</si>
  <si>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</si>
  <si>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</si>
  <si>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</si>
  <si>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</si>
  <si>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</si>
  <si>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</si>
  <si>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</si>
  <si>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</si>
  <si>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</si>
  <si>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</si>
  <si>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</si>
  <si>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</si>
  <si>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</si>
  <si>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</si>
  <si>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</si>
  <si>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</si>
  <si>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</si>
  <si>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</si>
  <si>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</si>
  <si>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</si>
  <si>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</si>
  <si>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</si>
  <si>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</si>
  <si>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</si>
  <si>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</si>
  <si>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</si>
  <si>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</si>
  <si>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</si>
  <si>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</si>
  <si>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</si>
  <si>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</si>
  <si>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</si>
  <si>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</si>
  <si>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</si>
  <si>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</si>
  <si>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</si>
  <si>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</si>
  <si>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</si>
  <si>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</si>
  <si>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</si>
  <si>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</si>
  <si>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</si>
  <si>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</si>
  <si>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</si>
  <si>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</si>
  <si>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</si>
  <si>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</si>
  <si>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</si>
  <si>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</si>
  <si>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</si>
  <si>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</si>
  <si>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</si>
  <si>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</si>
  <si>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</si>
  <si>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</si>
  <si>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</si>
  <si>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</si>
  <si>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</si>
  <si>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</si>
  <si>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</si>
  <si>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</si>
  <si>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</si>
  <si>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</si>
  <si>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</si>
  <si>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</si>
  <si>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</si>
  <si>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</si>
  <si>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</si>
  <si>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</si>
  <si>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</si>
  <si>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</si>
  <si>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</si>
  <si>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</si>
  <si>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</si>
  <si>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</si>
  <si>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</si>
  <si>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</si>
  <si>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</si>
  <si>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</si>
  <si>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</si>
  <si>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</si>
  <si>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</si>
  <si>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</si>
  <si>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</si>
  <si>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</si>
  <si>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</si>
  <si>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</si>
  <si>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</si>
  <si>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</si>
  <si>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</si>
  <si>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</si>
  <si>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</si>
  <si>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</si>
  <si>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</si>
  <si>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</si>
  <si>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</si>
  <si>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</si>
  <si>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</si>
  <si>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</si>
  <si>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</si>
  <si>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</si>
  <si>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</si>
  <si>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</si>
  <si>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</si>
  <si>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</si>
  <si>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</si>
  <si>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</si>
  <si>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</si>
  <si>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</si>
  <si>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</si>
  <si>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</si>
  <si>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</si>
  <si>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</si>
  <si>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</si>
  <si>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</si>
  <si>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</si>
  <si>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</si>
  <si>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</si>
  <si>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</si>
  <si>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</si>
  <si>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</si>
  <si>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</si>
  <si>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</si>
  <si>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</si>
  <si>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</si>
  <si>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</si>
  <si>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</si>
  <si>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</si>
  <si>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</si>
  <si>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</si>
  <si>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</si>
  <si>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</si>
  <si>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</si>
  <si>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</si>
  <si>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</si>
  <si>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</si>
  <si>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</si>
  <si>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</si>
  <si>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</si>
  <si>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</si>
  <si>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</si>
  <si>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</si>
  <si>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</si>
  <si>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</si>
  <si>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</si>
  <si>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</si>
  <si>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</si>
  <si>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</si>
  <si>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</si>
  <si>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</si>
  <si>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</si>
  <si>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</si>
  <si>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</si>
  <si>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</si>
  <si>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</si>
  <si>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</si>
  <si>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</si>
  <si>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</si>
  <si>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</si>
  <si>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</si>
  <si>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</si>
  <si>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</si>
  <si>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</si>
  <si>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</si>
  <si>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</si>
  <si>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</si>
  <si>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</si>
  <si>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</si>
  <si>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</si>
  <si>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</si>
  <si>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</si>
  <si>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</si>
  <si>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</si>
  <si>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</si>
  <si>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</si>
  <si>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</si>
  <si>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</si>
  <si>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</si>
  <si>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</si>
  <si>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</si>
  <si>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</si>
  <si>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</si>
  <si>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</si>
  <si>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</si>
  <si>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</si>
  <si>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</si>
  <si>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</si>
  <si>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</si>
  <si>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</si>
  <si>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</si>
  <si>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</si>
  <si>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</si>
  <si>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</si>
  <si>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</si>
  <si>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</si>
  <si>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</si>
  <si>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</si>
  <si>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</si>
  <si>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</si>
  <si>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</si>
  <si>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</si>
  <si>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</si>
  <si>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</si>
  <si>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</si>
  <si>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</si>
  <si>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</si>
  <si>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</si>
  <si>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</si>
  <si>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</si>
  <si>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</si>
  <si>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</si>
  <si>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</si>
  <si>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</si>
  <si>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</si>
  <si>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</si>
  <si>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</si>
  <si>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</si>
  <si>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</si>
  <si>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</si>
  <si>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</si>
  <si>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</si>
  <si>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</si>
  <si>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</si>
  <si>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</si>
  <si>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</si>
  <si>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</si>
  <si>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</si>
  <si>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</si>
  <si>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</si>
  <si>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</si>
  <si>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</si>
  <si>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</si>
  <si>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</si>
  <si>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</si>
  <si>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</si>
  <si>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</si>
  <si>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</si>
  <si>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</si>
  <si>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</si>
  <si>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</si>
  <si>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</si>
  <si>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</si>
  <si>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</si>
  <si>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</si>
  <si>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</si>
  <si>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</si>
  <si>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</si>
  <si>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</si>
  <si>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</si>
  <si>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</si>
  <si>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</si>
  <si>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</si>
  <si>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</si>
  <si>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</si>
  <si>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</si>
  <si>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</si>
  <si>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</si>
  <si>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</si>
  <si>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</si>
  <si>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</si>
  <si>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</si>
  <si>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</si>
  <si>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</si>
  <si>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</si>
  <si>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</si>
  <si>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</si>
  <si>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</si>
  <si>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</si>
  <si>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</si>
  <si>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</si>
  <si>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</si>
  <si>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</si>
  <si>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</si>
  <si>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</si>
  <si>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</si>
  <si>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</si>
  <si>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</si>
  <si>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</si>
  <si>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</si>
  <si>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</si>
  <si>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</si>
  <si>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</si>
  <si>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</si>
  <si>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</si>
  <si>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</si>
  <si>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</si>
  <si>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</si>
  <si>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</si>
  <si>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</si>
  <si>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</si>
  <si>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</si>
  <si>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</si>
  <si>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</si>
  <si>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</si>
  <si>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</si>
  <si>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</si>
  <si>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</si>
  <si>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</si>
  <si>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</si>
  <si>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</si>
  <si>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</si>
  <si>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</si>
  <si>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</si>
  <si>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</si>
  <si>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</si>
  <si>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</si>
  <si>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</si>
  <si>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</si>
  <si>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</si>
  <si>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</si>
  <si>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</si>
  <si>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</si>
  <si>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</si>
  <si>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</si>
  <si>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</si>
  <si>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</si>
  <si>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</si>
  <si>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</si>
  <si>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</si>
  <si>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</si>
  <si>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</si>
  <si>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</si>
  <si>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</si>
  <si>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</si>
  <si>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</si>
  <si>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</si>
  <si>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</si>
  <si>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</si>
  <si>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</si>
  <si>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</si>
  <si>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</si>
  <si>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</si>
  <si>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</si>
  <si>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</si>
  <si>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</si>
  <si>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</si>
  <si>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</si>
  <si>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</si>
  <si>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</si>
  <si>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</si>
  <si>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</si>
  <si>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</si>
  <si>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</si>
  <si>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</si>
  <si>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</si>
  <si>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</si>
  <si>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</si>
  <si>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</si>
  <si>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</si>
  <si>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</si>
  <si>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</si>
  <si>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</si>
  <si>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</si>
  <si>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</si>
  <si>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</si>
  <si>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</si>
  <si>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</si>
  <si>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</si>
  <si>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</si>
  <si>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</si>
  <si>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</si>
  <si>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</si>
  <si>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</si>
  <si>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</si>
  <si>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</si>
  <si>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</si>
  <si>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</si>
  <si>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</si>
  <si>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</si>
  <si>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</si>
  <si>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</si>
  <si>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</si>
  <si>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</si>
  <si>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</si>
  <si>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</si>
  <si>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</si>
  <si>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</si>
  <si>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</si>
  <si>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</si>
  <si>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</si>
  <si>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</si>
  <si>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</si>
  <si>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</si>
  <si>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</si>
  <si>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</si>
  <si>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</si>
  <si>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</si>
  <si>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</si>
  <si>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</si>
  <si>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</si>
  <si>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</si>
  <si>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</si>
  <si>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</si>
  <si>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</si>
  <si>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</si>
  <si>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</si>
  <si>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</si>
  <si>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</si>
  <si>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</si>
  <si>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</si>
  <si>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</si>
  <si>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</si>
  <si>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</si>
  <si>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</si>
  <si>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</si>
  <si>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</si>
  <si>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</si>
  <si>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</si>
  <si>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</si>
  <si>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</si>
  <si>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</si>
  <si>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</si>
  <si>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</si>
  <si>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</si>
  <si>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</si>
  <si>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</si>
  <si>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</si>
  <si>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</si>
  <si>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</si>
  <si>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</si>
  <si>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</si>
  <si>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</si>
  <si>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</si>
  <si>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</si>
  <si>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</si>
  <si>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</si>
  <si>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</si>
  <si>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</si>
  <si>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</si>
  <si>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</si>
  <si>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</si>
  <si>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</si>
  <si>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</si>
  <si>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</si>
  <si>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</si>
  <si>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</si>
  <si>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</si>
  <si>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</si>
  <si>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</si>
  <si>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</si>
  <si>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</si>
  <si>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</si>
  <si>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</si>
  <si>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</si>
  <si>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</si>
  <si>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</si>
  <si>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</si>
  <si>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</si>
  <si>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</si>
  <si>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</si>
  <si>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</si>
  <si>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</si>
  <si>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</si>
  <si>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</si>
  <si>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</si>
  <si>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</si>
  <si>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</si>
  <si>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</si>
  <si>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</si>
  <si>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</si>
  <si>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</si>
  <si>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</si>
  <si>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</si>
  <si>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</si>
  <si>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</si>
  <si>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</si>
  <si>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</si>
  <si>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</si>
  <si>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</si>
  <si>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</si>
  <si>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</si>
  <si>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</si>
  <si>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</si>
  <si>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</si>
  <si>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</si>
  <si>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</si>
  <si>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</si>
  <si>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</si>
  <si>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</si>
  <si>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</si>
  <si>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</si>
  <si>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</si>
  <si>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</si>
  <si>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</si>
  <si>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</si>
  <si>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</si>
  <si>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</si>
  <si>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</si>
  <si>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</si>
  <si>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</si>
  <si>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</si>
  <si>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</si>
  <si>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</si>
  <si>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</si>
  <si>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</si>
  <si>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</si>
  <si>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</si>
  <si>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</si>
  <si>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</si>
  <si>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</si>
  <si>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</si>
  <si>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</si>
  <si>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</si>
  <si>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</si>
  <si>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</si>
  <si>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</si>
  <si>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</si>
  <si>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</si>
  <si>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</si>
  <si>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</si>
  <si>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</si>
  <si>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</si>
  <si>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</si>
  <si>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</si>
  <si>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</si>
  <si>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</si>
  <si>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</si>
  <si>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</si>
  <si>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</si>
  <si>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</si>
  <si>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</si>
  <si>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</si>
  <si>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</si>
  <si>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</si>
  <si>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</si>
  <si>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</si>
  <si>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</si>
  <si>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</si>
  <si>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</si>
  <si>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</si>
  <si>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</si>
  <si>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</si>
  <si>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</si>
  <si>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</si>
  <si>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</si>
  <si>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</si>
  <si>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</si>
  <si>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</si>
  <si>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</si>
  <si>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</si>
  <si>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</si>
  <si>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</si>
  <si>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</si>
  <si>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</si>
  <si>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</si>
  <si>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</si>
  <si>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</si>
  <si>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</si>
  <si>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</si>
  <si>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</si>
  <si>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</si>
  <si>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</si>
  <si>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</si>
  <si>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</si>
  <si>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</si>
  <si>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</si>
  <si>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</si>
  <si>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</si>
  <si>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</si>
  <si>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</si>
  <si>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</si>
  <si>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</si>
  <si>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</si>
  <si>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</si>
  <si>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</si>
  <si>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</si>
  <si>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</si>
  <si>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</si>
  <si>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</si>
  <si>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</si>
  <si>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</si>
  <si>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</si>
  <si>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</si>
  <si>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</si>
  <si>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</si>
  <si>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</si>
  <si>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</si>
  <si>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</si>
  <si>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</si>
  <si>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</si>
  <si>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</si>
  <si>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</si>
  <si>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</si>
  <si>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</si>
  <si>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</si>
  <si>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</si>
  <si>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</si>
  <si>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</si>
  <si>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</si>
  <si>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</si>
  <si>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</si>
  <si>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</si>
  <si>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</si>
  <si>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</si>
  <si>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</si>
  <si>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</si>
  <si>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</si>
  <si>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</si>
  <si>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</si>
  <si>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</si>
  <si>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</si>
  <si>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</si>
  <si>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</si>
  <si>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</si>
  <si>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</si>
  <si>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</si>
  <si>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</si>
  <si>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</si>
  <si>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</si>
  <si>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</si>
  <si>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</si>
  <si>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</si>
  <si>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</si>
  <si>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</si>
  <si>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</si>
  <si>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</si>
  <si>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</si>
  <si>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</si>
  <si>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</si>
  <si>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</si>
  <si>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</si>
  <si>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</si>
  <si>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</si>
  <si>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</si>
  <si>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</si>
  <si>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</si>
  <si>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</si>
  <si>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</si>
  <si>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</si>
  <si>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</si>
  <si>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</si>
  <si>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</si>
  <si>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</si>
  <si>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</si>
  <si>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</si>
  <si>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</si>
  <si>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</si>
  <si>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</si>
  <si>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</si>
  <si>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</si>
  <si>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</si>
  <si>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</si>
  <si>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</si>
  <si>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</si>
  <si>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</si>
  <si>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</si>
  <si>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</si>
  <si>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</si>
  <si>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</si>
  <si>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</si>
  <si>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</si>
  <si>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</si>
  <si>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</si>
  <si>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</si>
  <si>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</si>
  <si>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</si>
  <si>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</si>
  <si>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</si>
  <si>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</si>
  <si>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</si>
  <si>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</si>
  <si>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</si>
  <si>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</si>
  <si>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</si>
  <si>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</si>
  <si>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</si>
  <si>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</si>
  <si>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</si>
  <si>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</si>
  <si>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</si>
  <si>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</si>
  <si>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</si>
  <si>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</si>
  <si>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</si>
  <si>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</si>
  <si>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</si>
  <si>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</si>
  <si>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</si>
  <si>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</si>
  <si>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</si>
  <si>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</si>
  <si>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</si>
  <si>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</si>
  <si>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</si>
  <si>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</si>
  <si>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</si>
  <si>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</si>
  <si>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</si>
  <si>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</si>
  <si>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</si>
  <si>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</si>
  <si>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</si>
  <si>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</si>
  <si>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</si>
  <si>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</si>
  <si>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</si>
  <si>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</si>
  <si>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</si>
  <si>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</si>
  <si>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</si>
  <si>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</si>
  <si>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</si>
  <si>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</si>
  <si>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</si>
  <si>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</si>
  <si>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</si>
  <si>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</si>
  <si>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</si>
  <si>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</si>
  <si>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</si>
  <si>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</si>
  <si>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</si>
  <si>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</si>
  <si>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</si>
  <si>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</si>
  <si>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</si>
  <si>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</si>
  <si>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</si>
  <si>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</si>
  <si>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</si>
  <si>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</si>
  <si>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</si>
  <si>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</si>
  <si>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</si>
  <si>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</si>
  <si>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</si>
  <si>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</si>
  <si>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</si>
  <si>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</si>
  <si>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</si>
  <si>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</si>
  <si>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</si>
  <si>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</si>
  <si>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</si>
  <si>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</si>
  <si>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</si>
  <si>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</si>
  <si>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</si>
  <si>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</si>
  <si>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</si>
  <si>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</si>
  <si>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</si>
  <si>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</si>
  <si>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</si>
  <si>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</si>
  <si>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</si>
  <si>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</si>
  <si>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</si>
  <si>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</si>
  <si>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</si>
  <si>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</si>
  <si>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</si>
  <si>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</si>
  <si>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</si>
  <si>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</si>
  <si>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</si>
  <si>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</si>
  <si>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</si>
  <si>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</si>
  <si>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</si>
  <si>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</si>
  <si>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</si>
  <si>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</si>
  <si>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</si>
  <si>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</si>
  <si>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</si>
  <si>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</si>
  <si>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</si>
  <si>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</si>
  <si>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</si>
  <si>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</si>
  <si>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</si>
  <si>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</si>
  <si>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</si>
  <si>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</si>
  <si>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</si>
  <si>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</si>
  <si>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</si>
  <si>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</si>
  <si>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</si>
  <si>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</si>
  <si>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</si>
  <si>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</si>
  <si>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</si>
  <si>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</si>
  <si>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</si>
  <si>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</si>
  <si>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</si>
  <si>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</si>
  <si>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</si>
  <si>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</si>
  <si>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</si>
  <si>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</si>
  <si>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</si>
  <si>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</si>
  <si>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</si>
  <si>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</si>
  <si>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</si>
  <si>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</si>
  <si>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</si>
  <si>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</si>
  <si>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</si>
  <si>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</si>
  <si>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</si>
  <si>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</si>
  <si>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</si>
  <si>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</si>
  <si>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</si>
  <si>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</si>
  <si>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</si>
  <si>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</si>
  <si>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</si>
  <si>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</si>
  <si>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</si>
  <si>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</si>
  <si>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</si>
  <si>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</si>
  <si>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</si>
  <si>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</si>
  <si>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</si>
  <si>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</si>
  <si>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</si>
  <si>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</si>
  <si>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</si>
  <si>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</si>
  <si>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</si>
  <si>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</si>
  <si>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</si>
  <si>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</si>
  <si>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</si>
  <si>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</si>
  <si>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</si>
  <si>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</si>
  <si>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</si>
  <si>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</si>
  <si>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</si>
  <si>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</si>
  <si>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</si>
  <si>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</si>
  <si>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</si>
  <si>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</si>
  <si>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</si>
  <si>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</si>
  <si>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</si>
  <si>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</si>
  <si>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</si>
  <si>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</si>
  <si>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</si>
  <si>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</si>
  <si>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</si>
  <si>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</si>
  <si>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</si>
  <si>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</si>
  <si>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</si>
  <si>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</si>
  <si>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</si>
  <si>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</si>
  <si>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</si>
  <si>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</si>
  <si>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</si>
  <si>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</si>
  <si>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</si>
  <si>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</si>
  <si>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</si>
  <si>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</si>
  <si>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</si>
  <si>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</si>
  <si>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</si>
  <si>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</si>
  <si>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</si>
  <si>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</si>
  <si>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</si>
  <si>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</si>
  <si>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</si>
  <si>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</si>
  <si>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</si>
  <si>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</si>
  <si>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</si>
  <si>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</si>
  <si>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</si>
  <si>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</si>
  <si>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</si>
  <si>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</si>
  <si>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</si>
  <si>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</si>
  <si>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</si>
  <si>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</si>
  <si>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</si>
  <si>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</si>
  <si>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</si>
  <si>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</si>
  <si>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</si>
  <si>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</si>
  <si>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</si>
  <si>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</si>
  <si>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</si>
  <si>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</si>
  <si>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</si>
  <si>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</si>
  <si>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</si>
  <si>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</si>
  <si>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</si>
  <si>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</si>
  <si>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</si>
  <si>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</si>
  <si>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</si>
  <si>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</si>
  <si>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</si>
  <si>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</si>
  <si>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</si>
  <si>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</si>
  <si>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</si>
  <si>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</si>
  <si>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</si>
  <si>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</si>
  <si>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</si>
  <si>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</si>
  <si>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</si>
  <si>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</si>
  <si>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</si>
  <si>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</si>
  <si>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</si>
  <si>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</si>
  <si>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</si>
  <si>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</si>
  <si>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</si>
  <si>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</si>
  <si>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</si>
  <si>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</si>
  <si>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</si>
  <si>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</si>
  <si>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</si>
  <si>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</si>
  <si>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</si>
  <si>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</si>
  <si>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</si>
  <si>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</si>
  <si>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</si>
  <si>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</si>
  <si>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</si>
  <si>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</si>
  <si>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</si>
  <si>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</si>
  <si>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</si>
  <si>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</si>
  <si>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</si>
  <si>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</si>
  <si>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</si>
  <si>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</si>
  <si>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</si>
  <si>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</si>
  <si>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</si>
  <si>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</si>
  <si>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</si>
  <si>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</si>
  <si>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</si>
  <si>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</si>
  <si>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</si>
  <si>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</si>
  <si>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</si>
  <si>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</si>
  <si>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</si>
  <si>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</si>
  <si>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</si>
  <si>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</si>
  <si>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</si>
  <si>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</si>
  <si>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</si>
  <si>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</si>
  <si>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</si>
  <si>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</si>
  <si>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</si>
  <si>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</si>
  <si>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</si>
  <si>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</si>
  <si>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</si>
  <si>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</si>
  <si>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</si>
  <si>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</si>
  <si>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</si>
  <si>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</si>
  <si>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</si>
  <si>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</si>
  <si>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</si>
  <si>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</si>
  <si>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</si>
  <si>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</si>
  <si>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</si>
  <si>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</si>
  <si>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</si>
  <si>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</si>
  <si>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</si>
  <si>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</si>
  <si>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</si>
  <si>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</si>
  <si>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</si>
  <si>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</si>
  <si>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</si>
  <si>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</si>
  <si>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</si>
  <si>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</si>
  <si>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</si>
  <si>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</si>
  <si>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</si>
  <si>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</si>
  <si>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</si>
  <si>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</si>
  <si>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</si>
  <si>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</si>
  <si>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</si>
  <si>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</si>
  <si>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</si>
  <si>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</si>
  <si>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</si>
  <si>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</si>
  <si>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</si>
  <si>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</si>
  <si>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</si>
  <si>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</si>
  <si>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</si>
  <si>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</si>
  <si>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</si>
  <si>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</si>
  <si>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</si>
  <si>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</si>
  <si>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</si>
  <si>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</si>
  <si>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</si>
  <si>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</si>
  <si>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</si>
  <si>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</si>
  <si>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</si>
  <si>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</si>
  <si>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</si>
  <si>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</si>
  <si>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</si>
  <si>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</si>
  <si>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</si>
  <si>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</si>
  <si>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</si>
  <si>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</si>
  <si>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</si>
  <si>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</si>
  <si>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</si>
  <si>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</si>
  <si>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</si>
  <si>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</si>
  <si>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</si>
  <si>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</si>
  <si>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</si>
  <si>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</si>
  <si>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</si>
  <si>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</si>
  <si>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</si>
  <si>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</si>
  <si>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</si>
  <si>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</si>
  <si>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</si>
  <si>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</si>
  <si>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</si>
  <si>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</si>
  <si>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</si>
  <si>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</si>
  <si>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</si>
  <si>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</si>
  <si>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</si>
  <si>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</si>
  <si>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</si>
  <si>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</si>
  <si>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</si>
  <si>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</si>
  <si>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</si>
  <si>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</si>
  <si>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</si>
  <si>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</si>
  <si>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</si>
  <si>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</si>
  <si>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</si>
  <si>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</si>
  <si>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</si>
  <si>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</si>
  <si>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</si>
  <si>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</si>
  <si>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</si>
  <si>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</si>
  <si>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</si>
  <si>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</si>
  <si>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</si>
  <si>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</si>
  <si>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</si>
  <si>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</si>
  <si>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</si>
  <si>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</si>
  <si>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</si>
  <si>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</si>
  <si>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</si>
  <si>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</si>
  <si>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</si>
  <si>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</si>
  <si>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</si>
  <si>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</si>
  <si>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</si>
  <si>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</si>
  <si>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</si>
  <si>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</si>
  <si>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</si>
  <si>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</si>
  <si>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</si>
  <si>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</si>
  <si>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</si>
  <si>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</si>
  <si>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</si>
  <si>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</si>
  <si>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</si>
  <si>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</si>
  <si>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</si>
  <si>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</si>
  <si>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</si>
  <si>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</si>
  <si>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</si>
  <si>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</si>
  <si>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</si>
  <si>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</si>
  <si>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</si>
  <si>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</si>
  <si>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</si>
  <si>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</si>
  <si>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</si>
  <si>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</si>
  <si>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</si>
  <si>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</si>
  <si>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</si>
  <si>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</si>
  <si>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</si>
  <si>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</si>
  <si>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</si>
  <si>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</si>
  <si>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</si>
  <si>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</si>
  <si>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</si>
  <si>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</si>
  <si>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</si>
  <si>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</si>
  <si>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</si>
  <si>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</si>
  <si>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</si>
  <si>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</si>
  <si>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</si>
  <si>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</si>
  <si>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</si>
  <si>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</si>
  <si>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</si>
  <si>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</si>
  <si>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</si>
  <si>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</si>
  <si>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</si>
  <si>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</si>
  <si>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</si>
  <si>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</si>
  <si>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</si>
  <si>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</si>
  <si>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</si>
  <si>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</si>
  <si>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</si>
  <si>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</si>
  <si>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</si>
  <si>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</si>
  <si>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</si>
  <si>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</si>
  <si>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</si>
  <si>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</si>
  <si>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</si>
  <si>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</si>
  <si>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</si>
  <si>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</si>
  <si>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</si>
  <si>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</si>
  <si>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</si>
  <si>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</si>
  <si>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</si>
  <si>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</si>
  <si>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</si>
  <si>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</si>
  <si>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</si>
  <si>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</si>
  <si>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</si>
  <si>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</si>
  <si>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</si>
  <si>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</si>
  <si>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</si>
  <si>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</si>
  <si>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</si>
  <si>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</si>
  <si>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</si>
  <si>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</si>
  <si>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</si>
  <si>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</si>
  <si>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</si>
  <si>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</si>
  <si>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</si>
  <si>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</si>
  <si>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</si>
  <si>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</si>
  <si>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</si>
  <si>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</si>
  <si>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</si>
  <si>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</si>
  <si>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</si>
  <si>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</si>
  <si>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</si>
  <si>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</si>
  <si>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</si>
  <si>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</si>
  <si>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</si>
  <si>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</si>
  <si>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</si>
  <si>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</si>
  <si>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</si>
  <si>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</si>
  <si>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</si>
  <si>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</si>
  <si>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</si>
  <si>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</si>
  <si>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</si>
  <si>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</si>
  <si>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</si>
  <si>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</si>
  <si>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</si>
  <si>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</si>
  <si>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</si>
  <si>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</si>
  <si>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</si>
  <si>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</si>
  <si>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</si>
  <si>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</si>
  <si>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</si>
  <si>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</si>
  <si>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</si>
  <si>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</si>
  <si>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</si>
  <si>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</si>
  <si>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</si>
  <si>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</si>
  <si>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</si>
  <si>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</si>
  <si>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</si>
  <si>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</si>
  <si>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</si>
  <si>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</si>
  <si>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</si>
  <si>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</si>
  <si>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</si>
  <si>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</si>
  <si>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</si>
  <si>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</si>
  <si>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</si>
  <si>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</si>
  <si>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</si>
  <si>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</si>
  <si>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</si>
  <si>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</si>
  <si>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</si>
  <si>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</si>
  <si>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</si>
  <si>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</si>
  <si>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</si>
  <si>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</si>
  <si>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</si>
  <si>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</si>
  <si>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</si>
  <si>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</si>
  <si>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</si>
  <si>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</si>
  <si>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</si>
  <si>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</si>
  <si>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</si>
  <si>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</si>
  <si>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</si>
  <si>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</si>
  <si>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</si>
  <si>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</si>
  <si>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</si>
  <si>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</si>
  <si>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</si>
  <si>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</si>
  <si>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</si>
  <si>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</si>
  <si>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</si>
  <si>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</si>
  <si>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</si>
  <si>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</si>
  <si>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</si>
  <si>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</si>
  <si>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</si>
  <si>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</si>
  <si>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</si>
  <si>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</si>
  <si>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</si>
  <si>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</si>
  <si>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</si>
  <si>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</si>
  <si>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</si>
  <si>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</si>
  <si>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</si>
  <si>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</si>
  <si>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</si>
  <si>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</si>
  <si>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</si>
  <si>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</si>
  <si>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</si>
  <si>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</si>
  <si>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</si>
  <si>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</si>
  <si>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</si>
  <si>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</si>
  <si>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</si>
  <si>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</si>
  <si>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</si>
  <si>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</si>
  <si>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</si>
  <si>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</si>
  <si>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</si>
  <si>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</si>
  <si>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</si>
  <si>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</si>
  <si>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</si>
  <si>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</si>
  <si>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</si>
  <si>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</si>
  <si>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</si>
  <si>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</si>
  <si>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</si>
  <si>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</si>
  <si>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</si>
  <si>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</si>
  <si>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</si>
  <si>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</si>
  <si>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</si>
  <si>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</si>
  <si>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</si>
  <si>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</si>
  <si>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</si>
  <si>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</si>
  <si>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</si>
  <si>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</si>
  <si>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</si>
  <si>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</si>
  <si>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</si>
  <si>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</si>
  <si>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</si>
  <si>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</si>
  <si>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</si>
  <si>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</si>
  <si>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</si>
  <si>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</si>
  <si>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</si>
  <si>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</si>
  <si>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</si>
  <si>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</si>
  <si>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</si>
  <si>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</si>
  <si>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</si>
  <si>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</si>
  <si>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</si>
  <si>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</si>
  <si>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</si>
  <si>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</si>
  <si>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</si>
  <si>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</si>
  <si>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</si>
  <si>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</si>
  <si>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</si>
  <si>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</si>
  <si>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</si>
  <si>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</si>
  <si>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</si>
  <si>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</si>
  <si>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</si>
  <si>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</si>
  <si>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</si>
  <si>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</si>
  <si>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</si>
  <si>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</si>
  <si>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</si>
  <si>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</si>
  <si>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</si>
  <si>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</si>
  <si>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</si>
  <si>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</si>
  <si>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</si>
  <si>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</si>
  <si>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</si>
  <si>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</si>
  <si>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</si>
  <si>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</si>
  <si>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</si>
  <si>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</si>
  <si>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</si>
  <si>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</si>
  <si>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</si>
  <si>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</si>
  <si>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</si>
  <si>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</si>
  <si>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</si>
  <si>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</si>
  <si>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</si>
  <si>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</si>
  <si>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</si>
  <si>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</si>
  <si>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</si>
  <si>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</si>
  <si>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</si>
  <si>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</si>
  <si>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</si>
  <si>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</si>
  <si>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</si>
  <si>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</si>
  <si>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</si>
  <si>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</si>
  <si>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</si>
  <si>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</si>
  <si>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</si>
  <si>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</si>
  <si>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</si>
  <si>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</si>
  <si>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</si>
  <si>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</si>
  <si>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</si>
  <si>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</si>
  <si>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</si>
  <si>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</si>
  <si>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</si>
  <si>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</si>
  <si>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</si>
  <si>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</si>
  <si>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</si>
  <si>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</si>
  <si>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</si>
  <si>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</si>
  <si>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</si>
  <si>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</si>
  <si>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</si>
  <si>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</si>
  <si>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</si>
  <si>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</si>
  <si>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</si>
  <si>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</si>
  <si>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</si>
  <si>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</si>
  <si>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</si>
  <si>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</si>
  <si>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</si>
  <si>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</si>
  <si>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</si>
  <si>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</si>
  <si>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</si>
  <si>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</si>
  <si>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</si>
  <si>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</si>
  <si>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</si>
  <si>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</si>
  <si>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</si>
  <si>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</si>
  <si>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</si>
  <si>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</si>
  <si>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</si>
  <si>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</si>
  <si>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</si>
  <si>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</si>
  <si>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</si>
  <si>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</si>
  <si>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</si>
  <si>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</si>
  <si>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</si>
  <si>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</si>
  <si>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</si>
  <si>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</si>
  <si>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</si>
  <si>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</si>
  <si>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</si>
  <si>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</si>
  <si>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</si>
  <si>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</si>
  <si>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</si>
  <si>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</si>
  <si>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</si>
  <si>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</si>
  <si>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</si>
  <si>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</si>
  <si>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</si>
  <si>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</si>
  <si>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</si>
  <si>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</si>
  <si>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</si>
  <si>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</si>
  <si>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</si>
  <si>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</si>
  <si>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</si>
  <si>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</si>
  <si>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</si>
  <si>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</si>
  <si>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</si>
  <si>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</si>
  <si>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</si>
  <si>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</si>
  <si>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</si>
  <si>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</si>
  <si>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</si>
  <si>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</si>
  <si>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</si>
  <si>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</si>
  <si>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</si>
  <si>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</si>
  <si>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</si>
  <si>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</si>
  <si>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</si>
  <si>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</si>
  <si>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</si>
  <si>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</si>
  <si>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</si>
  <si>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</si>
  <si>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</si>
  <si>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</si>
  <si>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</si>
  <si>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</si>
  <si>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</si>
  <si>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</si>
  <si>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</si>
  <si>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</si>
  <si>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</si>
  <si>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</si>
  <si>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</si>
  <si>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</si>
  <si>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</si>
  <si>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</si>
  <si>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</si>
  <si>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</si>
  <si>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</si>
  <si>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</si>
  <si>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</si>
  <si>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</si>
  <si>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</si>
  <si>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</si>
  <si>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</si>
  <si>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</si>
  <si>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</si>
  <si>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</si>
  <si>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</si>
  <si>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</si>
  <si>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</si>
  <si>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</si>
  <si>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</si>
  <si>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</si>
  <si>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</si>
  <si>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</si>
  <si>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</si>
  <si>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</si>
  <si>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</si>
  <si>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</si>
  <si>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</si>
  <si>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</si>
  <si>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</si>
  <si>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</si>
  <si>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</si>
  <si>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</si>
  <si>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</si>
  <si>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</si>
  <si>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</si>
  <si>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</si>
  <si>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</si>
  <si>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</si>
  <si>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</si>
  <si>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</si>
  <si>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</si>
  <si>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</si>
  <si>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</si>
  <si>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</si>
  <si>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</si>
  <si>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</si>
  <si>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</si>
  <si>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</si>
  <si>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</si>
  <si>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</si>
  <si>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</si>
  <si>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</si>
  <si>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</si>
  <si>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</si>
  <si>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</si>
  <si>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</si>
  <si>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</si>
  <si>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</si>
  <si>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</si>
  <si>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</si>
  <si>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</si>
  <si>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</si>
  <si>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</si>
  <si>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</si>
  <si>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</si>
  <si>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</si>
  <si>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</si>
  <si>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</si>
  <si>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</si>
  <si>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</si>
  <si>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</si>
  <si>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</si>
  <si>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</si>
  <si>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</si>
  <si>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</si>
  <si>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</si>
  <si>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</si>
  <si>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</si>
  <si>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</si>
  <si>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</si>
  <si>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</si>
  <si>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</si>
  <si>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</si>
  <si>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</si>
  <si>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</si>
  <si>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</si>
  <si>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</si>
  <si>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</si>
  <si>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</si>
  <si>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</si>
  <si>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</si>
  <si>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</si>
  <si>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</si>
  <si>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</si>
  <si>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</si>
  <si>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</si>
  <si>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</si>
  <si>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</si>
  <si>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</si>
  <si>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</si>
  <si>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</si>
  <si>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</si>
  <si>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</si>
  <si>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</si>
  <si>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</si>
  <si>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</si>
  <si>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</si>
  <si>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</si>
  <si>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</si>
  <si>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</si>
  <si>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</si>
  <si>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</si>
  <si>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</si>
  <si>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</si>
  <si>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</si>
  <si>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</si>
  <si>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</si>
  <si>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</si>
  <si>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</si>
  <si>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</si>
  <si>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</si>
  <si>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</si>
  <si>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</si>
  <si>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</si>
  <si>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</si>
  <si>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</si>
  <si>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</si>
  <si>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</si>
  <si>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</si>
  <si>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</si>
  <si>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</si>
  <si>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</si>
  <si>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</si>
  <si>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</si>
  <si>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</si>
  <si>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</si>
  <si>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</si>
  <si>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</si>
  <si>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</si>
  <si>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</si>
  <si>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</si>
  <si>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</si>
  <si>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</si>
  <si>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</si>
  <si>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</si>
  <si>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</si>
  <si>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</si>
  <si>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</si>
  <si>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</si>
  <si>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</si>
  <si>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</si>
  <si>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</si>
  <si>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</si>
  <si>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</si>
  <si>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</si>
  <si>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</si>
  <si>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</si>
  <si>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</si>
  <si>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</si>
  <si>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</si>
  <si>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</si>
  <si>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</si>
  <si>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</si>
  <si>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</si>
  <si>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</si>
  <si>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</si>
  <si>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</si>
  <si>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</si>
  <si>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</si>
  <si>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</si>
  <si>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</si>
  <si>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</si>
  <si>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</si>
  <si>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</si>
  <si>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</si>
  <si>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</si>
  <si>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</si>
  <si>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</si>
  <si>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</si>
  <si>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</si>
  <si>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</si>
  <si>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</si>
  <si>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</si>
  <si>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</si>
  <si>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</si>
  <si>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</si>
  <si>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</si>
  <si>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</si>
  <si>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</si>
  <si>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</si>
  <si>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</si>
  <si>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</si>
  <si>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</si>
  <si>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</si>
  <si>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</si>
  <si>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</si>
  <si>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</si>
  <si>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</si>
  <si>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</si>
  <si>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</si>
  <si>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</si>
  <si>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</si>
  <si>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</si>
  <si>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</si>
  <si>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</si>
  <si>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</si>
  <si>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</si>
  <si>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</si>
  <si>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</si>
  <si>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</si>
  <si>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</si>
  <si>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</si>
  <si>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</si>
  <si>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</si>
  <si>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</si>
  <si>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</si>
  <si>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</si>
  <si>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</si>
  <si>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</si>
  <si>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</si>
  <si>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</si>
  <si>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</si>
  <si>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</si>
  <si>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</si>
  <si>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</si>
  <si>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</si>
  <si>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</si>
  <si>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</si>
  <si>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</si>
  <si>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</si>
  <si>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</si>
  <si>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</si>
  <si>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</si>
  <si>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</si>
  <si>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</si>
  <si>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</si>
  <si>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</si>
  <si>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</si>
  <si>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</si>
  <si>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</si>
  <si>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</si>
  <si>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</si>
  <si>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</si>
  <si>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</si>
  <si>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</si>
  <si>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</si>
  <si>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</si>
  <si>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</si>
  <si>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</si>
  <si>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</si>
  <si>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</si>
  <si>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</si>
  <si>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</si>
  <si>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</si>
  <si>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</si>
  <si>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</si>
  <si>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</si>
  <si>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</si>
  <si>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</si>
  <si>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</si>
  <si>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</si>
  <si>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</si>
  <si>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</si>
  <si>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</si>
  <si>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</si>
  <si>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</si>
  <si>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</si>
  <si>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</si>
  <si>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</si>
  <si>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</si>
  <si>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</si>
  <si>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</si>
  <si>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</si>
  <si>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</si>
  <si>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</si>
  <si>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</si>
  <si>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</si>
  <si>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</si>
  <si>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</si>
  <si>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</si>
  <si>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</si>
  <si>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</si>
  <si>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</si>
  <si>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</si>
  <si>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</si>
  <si>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</si>
  <si>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</si>
  <si>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</si>
  <si>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</si>
  <si>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</si>
  <si>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</si>
  <si>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</si>
  <si>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</si>
  <si>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</si>
  <si>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</si>
  <si>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</si>
  <si>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</si>
  <si>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</si>
  <si>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</si>
  <si>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</si>
  <si>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</si>
  <si>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</si>
  <si>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</si>
  <si>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</si>
  <si>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</si>
  <si>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</si>
  <si>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</si>
  <si>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</si>
  <si>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</si>
  <si>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</si>
  <si>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</si>
  <si>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</si>
  <si>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</si>
  <si>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</si>
  <si>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</si>
  <si>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</si>
  <si>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</si>
  <si>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</si>
  <si>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</si>
  <si>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</si>
  <si>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</si>
  <si>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</si>
  <si>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</si>
  <si>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</si>
  <si>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</si>
  <si>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</si>
  <si>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</si>
  <si>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</si>
  <si>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</si>
  <si>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</si>
  <si>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</si>
  <si>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</si>
  <si>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</si>
  <si>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</si>
  <si>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</si>
  <si>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</si>
  <si>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</si>
  <si>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</si>
  <si>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</si>
  <si>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</si>
  <si>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</si>
  <si>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</si>
  <si>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</si>
  <si>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</si>
  <si>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</si>
  <si>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</si>
  <si>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</si>
  <si>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</si>
  <si>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</si>
  <si>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</si>
  <si>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</si>
  <si>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</si>
  <si>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</si>
  <si>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</si>
  <si>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</si>
  <si>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</si>
  <si>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</si>
  <si>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</si>
  <si>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</si>
  <si>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</si>
  <si>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</si>
  <si>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</si>
  <si>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</si>
  <si>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</si>
  <si>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</si>
  <si>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</si>
  <si>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</si>
  <si>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</si>
  <si>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</si>
  <si>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</si>
  <si>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</si>
  <si>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</si>
  <si>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</si>
  <si>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</si>
  <si>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</si>
  <si>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</si>
  <si>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</si>
  <si>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</si>
  <si>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</si>
  <si>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</si>
  <si>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</si>
  <si>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</si>
  <si>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</si>
  <si>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</si>
  <si>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</si>
  <si>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</si>
  <si>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</si>
  <si>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</si>
  <si>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</si>
  <si>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</si>
  <si>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</si>
  <si>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</si>
  <si>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</si>
  <si>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</si>
  <si>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</si>
  <si>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</si>
  <si>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</si>
  <si>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</si>
  <si>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</si>
  <si>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</si>
  <si>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</si>
  <si>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</si>
  <si>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</si>
  <si>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</si>
  <si>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</si>
  <si>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</si>
  <si>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</si>
  <si>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</si>
  <si>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</si>
  <si>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</si>
  <si>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</si>
  <si>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</si>
  <si>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</si>
  <si>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</si>
  <si>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</si>
  <si>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</si>
  <si>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</si>
  <si>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</si>
  <si>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</si>
  <si>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</si>
  <si>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</si>
  <si>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</si>
  <si>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</si>
  <si>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</si>
  <si>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</si>
  <si>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</si>
  <si>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</si>
  <si>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</si>
  <si>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</si>
  <si>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</si>
  <si>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</si>
  <si>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</si>
  <si>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</si>
  <si>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</si>
  <si>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</si>
  <si>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</si>
  <si>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</si>
  <si>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</si>
  <si>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</si>
  <si>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</si>
  <si>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</si>
  <si>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</si>
  <si>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</si>
  <si>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</si>
  <si>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</si>
  <si>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</si>
  <si>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</si>
  <si>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</si>
  <si>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</si>
  <si>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</si>
  <si>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</si>
  <si>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</si>
  <si>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</si>
  <si>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</si>
  <si>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</si>
  <si>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</si>
  <si>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</si>
  <si>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</si>
  <si>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</si>
  <si>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</si>
  <si>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</si>
  <si>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</si>
  <si>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</si>
  <si>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</si>
  <si>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</si>
  <si>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</si>
  <si>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</si>
  <si>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</si>
  <si>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</si>
  <si>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</si>
  <si>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</si>
  <si>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</si>
  <si>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</si>
  <si>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</si>
  <si>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</si>
  <si>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</si>
  <si>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</si>
  <si>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</si>
  <si>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</si>
  <si>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</si>
  <si>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</si>
  <si>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</si>
  <si>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</si>
  <si>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</si>
  <si>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</si>
  <si>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</si>
  <si>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</si>
  <si>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</si>
  <si>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</si>
  <si>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</si>
  <si>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</si>
  <si>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</si>
  <si>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</si>
  <si>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</si>
  <si>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</si>
  <si>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</si>
  <si>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</si>
  <si>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</si>
  <si>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</si>
  <si>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</si>
  <si>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</si>
  <si>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</si>
  <si>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</si>
  <si>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</si>
  <si>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</si>
  <si>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</si>
  <si>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</si>
  <si>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</si>
  <si>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</si>
  <si>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</si>
  <si>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</si>
  <si>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</si>
  <si>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</si>
  <si>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</si>
  <si>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</si>
  <si>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</si>
  <si>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</si>
  <si>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</si>
  <si>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</si>
  <si>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</si>
  <si>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</si>
  <si>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</si>
  <si>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</si>
  <si>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</si>
  <si>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</si>
  <si>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</si>
  <si>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</si>
  <si>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</si>
  <si>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</si>
  <si>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</si>
  <si>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</si>
  <si>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</si>
  <si>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</si>
  <si>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</si>
  <si>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</si>
  <si>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</si>
  <si>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</si>
  <si>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</si>
  <si>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</si>
  <si>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</si>
  <si>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</si>
  <si>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</si>
  <si>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</si>
  <si>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</si>
  <si>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</si>
  <si>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</si>
  <si>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</si>
  <si>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</si>
  <si>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</si>
  <si>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</si>
  <si>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</si>
  <si>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</si>
  <si>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</si>
  <si>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</si>
  <si>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</si>
  <si>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</si>
  <si>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</si>
  <si>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</si>
  <si>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</si>
  <si>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</si>
  <si>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</si>
  <si>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</si>
  <si>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</si>
  <si>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</si>
  <si>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</si>
  <si>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</si>
  <si>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</si>
  <si>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</si>
  <si>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</si>
  <si>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</si>
  <si>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</si>
  <si>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</si>
  <si>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</si>
  <si>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</si>
  <si>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</si>
  <si>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</si>
  <si>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</si>
  <si>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</si>
  <si>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</si>
  <si>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</si>
  <si>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</si>
  <si>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</si>
  <si>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</si>
  <si>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</si>
  <si>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</si>
  <si>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</si>
  <si>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</si>
  <si>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</si>
  <si>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</si>
  <si>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</si>
  <si>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</si>
  <si>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</si>
  <si>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</si>
  <si>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</si>
  <si>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</si>
  <si>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</si>
  <si>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</si>
  <si>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</si>
  <si>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</si>
  <si>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</si>
  <si>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</si>
  <si>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</si>
  <si>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</si>
  <si>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</si>
  <si>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</si>
  <si>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</si>
  <si>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</si>
  <si>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</si>
  <si>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</si>
  <si>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</si>
  <si>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</si>
  <si>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</si>
  <si>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</si>
  <si>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</si>
  <si>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</si>
  <si>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</si>
  <si>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</si>
  <si>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</si>
  <si>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</si>
  <si>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</si>
  <si>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</si>
  <si>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</si>
  <si>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</si>
  <si>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</si>
  <si>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</si>
  <si>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</si>
  <si>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</si>
  <si>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</si>
  <si>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</si>
  <si>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</si>
  <si>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</si>
  <si>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</si>
  <si>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</si>
  <si>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</si>
  <si>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</si>
  <si>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</si>
  <si>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</si>
  <si>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</si>
  <si>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</si>
  <si>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</si>
  <si>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</si>
  <si>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</si>
  <si>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</si>
  <si>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</si>
  <si>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</si>
  <si>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</si>
  <si>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</si>
  <si>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</si>
  <si>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</si>
  <si>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</si>
  <si>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</si>
  <si>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</si>
  <si>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</si>
  <si>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</si>
  <si>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</si>
  <si>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</si>
  <si>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</si>
  <si>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</si>
  <si>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</si>
  <si>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</si>
  <si>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</si>
  <si>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</si>
  <si>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</si>
  <si>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</si>
  <si>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</si>
  <si>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</si>
  <si>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</si>
  <si>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</si>
  <si>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</si>
  <si>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</si>
  <si>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</si>
  <si>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</si>
  <si>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</si>
  <si>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</si>
  <si>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</si>
  <si>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</si>
  <si>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</si>
  <si>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</si>
  <si>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</si>
  <si>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</si>
  <si>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</si>
  <si>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</si>
  <si>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</si>
  <si>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</si>
  <si>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</si>
  <si>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</si>
  <si>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</si>
  <si>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</si>
  <si>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</si>
  <si>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</si>
  <si>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</si>
  <si>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</si>
  <si>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</si>
  <si>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</si>
  <si>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</si>
  <si>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</si>
  <si>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</si>
  <si>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</si>
  <si>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</si>
  <si>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</si>
  <si>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</si>
  <si>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</si>
  <si>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</si>
  <si>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</si>
  <si>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</si>
  <si>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</si>
  <si>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</si>
  <si>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</si>
  <si>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</si>
  <si>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</si>
  <si>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</si>
  <si>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</si>
  <si>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</si>
  <si>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</si>
  <si>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</si>
  <si>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</si>
  <si>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</si>
  <si>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</si>
  <si>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</si>
  <si>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</si>
  <si>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</si>
  <si>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</si>
  <si>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</si>
  <si>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</si>
  <si>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</si>
  <si>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</si>
  <si>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</si>
  <si>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</si>
  <si>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</si>
  <si>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</si>
  <si>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</si>
  <si>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</si>
  <si>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</si>
  <si>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</si>
  <si>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</si>
  <si>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</si>
  <si>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</si>
  <si>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</si>
  <si>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</si>
  <si>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</si>
  <si>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</si>
  <si>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</si>
  <si>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</si>
  <si>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</si>
  <si>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</si>
  <si>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</si>
  <si>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</si>
  <si>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</si>
  <si>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</si>
  <si>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</si>
  <si>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</si>
  <si>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</si>
  <si>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</si>
  <si>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</si>
  <si>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</si>
  <si>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</si>
  <si>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</si>
  <si>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</si>
  <si>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</si>
  <si>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</si>
  <si>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</si>
  <si>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</si>
  <si>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</si>
  <si>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</si>
  <si>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</si>
  <si>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</si>
  <si>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</si>
  <si>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</si>
  <si>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</si>
  <si>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</si>
  <si>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</si>
  <si>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</si>
  <si>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</si>
  <si>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</si>
  <si>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</si>
  <si>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</si>
  <si>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</si>
  <si>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</si>
  <si>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</si>
  <si>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</si>
  <si>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</si>
  <si>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</si>
  <si>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</si>
  <si>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</si>
  <si>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</si>
  <si>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</si>
  <si>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</si>
  <si>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</si>
  <si>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</si>
  <si>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</si>
  <si>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</si>
  <si>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</si>
  <si>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</si>
  <si>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</si>
  <si>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</si>
  <si>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</si>
  <si>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</si>
  <si>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</si>
  <si>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</si>
  <si>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</si>
  <si>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</si>
  <si>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</si>
  <si>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</si>
  <si>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</si>
  <si>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</si>
  <si>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</si>
  <si>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</si>
  <si>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</si>
  <si>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</si>
  <si>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</si>
  <si>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</si>
  <si>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</si>
  <si>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</si>
  <si>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</si>
  <si>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</si>
  <si>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</si>
  <si>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</si>
  <si>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</si>
  <si>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</si>
  <si>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</si>
  <si>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</si>
  <si>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</si>
  <si>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</si>
  <si>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</si>
  <si>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</si>
  <si>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</si>
  <si>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</si>
  <si>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</si>
  <si>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</si>
  <si>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</si>
  <si>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</si>
  <si>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</si>
  <si>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</si>
  <si>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</si>
  <si>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</si>
  <si>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</si>
  <si>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</si>
  <si>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</si>
  <si>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</si>
  <si>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</si>
  <si>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</si>
  <si>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</si>
  <si>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</si>
  <si>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</si>
  <si>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</si>
  <si>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</si>
  <si>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</si>
  <si>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</si>
  <si>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</si>
  <si>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</si>
  <si>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</si>
  <si>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</si>
  <si>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</si>
  <si>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</si>
  <si>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</si>
  <si>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</si>
  <si>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</si>
  <si>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</si>
  <si>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</si>
  <si>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</si>
  <si>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</si>
  <si>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</si>
  <si>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</si>
  <si>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</si>
  <si>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</si>
  <si>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</si>
  <si>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</si>
  <si>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</si>
  <si>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</si>
  <si>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</si>
  <si>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</si>
  <si>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</si>
  <si>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</si>
  <si>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</si>
  <si>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</si>
  <si>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</si>
  <si>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</si>
  <si>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</si>
  <si>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</si>
  <si>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</si>
  <si>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</si>
  <si>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</si>
  <si>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</si>
  <si>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</si>
  <si>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</si>
  <si>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</si>
  <si>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</si>
  <si>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</si>
  <si>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</si>
  <si>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</si>
  <si>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</si>
  <si>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</si>
  <si>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</si>
  <si>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</si>
  <si>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</si>
  <si>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</si>
  <si>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</si>
  <si>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</si>
  <si>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</si>
  <si>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</si>
  <si>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</si>
  <si>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</si>
  <si>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</si>
  <si>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</si>
  <si>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</si>
  <si>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</si>
  <si>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</si>
  <si>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</si>
  <si>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</si>
  <si>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</si>
  <si>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</si>
  <si>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</si>
  <si>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</si>
  <si>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</si>
  <si>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</si>
  <si>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</si>
  <si>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</si>
  <si>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</si>
  <si>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</si>
  <si>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</si>
  <si>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</si>
  <si>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</si>
  <si>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</si>
  <si>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</si>
  <si>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</si>
  <si>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</si>
  <si>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</si>
  <si>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</si>
  <si>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</si>
  <si>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</si>
  <si>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</si>
  <si>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</si>
  <si>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</si>
  <si>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</si>
  <si>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</si>
  <si>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</si>
  <si>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</si>
  <si>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</si>
  <si>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</si>
  <si>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</si>
  <si>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</si>
  <si>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</si>
  <si>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</si>
  <si>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</si>
  <si>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</si>
  <si>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</si>
  <si>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</si>
  <si>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</si>
  <si>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</si>
  <si>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</si>
  <si>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</si>
  <si>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</si>
  <si>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</si>
  <si>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</si>
  <si>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</si>
  <si>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</si>
  <si>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</si>
  <si>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</si>
  <si>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</si>
  <si>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</si>
  <si>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</si>
  <si>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</si>
  <si>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</si>
  <si>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</si>
  <si>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</si>
  <si>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</si>
  <si>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</si>
  <si>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</si>
  <si>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</si>
  <si>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</si>
  <si>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</si>
  <si>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</si>
  <si>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</si>
  <si>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</si>
  <si>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</si>
  <si>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</si>
  <si>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</si>
  <si>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</si>
  <si>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</si>
  <si>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</si>
  <si>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</si>
  <si>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</si>
  <si>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</si>
  <si>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</si>
  <si>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</si>
  <si>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</si>
  <si>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</si>
  <si>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</si>
  <si>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</si>
  <si>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</si>
  <si>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</si>
  <si>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</si>
  <si>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</si>
  <si>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</si>
  <si>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</si>
  <si>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</si>
  <si>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</si>
  <si>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</si>
  <si>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</si>
  <si>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</si>
  <si>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</si>
  <si>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</si>
  <si>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</si>
  <si>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</si>
  <si>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</si>
  <si>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</si>
  <si>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</si>
  <si>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</si>
  <si>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</si>
  <si>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</si>
  <si>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</si>
  <si>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</si>
  <si>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</si>
  <si>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</si>
  <si>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</si>
  <si>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</si>
  <si>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</si>
  <si>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</si>
  <si>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</si>
  <si>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</si>
  <si>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</si>
  <si>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</si>
  <si>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</si>
  <si>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</si>
  <si>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</si>
  <si>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</si>
  <si>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</si>
  <si>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</si>
  <si>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</si>
  <si>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</si>
  <si>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</si>
  <si>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</si>
  <si>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</si>
  <si>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</si>
  <si>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</si>
  <si>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</si>
  <si>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</si>
  <si>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</si>
  <si>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</si>
  <si>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</si>
  <si>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</si>
  <si>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</si>
  <si>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</si>
  <si>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</si>
  <si>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</si>
  <si>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</si>
  <si>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</si>
  <si>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</si>
  <si>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</si>
  <si>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</si>
  <si>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</si>
  <si>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</si>
  <si>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</si>
  <si>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</si>
  <si>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</si>
  <si>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</si>
  <si>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</si>
  <si>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</si>
  <si>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</si>
  <si>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</si>
  <si>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</si>
  <si>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</si>
  <si>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</si>
  <si>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</si>
  <si>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</si>
  <si>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</si>
  <si>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</si>
  <si>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</si>
  <si>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</si>
  <si>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</si>
  <si>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</si>
  <si>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</si>
  <si>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</si>
  <si>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</si>
  <si>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</si>
  <si>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</si>
  <si>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</si>
  <si>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</si>
  <si>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</si>
  <si>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</si>
  <si>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</si>
  <si>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</si>
  <si>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</si>
  <si>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</si>
  <si>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</si>
  <si>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</si>
  <si>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</si>
  <si>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</si>
  <si>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</si>
  <si>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</si>
  <si>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</si>
  <si>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</si>
  <si>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</si>
  <si>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</si>
  <si>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</si>
  <si>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</si>
  <si>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</si>
  <si>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</si>
  <si>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</si>
  <si>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</si>
  <si>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</si>
  <si>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</si>
  <si>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</si>
  <si>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</si>
  <si>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</si>
  <si>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</si>
  <si>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</si>
  <si>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</si>
  <si>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</si>
  <si>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</si>
  <si>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</si>
  <si>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</si>
  <si>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</si>
  <si>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</si>
  <si>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</si>
  <si>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</si>
  <si>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</si>
  <si>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</si>
  <si>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</si>
  <si>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</si>
  <si>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</si>
  <si>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</si>
  <si>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</si>
  <si>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</si>
  <si>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</si>
  <si>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</si>
  <si>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</si>
  <si>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</si>
  <si>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</si>
  <si>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</si>
  <si>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</si>
  <si>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</si>
  <si>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</si>
  <si>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</si>
  <si>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</si>
  <si>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</si>
  <si>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</si>
  <si>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</si>
  <si>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</si>
  <si>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</si>
  <si>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</si>
  <si>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</si>
  <si>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</si>
  <si>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</si>
  <si>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</si>
  <si>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</si>
  <si>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</si>
  <si>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</si>
  <si>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</si>
  <si>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</si>
  <si>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</si>
  <si>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</si>
  <si>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</si>
  <si>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</si>
  <si>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</si>
  <si>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</si>
  <si>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</si>
  <si>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</si>
  <si>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</si>
  <si>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</si>
  <si>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</si>
  <si>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</si>
  <si>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</si>
  <si>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</si>
  <si>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</si>
  <si>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</si>
  <si>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</si>
  <si>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</si>
  <si>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</si>
  <si>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</si>
  <si>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</si>
  <si>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</si>
  <si>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</si>
  <si>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</si>
  <si>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</si>
  <si>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</si>
  <si>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</si>
  <si>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</si>
  <si>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</si>
  <si>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</si>
  <si>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</si>
  <si>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</si>
  <si>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</si>
  <si>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</si>
  <si>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</si>
  <si>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</si>
  <si>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</si>
  <si>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</si>
  <si>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</si>
  <si>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</si>
  <si>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</si>
  <si>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</si>
  <si>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</si>
  <si>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</si>
  <si>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</si>
  <si>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</si>
  <si>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</si>
  <si>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</si>
  <si>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</si>
  <si>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</si>
  <si>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</si>
  <si>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</si>
  <si>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</si>
  <si>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</si>
  <si>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</si>
  <si>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</si>
  <si>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</si>
  <si>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</si>
  <si>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</si>
  <si>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</si>
  <si>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</si>
  <si>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</si>
  <si>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</si>
  <si>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</si>
  <si>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</si>
  <si>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</si>
  <si>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</si>
  <si>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</si>
  <si>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</si>
  <si>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</si>
  <si>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</si>
  <si>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</si>
  <si>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</si>
  <si>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</si>
  <si>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</si>
  <si>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</si>
  <si>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</si>
  <si>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</si>
  <si>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</si>
  <si>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</si>
  <si>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</si>
  <si>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</si>
  <si>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</si>
  <si>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</si>
  <si>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</si>
  <si>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</si>
  <si>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</si>
  <si>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</si>
  <si>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</si>
  <si>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</si>
  <si>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</si>
  <si>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</si>
  <si>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</si>
  <si>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</si>
  <si>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</si>
  <si>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</si>
  <si>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</si>
  <si>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</si>
  <si>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</si>
  <si>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</si>
  <si>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</si>
  <si>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</si>
  <si>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</si>
  <si>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</si>
  <si>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</si>
  <si>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</si>
  <si>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</si>
  <si>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</si>
  <si>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</si>
  <si>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</si>
  <si>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</si>
  <si>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</si>
  <si>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</si>
  <si>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</si>
  <si>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</si>
  <si>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</si>
  <si>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</si>
  <si>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</si>
  <si>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</si>
  <si>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</si>
  <si>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</si>
  <si>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</si>
  <si>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</si>
  <si>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</si>
  <si>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</si>
  <si>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</si>
  <si>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</si>
  <si>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</si>
  <si>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</si>
  <si>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</si>
  <si>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</si>
  <si>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</si>
  <si>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</si>
  <si>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</si>
  <si>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</si>
  <si>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</si>
  <si>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</si>
  <si>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</si>
  <si>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</si>
  <si>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</si>
  <si>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</si>
  <si>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</si>
  <si>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</si>
  <si>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</si>
  <si>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</si>
  <si>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</si>
  <si>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</si>
  <si>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</si>
  <si>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</si>
  <si>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</si>
  <si>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</si>
  <si>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</si>
  <si>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</si>
  <si>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</si>
  <si>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</si>
  <si>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</si>
  <si>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</si>
  <si>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</si>
  <si>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</si>
  <si>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</si>
  <si>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</si>
  <si>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</si>
  <si>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</si>
  <si>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</si>
  <si>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</si>
  <si>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</si>
  <si>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</si>
  <si>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</si>
  <si>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</si>
  <si>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</si>
  <si>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</si>
  <si>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</si>
  <si>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</si>
  <si>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</si>
  <si>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</si>
  <si>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</si>
  <si>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</si>
  <si>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</si>
  <si>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</si>
  <si>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</si>
  <si>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</si>
  <si>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</si>
  <si>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</si>
  <si>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</si>
  <si>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</si>
  <si>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</si>
  <si>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</si>
  <si>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</si>
  <si>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</si>
  <si>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</si>
  <si>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</si>
  <si>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</si>
  <si>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</si>
  <si>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</si>
  <si>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</si>
  <si>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</si>
  <si>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</si>
  <si>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</si>
  <si>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</si>
  <si>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</si>
  <si>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</si>
  <si>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</si>
  <si>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</si>
  <si>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</si>
  <si>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</si>
  <si>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</si>
  <si>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</si>
  <si>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</si>
  <si>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</si>
  <si>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</si>
  <si>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</si>
  <si>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</si>
  <si>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</si>
  <si>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</si>
  <si>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</si>
  <si>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</si>
  <si>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</si>
  <si>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</si>
  <si>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</si>
  <si>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</si>
  <si>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</si>
  <si>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</si>
  <si>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</si>
  <si>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</si>
  <si>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</si>
  <si>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</si>
  <si>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</si>
  <si>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</si>
  <si>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</si>
  <si>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</si>
  <si>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</si>
  <si>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</si>
  <si>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</si>
  <si>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</si>
  <si>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</si>
  <si>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</si>
  <si>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</si>
  <si>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</si>
  <si>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</si>
  <si>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</si>
  <si>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</si>
  <si>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</si>
  <si>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</si>
  <si>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</si>
  <si>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</si>
  <si>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</si>
  <si>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</si>
  <si>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</si>
  <si>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</si>
  <si>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</si>
  <si>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</si>
  <si>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</si>
  <si>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</si>
  <si>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</si>
  <si>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</si>
  <si>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</si>
  <si>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</si>
  <si>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</si>
  <si>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</si>
  <si>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</si>
  <si>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</si>
  <si>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</si>
  <si>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</si>
  <si>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</si>
  <si>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</si>
  <si>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</si>
  <si>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</si>
  <si>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</si>
  <si>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</si>
  <si>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</si>
  <si>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</si>
  <si>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</si>
  <si>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</si>
  <si>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</si>
  <si>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</si>
  <si>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</si>
  <si>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</si>
  <si>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</si>
  <si>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</si>
  <si>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</si>
  <si>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</si>
  <si>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</si>
  <si>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</si>
  <si>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</si>
  <si>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</si>
  <si>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</si>
  <si>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</si>
  <si>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</si>
  <si>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</si>
  <si>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</si>
  <si>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</si>
  <si>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</si>
  <si>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</si>
  <si>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</si>
  <si>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</si>
  <si>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</si>
  <si>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</si>
  <si>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</si>
  <si>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</si>
  <si>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</si>
  <si>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</si>
  <si>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</si>
  <si>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</si>
  <si>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</si>
  <si>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</si>
  <si>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</si>
  <si>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</si>
  <si>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</si>
  <si>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</si>
  <si>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</si>
  <si>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</si>
  <si>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</si>
  <si>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</si>
  <si>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</si>
  <si>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</si>
  <si>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</si>
  <si>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</si>
  <si>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</si>
  <si>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</si>
  <si>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</si>
  <si>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</si>
  <si>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</si>
  <si>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</si>
  <si>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</si>
  <si>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</si>
  <si>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</si>
  <si>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</si>
  <si>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</si>
  <si>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</si>
  <si>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</si>
  <si>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</si>
  <si>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</si>
  <si>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</si>
  <si>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</si>
  <si>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</si>
  <si>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</si>
  <si>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</si>
  <si>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</si>
  <si>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</si>
  <si>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</si>
  <si>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</si>
  <si>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</si>
  <si>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</si>
  <si>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</si>
  <si>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</si>
  <si>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</si>
  <si>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</si>
  <si>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</si>
  <si>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</si>
  <si>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</si>
  <si>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</si>
  <si>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</si>
  <si>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</si>
  <si>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</si>
  <si>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</si>
  <si>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</si>
  <si>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</si>
  <si>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</si>
  <si>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</si>
  <si>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</si>
  <si>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</si>
  <si>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</si>
  <si>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</si>
  <si>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</si>
  <si>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</si>
  <si>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</si>
  <si>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</si>
  <si>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</si>
  <si>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</si>
  <si>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</si>
  <si>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</si>
  <si>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</si>
  <si>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</si>
  <si>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</si>
  <si>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</si>
  <si>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</si>
  <si>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</si>
  <si>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</si>
  <si>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</si>
  <si>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</si>
  <si>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</si>
  <si>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</si>
  <si>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</si>
  <si>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</si>
  <si>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</si>
  <si>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</si>
  <si>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</si>
  <si>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</si>
  <si>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</si>
  <si>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</si>
  <si>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</si>
  <si>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</si>
  <si>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</si>
  <si>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</si>
  <si>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</si>
  <si>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</si>
  <si>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</si>
  <si>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</si>
  <si>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</si>
  <si>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</si>
  <si>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</si>
  <si>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</si>
  <si>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</si>
  <si>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</si>
  <si>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</si>
  <si>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</si>
  <si>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</si>
  <si>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</si>
  <si>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</si>
  <si>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</si>
  <si>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</si>
  <si>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</si>
  <si>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</si>
  <si>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</si>
  <si>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</si>
  <si>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</si>
  <si>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</si>
  <si>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</si>
  <si>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</si>
  <si>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</si>
  <si>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</si>
  <si>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</si>
  <si>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</si>
  <si>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</si>
  <si>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</si>
  <si>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</si>
  <si>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</si>
  <si>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</si>
  <si>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</si>
  <si>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</si>
  <si>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</si>
  <si>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</si>
  <si>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</si>
  <si>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</si>
  <si>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</si>
  <si>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</si>
  <si>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</si>
  <si>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</si>
  <si>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</si>
  <si>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</si>
  <si>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</si>
  <si>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</si>
  <si>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</si>
  <si>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</si>
  <si>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</si>
  <si>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</si>
  <si>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</si>
  <si>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</si>
  <si>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</si>
  <si>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</si>
  <si>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</si>
  <si>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</si>
  <si>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</si>
  <si>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</si>
  <si>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</si>
  <si>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</si>
  <si>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</si>
  <si>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</si>
  <si>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</si>
  <si>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</si>
  <si>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</si>
  <si>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</si>
  <si>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</si>
  <si>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</si>
  <si>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</si>
  <si>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</si>
  <si>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</si>
  <si>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</si>
  <si>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</si>
  <si>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</si>
  <si>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</si>
  <si>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</si>
  <si>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</si>
  <si>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</si>
  <si>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</si>
  <si>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</si>
  <si>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</si>
  <si>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</si>
  <si>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</si>
  <si>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</si>
  <si>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</si>
  <si>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</si>
  <si>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</si>
  <si>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</si>
  <si>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</si>
  <si>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</si>
  <si>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</si>
  <si>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</si>
  <si>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</si>
  <si>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</si>
  <si>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</si>
  <si>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</si>
  <si>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</si>
  <si>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</si>
  <si>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</si>
  <si>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</si>
  <si>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</si>
  <si>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</si>
  <si>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</si>
  <si>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</si>
  <si>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</si>
  <si>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</si>
  <si>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</si>
  <si>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</si>
  <si>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</si>
  <si>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</si>
  <si>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</si>
  <si>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</si>
  <si>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</si>
  <si>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</si>
  <si>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</si>
  <si>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</si>
  <si>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</si>
  <si>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</si>
  <si>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</si>
  <si>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</si>
  <si>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</si>
  <si>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</si>
  <si>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</si>
  <si>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</si>
  <si>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</si>
  <si>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</si>
  <si>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</si>
  <si>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</si>
  <si>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</si>
  <si>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</si>
  <si>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</si>
  <si>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</si>
  <si>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</si>
  <si>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</si>
  <si>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</si>
  <si>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</si>
  <si>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</si>
  <si>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</si>
  <si>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</si>
  <si>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</si>
  <si>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</si>
  <si>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</si>
  <si>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</si>
  <si>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</si>
  <si>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</si>
  <si>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</si>
  <si>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</si>
  <si>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</si>
  <si>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</si>
  <si>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</si>
  <si>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</si>
  <si>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</si>
  <si>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</si>
  <si>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</si>
  <si>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</si>
  <si>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</si>
  <si>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</si>
  <si>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</si>
  <si>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</si>
  <si>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</si>
  <si>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</si>
  <si>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</si>
  <si>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</si>
  <si>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</si>
  <si>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</si>
  <si>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</si>
  <si>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</si>
  <si>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</si>
  <si>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</si>
  <si>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</si>
  <si>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</si>
  <si>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</si>
  <si>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</si>
  <si>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</si>
  <si>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</si>
  <si>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</si>
  <si>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</si>
  <si>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</si>
  <si>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</si>
  <si>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</si>
  <si>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</si>
  <si>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</si>
  <si>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</si>
  <si>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</si>
  <si>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</si>
  <si>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</si>
  <si>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</si>
  <si>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</si>
  <si>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</si>
  <si>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</si>
  <si>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</si>
  <si>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</si>
  <si>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</si>
  <si>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</si>
  <si>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</si>
  <si>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</si>
  <si>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</si>
  <si>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</si>
  <si>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</si>
  <si>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</si>
  <si>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</si>
  <si>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</si>
  <si>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</si>
  <si>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</si>
  <si>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</si>
  <si>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</si>
  <si>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</si>
  <si>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</si>
  <si>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</si>
  <si>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</si>
  <si>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</si>
  <si>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</si>
  <si>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</si>
  <si>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</si>
  <si>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</si>
  <si>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</si>
  <si>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</si>
  <si>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</si>
  <si>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</si>
  <si>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</si>
  <si>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</si>
  <si>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</si>
  <si>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</si>
  <si>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</si>
  <si>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</si>
  <si>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</si>
  <si>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</si>
  <si>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</si>
  <si>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</si>
  <si>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</si>
  <si>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</si>
  <si>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</si>
  <si>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</si>
  <si>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</si>
  <si>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</si>
  <si>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</si>
  <si>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</si>
  <si>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</si>
  <si>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</si>
  <si>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</si>
  <si>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</si>
  <si>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</si>
  <si>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</si>
  <si>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</si>
  <si>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</si>
  <si>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</si>
  <si>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</si>
  <si>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</si>
  <si>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</si>
  <si>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</si>
  <si>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</si>
  <si>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</si>
  <si>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</si>
  <si>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</si>
  <si>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</si>
  <si>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</si>
  <si>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</si>
  <si>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</si>
  <si>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</si>
  <si>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</si>
  <si>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</si>
  <si>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</si>
  <si>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</si>
  <si>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</si>
  <si>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</si>
  <si>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</si>
  <si>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</si>
  <si>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</si>
  <si>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</si>
  <si>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</si>
  <si>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</si>
  <si>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</si>
  <si>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</si>
  <si>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</si>
  <si>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</si>
  <si>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</si>
  <si>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</si>
  <si>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</si>
  <si>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</si>
  <si>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</si>
  <si>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</si>
  <si>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</si>
  <si>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</si>
  <si>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</si>
  <si>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</si>
  <si>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</si>
  <si>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</si>
  <si>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</si>
  <si>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</si>
  <si>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</si>
  <si>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</si>
  <si>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</si>
  <si>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</si>
  <si>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</si>
  <si>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</si>
  <si>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</si>
  <si>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</si>
  <si>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</si>
  <si>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</si>
  <si>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</si>
  <si>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</si>
  <si>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</si>
  <si>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</si>
  <si>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</si>
  <si>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</si>
  <si>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</si>
  <si>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</si>
  <si>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</si>
  <si>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</si>
  <si>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</si>
  <si>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</si>
  <si>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</si>
  <si>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</si>
  <si>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</si>
  <si>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</si>
  <si>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</si>
  <si>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</si>
  <si>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</si>
  <si>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</si>
  <si>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</si>
  <si>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</si>
  <si>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</si>
  <si>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</si>
  <si>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</si>
  <si>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</si>
  <si>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</si>
  <si>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</si>
  <si>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</si>
  <si>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</si>
  <si>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</si>
  <si>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</si>
  <si>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</si>
  <si>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</si>
  <si>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</si>
  <si>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</si>
  <si>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</si>
  <si>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</si>
  <si>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</si>
  <si>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</si>
  <si>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</si>
  <si>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</si>
  <si>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</si>
  <si>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</si>
  <si>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</si>
  <si>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</si>
  <si>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</si>
  <si>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</si>
  <si>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</si>
  <si>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</si>
  <si>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</si>
  <si>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</si>
  <si>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</si>
  <si>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</si>
  <si>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</si>
  <si>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</si>
  <si>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</si>
  <si>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</si>
  <si>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</si>
  <si>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</si>
  <si>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</si>
  <si>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</si>
  <si>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</si>
  <si>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</si>
  <si>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</si>
  <si>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</si>
  <si>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</si>
  <si>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</si>
  <si>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</si>
  <si>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</si>
  <si>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</si>
  <si>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</si>
  <si>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</si>
  <si>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</si>
  <si>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</si>
  <si>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</si>
  <si>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</si>
  <si>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</si>
  <si>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</si>
  <si>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</si>
  <si>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</si>
  <si>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</si>
  <si>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</si>
  <si>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</si>
  <si>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</si>
  <si>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</si>
  <si>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</si>
  <si>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</si>
  <si>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</si>
  <si>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</si>
  <si>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</si>
  <si>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</si>
  <si>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</si>
  <si>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</si>
  <si>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</si>
  <si>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</si>
  <si>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</si>
  <si>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</si>
  <si>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</si>
  <si>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</si>
  <si>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</si>
  <si>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</si>
  <si>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</si>
  <si>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</si>
  <si>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</si>
  <si>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</si>
  <si>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</si>
  <si>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</si>
  <si>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</si>
  <si>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</si>
  <si>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</si>
  <si>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</si>
  <si>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</si>
  <si>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</si>
  <si>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</si>
  <si>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</si>
  <si>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</si>
  <si>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</si>
  <si>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</si>
  <si>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</si>
  <si>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</si>
  <si>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</si>
  <si>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</si>
  <si>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</si>
  <si>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</si>
  <si>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</si>
  <si>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</si>
  <si>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</si>
  <si>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</si>
  <si>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</si>
  <si>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</si>
  <si>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</si>
  <si>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</si>
  <si>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</si>
  <si>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</si>
  <si>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</si>
  <si>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</si>
  <si>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</si>
  <si>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</si>
  <si>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</si>
  <si>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</si>
  <si>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</si>
  <si>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</si>
  <si>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</si>
  <si>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</si>
  <si>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</si>
  <si>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</si>
  <si>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</si>
  <si>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</si>
  <si>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</si>
  <si>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</si>
  <si>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</si>
  <si>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</si>
  <si>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</si>
  <si>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</si>
  <si>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</si>
  <si>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</si>
  <si>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</si>
  <si>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</si>
  <si>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</si>
  <si>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</si>
  <si>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</si>
  <si>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</si>
  <si>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</si>
  <si>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</si>
  <si>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</si>
  <si>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</si>
  <si>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</si>
  <si>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</si>
  <si>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</si>
  <si>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</si>
  <si>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</si>
  <si>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</si>
  <si>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</si>
  <si>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</si>
  <si>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</si>
  <si>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</si>
  <si>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</si>
  <si>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</si>
  <si>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</si>
  <si>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</si>
  <si>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</si>
  <si>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</si>
  <si>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</si>
  <si>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</si>
  <si>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</si>
  <si>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</si>
  <si>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</si>
  <si>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</si>
  <si>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</si>
  <si>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</si>
  <si>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</si>
  <si>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</si>
  <si>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</si>
  <si>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</si>
  <si>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</si>
  <si>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</si>
  <si>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</si>
  <si>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</si>
  <si>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</si>
  <si>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</si>
  <si>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</si>
  <si>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</si>
  <si>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</si>
  <si>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</si>
  <si>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</si>
  <si>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</si>
  <si>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</si>
  <si>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</si>
  <si>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</si>
  <si>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</si>
  <si>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</si>
  <si>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</si>
  <si>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</si>
  <si>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</si>
  <si>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</si>
  <si>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</si>
  <si>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</si>
  <si>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</si>
  <si>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</si>
  <si>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</si>
  <si>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</si>
  <si>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</si>
  <si>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</si>
  <si>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</si>
  <si>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</si>
  <si>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</si>
  <si>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</si>
  <si>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</si>
  <si>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</si>
  <si>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</si>
  <si>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</si>
  <si>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</si>
  <si>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</si>
  <si>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</si>
  <si>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</si>
  <si>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</si>
  <si>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</si>
  <si>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</si>
  <si>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</si>
  <si>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</si>
  <si>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</si>
  <si>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</si>
  <si>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</si>
  <si>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</si>
  <si>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</si>
  <si>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</si>
  <si>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</si>
  <si>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</si>
  <si>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</si>
  <si>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</si>
  <si>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</si>
  <si>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</si>
  <si>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</si>
  <si>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</si>
  <si>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</si>
  <si>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</si>
  <si>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</si>
  <si>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</si>
  <si>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</si>
  <si>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</si>
  <si>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</si>
  <si>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</si>
  <si>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</si>
  <si>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</si>
  <si>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</si>
  <si>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</si>
  <si>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</si>
  <si>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</si>
  <si>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</si>
  <si>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</si>
  <si>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</si>
  <si>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</si>
  <si>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</si>
  <si>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</si>
  <si>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</si>
  <si>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</si>
  <si>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</si>
  <si>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</si>
  <si>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</si>
  <si>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</si>
  <si>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</si>
  <si>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</si>
  <si>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</si>
  <si>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</si>
  <si>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</si>
  <si>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</si>
  <si>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</si>
  <si>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</si>
  <si>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</si>
  <si>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</si>
  <si>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</si>
  <si>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</si>
  <si>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</si>
  <si>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</si>
  <si>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</si>
  <si>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</si>
  <si>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</si>
  <si>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</si>
  <si>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</si>
  <si>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</si>
  <si>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</si>
  <si>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</si>
  <si>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</si>
  <si>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</si>
  <si>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</si>
  <si>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</si>
  <si>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</si>
  <si>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</si>
  <si>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</si>
  <si>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</si>
  <si>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</si>
  <si>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</si>
  <si>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</si>
  <si>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</si>
  <si>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</si>
  <si>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</si>
  <si>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</si>
  <si>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</si>
  <si>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</si>
  <si>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</si>
  <si>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</si>
  <si>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</si>
  <si>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</si>
  <si>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</si>
  <si>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</si>
  <si>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</si>
  <si>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</si>
  <si>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</si>
  <si>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</si>
  <si>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</si>
  <si>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</si>
  <si>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</si>
  <si>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</si>
  <si>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</si>
  <si>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</si>
  <si>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</si>
  <si>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</si>
  <si>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</si>
  <si>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</si>
  <si>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</si>
  <si>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</si>
  <si>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</si>
  <si>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</si>
  <si>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</si>
  <si>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</si>
  <si>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</si>
  <si>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</si>
  <si>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</si>
  <si>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</si>
  <si>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</si>
  <si>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</si>
  <si>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</si>
  <si>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</si>
  <si>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</si>
  <si>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</si>
  <si>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</si>
  <si>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</si>
  <si>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</si>
  <si>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</si>
  <si>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</si>
  <si>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</si>
  <si>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</si>
  <si>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</si>
  <si>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</si>
  <si>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</si>
  <si>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</si>
  <si>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</si>
  <si>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</si>
  <si>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</si>
  <si>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</si>
  <si>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</si>
  <si>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</si>
  <si>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</si>
  <si>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</si>
  <si>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</si>
  <si>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</si>
  <si>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</si>
  <si>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</si>
  <si>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</si>
  <si>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</si>
  <si>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</si>
  <si>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</si>
  <si>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</si>
  <si>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</si>
  <si>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</si>
  <si>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</si>
  <si>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</si>
  <si>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</si>
  <si>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</si>
  <si>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</si>
  <si>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</si>
  <si>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</si>
  <si>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</si>
  <si>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</si>
  <si>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</si>
  <si>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</si>
  <si>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</si>
  <si>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</si>
  <si>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</si>
  <si>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</si>
  <si>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</si>
  <si>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</si>
  <si>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</si>
  <si>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</si>
  <si>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</si>
  <si>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</si>
  <si>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</si>
  <si>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</si>
  <si>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</si>
  <si>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</si>
  <si>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</si>
  <si>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</si>
  <si>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</si>
  <si>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</si>
  <si>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</si>
  <si>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</si>
  <si>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</si>
  <si>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</si>
  <si>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</si>
  <si>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</si>
  <si>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</si>
  <si>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</si>
  <si>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</si>
  <si>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</si>
  <si>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</si>
  <si>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</si>
  <si>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</si>
  <si>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</si>
  <si>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</si>
  <si>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</si>
  <si>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</si>
  <si>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</si>
  <si>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</si>
  <si>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</si>
  <si>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</si>
  <si>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</si>
  <si>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</si>
  <si>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</si>
  <si>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</si>
  <si>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</si>
  <si>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</si>
  <si>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</si>
  <si>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</si>
  <si>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</si>
  <si>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</si>
  <si>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</si>
  <si>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</si>
  <si>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</si>
  <si>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</si>
  <si>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</si>
  <si>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</si>
  <si>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</si>
  <si>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</si>
  <si>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</si>
  <si>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</si>
  <si>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</si>
  <si>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</si>
  <si>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</si>
  <si>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</si>
  <si>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</si>
  <si>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</si>
  <si>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</si>
  <si>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</si>
  <si>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</si>
  <si>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</si>
  <si>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</si>
  <si>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</si>
  <si>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</si>
  <si>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</si>
  <si>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</si>
  <si>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</si>
  <si>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</si>
  <si>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</si>
  <si>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</si>
  <si>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</si>
  <si>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</si>
  <si>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</si>
  <si>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</si>
  <si>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</si>
  <si>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</si>
  <si>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</si>
  <si>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</si>
  <si>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</si>
  <si>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</si>
  <si>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</si>
  <si>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</si>
  <si>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</si>
  <si>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</si>
  <si>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</si>
  <si>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</si>
  <si>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</si>
  <si>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</si>
  <si>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</si>
  <si>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</si>
  <si>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</si>
  <si>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</si>
  <si>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</si>
  <si>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</si>
  <si>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</si>
  <si>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</si>
  <si>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</si>
  <si>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</si>
  <si>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</si>
  <si>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</si>
  <si>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</si>
  <si>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</si>
  <si>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</si>
  <si>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</si>
  <si>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</si>
  <si>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</si>
  <si>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</si>
  <si>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</si>
  <si>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</si>
  <si>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</si>
  <si>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</si>
  <si>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</si>
  <si>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</si>
  <si>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</si>
  <si>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</si>
  <si>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</si>
  <si>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</si>
  <si>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</si>
  <si>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</si>
  <si>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</si>
  <si>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</si>
  <si>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</si>
  <si>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</si>
  <si>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</si>
  <si>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</si>
  <si>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</si>
  <si>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</si>
  <si>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</si>
  <si>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</si>
  <si>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</si>
  <si>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</si>
  <si>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</si>
  <si>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</si>
  <si>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</si>
  <si>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</si>
  <si>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</si>
  <si>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</si>
  <si>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</si>
  <si>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</si>
  <si>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</si>
  <si>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</si>
  <si>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</si>
  <si>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</si>
  <si>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</si>
  <si>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</si>
  <si>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</si>
  <si>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</si>
  <si>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</si>
  <si>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</si>
  <si>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</si>
  <si>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</si>
  <si>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</si>
  <si>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</si>
  <si>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</si>
  <si>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</si>
  <si>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</si>
  <si>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</si>
  <si>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</si>
  <si>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</si>
  <si>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</si>
  <si>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</si>
  <si>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</si>
  <si>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</si>
  <si>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</si>
  <si>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</si>
  <si>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</si>
  <si>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</si>
  <si>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</si>
  <si>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</si>
  <si>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</si>
  <si>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</si>
  <si>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</si>
  <si>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</si>
  <si>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</si>
  <si>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</si>
  <si>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</si>
  <si>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</si>
  <si>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</si>
  <si>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</si>
  <si>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</si>
  <si>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</si>
  <si>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</si>
  <si>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</si>
  <si>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</si>
  <si>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</si>
  <si>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</si>
  <si>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</si>
  <si>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</si>
  <si>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</si>
  <si>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</si>
  <si>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</si>
  <si>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</si>
  <si>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</si>
  <si>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</si>
  <si>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</si>
  <si>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</si>
  <si>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</si>
  <si>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</si>
  <si>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</si>
  <si>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</si>
  <si>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</si>
  <si>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</si>
  <si>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</si>
  <si>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</si>
  <si>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</si>
  <si>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</si>
  <si>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</si>
  <si>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</si>
  <si>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</si>
  <si>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</si>
  <si>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</si>
  <si>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</si>
  <si>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</si>
  <si>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</si>
  <si>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</si>
  <si>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</si>
  <si>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</si>
  <si>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</si>
  <si>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</si>
  <si>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</si>
  <si>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</si>
  <si>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</si>
  <si>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</si>
  <si>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</si>
  <si>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</si>
  <si>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</si>
  <si>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</si>
  <si>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</si>
  <si>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</si>
  <si>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</si>
  <si>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</si>
  <si>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</si>
  <si>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</si>
  <si>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</si>
  <si>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</si>
  <si>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</si>
  <si>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</si>
  <si>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</si>
  <si>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</si>
  <si>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</si>
  <si>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</si>
  <si>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</si>
  <si>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</si>
  <si>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</si>
  <si>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</si>
  <si>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</si>
  <si>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</si>
  <si>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</si>
  <si>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</si>
  <si>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</si>
  <si>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</si>
  <si>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</si>
  <si>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</si>
  <si>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</si>
  <si>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</si>
  <si>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</si>
  <si>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</si>
  <si>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</si>
  <si>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</si>
  <si>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</si>
  <si>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</si>
  <si>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</si>
  <si>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</si>
  <si>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</si>
  <si>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</si>
  <si>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</si>
  <si>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</si>
  <si>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</si>
  <si>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</si>
  <si>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</si>
  <si>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</si>
  <si>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</si>
  <si>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</si>
  <si>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</si>
  <si>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</si>
  <si>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</si>
  <si>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</si>
  <si>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</si>
  <si>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</si>
  <si>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</si>
  <si>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</si>
  <si>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</si>
  <si>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</si>
  <si>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</si>
  <si>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</si>
  <si>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</si>
  <si>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</si>
  <si>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</si>
  <si>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</si>
  <si>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</si>
  <si>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</si>
  <si>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</si>
  <si>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</si>
  <si>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</si>
  <si>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</si>
  <si>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</si>
  <si>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</si>
  <si>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</si>
  <si>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</si>
  <si>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</si>
  <si>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</si>
  <si>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</si>
  <si>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</si>
  <si>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</si>
  <si>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</si>
  <si>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</si>
  <si>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</si>
  <si>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</si>
  <si>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</si>
  <si>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</si>
  <si>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</si>
  <si>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</si>
  <si>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</si>
  <si>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</si>
  <si>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</si>
  <si>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</si>
  <si>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</si>
  <si>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</si>
  <si>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</si>
  <si>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</si>
  <si>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</si>
  <si>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</si>
  <si>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</si>
  <si>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</si>
  <si>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</si>
  <si>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</si>
  <si>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</si>
  <si>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</si>
  <si>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</si>
  <si>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</si>
  <si>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</si>
  <si>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</si>
  <si>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</si>
  <si>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</si>
  <si>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</si>
  <si>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</si>
  <si>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</si>
  <si>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</si>
  <si>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</si>
  <si>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</si>
  <si>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</si>
  <si>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</si>
  <si>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</si>
  <si>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</si>
  <si>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</si>
  <si>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</si>
  <si>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</si>
  <si>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</si>
  <si>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</si>
  <si>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</si>
  <si>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</si>
  <si>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</si>
  <si>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</si>
  <si>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</si>
  <si>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</si>
  <si>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</si>
  <si>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</si>
  <si>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</si>
  <si>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</si>
  <si>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</si>
  <si>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</si>
  <si>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</si>
  <si>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</si>
  <si>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</si>
  <si>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</si>
  <si>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</si>
  <si>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</si>
  <si>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</si>
  <si>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</si>
  <si>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</si>
  <si>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</si>
  <si>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</si>
  <si>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</si>
  <si>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</si>
  <si>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</si>
  <si>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</si>
  <si>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</si>
  <si>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</si>
  <si>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</si>
  <si>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</si>
  <si>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</si>
  <si>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</si>
  <si>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</si>
  <si>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</si>
  <si>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</si>
  <si>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</si>
  <si>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</si>
  <si>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</si>
  <si>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</si>
  <si>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</si>
  <si>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</si>
  <si>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</si>
  <si>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</si>
  <si>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</si>
  <si>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</si>
  <si>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</si>
  <si>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</si>
  <si>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</si>
  <si>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</si>
  <si>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</si>
  <si>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</si>
  <si>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</si>
  <si>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</si>
  <si>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</si>
  <si>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</si>
  <si>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</si>
  <si>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</si>
  <si>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</si>
  <si>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</si>
  <si>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</si>
  <si>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</si>
  <si>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</si>
  <si>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</si>
  <si>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</si>
  <si>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</si>
  <si>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</si>
  <si>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</si>
  <si>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</si>
  <si>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</si>
  <si>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</si>
  <si>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</si>
  <si>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</si>
  <si>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</si>
  <si>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</si>
  <si>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</si>
  <si>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</si>
  <si>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</si>
  <si>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</si>
  <si>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</si>
  <si>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</si>
  <si>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</si>
  <si>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</si>
  <si>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</si>
  <si>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</si>
  <si>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</si>
  <si>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</si>
  <si>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</si>
  <si>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</si>
  <si>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</si>
  <si>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</si>
  <si>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</si>
  <si>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</si>
  <si>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</si>
  <si>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</si>
  <si>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</si>
  <si>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</si>
  <si>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</si>
  <si>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</si>
  <si>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</si>
  <si>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</si>
  <si>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</si>
  <si>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</si>
  <si>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</si>
  <si>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</si>
  <si>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</si>
  <si>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</si>
  <si>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</si>
  <si>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</si>
  <si>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</si>
  <si>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</si>
  <si>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</si>
  <si>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</si>
  <si>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</si>
  <si>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</si>
  <si>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</si>
  <si>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</si>
  <si>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</si>
  <si>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</si>
  <si>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</si>
  <si>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</si>
  <si>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</si>
  <si>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</si>
  <si>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</si>
  <si>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</si>
  <si>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</si>
  <si>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</si>
  <si>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</si>
  <si>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</si>
  <si>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</si>
  <si>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</si>
  <si>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</si>
  <si>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</si>
  <si>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</si>
  <si>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</si>
  <si>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</si>
  <si>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</si>
  <si>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</si>
  <si>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</si>
  <si>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</si>
  <si>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</si>
  <si>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</si>
  <si>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</si>
  <si>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</si>
  <si>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</si>
  <si>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</si>
  <si>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</si>
  <si>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</si>
  <si>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</si>
  <si>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</si>
  <si>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</si>
  <si>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</si>
  <si>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</si>
  <si>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</si>
  <si>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</si>
  <si>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</si>
  <si>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</si>
  <si>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</si>
  <si>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</si>
  <si>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</si>
  <si>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</si>
  <si>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</si>
  <si>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</si>
  <si>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</si>
  <si>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</si>
  <si>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</si>
  <si>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</si>
  <si>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</si>
  <si>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</si>
  <si>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</si>
  <si>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</si>
  <si>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</si>
  <si>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</si>
  <si>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</si>
  <si>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</si>
  <si>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</si>
  <si>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</si>
  <si>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</si>
  <si>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</si>
  <si>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</si>
  <si>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</si>
  <si>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</si>
  <si>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</si>
  <si>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</si>
  <si>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</si>
  <si>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</si>
  <si>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</si>
  <si>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</si>
  <si>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</si>
  <si>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</si>
  <si>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</si>
  <si>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</si>
  <si>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</si>
  <si>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</si>
  <si>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</si>
  <si>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</si>
  <si>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</si>
  <si>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</si>
  <si>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</si>
  <si>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</si>
  <si>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</si>
  <si>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</si>
  <si>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</si>
  <si>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</si>
  <si>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</si>
  <si>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</si>
  <si>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</si>
  <si>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</si>
  <si>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</si>
  <si>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</si>
  <si>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</si>
  <si>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</si>
  <si>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</si>
  <si>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</si>
  <si>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</si>
  <si>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</si>
  <si>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</si>
  <si>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</si>
  <si>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</si>
  <si>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</si>
  <si>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</si>
  <si>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</si>
  <si>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</si>
  <si>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</si>
  <si>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</si>
  <si>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</si>
  <si>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</si>
  <si>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</si>
  <si>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</si>
  <si>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</si>
  <si>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</si>
  <si>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</si>
  <si>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</si>
  <si>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</si>
  <si>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</si>
  <si>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</si>
  <si>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</si>
  <si>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</si>
  <si>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</si>
  <si>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</si>
  <si>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</si>
  <si>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</si>
  <si>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</si>
  <si>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</si>
  <si>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</si>
  <si>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</si>
  <si>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</si>
  <si>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</si>
  <si>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</si>
  <si>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</si>
  <si>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</si>
  <si>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</si>
  <si>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</si>
  <si>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</si>
  <si>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</si>
  <si>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</si>
  <si>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</si>
  <si>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</si>
  <si>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</si>
  <si>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</si>
  <si>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</si>
  <si>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</si>
  <si>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</si>
  <si>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</si>
  <si>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</si>
  <si>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</si>
  <si>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</si>
  <si>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</si>
  <si>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</si>
  <si>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</si>
  <si>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</si>
  <si>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</si>
  <si>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</si>
  <si>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</si>
  <si>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</si>
  <si>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</si>
  <si>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</si>
  <si>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</si>
  <si>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</si>
  <si>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</si>
  <si>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</si>
  <si>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</si>
  <si>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</si>
  <si>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</si>
  <si>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</si>
  <si>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</si>
  <si>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</si>
  <si>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</si>
  <si>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</si>
  <si>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</si>
  <si>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</si>
  <si>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</si>
  <si>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</si>
  <si>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</si>
  <si>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</si>
  <si>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</si>
  <si>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</si>
  <si>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</si>
  <si>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</si>
  <si>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</si>
  <si>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</si>
  <si>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</si>
  <si>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</si>
  <si>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</si>
  <si>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</si>
  <si>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</si>
  <si>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</si>
  <si>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</si>
  <si>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</si>
  <si>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</si>
  <si>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</si>
  <si>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</si>
  <si>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</si>
  <si>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</si>
  <si>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</si>
  <si>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</si>
  <si>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</si>
  <si>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</si>
  <si>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</si>
  <si>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</si>
  <si>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</si>
  <si>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</si>
  <si>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</si>
  <si>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</si>
  <si>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</si>
  <si>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</si>
  <si>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</si>
  <si>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</si>
  <si>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</si>
  <si>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</si>
  <si>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</si>
  <si>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</si>
  <si>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</si>
  <si>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</si>
  <si>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</si>
  <si>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</si>
  <si>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</si>
  <si>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</si>
  <si>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</si>
  <si>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</si>
  <si>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</si>
  <si>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</si>
  <si>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</si>
  <si>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</si>
  <si>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</si>
  <si>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</si>
  <si>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</si>
  <si>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</si>
  <si>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</si>
  <si>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</si>
  <si>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</si>
  <si>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</si>
  <si>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</si>
  <si>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</si>
  <si>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</si>
  <si>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</si>
  <si>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</si>
  <si>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</si>
  <si>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</si>
  <si>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</si>
  <si>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</si>
  <si>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</si>
  <si>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</si>
  <si>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</si>
  <si>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</si>
  <si>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</si>
  <si>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</si>
  <si>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</si>
  <si>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</si>
  <si>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</si>
  <si>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</si>
  <si>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</si>
  <si>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</si>
  <si>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</si>
  <si>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</si>
  <si>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</si>
  <si>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</si>
  <si>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</si>
  <si>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</si>
  <si>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</si>
  <si>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</si>
  <si>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</si>
  <si>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</si>
  <si>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</si>
  <si>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</si>
  <si>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</si>
  <si>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</si>
  <si>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</si>
  <si>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</si>
  <si>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</si>
  <si>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</si>
  <si>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</si>
  <si>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</si>
  <si>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</si>
  <si>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</si>
  <si>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</si>
  <si>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</si>
  <si>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</si>
  <si>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</si>
  <si>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</si>
  <si>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</si>
  <si>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</si>
  <si>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</si>
  <si>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</si>
  <si>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</si>
  <si>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</si>
  <si>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</si>
  <si>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</si>
  <si>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</si>
  <si>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</si>
  <si>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</si>
  <si>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</si>
  <si>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</si>
  <si>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</si>
  <si>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</si>
  <si>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</si>
  <si>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</si>
  <si>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</si>
  <si>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</si>
  <si>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</si>
  <si>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</si>
  <si>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</si>
  <si>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</si>
  <si>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</si>
  <si>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</si>
  <si>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</si>
  <si>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</si>
  <si>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</si>
  <si>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</si>
  <si>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</si>
  <si>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</si>
  <si>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</si>
  <si>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</si>
  <si>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</si>
  <si>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</si>
  <si>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</si>
  <si>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</si>
  <si>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</si>
  <si>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</si>
  <si>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</si>
  <si>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</si>
  <si>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</si>
  <si>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</si>
  <si>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</si>
  <si>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</si>
  <si>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</si>
  <si>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</si>
  <si>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</si>
  <si>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</si>
  <si>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</si>
  <si>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</si>
  <si>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</si>
  <si>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</si>
  <si>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</si>
  <si>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</si>
  <si>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</si>
  <si>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</si>
  <si>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</si>
  <si>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</si>
  <si>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</si>
  <si>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</si>
  <si>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</si>
  <si>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</si>
  <si>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</si>
  <si>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</si>
  <si>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</si>
  <si>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</si>
  <si>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</si>
  <si>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</si>
  <si>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</si>
  <si>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</si>
  <si>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</si>
  <si>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</si>
  <si>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</si>
  <si>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</si>
  <si>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</si>
  <si>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</si>
  <si>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</si>
  <si>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</si>
  <si>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</si>
  <si>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</si>
  <si>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</si>
  <si>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</si>
  <si>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</si>
  <si>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</si>
  <si>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</si>
  <si>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</si>
  <si>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</si>
  <si>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</si>
  <si>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</si>
  <si>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</si>
  <si>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</si>
  <si>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</si>
  <si>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</si>
  <si>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</si>
  <si>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</si>
  <si>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</si>
  <si>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</si>
  <si>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</si>
  <si>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</si>
  <si>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</si>
  <si>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</si>
  <si>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</si>
  <si>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</si>
  <si>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</si>
  <si>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</si>
  <si>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</si>
  <si>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</si>
  <si>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</si>
  <si>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</si>
  <si>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</si>
  <si>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</si>
  <si>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</si>
  <si>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</si>
  <si>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</si>
  <si>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</si>
  <si>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</si>
  <si>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</si>
  <si>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</si>
  <si>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</si>
  <si>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</si>
  <si>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</si>
  <si>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</si>
  <si>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</si>
  <si>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</si>
  <si>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</si>
  <si>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</si>
  <si>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</si>
  <si>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</si>
  <si>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</si>
  <si>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</si>
  <si>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</si>
  <si>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</si>
  <si>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</si>
  <si>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</si>
  <si>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</si>
  <si>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</si>
  <si>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</si>
  <si>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</si>
  <si>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</si>
  <si>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</si>
  <si>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</si>
  <si>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</si>
  <si>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</si>
  <si>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</si>
  <si>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</si>
  <si>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</si>
  <si>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</si>
  <si>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</si>
  <si>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</si>
  <si>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</si>
  <si>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</si>
  <si>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</si>
  <si>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</si>
  <si>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</si>
  <si>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</si>
  <si>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</si>
  <si>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</si>
  <si>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</si>
  <si>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</si>
  <si>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</si>
  <si>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</si>
  <si>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</si>
  <si>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</si>
  <si>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</si>
  <si>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</si>
  <si>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</si>
  <si>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</si>
  <si>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</si>
  <si>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</si>
  <si>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</si>
  <si>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</si>
  <si>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</si>
  <si>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</si>
  <si>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</si>
  <si>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</si>
  <si>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</si>
  <si>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</si>
  <si>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</si>
  <si>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</si>
  <si>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</si>
  <si>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</si>
  <si>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</si>
  <si>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</si>
  <si>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</si>
  <si>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</si>
  <si>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</si>
  <si>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</si>
  <si>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</si>
  <si>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</si>
  <si>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</si>
  <si>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</si>
  <si>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</si>
  <si>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</si>
  <si>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</si>
  <si>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</si>
  <si>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</si>
  <si>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</si>
  <si>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</si>
  <si>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</si>
  <si>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</si>
  <si>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</si>
  <si>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</si>
  <si>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</si>
  <si>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</si>
  <si>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</si>
  <si>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</si>
  <si>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</si>
  <si>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</si>
  <si>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</si>
  <si>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</si>
  <si>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</si>
  <si>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</si>
  <si>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</si>
  <si>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</si>
  <si>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</si>
  <si>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</si>
  <si>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</si>
  <si>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</si>
  <si>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</si>
  <si>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</si>
  <si>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</si>
  <si>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</si>
  <si>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</si>
  <si>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</si>
  <si>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</si>
  <si>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</si>
  <si>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</si>
  <si>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</si>
  <si>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</si>
  <si>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</si>
  <si>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</si>
  <si>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</si>
  <si>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</si>
  <si>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</si>
  <si>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</si>
  <si>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</si>
  <si>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</si>
  <si>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</si>
  <si>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</si>
  <si>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</si>
  <si>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</si>
  <si>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</si>
  <si>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</si>
  <si>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</si>
  <si>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</si>
  <si>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</si>
  <si>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</si>
  <si>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</si>
  <si>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</si>
  <si>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</si>
  <si>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</si>
  <si>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</si>
  <si>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</si>
  <si>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</si>
  <si>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</si>
  <si>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</si>
  <si>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</si>
  <si>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</si>
  <si>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</si>
  <si>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</si>
  <si>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</si>
  <si>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</si>
  <si>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</si>
  <si>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</si>
  <si>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</si>
  <si>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</si>
  <si>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</si>
  <si>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</si>
  <si>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</si>
  <si>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</si>
  <si>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</si>
  <si>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</si>
  <si>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</si>
  <si>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</si>
  <si>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</si>
  <si>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</si>
  <si>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</si>
  <si>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</si>
  <si>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</si>
  <si>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</si>
  <si>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</si>
  <si>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</si>
  <si>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</si>
  <si>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</si>
  <si>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</si>
  <si>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</si>
  <si>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</si>
  <si>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</si>
  <si>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</si>
  <si>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</si>
  <si>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</si>
  <si>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</si>
  <si>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</si>
  <si>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</si>
  <si>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</si>
  <si>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</si>
  <si>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</si>
  <si>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</si>
  <si>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</si>
  <si>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</si>
  <si>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</si>
  <si>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</si>
  <si>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</si>
  <si>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</si>
  <si>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</si>
  <si>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</si>
  <si>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</si>
  <si>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</si>
  <si>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</si>
  <si>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</si>
  <si>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</si>
  <si>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</si>
  <si>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</si>
  <si>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</si>
  <si>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</si>
  <si>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</si>
  <si>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</si>
  <si>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</si>
  <si>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</si>
  <si>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</si>
  <si>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</si>
  <si>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</si>
  <si>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</si>
  <si>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</si>
  <si>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</si>
  <si>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</si>
  <si>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</si>
  <si>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</si>
  <si>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</si>
  <si>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</si>
  <si>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</si>
  <si>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</si>
  <si>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</si>
  <si>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</si>
  <si>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</si>
  <si>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</si>
  <si>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</si>
  <si>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</si>
  <si>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</si>
  <si>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</si>
  <si>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</si>
  <si>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</si>
  <si>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</si>
  <si>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</si>
  <si>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</si>
  <si>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</si>
  <si>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</si>
  <si>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</si>
  <si>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</si>
  <si>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</si>
  <si>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</si>
  <si>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</si>
  <si>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</si>
  <si>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</si>
  <si>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</si>
  <si>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</si>
  <si>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</si>
  <si>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</si>
  <si>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</si>
  <si>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</si>
  <si>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</si>
  <si>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</si>
  <si>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</si>
  <si>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</si>
  <si>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</si>
  <si>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</si>
  <si>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</si>
  <si>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</si>
  <si>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</si>
  <si>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</si>
  <si>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</si>
  <si>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</si>
  <si>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</si>
  <si>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</si>
  <si>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</si>
  <si>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</si>
  <si>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</si>
  <si>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</si>
  <si>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</si>
  <si>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</si>
  <si>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</si>
  <si>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</si>
  <si>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</si>
  <si>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</si>
  <si>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</si>
  <si>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</si>
  <si>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</si>
  <si>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</si>
  <si>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</si>
  <si>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</si>
  <si>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</si>
  <si>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</si>
  <si>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</si>
  <si>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</si>
  <si>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</si>
  <si>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</si>
  <si>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</si>
  <si>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</si>
  <si>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</si>
  <si>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</si>
  <si>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</si>
  <si>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</si>
  <si>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</si>
  <si>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</si>
  <si>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</si>
  <si>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</si>
  <si>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</si>
  <si>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</si>
  <si>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</si>
  <si>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</si>
  <si>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</si>
  <si>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</si>
  <si>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</si>
  <si>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</si>
  <si>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</si>
  <si>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</si>
  <si>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</si>
  <si>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</si>
  <si>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</si>
  <si>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</si>
  <si>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</si>
  <si>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</si>
  <si>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</si>
  <si>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</si>
  <si>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</si>
  <si>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</si>
  <si>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</si>
  <si>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</si>
  <si>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</si>
  <si>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</si>
  <si>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</si>
  <si>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</si>
  <si>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</si>
  <si>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</si>
  <si>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</si>
  <si>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</si>
  <si>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</si>
  <si>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</si>
  <si>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</si>
  <si>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</si>
  <si>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</si>
  <si>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</si>
  <si>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</si>
  <si>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</si>
  <si>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</si>
  <si>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</si>
  <si>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</si>
  <si>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</si>
  <si>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</si>
  <si>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</si>
  <si>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</si>
  <si>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</si>
  <si>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</si>
  <si>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</si>
  <si>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</si>
  <si>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</si>
  <si>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</si>
  <si>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</si>
  <si>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</si>
  <si>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</si>
  <si>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</si>
  <si>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</si>
  <si>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</si>
  <si>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</si>
  <si>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</si>
  <si>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</si>
  <si>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</si>
  <si>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</si>
  <si>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</si>
  <si>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</si>
  <si>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</si>
  <si>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</si>
  <si>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</si>
  <si>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</si>
  <si>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</si>
  <si>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</si>
  <si>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</si>
  <si>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</si>
  <si>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</si>
  <si>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</si>
  <si>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</si>
  <si>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</si>
  <si>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</si>
  <si>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</si>
  <si>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</si>
  <si>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</si>
  <si>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</si>
  <si>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</si>
  <si>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</si>
  <si>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</si>
  <si>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</si>
  <si>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</si>
  <si>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</si>
  <si>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</si>
  <si>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</si>
  <si>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</si>
  <si>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</si>
  <si>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</si>
  <si>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</si>
  <si>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</si>
  <si>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</si>
  <si>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</si>
  <si>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</si>
  <si>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</si>
  <si>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</si>
  <si>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</si>
  <si>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</si>
  <si>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</si>
  <si>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</si>
  <si>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</si>
  <si>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</si>
  <si>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</si>
  <si>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</si>
  <si>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</si>
  <si>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</si>
  <si>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</si>
  <si>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</si>
  <si>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</si>
  <si>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</si>
  <si>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</si>
  <si>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</si>
  <si>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</si>
  <si>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</si>
  <si>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</si>
  <si>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</si>
  <si>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</si>
  <si>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</si>
  <si>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</si>
  <si>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</si>
  <si>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</si>
  <si>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</si>
  <si>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</si>
  <si>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</si>
  <si>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</si>
  <si>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</si>
  <si>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</si>
  <si>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</si>
  <si>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</si>
  <si>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</si>
  <si>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</si>
  <si>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</si>
  <si>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</si>
  <si>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</si>
  <si>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</si>
  <si>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</si>
  <si>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</si>
  <si>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</si>
  <si>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</si>
  <si>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</si>
  <si>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</si>
  <si>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</si>
  <si>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</si>
  <si>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</si>
  <si>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</si>
  <si>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</si>
  <si>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</si>
  <si>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</si>
  <si>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</si>
  <si>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</si>
  <si>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</si>
  <si>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</si>
  <si>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</si>
  <si>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</si>
  <si>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</si>
  <si>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</si>
  <si>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</si>
  <si>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</si>
  <si>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</si>
  <si>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</si>
  <si>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</si>
  <si>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</si>
  <si>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</si>
  <si>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</si>
  <si>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</si>
  <si>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</si>
  <si>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</si>
  <si>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</si>
  <si>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</si>
  <si>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</si>
  <si>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</si>
  <si>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</si>
  <si>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</si>
  <si>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</si>
  <si>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</si>
  <si>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</si>
  <si>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</si>
  <si>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</si>
  <si>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</si>
  <si>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</si>
  <si>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</si>
  <si>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</si>
  <si>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</si>
  <si>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</si>
  <si>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</si>
  <si>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</si>
  <si>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</si>
  <si>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</si>
  <si>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</si>
  <si>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</si>
  <si>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</si>
  <si>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</si>
  <si>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</si>
  <si>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</si>
  <si>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</si>
  <si>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</si>
  <si>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</si>
  <si>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</si>
  <si>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</si>
  <si>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</si>
  <si>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</si>
  <si>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</si>
  <si>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</si>
  <si>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</si>
  <si>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</si>
  <si>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</si>
  <si>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</si>
  <si>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</si>
  <si>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</si>
  <si>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</si>
  <si>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</si>
  <si>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</si>
  <si>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</si>
  <si>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</si>
  <si>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</si>
  <si>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</si>
  <si>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</si>
  <si>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</si>
  <si>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</si>
  <si>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</si>
  <si>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</si>
  <si>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</si>
  <si>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</si>
  <si>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</si>
  <si>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</si>
  <si>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</si>
  <si>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</si>
  <si>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</si>
  <si>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</si>
  <si>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</si>
  <si>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</si>
  <si>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</si>
  <si>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</si>
  <si>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</si>
  <si>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</si>
  <si>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</si>
  <si>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</si>
  <si>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</si>
  <si>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</si>
  <si>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</si>
  <si>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</si>
  <si>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</si>
  <si>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</si>
  <si>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</si>
  <si>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</si>
  <si>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</si>
  <si>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</si>
  <si>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</si>
  <si>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</si>
  <si>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</si>
  <si>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</si>
  <si>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</si>
  <si>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</si>
  <si>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</si>
  <si>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</si>
  <si>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</si>
  <si>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</si>
  <si>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</si>
  <si>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</si>
  <si>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</si>
  <si>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</si>
  <si>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</si>
  <si>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</si>
  <si>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</si>
  <si>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</si>
  <si>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</si>
  <si>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</si>
  <si>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</si>
  <si>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</si>
  <si>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</si>
  <si>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</si>
  <si>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</si>
  <si>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</si>
  <si>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</si>
  <si>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</si>
  <si>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</si>
  <si>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</si>
  <si>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</si>
  <si>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</si>
  <si>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</si>
  <si>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</si>
  <si>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</si>
  <si>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</si>
  <si>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</si>
  <si>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</si>
  <si>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</si>
  <si>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</si>
  <si>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</si>
  <si>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</si>
  <si>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</si>
  <si>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</si>
  <si>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</si>
  <si>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</si>
  <si>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</si>
  <si>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</si>
  <si>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</si>
  <si>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</si>
  <si>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</si>
  <si>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</si>
  <si>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</si>
  <si>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</si>
  <si>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</si>
  <si>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</si>
  <si>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</si>
  <si>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</si>
  <si>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</si>
  <si>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</si>
  <si>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</si>
  <si>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</si>
  <si>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</si>
  <si>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</si>
  <si>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</si>
  <si>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</si>
  <si>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</si>
  <si>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</si>
  <si>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</si>
  <si>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</si>
  <si>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</si>
  <si>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</si>
  <si>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</si>
  <si>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</si>
  <si>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</si>
  <si>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</si>
  <si>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</si>
  <si>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</si>
  <si>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</si>
  <si>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</si>
  <si>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</si>
  <si>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</si>
  <si>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</si>
  <si>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</si>
  <si>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</si>
  <si>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</si>
  <si>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</si>
  <si>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</si>
  <si>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</si>
  <si>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</si>
  <si>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</si>
  <si>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</si>
  <si>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</si>
  <si>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</si>
  <si>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</si>
  <si>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</si>
  <si>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</si>
  <si>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</si>
  <si>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</si>
  <si>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</si>
  <si>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</si>
  <si>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</si>
  <si>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</si>
  <si>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</si>
  <si>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</si>
  <si>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</si>
  <si>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</si>
  <si>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</si>
  <si>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</si>
  <si>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</si>
  <si>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</si>
  <si>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</si>
  <si>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</si>
  <si>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</si>
  <si>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</si>
  <si>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</si>
  <si>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</si>
  <si>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</si>
  <si>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</si>
  <si>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</si>
  <si>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</si>
  <si>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</si>
  <si>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</si>
  <si>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</si>
  <si>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</si>
  <si>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</si>
  <si>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</si>
  <si>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</si>
  <si>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</si>
  <si>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</si>
  <si>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</si>
  <si>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</si>
  <si>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</si>
  <si>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</si>
  <si>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</si>
  <si>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</si>
  <si>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</si>
  <si>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</si>
  <si>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</si>
  <si>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</si>
  <si>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</si>
  <si>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</si>
  <si>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</si>
  <si>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</si>
  <si>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</si>
  <si>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</si>
  <si>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</si>
  <si>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</si>
  <si>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</si>
  <si>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</si>
  <si>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</si>
  <si>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</si>
  <si>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</si>
  <si>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</si>
  <si>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</si>
  <si>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</si>
  <si>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</si>
  <si>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</si>
  <si>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</si>
  <si>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</si>
  <si>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</si>
  <si>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</si>
  <si>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</si>
  <si>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</si>
  <si>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</si>
  <si>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</si>
  <si>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</si>
  <si>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</si>
  <si>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</si>
  <si>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</si>
  <si>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</si>
  <si>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</si>
  <si>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</si>
  <si>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</si>
  <si>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</si>
  <si>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</si>
  <si>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</si>
  <si>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</si>
  <si>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</si>
  <si>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</si>
  <si>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</si>
  <si>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</si>
  <si>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</si>
  <si>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</si>
  <si>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</si>
  <si>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</si>
  <si>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</si>
  <si>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</si>
  <si>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</si>
  <si>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</si>
  <si>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</si>
  <si>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</si>
  <si>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</si>
  <si>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</si>
  <si>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</si>
  <si>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</si>
  <si>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</si>
  <si>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</si>
  <si>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</si>
  <si>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</si>
  <si>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</si>
  <si>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</si>
  <si>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</si>
  <si>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</si>
  <si>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</si>
  <si>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</si>
  <si>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</si>
  <si>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</si>
  <si>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</si>
  <si>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</si>
  <si>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</si>
  <si>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</si>
  <si>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</si>
  <si>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</si>
  <si>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</si>
  <si>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</si>
  <si>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</si>
  <si>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</si>
  <si>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</si>
  <si>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</si>
  <si>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</si>
  <si>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</si>
  <si>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</si>
  <si>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</si>
  <si>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</si>
  <si>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</si>
  <si>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</si>
  <si>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</si>
  <si>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</si>
  <si>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</si>
  <si>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</si>
  <si>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</si>
  <si>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</si>
  <si>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</si>
  <si>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</si>
  <si>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</si>
  <si>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</si>
  <si>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</si>
  <si>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</si>
  <si>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</si>
  <si>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</si>
  <si>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</si>
  <si>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</si>
  <si>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</si>
  <si>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</si>
  <si>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</si>
  <si>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</si>
  <si>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</si>
  <si>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</si>
  <si>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</si>
  <si>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</si>
  <si>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</si>
  <si>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</si>
  <si>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</si>
  <si>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</si>
  <si>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</si>
  <si>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</si>
  <si>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</si>
  <si>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</si>
  <si>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</si>
  <si>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</si>
  <si>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</si>
  <si>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</si>
  <si>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</si>
  <si>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</si>
  <si>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</si>
  <si>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</si>
  <si>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</si>
  <si>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</si>
  <si>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</si>
  <si>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</si>
  <si>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</si>
  <si>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</si>
  <si>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</si>
  <si>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</si>
  <si>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</si>
  <si>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</si>
  <si>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</si>
  <si>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</si>
  <si>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</si>
  <si>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</si>
  <si>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</si>
  <si>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</si>
  <si>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</si>
  <si>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</si>
  <si>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</si>
  <si>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</si>
  <si>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</si>
  <si>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</si>
  <si>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</si>
  <si>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</si>
  <si>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</si>
  <si>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</si>
  <si>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</si>
  <si>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</si>
  <si>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</si>
  <si>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</si>
  <si>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</si>
  <si>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</si>
  <si>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</si>
  <si>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</si>
  <si>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</si>
  <si>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</si>
  <si>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</si>
  <si>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</si>
  <si>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</si>
  <si>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</si>
  <si>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</si>
  <si>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</si>
  <si>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</si>
  <si>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</si>
  <si>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</si>
  <si>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</si>
  <si>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</si>
  <si>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</si>
  <si>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</si>
  <si>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</si>
  <si>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</si>
  <si>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</si>
  <si>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</si>
  <si>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</si>
  <si>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</si>
  <si>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</si>
  <si>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</si>
  <si>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</si>
  <si>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</si>
  <si>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</si>
  <si>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</si>
  <si>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</si>
  <si>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</si>
  <si>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</si>
  <si>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</si>
  <si>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</si>
  <si>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</si>
  <si>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</si>
  <si>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</si>
  <si>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</si>
  <si>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</si>
  <si>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</si>
  <si>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</si>
  <si>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</si>
  <si>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</si>
  <si>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</si>
  <si>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</si>
  <si>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</si>
  <si>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</si>
  <si>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</si>
  <si>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</si>
  <si>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</si>
  <si>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</si>
  <si>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</si>
  <si>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</si>
  <si>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</si>
  <si>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</si>
  <si>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</si>
  <si>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</si>
  <si>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</si>
  <si>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</si>
  <si>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</si>
  <si>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</si>
  <si>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</si>
  <si>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</si>
  <si>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</si>
  <si>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</si>
  <si>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</si>
  <si>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</si>
  <si>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</si>
  <si>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</si>
  <si>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</si>
  <si>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</si>
  <si>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</si>
  <si>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</si>
  <si>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</si>
  <si>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</si>
  <si>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</si>
  <si>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</si>
  <si>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</si>
  <si>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</si>
  <si>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</si>
  <si>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</si>
  <si>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</si>
  <si>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</si>
  <si>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</si>
  <si>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</si>
  <si>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</si>
  <si>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</si>
  <si>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</si>
  <si>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</si>
  <si>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</si>
  <si>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</si>
  <si>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</si>
  <si>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</si>
  <si>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</si>
  <si>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</si>
  <si>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</si>
  <si>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</si>
  <si>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</si>
  <si>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</si>
  <si>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</si>
  <si>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</si>
  <si>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</si>
  <si>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</si>
  <si>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</si>
  <si>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</si>
  <si>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</si>
  <si>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</si>
  <si>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</si>
  <si>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</si>
  <si>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</si>
  <si>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</si>
  <si>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</si>
  <si>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</si>
  <si>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</si>
  <si>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</si>
  <si>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</si>
  <si>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</si>
  <si>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</si>
  <si>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</si>
  <si>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</si>
  <si>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</si>
  <si>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</si>
  <si>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</si>
  <si>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</si>
  <si>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</si>
  <si>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</si>
  <si>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</si>
  <si>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</si>
  <si>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</si>
  <si>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</si>
  <si>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</si>
  <si>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</si>
  <si>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</si>
  <si>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</si>
  <si>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</si>
  <si>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</si>
  <si>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</si>
  <si>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</si>
  <si>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</si>
  <si>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</si>
  <si>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</si>
  <si>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</si>
  <si>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</si>
  <si>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</si>
  <si>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</si>
  <si>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</si>
  <si>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</si>
  <si>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</si>
  <si>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</si>
  <si>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</si>
  <si>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</si>
  <si>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</si>
  <si>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</si>
  <si>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</si>
  <si>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</si>
  <si>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</si>
  <si>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</si>
  <si>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</si>
  <si>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</si>
  <si>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</si>
  <si>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</si>
  <si>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</si>
  <si>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</si>
  <si>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</si>
  <si>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</si>
  <si>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</si>
  <si>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</si>
  <si>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</si>
  <si>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</si>
  <si>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</si>
  <si>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</si>
  <si>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</si>
  <si>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</si>
  <si>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</si>
  <si>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</si>
  <si>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</si>
  <si>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</si>
  <si>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</si>
  <si>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</si>
  <si>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</si>
  <si>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</si>
  <si>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</si>
  <si>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</si>
  <si>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</si>
  <si>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</si>
  <si>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</si>
  <si>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</si>
  <si>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</si>
  <si>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</si>
  <si>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</si>
  <si>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</si>
  <si>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</si>
  <si>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</si>
  <si>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</si>
  <si>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</si>
  <si>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</si>
  <si>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</si>
  <si>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</si>
  <si>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</si>
  <si>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</si>
  <si>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</si>
  <si>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</si>
  <si>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</si>
  <si>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</si>
  <si>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</si>
  <si>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</si>
  <si>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</si>
  <si>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</si>
  <si>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</si>
  <si>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</si>
  <si>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</si>
  <si>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</si>
  <si>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</si>
  <si>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</si>
  <si>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</si>
  <si>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</si>
  <si>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</si>
  <si>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</si>
  <si>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</si>
  <si>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</si>
  <si>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</si>
  <si>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</si>
  <si>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</si>
  <si>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</si>
  <si>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</si>
  <si>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</si>
  <si>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</si>
  <si>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</si>
  <si>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</si>
  <si>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</si>
  <si>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</si>
  <si>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</si>
  <si>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</si>
  <si>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</si>
  <si>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</si>
  <si>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</si>
  <si>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</si>
  <si>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</si>
  <si>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</si>
  <si>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</si>
  <si>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</si>
  <si>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</si>
  <si>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</si>
  <si>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</si>
  <si>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</si>
  <si>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</si>
  <si>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</si>
  <si>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</si>
  <si>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</si>
  <si>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</si>
  <si>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</si>
  <si>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</si>
  <si>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</si>
  <si>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</si>
  <si>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</si>
  <si>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</si>
  <si>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</si>
  <si>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</si>
  <si>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</si>
  <si>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</si>
  <si>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</si>
  <si>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</si>
  <si>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</si>
  <si>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</si>
  <si>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</si>
  <si>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</si>
  <si>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</si>
  <si>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</si>
  <si>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</si>
  <si>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</si>
  <si>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</si>
  <si>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</si>
  <si>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</si>
  <si>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</si>
  <si>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</si>
  <si>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</si>
  <si>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</si>
  <si>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</si>
  <si>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</si>
  <si>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</si>
  <si>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</si>
  <si>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</si>
  <si>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</si>
  <si>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</si>
  <si>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</si>
  <si>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</si>
  <si>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</si>
  <si>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</si>
  <si>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</si>
  <si>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</si>
  <si>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</si>
  <si>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</si>
  <si>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</si>
  <si>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</si>
  <si>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</si>
  <si>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</si>
  <si>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</si>
  <si>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</si>
  <si>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</si>
  <si>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</si>
  <si>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</si>
  <si>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</si>
  <si>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</si>
  <si>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</si>
  <si>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</si>
  <si>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</si>
  <si>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</si>
  <si>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</si>
  <si>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</si>
  <si>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</si>
  <si>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</si>
  <si>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</si>
  <si>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</si>
  <si>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</si>
  <si>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</si>
  <si>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</si>
  <si>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</si>
  <si>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</si>
  <si>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</si>
  <si>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</si>
  <si>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</si>
  <si>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</si>
  <si>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</si>
  <si>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</si>
  <si>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</si>
  <si>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</si>
  <si>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</si>
  <si>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</si>
  <si>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</si>
  <si>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</si>
  <si>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</si>
  <si>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</si>
  <si>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</si>
  <si>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</si>
  <si>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</si>
  <si>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</si>
  <si>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</si>
  <si>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</si>
  <si>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</si>
  <si>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</si>
  <si>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</si>
  <si>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</si>
  <si>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</si>
  <si>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</si>
  <si>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</si>
  <si>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</si>
  <si>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</si>
  <si>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</si>
  <si>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</si>
  <si>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</si>
  <si>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</si>
  <si>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</si>
  <si>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</si>
  <si>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</si>
  <si>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</si>
  <si>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</si>
  <si>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</si>
  <si>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</si>
  <si>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</si>
  <si>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</si>
  <si>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</si>
  <si>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</si>
  <si>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</si>
  <si>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</si>
  <si>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</si>
  <si>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</si>
  <si>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</si>
  <si>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</si>
  <si>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</si>
  <si>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</si>
  <si>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</si>
  <si>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</si>
  <si>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</si>
  <si>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</si>
  <si>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</si>
  <si>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</si>
  <si>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</si>
  <si>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</si>
  <si>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</si>
  <si>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</si>
  <si>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</si>
  <si>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</si>
  <si>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</si>
  <si>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</si>
  <si>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</si>
  <si>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</si>
  <si>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</si>
  <si>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</si>
  <si>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</si>
  <si>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</si>
  <si>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</si>
  <si>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</si>
  <si>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</si>
  <si>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</si>
  <si>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</si>
  <si>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</si>
  <si>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</si>
  <si>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</si>
  <si>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</si>
  <si>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</si>
  <si>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</si>
  <si>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</si>
  <si>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</si>
  <si>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</si>
  <si>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</si>
  <si>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</si>
  <si>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</si>
  <si>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</si>
  <si>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</si>
  <si>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</si>
  <si>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</si>
  <si>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</si>
  <si>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</si>
  <si>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</si>
  <si>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</si>
  <si>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</si>
  <si>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</si>
  <si>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</si>
  <si>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</si>
  <si>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</si>
  <si>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</si>
  <si>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</si>
  <si>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</si>
  <si>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</si>
  <si>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</si>
  <si>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</si>
  <si>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</si>
  <si>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</si>
  <si>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</si>
  <si>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</si>
  <si>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</si>
  <si>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</si>
  <si>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</si>
  <si>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</si>
  <si>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</si>
  <si>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</si>
  <si>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</si>
  <si>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</si>
  <si>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</si>
  <si>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</si>
  <si>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</si>
  <si>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</si>
  <si>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</si>
  <si>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</si>
  <si>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</si>
  <si>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</si>
  <si>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</si>
  <si>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</si>
  <si>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</si>
  <si>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</si>
  <si>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</si>
  <si>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</si>
  <si>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</si>
  <si>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</si>
  <si>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</si>
  <si>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</si>
  <si>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</si>
  <si>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</si>
  <si>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</si>
  <si>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</si>
  <si>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</si>
  <si>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</si>
  <si>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</si>
  <si>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</si>
  <si>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</si>
  <si>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</si>
  <si>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</si>
  <si>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</si>
  <si>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</si>
  <si>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</si>
  <si>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</si>
  <si>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</si>
  <si>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</si>
  <si>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</si>
  <si>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</si>
  <si>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</si>
  <si>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</si>
  <si>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</si>
  <si>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</si>
  <si>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</si>
  <si>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</si>
  <si>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</si>
  <si>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</si>
  <si>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</si>
  <si>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</si>
  <si>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</si>
  <si>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</si>
  <si>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</si>
  <si>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</si>
  <si>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</si>
  <si>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</si>
  <si>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</si>
  <si>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</si>
  <si>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</si>
  <si>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</si>
  <si>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</si>
  <si>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</si>
  <si>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</si>
  <si>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</si>
  <si>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</si>
  <si>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</si>
  <si>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</si>
  <si>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</si>
  <si>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</si>
  <si>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</si>
  <si>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</si>
  <si>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</si>
  <si>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</si>
  <si>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</si>
  <si>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</si>
  <si>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</si>
  <si>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</si>
  <si>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</si>
  <si>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</si>
  <si>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</si>
  <si>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</si>
  <si>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</si>
  <si>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</si>
  <si>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</si>
  <si>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</si>
  <si>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</si>
  <si>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</si>
  <si>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</si>
  <si>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</si>
  <si>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</si>
  <si>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</si>
  <si>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</si>
  <si>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</si>
  <si>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</si>
  <si>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</si>
  <si>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</si>
  <si>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</si>
  <si>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</si>
  <si>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</si>
  <si>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</si>
  <si>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</si>
  <si>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</si>
  <si>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</si>
  <si>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</si>
  <si>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</si>
  <si>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</si>
  <si>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</si>
  <si>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</si>
  <si>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</si>
  <si>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</si>
  <si>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</si>
  <si>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</si>
  <si>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</si>
  <si>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</si>
  <si>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</si>
  <si>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</si>
  <si>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</si>
  <si>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</si>
  <si>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</si>
  <si>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</si>
  <si>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</si>
  <si>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</si>
  <si>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</si>
  <si>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</si>
  <si>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</si>
  <si>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</si>
  <si>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</si>
  <si>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</si>
  <si>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</si>
  <si>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</si>
  <si>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</si>
  <si>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</si>
  <si>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</si>
  <si>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</si>
  <si>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</si>
  <si>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</si>
  <si>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</si>
  <si>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</si>
  <si>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</si>
  <si>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</si>
  <si>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</si>
  <si>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</si>
  <si>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</si>
  <si>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</si>
  <si>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</si>
  <si>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</si>
  <si>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</si>
  <si>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</si>
  <si>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</si>
  <si>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</si>
  <si>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</si>
  <si>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</si>
  <si>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</si>
  <si>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</si>
  <si>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</si>
  <si>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</si>
  <si>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</si>
  <si>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</si>
  <si>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</si>
  <si>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</si>
  <si>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</si>
  <si>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</si>
  <si>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</si>
  <si>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</si>
  <si>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</si>
  <si>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</si>
  <si>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</si>
  <si>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</si>
  <si>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</si>
  <si>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</si>
  <si>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</si>
  <si>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</si>
  <si>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</si>
  <si>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</si>
  <si>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</si>
  <si>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</si>
  <si>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</si>
  <si>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</si>
  <si>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</si>
  <si>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</si>
  <si>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</si>
  <si>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</si>
  <si>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</si>
  <si>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</si>
  <si>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</si>
  <si>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</si>
  <si>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</si>
  <si>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</si>
  <si>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</si>
  <si>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</si>
  <si>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</si>
  <si>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</si>
  <si>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</si>
  <si>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</si>
  <si>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</si>
  <si>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</si>
  <si>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</si>
  <si>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</si>
  <si>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</si>
  <si>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</si>
  <si>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</si>
  <si>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</si>
  <si>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</si>
  <si>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</si>
  <si>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</si>
  <si>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</si>
  <si>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</si>
  <si>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</si>
  <si>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</si>
  <si>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</si>
  <si>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</si>
  <si>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</si>
  <si>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</si>
  <si>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</si>
  <si>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</si>
  <si>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</si>
  <si>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</si>
  <si>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</si>
  <si>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</si>
  <si>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</si>
  <si>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</si>
  <si>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</si>
  <si>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</si>
  <si>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</si>
  <si>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</si>
  <si>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</si>
  <si>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</si>
  <si>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</si>
  <si>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</si>
  <si>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</si>
  <si>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</si>
  <si>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</si>
  <si>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</si>
  <si>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</si>
  <si>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</si>
  <si>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</si>
  <si>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</si>
  <si>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</si>
  <si>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</si>
  <si>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</si>
  <si>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</si>
  <si>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</si>
  <si>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</si>
  <si>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</si>
  <si>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</si>
  <si>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</si>
  <si>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</si>
  <si>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</si>
  <si>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</si>
  <si>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</si>
  <si>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</si>
  <si>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</si>
  <si>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</si>
  <si>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</si>
  <si>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</si>
  <si>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</si>
  <si>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</si>
  <si>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</si>
  <si>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</si>
  <si>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</si>
  <si>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</si>
  <si>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</si>
  <si>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</si>
  <si>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</si>
  <si>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</si>
  <si>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</si>
  <si>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</si>
  <si>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</si>
  <si>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</si>
  <si>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</si>
  <si>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</si>
  <si>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</si>
  <si>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</si>
  <si>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</si>
  <si>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</si>
  <si>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</si>
  <si>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</si>
  <si>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</si>
  <si>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</si>
  <si>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</si>
  <si>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</si>
  <si>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</si>
  <si>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</si>
  <si>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</si>
  <si>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</si>
  <si>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</si>
  <si>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</si>
  <si>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</si>
  <si>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</si>
  <si>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</si>
  <si>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</si>
  <si>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</si>
  <si>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</si>
  <si>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</si>
  <si>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</si>
  <si>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</si>
  <si>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</si>
  <si>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</si>
  <si>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</si>
  <si>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</si>
  <si>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</si>
  <si>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</si>
  <si>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</si>
  <si>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</si>
  <si>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</si>
  <si>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</si>
  <si>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</si>
  <si>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</si>
  <si>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</si>
  <si>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</si>
  <si>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</si>
  <si>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</si>
  <si>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</si>
  <si>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</si>
  <si>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</si>
  <si>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</si>
  <si>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</si>
  <si>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</si>
  <si>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</si>
  <si>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</si>
  <si>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</si>
  <si>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</si>
  <si>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</si>
  <si>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</si>
  <si>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</si>
  <si>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</si>
  <si>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</si>
  <si>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</si>
  <si>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</si>
  <si>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</si>
  <si>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</si>
  <si>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</si>
  <si>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</si>
  <si>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</si>
  <si>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</si>
  <si>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</si>
  <si>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</si>
  <si>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</si>
  <si>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</si>
  <si>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</si>
  <si>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</si>
  <si>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</si>
  <si>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</si>
  <si>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</si>
  <si>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</si>
  <si>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</si>
  <si>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</si>
  <si>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</si>
  <si>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</si>
  <si>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</si>
  <si>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</si>
  <si>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</si>
  <si>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</si>
  <si>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</si>
  <si>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</si>
  <si>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</si>
  <si>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</si>
  <si>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</si>
  <si>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</si>
  <si>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</si>
  <si>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</si>
  <si>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</si>
  <si>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</si>
  <si>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</si>
  <si>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</si>
  <si>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</si>
  <si>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</si>
  <si>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</si>
  <si>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</si>
  <si>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</si>
  <si>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</si>
  <si>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</si>
  <si>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</si>
  <si>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</si>
  <si>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</si>
  <si>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</si>
  <si>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</si>
  <si>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</si>
  <si>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</si>
  <si>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</si>
  <si>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</si>
  <si>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</si>
  <si>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</si>
  <si>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</si>
  <si>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</si>
  <si>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</si>
  <si>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</si>
  <si>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</si>
  <si>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</si>
  <si>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</si>
  <si>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</si>
  <si>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</si>
  <si>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</si>
  <si>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</si>
  <si>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</si>
  <si>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</si>
  <si>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</si>
  <si>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</si>
  <si>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</si>
  <si>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</si>
  <si>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</si>
  <si>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</si>
  <si>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</si>
  <si>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</si>
  <si>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</si>
  <si>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</si>
  <si>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</si>
  <si>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</si>
  <si>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</si>
  <si>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</si>
  <si>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</si>
  <si>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</si>
  <si>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</si>
  <si>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</si>
  <si>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</si>
  <si>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</si>
  <si>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</si>
  <si>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</si>
  <si>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</si>
  <si>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</si>
  <si>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</si>
  <si>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</si>
  <si>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</si>
  <si>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</si>
  <si>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</si>
  <si>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</si>
  <si>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</si>
  <si>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</si>
  <si>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</si>
  <si>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</si>
  <si>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</si>
  <si>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</si>
  <si>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</si>
  <si>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</si>
  <si>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</si>
  <si>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</si>
  <si>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</si>
  <si>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</si>
  <si>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</si>
  <si>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</si>
  <si>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</si>
  <si>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</si>
  <si>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</si>
  <si>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</si>
  <si>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</si>
  <si>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</si>
  <si>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</si>
  <si>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</si>
  <si>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</si>
  <si>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</si>
  <si>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</si>
  <si>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</si>
  <si>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</si>
  <si>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</si>
  <si>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</si>
  <si>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</si>
  <si>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</si>
  <si>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</si>
  <si>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</si>
  <si>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</si>
  <si>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</si>
  <si>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</si>
  <si>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</si>
  <si>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</si>
  <si>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</si>
  <si>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</si>
  <si>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</si>
  <si>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</si>
  <si>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</si>
  <si>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</si>
  <si>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</si>
  <si>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</si>
  <si>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</si>
  <si>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</si>
  <si>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</si>
  <si>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</si>
  <si>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</si>
  <si>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</si>
  <si>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</si>
  <si>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</si>
  <si>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</si>
  <si>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</si>
  <si>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</si>
  <si>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</si>
  <si>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</si>
  <si>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</si>
  <si>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</si>
  <si>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</si>
  <si>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</si>
  <si>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</si>
  <si>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</si>
  <si>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</si>
  <si>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</si>
  <si>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</si>
  <si>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</si>
  <si>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</si>
  <si>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</si>
  <si>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</si>
  <si>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</si>
  <si>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</si>
  <si>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</si>
  <si>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</si>
  <si>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</si>
  <si>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</si>
  <si>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</si>
  <si>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</si>
  <si>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</si>
  <si>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</si>
  <si>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</si>
  <si>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</si>
  <si>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</si>
  <si>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</si>
  <si>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</si>
  <si>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</si>
  <si>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</si>
  <si>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</si>
  <si>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</si>
  <si>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</si>
  <si>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</si>
  <si>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</si>
  <si>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</si>
  <si>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</si>
  <si>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</si>
  <si>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</si>
  <si>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</si>
  <si>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</si>
  <si>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</si>
  <si>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</si>
  <si>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</si>
  <si>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</si>
  <si>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</si>
  <si>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</si>
  <si>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</si>
  <si>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</si>
  <si>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</si>
  <si>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</si>
  <si>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</si>
  <si>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</si>
  <si>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</si>
  <si>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</si>
  <si>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</si>
  <si>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</si>
  <si>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</si>
  <si>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</si>
  <si>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</si>
  <si>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</si>
  <si>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</si>
  <si>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</si>
  <si>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</si>
  <si>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</si>
  <si>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</si>
  <si>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</si>
  <si>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</si>
  <si>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</si>
  <si>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</si>
  <si>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</si>
  <si>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</si>
  <si>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</si>
  <si>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</si>
  <si>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</si>
  <si>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</si>
  <si>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</si>
  <si>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</si>
  <si>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</si>
  <si>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</si>
  <si>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</si>
  <si>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</si>
  <si>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</si>
  <si>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</si>
  <si>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</si>
  <si>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</si>
  <si>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</si>
  <si>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</si>
  <si>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</si>
  <si>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</si>
  <si>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</si>
  <si>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</si>
  <si>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</si>
  <si>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</si>
  <si>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</si>
  <si>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</si>
  <si>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</si>
  <si>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</si>
  <si>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</si>
  <si>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</si>
  <si>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</si>
  <si>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</si>
  <si>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</si>
  <si>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</si>
  <si>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</si>
  <si>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</si>
  <si>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</si>
  <si>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</si>
  <si>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</si>
  <si>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</si>
  <si>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</si>
  <si>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</si>
  <si>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</si>
  <si>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</si>
  <si>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</si>
  <si>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</si>
  <si>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</si>
  <si>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</si>
  <si>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</si>
  <si>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</si>
  <si>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</si>
  <si>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</si>
  <si>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</si>
  <si>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</si>
  <si>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</si>
  <si>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</si>
  <si>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</si>
  <si>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</si>
  <si>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</si>
  <si>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</si>
  <si>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</si>
  <si>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</si>
  <si>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</si>
  <si>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</si>
  <si>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</si>
  <si>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</si>
  <si>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</si>
  <si>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</si>
  <si>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</si>
  <si>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</si>
  <si>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</si>
  <si>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</si>
  <si>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</si>
  <si>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</si>
  <si>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</si>
  <si>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</si>
  <si>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</si>
  <si>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</si>
  <si>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</si>
  <si>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</si>
  <si>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</si>
  <si>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</si>
  <si>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</si>
  <si>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</si>
  <si>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</si>
  <si>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</si>
  <si>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</si>
  <si>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</si>
  <si>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</si>
  <si>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</si>
  <si>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</si>
  <si>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</si>
  <si>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</si>
  <si>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</si>
  <si>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</si>
  <si>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</si>
  <si>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</si>
  <si>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</si>
  <si>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</si>
  <si>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</si>
  <si>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</si>
  <si>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</si>
  <si>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</si>
  <si>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</si>
  <si>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</si>
  <si>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</si>
  <si>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</si>
  <si>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</si>
  <si>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</si>
  <si>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</si>
  <si>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</si>
  <si>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</si>
  <si>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</si>
  <si>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</si>
  <si>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</si>
  <si>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</si>
  <si>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</si>
  <si>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</si>
  <si>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</si>
  <si>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</si>
  <si>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</si>
  <si>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</si>
  <si>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</si>
  <si>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</si>
  <si>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</si>
  <si>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</si>
  <si>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</si>
  <si>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</si>
  <si>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</si>
  <si>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</si>
  <si>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</si>
  <si>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</si>
  <si>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</si>
  <si>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</si>
  <si>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</si>
  <si>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</si>
  <si>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</si>
  <si>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</si>
  <si>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</si>
  <si>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</si>
  <si>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</si>
  <si>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</si>
  <si>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</si>
  <si>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</si>
  <si>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</si>
  <si>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</si>
  <si>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</si>
  <si>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</si>
  <si>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</si>
  <si>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</si>
  <si>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</si>
  <si>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</si>
  <si>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</si>
  <si>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</si>
  <si>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</si>
  <si>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</si>
  <si>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</si>
  <si>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</si>
  <si>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</si>
  <si>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</si>
  <si>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</si>
  <si>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</si>
  <si>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</si>
  <si>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</si>
  <si>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</si>
  <si>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</si>
  <si>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</si>
  <si>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</si>
  <si>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</si>
  <si>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</si>
  <si>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</si>
  <si>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</si>
  <si>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</si>
  <si>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</si>
  <si>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</si>
  <si>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</si>
  <si>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</si>
  <si>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</si>
  <si>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</si>
  <si>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</si>
  <si>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</si>
  <si>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</si>
  <si>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</si>
  <si>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</si>
  <si>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</si>
  <si>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</si>
  <si>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</si>
  <si>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</si>
  <si>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</si>
  <si>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</si>
  <si>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</si>
  <si>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</si>
  <si>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</si>
  <si>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</si>
  <si>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</si>
  <si>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</si>
  <si>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</si>
  <si>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</si>
  <si>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</si>
  <si>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</si>
  <si>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</si>
  <si>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</si>
  <si>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</si>
  <si>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</si>
  <si>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</si>
  <si>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</si>
  <si>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</si>
  <si>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</si>
  <si>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</si>
  <si>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</si>
  <si>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</si>
  <si>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</si>
  <si>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</si>
  <si>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</si>
  <si>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</si>
  <si>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</si>
  <si>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</si>
  <si>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</si>
  <si>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</si>
  <si>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</si>
  <si>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</si>
  <si>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</si>
  <si>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</si>
  <si>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</si>
  <si>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</si>
  <si>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</si>
  <si>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</si>
  <si>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</si>
  <si>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</si>
  <si>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</si>
  <si>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</si>
  <si>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</si>
  <si>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</si>
  <si>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</si>
  <si>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</si>
  <si>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</si>
  <si>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</si>
  <si>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</si>
  <si>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</si>
  <si>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</si>
  <si>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</si>
  <si>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</si>
  <si>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</si>
  <si>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</si>
  <si>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</si>
  <si>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</si>
  <si>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</si>
  <si>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</si>
  <si>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</si>
  <si>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</si>
  <si>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</si>
  <si>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</si>
  <si>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</si>
  <si>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</si>
  <si>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</si>
  <si>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</si>
  <si>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</si>
  <si>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</si>
  <si>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</si>
  <si>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</si>
  <si>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</si>
  <si>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</si>
  <si>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</si>
  <si>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</si>
  <si>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</si>
  <si>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</si>
  <si>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</si>
  <si>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</si>
  <si>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</si>
  <si>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</si>
  <si>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</si>
  <si>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</si>
  <si>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</si>
  <si>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</si>
  <si>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</si>
  <si>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</si>
  <si>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</si>
  <si>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</si>
  <si>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</si>
  <si>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</si>
  <si>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</si>
  <si>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</si>
  <si>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</si>
  <si>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</si>
  <si>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</si>
  <si>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</si>
  <si>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</si>
  <si>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</si>
  <si>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</si>
  <si>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</si>
  <si>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</si>
  <si>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</si>
  <si>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</si>
  <si>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</si>
  <si>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</si>
  <si>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</si>
  <si>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</si>
  <si>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</si>
  <si>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</si>
  <si>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</si>
  <si>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</si>
  <si>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</si>
  <si>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</si>
  <si>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</si>
  <si>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</si>
  <si>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</si>
  <si>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</si>
  <si>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</si>
  <si>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</si>
  <si>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</si>
  <si>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</si>
  <si>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</si>
  <si>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</si>
  <si>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</si>
  <si>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</si>
  <si>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</si>
  <si>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</si>
  <si>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</si>
  <si>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</si>
  <si>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</si>
  <si>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</si>
  <si>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</si>
  <si>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</si>
  <si>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</si>
  <si>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</si>
  <si>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</si>
  <si>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</si>
  <si>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</si>
  <si>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</si>
  <si>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</si>
  <si>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</si>
  <si>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</si>
  <si>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</si>
  <si>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</si>
  <si>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</si>
  <si>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</si>
  <si>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</si>
  <si>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</si>
  <si>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</si>
  <si>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</si>
  <si>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</si>
  <si>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</si>
  <si>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</si>
  <si>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</si>
  <si>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</si>
  <si>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</si>
  <si>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</si>
  <si>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</si>
  <si>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</si>
  <si>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</si>
  <si>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</si>
  <si>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</si>
  <si>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</si>
  <si>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</si>
  <si>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</si>
  <si>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</si>
  <si>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</si>
  <si>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</si>
  <si>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</si>
  <si>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</si>
  <si>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</si>
  <si>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</si>
  <si>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</si>
  <si>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</si>
  <si>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</si>
  <si>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</si>
  <si>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</si>
  <si>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</si>
  <si>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</si>
  <si>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</si>
  <si>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</si>
  <si>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</si>
  <si>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</si>
  <si>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</si>
  <si>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</si>
  <si>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</si>
  <si>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</si>
  <si>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</si>
  <si>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</si>
  <si>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</si>
  <si>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</si>
  <si>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</si>
  <si>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</si>
  <si>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</si>
  <si>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</si>
  <si>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</si>
  <si>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</si>
  <si>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</si>
  <si>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</si>
  <si>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</si>
  <si>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</si>
  <si>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</si>
  <si>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</si>
  <si>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</si>
  <si>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</si>
  <si>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</si>
  <si>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</si>
  <si>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</si>
  <si>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</si>
  <si>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</si>
  <si>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</si>
  <si>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</si>
  <si>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</si>
  <si>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</si>
  <si>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</si>
  <si>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</si>
  <si>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</si>
  <si>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</si>
  <si>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</si>
  <si>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</si>
  <si>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</si>
  <si>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</si>
  <si>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</si>
  <si>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</si>
  <si>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</si>
  <si>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</si>
  <si>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</si>
  <si>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</si>
  <si>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</si>
  <si>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</si>
  <si>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</si>
  <si>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</si>
  <si>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</si>
  <si>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</si>
  <si>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</si>
  <si>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</si>
  <si>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</si>
  <si>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</si>
  <si>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</si>
  <si>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</si>
  <si>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</si>
  <si>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</si>
  <si>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</si>
  <si>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</si>
  <si>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</si>
  <si>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</si>
  <si>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</si>
  <si>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</si>
  <si>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</si>
  <si>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</si>
  <si>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</si>
  <si>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</si>
  <si>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</si>
  <si>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</si>
  <si>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</si>
  <si>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</si>
  <si>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</si>
  <si>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</si>
  <si>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</si>
  <si>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</si>
  <si>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</si>
  <si>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</si>
  <si>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</si>
  <si>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</si>
  <si>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</si>
  <si>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</si>
  <si>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</si>
  <si>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</si>
  <si>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</si>
  <si>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</si>
  <si>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</si>
  <si>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</si>
  <si>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</si>
  <si>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</si>
  <si>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</si>
  <si>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</si>
  <si>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</si>
  <si>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</si>
  <si>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</si>
  <si>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</si>
  <si>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</si>
  <si>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</si>
  <si>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</si>
  <si>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</si>
  <si>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</si>
  <si>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</si>
  <si>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</si>
  <si>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</si>
  <si>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</si>
  <si>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</si>
  <si>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</si>
  <si>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</si>
  <si>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</si>
  <si>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</si>
  <si>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</si>
  <si>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</si>
  <si>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</si>
  <si>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</si>
  <si>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</si>
  <si>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</si>
  <si>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</si>
  <si>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</si>
  <si>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</si>
  <si>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</si>
  <si>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</si>
  <si>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</si>
  <si>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</si>
  <si>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</si>
  <si>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</si>
  <si>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</si>
  <si>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</si>
  <si>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</si>
  <si>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</si>
  <si>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</si>
  <si>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</si>
  <si>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</si>
  <si>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</si>
  <si>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</si>
  <si>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</si>
  <si>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</si>
  <si>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</si>
  <si>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</si>
  <si>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</si>
  <si>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</si>
  <si>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</si>
  <si>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</si>
  <si>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</si>
  <si>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</si>
  <si>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</si>
  <si>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</si>
  <si>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</si>
  <si>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</si>
  <si>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</si>
  <si>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</si>
  <si>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</si>
  <si>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</si>
  <si>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</si>
  <si>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</si>
  <si>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</si>
  <si>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</si>
  <si>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</si>
  <si>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</si>
  <si>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</si>
  <si>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</si>
  <si>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</si>
  <si>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</si>
  <si>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</si>
  <si>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</si>
  <si>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</si>
  <si>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</si>
  <si>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</si>
  <si>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</si>
  <si>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</si>
  <si>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</si>
  <si>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</si>
  <si>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</si>
  <si>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</si>
  <si>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</si>
  <si>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</si>
  <si>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</si>
  <si>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</si>
  <si>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</si>
  <si>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</si>
  <si>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</si>
  <si>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</si>
  <si>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</si>
  <si>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</si>
  <si>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</si>
  <si>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</si>
  <si>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</si>
  <si>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</si>
  <si>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</si>
  <si>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</si>
  <si>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</si>
  <si>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</si>
  <si>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</si>
  <si>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</si>
  <si>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</si>
  <si>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</si>
  <si>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</si>
  <si>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</si>
  <si>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</si>
  <si>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</si>
  <si>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</si>
  <si>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</si>
  <si>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</si>
  <si>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</si>
  <si>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</si>
  <si>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</si>
  <si>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</si>
  <si>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</si>
  <si>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</si>
  <si>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</si>
  <si>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</si>
  <si>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</si>
  <si>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</si>
  <si>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</si>
  <si>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</si>
  <si>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</si>
  <si>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</si>
  <si>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</si>
  <si>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</si>
  <si>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</si>
  <si>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</si>
  <si>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</si>
  <si>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</si>
  <si>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</si>
  <si>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</si>
  <si>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</si>
  <si>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</si>
  <si>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</si>
  <si>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</si>
  <si>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</si>
  <si>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</si>
  <si>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</si>
  <si>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</si>
  <si>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</si>
  <si>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</si>
  <si>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</si>
  <si>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</si>
  <si>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</si>
  <si>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</si>
  <si>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</si>
  <si>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</si>
  <si>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</si>
  <si>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</si>
  <si>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</si>
  <si>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</si>
  <si>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</si>
  <si>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</si>
  <si>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</si>
  <si>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</si>
  <si>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</si>
  <si>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</si>
  <si>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</si>
  <si>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</si>
  <si>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</si>
  <si>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</si>
  <si>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</si>
  <si>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</si>
  <si>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</si>
  <si>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</si>
  <si>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</si>
  <si>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</si>
  <si>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</si>
  <si>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</si>
  <si>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</si>
  <si>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</si>
  <si>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</si>
  <si>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</si>
  <si>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</si>
  <si>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</si>
  <si>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</si>
  <si>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</si>
  <si>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</si>
  <si>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</si>
  <si>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</si>
  <si>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</si>
  <si>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</si>
  <si>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</si>
  <si>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</si>
  <si>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</si>
  <si>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</si>
  <si>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</si>
  <si>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</si>
  <si>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</si>
  <si>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</si>
  <si>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</si>
  <si>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</si>
  <si>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</si>
  <si>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</si>
  <si>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</si>
  <si>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</si>
  <si>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</si>
  <si>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</si>
  <si>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</si>
  <si>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</si>
  <si>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</si>
  <si>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</si>
  <si>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</si>
  <si>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</si>
  <si>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</si>
  <si>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</si>
  <si>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</si>
  <si>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</si>
  <si>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</si>
  <si>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</si>
  <si>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</si>
  <si>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</si>
  <si>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</si>
  <si>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</si>
  <si>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</si>
  <si>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</si>
  <si>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</si>
  <si>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</si>
  <si>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</si>
  <si>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</si>
  <si>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</si>
  <si>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</si>
  <si>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</si>
  <si>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</si>
  <si>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</si>
  <si>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</si>
  <si>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</si>
  <si>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</si>
  <si>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</si>
  <si>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</si>
  <si>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</si>
  <si>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</si>
  <si>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</si>
  <si>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</si>
  <si>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</si>
  <si>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</si>
  <si>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</si>
  <si>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</si>
  <si>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</si>
  <si>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</si>
  <si>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</si>
  <si>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</si>
  <si>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</si>
  <si>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</si>
  <si>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</si>
  <si>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</si>
  <si>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</si>
  <si>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</si>
  <si>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</si>
  <si>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</si>
  <si>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</si>
  <si>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</si>
  <si>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</si>
  <si>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</si>
  <si>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</si>
  <si>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</si>
  <si>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</si>
  <si>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</si>
  <si>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</si>
  <si>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</si>
  <si>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</si>
  <si>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</si>
  <si>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</si>
  <si>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</si>
  <si>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</si>
  <si>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</si>
  <si>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</si>
  <si>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</si>
  <si>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</si>
  <si>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</si>
  <si>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</si>
  <si>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</si>
  <si>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</si>
  <si>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</si>
  <si>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</si>
  <si>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</si>
  <si>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</si>
  <si>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</si>
  <si>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</si>
  <si>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</si>
  <si>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</si>
  <si>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</si>
  <si>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</si>
  <si>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</si>
  <si>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</si>
  <si>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</si>
  <si>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</si>
  <si>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</si>
  <si>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</si>
  <si>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</si>
  <si>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</si>
  <si>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</si>
  <si>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</si>
  <si>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</si>
  <si>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</si>
  <si>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</si>
  <si>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</si>
  <si>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</si>
  <si>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</si>
  <si>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</si>
  <si>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</si>
  <si>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</si>
  <si>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</si>
  <si>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</si>
  <si>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</si>
  <si>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</si>
  <si>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</si>
  <si>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</si>
  <si>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</si>
  <si>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</si>
  <si>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</si>
  <si>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</si>
  <si>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</si>
  <si>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</si>
  <si>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</si>
  <si>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</si>
  <si>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</si>
  <si>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</si>
  <si>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</si>
  <si>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</si>
  <si>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</si>
  <si>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</si>
  <si>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</si>
  <si>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</si>
  <si>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</si>
  <si>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</si>
  <si>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</si>
  <si>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</si>
  <si>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</si>
  <si>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</si>
  <si>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</si>
  <si>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</si>
  <si>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</si>
  <si>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</si>
  <si>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</si>
  <si>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</si>
  <si>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</si>
  <si>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</si>
  <si>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</si>
  <si>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</si>
  <si>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</si>
  <si>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</si>
  <si>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</si>
  <si>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</si>
  <si>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</si>
  <si>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</si>
  <si>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</si>
  <si>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</si>
  <si>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</si>
  <si>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</si>
  <si>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</si>
  <si>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</si>
  <si>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</si>
  <si>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</si>
  <si>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</si>
  <si>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</si>
  <si>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</si>
  <si>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</si>
  <si>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</si>
  <si>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</si>
  <si>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</si>
  <si>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</si>
  <si>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</si>
  <si>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</si>
  <si>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</si>
  <si>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</si>
  <si>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</si>
  <si>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</si>
  <si>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</si>
  <si>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</si>
  <si>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</si>
  <si>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</si>
  <si>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</si>
  <si>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</si>
  <si>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</si>
  <si>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</si>
  <si>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</si>
  <si>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</si>
  <si>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</si>
  <si>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</si>
  <si>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</si>
  <si>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</si>
  <si>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</si>
  <si>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</si>
  <si>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</si>
  <si>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</si>
  <si>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</si>
  <si>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</si>
  <si>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</si>
  <si>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</si>
  <si>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</si>
  <si>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</si>
  <si>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</si>
  <si>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</si>
  <si>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</si>
  <si>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</si>
  <si>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</si>
  <si>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</si>
  <si>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</si>
  <si>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</si>
  <si>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</si>
  <si>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</si>
  <si>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</si>
  <si>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</si>
  <si>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</si>
  <si>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</si>
  <si>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</si>
  <si>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</si>
  <si>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</si>
  <si>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</si>
  <si>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</si>
  <si>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</si>
  <si>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</si>
  <si>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</si>
  <si>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</si>
  <si>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</si>
  <si>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</si>
  <si>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</si>
  <si>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</si>
  <si>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</si>
  <si>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</si>
  <si>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</si>
  <si>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</si>
  <si>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</si>
  <si>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</si>
  <si>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</si>
  <si>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</si>
  <si>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</si>
  <si>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</si>
  <si>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</si>
  <si>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</si>
  <si>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</si>
  <si>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</si>
  <si>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</si>
  <si>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</si>
  <si>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</si>
  <si>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</si>
  <si>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</si>
  <si>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</si>
  <si>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</si>
  <si>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</si>
  <si>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</si>
  <si>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</si>
  <si>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</si>
  <si>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</si>
  <si>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</si>
  <si>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</si>
  <si>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</si>
  <si>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</si>
  <si>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</si>
  <si>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</si>
  <si>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</si>
  <si>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</si>
  <si>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</si>
  <si>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</si>
  <si>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</si>
  <si>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</si>
  <si>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</si>
  <si>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</si>
  <si>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</si>
  <si>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</si>
  <si>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</si>
  <si>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</si>
  <si>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</si>
  <si>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</si>
  <si>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</si>
  <si>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</si>
  <si>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</si>
  <si>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</si>
  <si>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</si>
  <si>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</si>
  <si>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</si>
  <si>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</si>
  <si>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</si>
  <si>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</si>
  <si>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</si>
  <si>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</si>
  <si>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</si>
  <si>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</si>
  <si>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</si>
  <si>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</si>
  <si>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</si>
  <si>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</si>
  <si>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</si>
  <si>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</si>
  <si>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</si>
  <si>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</si>
  <si>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</si>
  <si>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</si>
  <si>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</si>
  <si>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</si>
  <si>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</si>
  <si>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</si>
  <si>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</si>
  <si>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</si>
  <si>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</si>
  <si>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</si>
  <si>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</si>
  <si>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</si>
  <si>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</si>
  <si>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</si>
  <si>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</si>
  <si>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</si>
  <si>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</si>
  <si>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</si>
  <si>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</si>
  <si>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</si>
  <si>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</si>
  <si>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</si>
  <si>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</si>
  <si>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</si>
  <si>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</si>
  <si>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</si>
  <si>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</si>
  <si>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</si>
  <si>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</si>
  <si>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</si>
  <si>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</si>
  <si>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</si>
  <si>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</si>
  <si>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</si>
  <si>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</si>
  <si>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</si>
  <si>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</si>
  <si>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</si>
  <si>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</si>
  <si>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</si>
  <si>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</si>
  <si>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</si>
  <si>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</si>
  <si>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</si>
  <si>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</si>
  <si>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</si>
  <si>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</si>
  <si>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</si>
  <si>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</si>
  <si>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</si>
  <si>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</si>
  <si>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</si>
  <si>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</si>
  <si>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</si>
  <si>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</si>
  <si>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</si>
  <si>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</si>
  <si>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</si>
  <si>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</si>
  <si>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</si>
  <si>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</si>
  <si>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</si>
  <si>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</si>
  <si>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</si>
  <si>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</si>
  <si>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</si>
  <si>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</si>
  <si>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</si>
  <si>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</si>
  <si>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</si>
  <si>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</si>
  <si>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</si>
  <si>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</si>
  <si>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</si>
  <si>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</si>
  <si>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</si>
  <si>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</si>
  <si>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</si>
  <si>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</si>
  <si>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</si>
  <si>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</si>
  <si>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</si>
  <si>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</si>
  <si>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</si>
  <si>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</si>
  <si>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</si>
  <si>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</si>
  <si>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</si>
  <si>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</si>
  <si>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</si>
  <si>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</si>
  <si>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</si>
  <si>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</si>
  <si>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</si>
  <si>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</si>
  <si>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</si>
  <si>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</si>
  <si>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</si>
  <si>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</si>
  <si>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</si>
  <si>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</si>
  <si>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</si>
  <si>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</si>
  <si>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</si>
  <si>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</si>
  <si>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</si>
  <si>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</si>
  <si>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</si>
  <si>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</si>
  <si>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</si>
  <si>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</si>
  <si>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</si>
  <si>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</si>
  <si>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</si>
  <si>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</si>
  <si>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</si>
  <si>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</si>
  <si>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</si>
  <si>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</si>
  <si>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</si>
  <si>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</si>
  <si>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</si>
  <si>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</si>
  <si>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</si>
  <si>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</si>
  <si>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</si>
  <si>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</si>
  <si>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</si>
  <si>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</si>
  <si>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</si>
  <si>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</si>
  <si>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</si>
  <si>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</si>
  <si>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</si>
  <si>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</si>
  <si>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</si>
  <si>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</si>
  <si>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</si>
  <si>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</si>
  <si>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</si>
  <si>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</si>
  <si>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</si>
  <si>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</si>
  <si>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</si>
  <si>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</si>
  <si>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</si>
  <si>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</si>
  <si>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</si>
  <si>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</si>
  <si>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</si>
  <si>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</si>
  <si>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</si>
  <si>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</si>
  <si>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</si>
  <si>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</si>
  <si>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</si>
  <si>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</si>
  <si>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</si>
  <si>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</si>
  <si>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</si>
  <si>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</si>
  <si>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</si>
  <si>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</si>
  <si>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</si>
  <si>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</si>
  <si>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</si>
  <si>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</si>
  <si>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</si>
  <si>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</si>
  <si>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</si>
  <si>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</si>
  <si>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</si>
  <si>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</si>
  <si>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</si>
  <si>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</si>
  <si>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</si>
  <si>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</si>
  <si>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</si>
  <si>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</si>
  <si>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</si>
  <si>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</si>
  <si>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</si>
  <si>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</si>
  <si>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</si>
  <si>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</si>
  <si>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</si>
  <si>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</si>
  <si>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</si>
  <si>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</si>
  <si>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</si>
  <si>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</si>
  <si>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</si>
  <si>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</si>
  <si>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</si>
  <si>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</si>
  <si>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</si>
  <si>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</si>
  <si>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</si>
  <si>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</si>
  <si>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</si>
  <si>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</si>
  <si>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</si>
  <si>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</si>
  <si>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</si>
  <si>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</si>
  <si>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</si>
  <si>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</si>
  <si>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</si>
  <si>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</si>
  <si>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</si>
  <si>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</si>
  <si>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</si>
  <si>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</si>
  <si>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</si>
  <si>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</si>
  <si>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</si>
  <si>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</si>
  <si>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</si>
  <si>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</si>
  <si>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</si>
  <si>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</si>
  <si>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</si>
  <si>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</si>
  <si>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</si>
  <si>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</si>
  <si>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</si>
  <si>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</si>
  <si>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</si>
  <si>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</si>
  <si>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</si>
  <si>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</si>
  <si>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</si>
  <si>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</si>
  <si>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</si>
  <si>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</si>
  <si>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</si>
  <si>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</si>
  <si>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</si>
  <si>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</si>
  <si>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</si>
  <si>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</si>
  <si>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</si>
  <si>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</si>
  <si>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</si>
  <si>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</si>
  <si>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</si>
  <si>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</si>
  <si>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</si>
  <si>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</si>
  <si>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</si>
  <si>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</si>
  <si>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</si>
  <si>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</si>
  <si>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</si>
  <si>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</si>
  <si>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</si>
  <si>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</si>
  <si>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</si>
  <si>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</si>
  <si>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</si>
  <si>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</si>
  <si>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</si>
  <si>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</si>
  <si>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</si>
  <si>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</si>
  <si>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</si>
  <si>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</si>
  <si>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</si>
  <si>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</si>
  <si>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</si>
  <si>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</si>
  <si>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</si>
  <si>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</si>
  <si>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</si>
  <si>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</si>
  <si>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</si>
  <si>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</si>
  <si>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</si>
  <si>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</si>
  <si>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</si>
  <si>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</si>
  <si>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</si>
  <si>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</si>
  <si>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</si>
  <si>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</si>
  <si>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</si>
  <si>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</si>
  <si>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</si>
  <si>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</si>
  <si>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</si>
  <si>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</si>
  <si>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</si>
  <si>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</si>
  <si>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</si>
  <si>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</si>
  <si>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</si>
  <si>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</si>
  <si>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</si>
  <si>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</si>
  <si>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</si>
  <si>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</si>
  <si>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</si>
  <si>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</si>
  <si>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</si>
  <si>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</si>
  <si>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</si>
  <si>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</si>
  <si>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</si>
  <si>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</si>
  <si>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</si>
  <si>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</si>
  <si>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</si>
  <si>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</si>
  <si>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</si>
  <si>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</si>
  <si>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</si>
  <si>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</si>
  <si>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</si>
  <si>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</si>
  <si>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</si>
  <si>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</si>
  <si>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</si>
  <si>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</si>
  <si>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</si>
  <si>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</si>
  <si>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</si>
  <si>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</si>
  <si>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</si>
  <si>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</si>
  <si>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</si>
  <si>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</si>
  <si>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</si>
  <si>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</si>
  <si>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</si>
  <si>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</si>
  <si>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</si>
  <si>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</si>
  <si>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</si>
  <si>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</si>
  <si>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</si>
  <si>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</si>
  <si>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</si>
  <si>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</si>
  <si>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</si>
  <si>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</si>
  <si>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</si>
  <si>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</si>
  <si>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</si>
  <si>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</si>
  <si>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</si>
  <si>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</si>
  <si>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</si>
  <si>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</si>
  <si>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</si>
  <si>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</si>
  <si>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</si>
  <si>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</si>
  <si>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</si>
  <si>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</si>
  <si>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</si>
  <si>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</si>
  <si>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</si>
  <si>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</si>
  <si>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</si>
  <si>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</si>
  <si>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</si>
  <si>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</si>
  <si>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</si>
  <si>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</si>
  <si>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</si>
  <si>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</si>
  <si>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</si>
  <si>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</si>
  <si>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</si>
  <si>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</si>
  <si>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</si>
  <si>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</si>
  <si>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</si>
  <si>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</si>
  <si>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</si>
  <si>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</si>
  <si>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</si>
  <si>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</si>
  <si>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</si>
  <si>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</si>
  <si>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</si>
  <si>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</si>
  <si>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</si>
  <si>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</si>
  <si>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</si>
  <si>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</si>
  <si>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</si>
  <si>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</si>
  <si>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</si>
  <si>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</si>
  <si>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</si>
  <si>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</si>
  <si>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</si>
  <si>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</si>
  <si>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</si>
  <si>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</si>
  <si>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</si>
  <si>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</si>
  <si>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</si>
  <si>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</si>
  <si>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</si>
  <si>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</si>
  <si>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</si>
  <si>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</si>
  <si>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</si>
  <si>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</si>
  <si>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</si>
  <si>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</si>
  <si>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</si>
  <si>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</si>
  <si>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</si>
  <si>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</si>
  <si>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</si>
  <si>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</si>
  <si>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</si>
  <si>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</si>
  <si>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</si>
  <si>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</si>
  <si>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</si>
  <si>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</si>
  <si>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</si>
  <si>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</si>
  <si>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</si>
  <si>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</si>
  <si>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</si>
  <si>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</si>
  <si>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</si>
  <si>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</si>
  <si>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</si>
  <si>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</si>
  <si>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</si>
  <si>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</si>
  <si>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</si>
  <si>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</si>
  <si>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</si>
  <si>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</si>
  <si>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</si>
  <si>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</si>
  <si>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</si>
  <si>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</si>
  <si>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</si>
  <si>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</si>
  <si>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</si>
  <si>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</si>
  <si>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</si>
  <si>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</si>
  <si>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</si>
  <si>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</si>
  <si>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</si>
  <si>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</si>
  <si>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</si>
  <si>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</si>
  <si>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</si>
  <si>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</si>
  <si>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</si>
  <si>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</si>
  <si>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</si>
  <si>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</si>
  <si>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</si>
  <si>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</si>
  <si>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</si>
  <si>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</si>
  <si>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</si>
  <si>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</si>
  <si>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</si>
  <si>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</si>
  <si>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</si>
  <si>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</si>
  <si>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</si>
  <si>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</si>
  <si>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</si>
  <si>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</si>
  <si>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</si>
  <si>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</si>
  <si>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</si>
  <si>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</si>
  <si>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</si>
  <si>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</si>
  <si>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</si>
  <si>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</si>
  <si>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</si>
  <si>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</si>
  <si>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</si>
  <si>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</si>
  <si>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</si>
  <si>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</si>
  <si>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</si>
  <si>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</si>
  <si>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</si>
  <si>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</si>
  <si>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</si>
  <si>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</si>
  <si>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</si>
  <si>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</si>
  <si>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</si>
  <si>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</si>
  <si>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</si>
  <si>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</si>
  <si>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</si>
  <si>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</si>
  <si>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</si>
  <si>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</si>
  <si>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</si>
  <si>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</si>
  <si>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</si>
  <si>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</si>
  <si>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</si>
  <si>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</si>
  <si>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</si>
  <si>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</si>
  <si>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</si>
  <si>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</si>
  <si>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</si>
  <si>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</si>
  <si>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</si>
  <si>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</si>
  <si>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</si>
  <si>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</si>
  <si>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</si>
  <si>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</si>
  <si>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</si>
  <si>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</si>
  <si>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</si>
  <si>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</si>
  <si>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</si>
  <si>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</si>
  <si>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</si>
  <si>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</si>
  <si>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</si>
  <si>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</si>
  <si>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</si>
  <si>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</si>
  <si>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</si>
  <si>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</si>
  <si>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</si>
  <si>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</si>
  <si>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</si>
  <si>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</si>
  <si>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</si>
  <si>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</si>
  <si>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</si>
  <si>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</si>
  <si>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</si>
  <si>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</si>
  <si>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</si>
  <si>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</si>
  <si>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</si>
  <si>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</si>
  <si>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</si>
  <si>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</si>
  <si>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</si>
  <si>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</si>
  <si>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</si>
  <si>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</si>
  <si>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</si>
  <si>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</si>
  <si>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</si>
  <si>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</si>
  <si>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</si>
  <si>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</si>
  <si>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</si>
  <si>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</si>
  <si>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</si>
  <si>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</si>
  <si>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</si>
  <si>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</si>
  <si>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</si>
  <si>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</si>
  <si>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</si>
  <si>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</si>
  <si>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</si>
  <si>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</si>
  <si>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</si>
  <si>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</si>
  <si>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</si>
  <si>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</si>
  <si>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</si>
  <si>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</si>
  <si>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</si>
  <si>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</si>
  <si>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</si>
  <si>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</si>
  <si>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</si>
  <si>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</si>
  <si>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</si>
  <si>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</si>
  <si>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</si>
  <si>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</si>
  <si>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</si>
  <si>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</si>
  <si>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</si>
  <si>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</si>
  <si>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</si>
  <si>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</si>
  <si>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</si>
  <si>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</si>
  <si>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</si>
  <si>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</si>
  <si>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</si>
  <si>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</si>
  <si>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</si>
  <si>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</si>
  <si>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</si>
  <si>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</si>
  <si>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</si>
  <si>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</si>
  <si>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</si>
  <si>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</si>
  <si>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</si>
  <si>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</si>
  <si>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</si>
  <si>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</si>
  <si>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</si>
  <si>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</si>
  <si>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</si>
  <si>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</si>
  <si>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</si>
  <si>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</si>
  <si>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</si>
  <si>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</si>
  <si>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</si>
  <si>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</si>
  <si>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</si>
  <si>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</si>
  <si>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</si>
  <si>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</si>
  <si>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</si>
  <si>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</si>
  <si>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</si>
  <si>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</si>
  <si>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</si>
  <si>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</si>
  <si>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</si>
  <si>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</si>
  <si>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</si>
  <si>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</si>
  <si>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</si>
  <si>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</si>
  <si>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</si>
  <si>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</si>
  <si>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</si>
  <si>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</si>
  <si>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</si>
  <si>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</si>
  <si>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</si>
  <si>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</si>
  <si>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</si>
  <si>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</si>
  <si>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</si>
  <si>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</si>
  <si>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</si>
  <si>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</si>
  <si>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</si>
  <si>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</si>
  <si>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</si>
  <si>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</si>
  <si>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</si>
  <si>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</si>
  <si>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</si>
  <si>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</si>
  <si>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</si>
  <si>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</si>
  <si>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</si>
  <si>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</si>
  <si>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</si>
  <si>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</si>
  <si>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</si>
  <si>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</si>
  <si>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</si>
  <si>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</si>
  <si>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</si>
  <si>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</si>
  <si>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</si>
  <si>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</si>
  <si>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</si>
  <si>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</si>
  <si>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</si>
  <si>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</si>
  <si>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</si>
  <si>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</si>
  <si>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</si>
  <si>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</si>
  <si>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</si>
  <si>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</si>
  <si>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</si>
  <si>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</si>
  <si>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</si>
  <si>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</si>
  <si>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</si>
  <si>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</si>
  <si>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</si>
  <si>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</si>
  <si>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</si>
  <si>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</si>
  <si>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</si>
  <si>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</si>
  <si>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</si>
  <si>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</si>
  <si>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</si>
  <si>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</si>
  <si>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</si>
  <si>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</si>
  <si>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</si>
  <si>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</si>
  <si>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</si>
  <si>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</si>
  <si>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</si>
  <si>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</si>
  <si>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</si>
  <si>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</si>
  <si>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</si>
  <si>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</si>
  <si>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</si>
  <si>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</si>
  <si>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</si>
  <si>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</si>
  <si>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</si>
  <si>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</si>
  <si>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</si>
  <si>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</si>
  <si>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</si>
  <si>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</si>
  <si>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</si>
  <si>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</si>
  <si>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</si>
  <si>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</si>
  <si>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</si>
  <si>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</si>
  <si>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</si>
  <si>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</si>
  <si>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</si>
  <si>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</si>
  <si>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</si>
  <si>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</si>
  <si>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</si>
  <si>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</si>
  <si>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</si>
  <si>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</si>
  <si>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</si>
  <si>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</si>
  <si>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</si>
  <si>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</si>
  <si>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</si>
  <si>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</si>
  <si>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</si>
  <si>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</si>
  <si>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</si>
  <si>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</si>
  <si>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</si>
  <si>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</si>
  <si>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</si>
  <si>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</si>
  <si>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</si>
  <si>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</si>
  <si>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</si>
  <si>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</si>
  <si>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</si>
  <si>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</si>
  <si>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</si>
  <si>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</si>
  <si>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</si>
  <si>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</si>
  <si>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</si>
  <si>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</si>
  <si>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</si>
  <si>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</si>
  <si>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</si>
  <si>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</si>
  <si>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</si>
  <si>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</si>
  <si>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</si>
  <si>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</si>
  <si>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</si>
  <si>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</si>
  <si>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</si>
  <si>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</si>
  <si>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</si>
  <si>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</si>
  <si>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</si>
  <si>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</si>
  <si>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</si>
  <si>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</si>
  <si>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</si>
  <si>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</si>
  <si>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</si>
  <si>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</si>
  <si>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</si>
  <si>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</si>
  <si>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</si>
  <si>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</si>
  <si>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</si>
  <si>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</si>
  <si>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</si>
  <si>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</si>
  <si>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</si>
  <si>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</si>
  <si>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</si>
  <si>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</si>
  <si>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</si>
  <si>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</si>
  <si>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</si>
  <si>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</si>
  <si>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</si>
  <si>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</si>
  <si>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</si>
  <si>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</si>
  <si>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</si>
  <si>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</si>
  <si>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</si>
  <si>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</si>
  <si>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</si>
  <si>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</si>
  <si>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</si>
  <si>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</si>
  <si>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</si>
  <si>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</si>
  <si>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</si>
  <si>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</si>
  <si>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</si>
  <si>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</si>
  <si>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</si>
  <si>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</si>
  <si>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</si>
  <si>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</si>
  <si>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</si>
  <si>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</si>
  <si>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</si>
  <si>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</si>
  <si>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</si>
  <si>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</si>
  <si>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</si>
  <si>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</si>
  <si>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</si>
  <si>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</si>
  <si>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</si>
  <si>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</si>
  <si>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</si>
  <si>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</si>
  <si>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</si>
  <si>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</si>
  <si>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</si>
  <si>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</si>
  <si>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</si>
  <si>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</si>
  <si>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</si>
  <si>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</si>
  <si>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</si>
  <si>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</si>
  <si>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</si>
  <si>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</si>
  <si>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</si>
  <si>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</si>
  <si>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</si>
  <si>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</si>
  <si>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</si>
  <si>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</si>
  <si>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</si>
  <si>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</si>
  <si>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</si>
  <si>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</si>
  <si>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</si>
  <si>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</si>
  <si>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</si>
  <si>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</si>
  <si>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</si>
  <si>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</si>
  <si>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</si>
  <si>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</si>
  <si>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</si>
  <si>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</si>
  <si>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</si>
  <si>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</si>
  <si>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</si>
  <si>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</si>
  <si>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</si>
  <si>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</si>
  <si>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</si>
  <si>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</si>
  <si>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</si>
  <si>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</si>
  <si>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</si>
  <si>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</si>
  <si>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</si>
  <si>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</si>
  <si>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</si>
  <si>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</si>
  <si>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</si>
  <si>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</si>
  <si>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</si>
  <si>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</si>
  <si>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</si>
  <si>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</si>
  <si>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</si>
  <si>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</si>
  <si>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</si>
  <si>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</si>
  <si>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</si>
  <si>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</si>
  <si>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</si>
  <si>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</si>
  <si>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</si>
  <si>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</si>
  <si>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</si>
  <si>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</si>
  <si>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</si>
  <si>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</si>
  <si>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</si>
  <si>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</si>
  <si>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</si>
  <si>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</si>
  <si>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</si>
  <si>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</si>
  <si>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</si>
  <si>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</si>
  <si>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</si>
  <si>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</si>
  <si>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</si>
  <si>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</si>
  <si>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</si>
  <si>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</si>
  <si>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</si>
  <si>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</si>
  <si>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</si>
  <si>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</si>
  <si>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</si>
  <si>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</si>
  <si>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</si>
  <si>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</si>
  <si>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</si>
  <si>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</si>
  <si>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</si>
  <si>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</si>
  <si>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</si>
  <si>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</si>
  <si>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</si>
  <si>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</si>
  <si>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</si>
  <si>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</si>
  <si>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</si>
  <si>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</si>
  <si>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</si>
  <si>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</si>
  <si>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</si>
  <si>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</si>
  <si>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</si>
  <si>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</si>
  <si>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</si>
  <si>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</si>
  <si>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</si>
  <si>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</si>
  <si>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</si>
  <si>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</si>
  <si>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</si>
  <si>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</si>
  <si>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</si>
  <si>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</si>
  <si>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</si>
  <si>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</si>
  <si>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</si>
  <si>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</si>
  <si>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</si>
  <si>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</si>
  <si>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</si>
  <si>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</si>
  <si>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</si>
  <si>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</si>
  <si>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</si>
  <si>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</si>
  <si>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</si>
  <si>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</si>
  <si>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</si>
  <si>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</si>
  <si>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</si>
  <si>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</si>
  <si>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</si>
  <si>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</si>
  <si>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</si>
  <si>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</si>
  <si>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</si>
  <si>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</si>
  <si>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</si>
  <si>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</si>
  <si>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</si>
  <si>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</si>
  <si>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</si>
  <si>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</si>
  <si>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</si>
  <si>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</si>
  <si>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</si>
  <si>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</si>
  <si>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</si>
  <si>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</si>
  <si>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</si>
  <si>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</si>
  <si>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</si>
  <si>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</si>
  <si>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</si>
  <si>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</si>
  <si>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</si>
  <si>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</si>
  <si>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</si>
  <si>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</si>
  <si>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</si>
  <si>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</si>
  <si>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</si>
  <si>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</si>
  <si>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</si>
  <si>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</si>
  <si>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</si>
  <si>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</si>
  <si>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</si>
  <si>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</si>
  <si>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</si>
  <si>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</si>
  <si>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</si>
  <si>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</si>
  <si>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</si>
  <si>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</si>
  <si>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</si>
  <si>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</si>
  <si>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</si>
  <si>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</si>
  <si>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</si>
  <si>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</si>
  <si>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</si>
  <si>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</si>
  <si>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</si>
  <si>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</si>
  <si>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</si>
  <si>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</si>
  <si>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</si>
  <si>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</si>
  <si>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</si>
  <si>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</si>
  <si>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</si>
  <si>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</si>
  <si>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</si>
  <si>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</si>
  <si>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</si>
  <si>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</si>
  <si>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</si>
  <si>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</si>
  <si>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</si>
  <si>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</si>
  <si>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</si>
  <si>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</si>
  <si>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</si>
  <si>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</si>
  <si>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</si>
  <si>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</si>
  <si>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</si>
  <si>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</si>
  <si>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</si>
  <si>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</si>
  <si>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</si>
  <si>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</si>
  <si>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</si>
  <si>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</si>
  <si>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</si>
  <si>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</si>
  <si>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</si>
  <si>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</si>
  <si>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</si>
  <si>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</si>
  <si>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</si>
  <si>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</si>
  <si>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</si>
  <si>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</si>
  <si>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</si>
  <si>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</si>
  <si>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</si>
  <si>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</si>
  <si>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</si>
  <si>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</si>
  <si>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</si>
  <si>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</si>
  <si>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</si>
  <si>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</si>
  <si>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</si>
  <si>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</si>
  <si>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</si>
  <si>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</si>
  <si>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</si>
  <si>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</si>
  <si>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</si>
  <si>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</si>
  <si>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</si>
  <si>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</si>
  <si>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</si>
  <si>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</si>
  <si>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</si>
  <si>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</si>
  <si>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</si>
  <si>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</si>
  <si>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</si>
  <si>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</si>
  <si>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</si>
  <si>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</si>
  <si>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</si>
  <si>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</si>
  <si>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</si>
  <si>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</si>
  <si>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</si>
  <si>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</si>
  <si>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</si>
  <si>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</si>
  <si>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</si>
  <si>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</si>
  <si>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</si>
  <si>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</si>
  <si>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</si>
  <si>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</si>
  <si>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</si>
  <si>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</si>
  <si>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</si>
  <si>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</si>
  <si>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</si>
  <si>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</si>
  <si>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</si>
  <si>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</si>
  <si>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</si>
  <si>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</si>
  <si>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</si>
  <si>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</si>
  <si>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</si>
  <si>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</si>
  <si>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</si>
  <si>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</si>
  <si>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</si>
  <si>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</si>
  <si>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</si>
  <si>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</si>
  <si>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</si>
  <si>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</si>
  <si>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</si>
  <si>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</si>
  <si>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</si>
  <si>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</si>
  <si>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</si>
  <si>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</si>
  <si>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</si>
  <si>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</si>
  <si>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</si>
  <si>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</si>
  <si>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</si>
  <si>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</si>
  <si>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</si>
  <si>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</si>
  <si>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</si>
  <si>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</si>
  <si>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</si>
  <si>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</si>
  <si>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</si>
  <si>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</si>
  <si>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</si>
  <si>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</si>
  <si>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</si>
  <si>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</si>
  <si>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</si>
  <si>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</si>
  <si>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</si>
  <si>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</si>
  <si>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</si>
  <si>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</si>
  <si>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</si>
  <si>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</si>
  <si>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</si>
  <si>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</si>
  <si>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</si>
  <si>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</si>
  <si>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</si>
  <si>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</si>
  <si>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</si>
  <si>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</si>
  <si>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</si>
  <si>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</si>
  <si>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</si>
  <si>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</si>
  <si>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</si>
  <si>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</si>
  <si>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</si>
  <si>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</si>
  <si>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</si>
  <si>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</si>
  <si>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</si>
  <si>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</si>
  <si>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</si>
  <si>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</si>
  <si>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</si>
  <si>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</si>
  <si>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</si>
  <si>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</si>
  <si>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</si>
  <si>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</si>
  <si>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</si>
  <si>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</si>
  <si>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</si>
  <si>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</si>
  <si>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</si>
  <si>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</si>
  <si>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</si>
  <si>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</si>
  <si>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</si>
  <si>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</si>
  <si>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</si>
  <si>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</si>
  <si>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</si>
  <si>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</si>
  <si>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</si>
  <si>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</si>
  <si>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</si>
  <si>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</si>
  <si>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</si>
  <si>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</si>
  <si>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</si>
  <si>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</si>
  <si>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</si>
  <si>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</si>
  <si>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</si>
  <si>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</si>
  <si>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</si>
  <si>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</si>
  <si>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</si>
  <si>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</si>
  <si>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</si>
  <si>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</si>
  <si>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</si>
  <si>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</si>
  <si>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</si>
  <si>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</si>
  <si>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</si>
  <si>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</si>
  <si>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</si>
  <si>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</si>
  <si>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</si>
  <si>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</si>
  <si>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</si>
  <si>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</si>
  <si>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</si>
  <si>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</si>
  <si>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</si>
  <si>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</si>
  <si>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</si>
  <si>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</si>
  <si>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</si>
  <si>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</si>
  <si>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</si>
  <si>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</si>
  <si>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</si>
  <si>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</si>
  <si>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</si>
  <si>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</si>
  <si>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</si>
  <si>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</si>
  <si>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</si>
  <si>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</si>
  <si>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</si>
  <si>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</si>
  <si>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</si>
  <si>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</si>
  <si>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</si>
  <si>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</si>
  <si>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</si>
  <si>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</si>
  <si>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</si>
  <si>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</si>
  <si>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</si>
  <si>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</si>
  <si>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</si>
  <si>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</si>
  <si>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</si>
  <si>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</si>
  <si>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</si>
  <si>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</si>
  <si>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</si>
  <si>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</si>
  <si>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</si>
  <si>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</si>
  <si>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</si>
  <si>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</si>
  <si>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</si>
  <si>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</si>
  <si>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</si>
  <si>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</si>
  <si>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</si>
  <si>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</si>
  <si>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</si>
  <si>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</si>
  <si>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</si>
  <si>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</si>
  <si>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</si>
  <si>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</si>
  <si>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</si>
  <si>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</si>
  <si>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</si>
  <si>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</si>
  <si>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</si>
  <si>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</si>
  <si>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</si>
  <si>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</si>
  <si>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</si>
  <si>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</si>
  <si>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</si>
  <si>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</si>
  <si>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</si>
  <si>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</si>
  <si>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</si>
  <si>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</si>
  <si>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</si>
  <si>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</si>
  <si>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</si>
  <si>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</si>
  <si>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</si>
  <si>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</si>
  <si>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</si>
  <si>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</si>
  <si>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</si>
  <si>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</si>
  <si>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</si>
  <si>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</si>
  <si>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</si>
  <si>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</si>
  <si>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</si>
  <si>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</si>
  <si>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</si>
  <si>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</si>
  <si>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</si>
  <si>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</si>
  <si>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</si>
  <si>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</si>
  <si>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</si>
  <si>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</si>
  <si>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</si>
  <si>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</si>
  <si>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</si>
  <si>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</si>
  <si>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</si>
  <si>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</si>
  <si>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</si>
  <si>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</si>
  <si>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</si>
  <si>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</si>
  <si>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</si>
  <si>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</si>
  <si>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</si>
  <si>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</si>
  <si>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</si>
  <si>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</si>
  <si>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</si>
  <si>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</si>
  <si>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</si>
  <si>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</si>
  <si>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</si>
  <si>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</si>
  <si>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</si>
  <si>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</si>
  <si>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</si>
  <si>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</si>
  <si>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</si>
  <si>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</si>
  <si>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</si>
  <si>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</si>
  <si>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</si>
  <si>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</si>
  <si>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</si>
  <si>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</si>
  <si>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</si>
  <si>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</si>
  <si>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</si>
  <si>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</si>
  <si>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</si>
  <si>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</si>
  <si>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</si>
  <si>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</si>
  <si>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</si>
  <si>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</si>
  <si>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</si>
  <si>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</si>
  <si>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</si>
  <si>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</si>
  <si>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</si>
  <si>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</si>
  <si>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</si>
  <si>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</si>
  <si>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</si>
  <si>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</si>
  <si>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</si>
  <si>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</si>
  <si>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</si>
  <si>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</si>
  <si>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</si>
  <si>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</si>
  <si>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</si>
  <si>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</si>
  <si>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</si>
  <si>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</si>
  <si>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</si>
  <si>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</si>
  <si>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</si>
  <si>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</si>
  <si>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</si>
  <si>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</si>
  <si>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</si>
  <si>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</si>
  <si>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</si>
  <si>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</si>
  <si>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</si>
  <si>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</si>
  <si>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</si>
  <si>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</si>
  <si>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</si>
  <si>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</si>
  <si>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</si>
  <si>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</si>
  <si>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</si>
  <si>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</si>
  <si>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</si>
  <si>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</si>
  <si>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</si>
  <si>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</si>
  <si>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</si>
  <si>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</si>
  <si>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</si>
  <si>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</si>
  <si>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</si>
  <si>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</si>
  <si>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</si>
  <si>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</si>
  <si>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</si>
  <si>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</si>
  <si>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</si>
  <si>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</si>
  <si>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</si>
  <si>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</si>
  <si>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</si>
  <si>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</si>
  <si>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</si>
  <si>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</si>
  <si>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</si>
  <si>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</si>
  <si>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</si>
  <si>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</si>
  <si>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</si>
  <si>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</si>
  <si>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</si>
  <si>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</si>
  <si>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</si>
  <si>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</si>
  <si>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</si>
  <si>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</si>
  <si>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</si>
  <si>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</si>
  <si>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</si>
  <si>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</si>
  <si>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</si>
  <si>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</si>
  <si>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</si>
  <si>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</si>
  <si>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</si>
  <si>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</si>
  <si>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</si>
  <si>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</si>
  <si>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</si>
  <si>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</si>
  <si>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</si>
  <si>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</si>
  <si>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</si>
  <si>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</si>
  <si>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</si>
  <si>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</si>
  <si>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</si>
  <si>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</si>
  <si>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</si>
  <si>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</si>
  <si>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</si>
  <si>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</si>
  <si>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</si>
  <si>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</si>
  <si>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</si>
  <si>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</si>
  <si>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</si>
  <si>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</si>
  <si>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</si>
  <si>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</si>
  <si>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</si>
  <si>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</si>
  <si>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</si>
  <si>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</si>
  <si>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</si>
  <si>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</si>
  <si>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</si>
  <si>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</si>
  <si>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</si>
  <si>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</si>
  <si>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</si>
  <si>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</si>
  <si>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</si>
  <si>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</si>
  <si>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</si>
  <si>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</si>
  <si>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</si>
  <si>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</si>
  <si>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</si>
  <si>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</si>
  <si>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</si>
  <si>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</si>
  <si>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</si>
  <si>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</si>
  <si>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</si>
  <si>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</si>
  <si>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</si>
  <si>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</si>
  <si>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</si>
  <si>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</si>
  <si>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</si>
  <si>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</si>
  <si>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</si>
  <si>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</si>
  <si>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</si>
  <si>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</si>
  <si>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</si>
  <si>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</si>
  <si>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</si>
  <si>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</si>
  <si>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</si>
  <si>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</si>
  <si>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</si>
  <si>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</si>
  <si>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</si>
  <si>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</si>
  <si>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</si>
  <si>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</si>
  <si>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</si>
  <si>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</si>
  <si>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</si>
  <si>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</si>
  <si>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</si>
  <si>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</si>
  <si>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</si>
  <si>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</si>
  <si>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</si>
  <si>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</si>
  <si>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</si>
  <si>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</si>
  <si>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</si>
  <si>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</si>
  <si>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</si>
  <si>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</si>
  <si>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</si>
  <si>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</si>
  <si>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</si>
  <si>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</si>
  <si>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</si>
  <si>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</si>
  <si>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</si>
  <si>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</si>
  <si>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</si>
  <si>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</si>
  <si>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</si>
  <si>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</si>
  <si>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</si>
  <si>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</si>
  <si>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</si>
  <si>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</si>
  <si>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</si>
  <si>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</si>
  <si>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</si>
  <si>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</si>
  <si>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</si>
  <si>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</si>
  <si>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</si>
  <si>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</si>
  <si>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</si>
  <si>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</si>
  <si>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</si>
  <si>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</si>
  <si>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</si>
  <si>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</si>
  <si>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</si>
  <si>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</si>
  <si>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</si>
  <si>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</si>
  <si>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</si>
  <si>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</si>
  <si>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</si>
  <si>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</si>
  <si>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</si>
  <si>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</si>
  <si>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</si>
  <si>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</si>
  <si>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</si>
  <si>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</si>
  <si>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</si>
  <si>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</si>
  <si>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</si>
  <si>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</si>
  <si>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</si>
  <si>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</si>
  <si>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</si>
  <si>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</si>
  <si>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</si>
  <si>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</si>
  <si>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</si>
  <si>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</si>
  <si>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</si>
  <si>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</si>
  <si>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</si>
  <si>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</si>
  <si>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</si>
  <si>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</si>
  <si>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</si>
  <si>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</si>
  <si>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</si>
  <si>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</si>
  <si>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</si>
  <si>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</si>
  <si>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</si>
  <si>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</si>
  <si>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</si>
  <si>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</si>
  <si>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</si>
  <si>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</si>
  <si>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</si>
  <si>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</si>
  <si>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</si>
  <si>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</si>
  <si>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</si>
  <si>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</si>
  <si>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</si>
  <si>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</si>
  <si>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</si>
  <si>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</si>
  <si>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</si>
  <si>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</si>
  <si>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</si>
  <si>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</si>
  <si>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</si>
  <si>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</si>
  <si>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</si>
  <si>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</si>
  <si>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</si>
  <si>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</si>
  <si>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</si>
  <si>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</si>
  <si>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</si>
  <si>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</si>
  <si>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</si>
  <si>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</si>
  <si>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</si>
  <si>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</si>
  <si>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</si>
  <si>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</si>
  <si>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</si>
  <si>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</si>
  <si>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</si>
  <si>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</si>
  <si>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</si>
  <si>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</si>
  <si>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</si>
  <si>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</si>
  <si>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</si>
  <si>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</si>
  <si>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</si>
  <si>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</si>
  <si>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</si>
  <si>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</si>
  <si>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</si>
  <si>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</si>
  <si>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</si>
  <si>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</si>
  <si>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</si>
  <si>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</si>
  <si>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</si>
  <si>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</si>
  <si>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</si>
  <si>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</si>
  <si>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</si>
  <si>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</si>
  <si>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</si>
  <si>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</si>
  <si>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</si>
  <si>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</si>
  <si>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</si>
  <si>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</si>
  <si>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</si>
  <si>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</si>
  <si>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</si>
  <si>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</si>
  <si>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</si>
  <si>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</si>
  <si>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</si>
  <si>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</si>
  <si>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</si>
  <si>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</si>
  <si>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</si>
  <si>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</si>
  <si>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</si>
  <si>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</si>
  <si>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</si>
  <si>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</si>
  <si>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</si>
  <si>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</si>
  <si>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</si>
  <si>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</si>
  <si>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</si>
  <si>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</si>
  <si>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</si>
  <si>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</si>
  <si>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</si>
  <si>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</si>
  <si>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</si>
  <si>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</si>
  <si>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</si>
  <si>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</si>
  <si>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</si>
  <si>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</si>
  <si>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</si>
  <si>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</si>
  <si>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</si>
  <si>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</si>
  <si>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</si>
  <si>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</si>
  <si>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</si>
  <si>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</si>
  <si>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</si>
  <si>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</si>
  <si>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</si>
  <si>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</si>
  <si>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</si>
  <si>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</si>
  <si>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</si>
  <si>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</si>
  <si>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</si>
  <si>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</si>
  <si>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</si>
  <si>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</si>
  <si>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</si>
  <si>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</si>
  <si>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</si>
  <si>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</si>
  <si>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</si>
  <si>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</si>
  <si>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</si>
  <si>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</si>
  <si>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</si>
  <si>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</si>
  <si>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</si>
  <si>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</si>
  <si>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</si>
  <si>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</si>
  <si>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</si>
  <si>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</si>
  <si>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</si>
  <si>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</si>
  <si>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</si>
  <si>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</si>
  <si>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</si>
  <si>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</si>
  <si>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</si>
  <si>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</si>
  <si>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</si>
  <si>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</si>
  <si>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</si>
  <si>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</si>
  <si>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</si>
  <si>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</si>
  <si>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</si>
  <si>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</si>
  <si>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</si>
  <si>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</si>
  <si>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</si>
  <si>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</si>
  <si>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</si>
  <si>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</si>
  <si>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</si>
  <si>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</si>
  <si>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</si>
  <si>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</si>
  <si>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</si>
  <si>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</si>
  <si>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</si>
  <si>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</si>
  <si>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</si>
  <si>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</si>
  <si>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</si>
  <si>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</si>
  <si>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</si>
  <si>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</si>
  <si>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</si>
  <si>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</si>
  <si>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</si>
  <si>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</si>
  <si>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</si>
  <si>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</si>
  <si>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</si>
  <si>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</si>
  <si>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</si>
  <si>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</si>
  <si>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</si>
  <si>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</si>
  <si>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</si>
  <si>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</si>
  <si>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</si>
  <si>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</si>
  <si>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</si>
  <si>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</si>
  <si>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</si>
  <si>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</si>
  <si>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</si>
  <si>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</si>
  <si>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</si>
  <si>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</si>
  <si>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</si>
  <si>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</si>
  <si>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</si>
  <si>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</si>
  <si>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</si>
  <si>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</si>
  <si>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</si>
  <si>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</si>
  <si>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</si>
  <si>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</si>
  <si>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</si>
  <si>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</si>
  <si>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</si>
  <si>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</si>
  <si>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</si>
  <si>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</si>
  <si>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</si>
  <si>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</si>
  <si>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</si>
  <si>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</si>
  <si>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</si>
  <si>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</si>
  <si>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</si>
  <si>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</si>
  <si>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</si>
  <si>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</si>
  <si>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</si>
  <si>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</si>
  <si>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</si>
  <si>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</si>
  <si>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</si>
  <si>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</si>
  <si>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</si>
  <si>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</si>
  <si>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</si>
  <si>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</si>
  <si>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</si>
  <si>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</si>
  <si>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</si>
  <si>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</si>
  <si>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</si>
  <si>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</si>
  <si>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</si>
  <si>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</si>
  <si>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</si>
  <si>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</si>
  <si>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</si>
  <si>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</si>
  <si>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</si>
  <si>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</si>
  <si>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</si>
  <si>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</si>
  <si>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</si>
  <si>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</si>
  <si>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</si>
  <si>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</si>
  <si>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</si>
  <si>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</si>
  <si>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</si>
  <si>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</si>
  <si>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</si>
  <si>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</si>
  <si>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</si>
  <si>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</si>
  <si>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</si>
  <si>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</si>
  <si>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</si>
  <si>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</si>
  <si>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</si>
  <si>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</si>
  <si>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</si>
  <si>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</si>
  <si>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</si>
  <si>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</si>
  <si>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</si>
  <si>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</si>
  <si>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</si>
  <si>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</si>
  <si>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</si>
  <si>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</si>
  <si>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</si>
  <si>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</si>
  <si>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</si>
  <si>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</si>
  <si>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</si>
  <si>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</si>
  <si>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</si>
  <si>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</si>
  <si>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</si>
  <si>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</si>
  <si>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</si>
  <si>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</si>
  <si>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</si>
  <si>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</si>
  <si>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</si>
  <si>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</si>
  <si>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</si>
  <si>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</si>
  <si>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</si>
  <si>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</si>
  <si>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</si>
  <si>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</si>
  <si>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</si>
  <si>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</si>
  <si>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</si>
  <si>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</si>
  <si>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</si>
  <si>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</si>
  <si>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</si>
  <si>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</si>
  <si>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</si>
  <si>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</si>
  <si>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</si>
  <si>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</si>
  <si>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</si>
  <si>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</si>
  <si>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</si>
  <si>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</si>
  <si>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</si>
  <si>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</si>
  <si>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</si>
  <si>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</si>
  <si>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</si>
  <si>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</si>
  <si>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</si>
  <si>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</si>
  <si>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</si>
  <si>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</si>
  <si>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</si>
  <si>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</si>
  <si>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</si>
  <si>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</si>
  <si>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</si>
  <si>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</si>
  <si>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</si>
  <si>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</si>
  <si>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</si>
  <si>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</si>
  <si>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</si>
  <si>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</si>
  <si>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</si>
  <si>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</si>
  <si>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</si>
  <si>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</si>
  <si>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</si>
  <si>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</si>
  <si>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</si>
  <si>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</si>
  <si>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</si>
  <si>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</si>
  <si>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</si>
  <si>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</si>
  <si>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</si>
  <si>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</si>
  <si>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</si>
  <si>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</si>
  <si>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</si>
  <si>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</si>
  <si>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</si>
  <si>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</si>
  <si>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</si>
  <si>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</si>
  <si>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</si>
  <si>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</si>
  <si>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</si>
  <si>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</si>
  <si>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</si>
  <si>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</si>
  <si>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</si>
  <si>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</si>
  <si>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</si>
  <si>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</si>
  <si>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</si>
  <si>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</si>
  <si>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</si>
  <si>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</si>
  <si>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</si>
  <si>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</si>
  <si>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</si>
  <si>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</si>
  <si>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</si>
  <si>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</si>
  <si>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</si>
  <si>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</si>
  <si>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</si>
  <si>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</si>
  <si>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</si>
  <si>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</si>
  <si>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</si>
  <si>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</si>
  <si>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</si>
  <si>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</si>
  <si>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</si>
  <si>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</si>
  <si>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</si>
  <si>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</si>
  <si>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</si>
  <si>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</si>
  <si>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</si>
  <si>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</si>
  <si>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</si>
  <si>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</si>
  <si>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</si>
  <si>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</si>
  <si>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</si>
  <si>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</si>
  <si>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</si>
  <si>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</si>
  <si>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</si>
  <si>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</si>
  <si>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</si>
  <si>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</si>
  <si>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</si>
  <si>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</si>
  <si>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</si>
  <si>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</si>
  <si>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</si>
  <si>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</si>
  <si>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</si>
  <si>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</si>
  <si>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</si>
  <si>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</si>
  <si>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</si>
  <si>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</si>
  <si>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</si>
  <si>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</si>
  <si>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</si>
  <si>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</si>
  <si>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</si>
  <si>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</si>
  <si>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</si>
  <si>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</si>
  <si>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</si>
  <si>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Crit</t>
  </si>
  <si>
    <t>Ataque especial FIL</t>
  </si>
  <si>
    <t>Ataque especial PEN</t>
  </si>
  <si>
    <t>Ataque especial CON</t>
  </si>
  <si>
    <t>Ataque especial CAL</t>
  </si>
  <si>
    <t>Ataque especial FRI</t>
  </si>
  <si>
    <t>Ataque especial ELE</t>
  </si>
  <si>
    <t>Ataque especial ENE</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</si>
  <si>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</si>
  <si>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</si>
  <si>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</si>
  <si>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</si>
  <si>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</si>
  <si>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</si>
  <si>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</si>
  <si>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</si>
  <si>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</si>
  <si>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</si>
  <si>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</si>
  <si>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</si>
  <si>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</si>
  <si>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</si>
  <si>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</si>
  <si>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</si>
  <si>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</si>
  <si>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</si>
  <si>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</si>
  <si>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</si>
  <si>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</si>
  <si>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</si>
  <si>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</si>
  <si>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</si>
  <si>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</si>
  <si>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</si>
  <si>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</si>
  <si>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</si>
  <si>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</si>
  <si>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</si>
  <si>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</si>
  <si>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</si>
  <si>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</si>
  <si>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</si>
  <si>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</si>
  <si>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</si>
  <si>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</si>
  <si>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</si>
  <si>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</si>
  <si>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</si>
  <si>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</si>
  <si>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</si>
  <si>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</si>
  <si>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</si>
  <si>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</si>
  <si>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</si>
  <si>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</si>
  <si>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</si>
  <si>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</si>
  <si>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</si>
  <si>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</si>
  <si>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</si>
  <si>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</si>
  <si>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</si>
  <si>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</si>
  <si>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</si>
  <si>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</si>
  <si>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</si>
  <si>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</si>
  <si>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</si>
  <si>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</si>
  <si>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</si>
  <si>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</si>
  <si>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</si>
  <si>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</si>
  <si>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</si>
  <si>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</si>
  <si>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</si>
  <si>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</si>
  <si>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</si>
  <si>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</si>
  <si>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</si>
  <si>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</si>
  <si>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</si>
  <si>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</si>
  <si>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</si>
  <si>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</si>
  <si>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</si>
  <si>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</si>
  <si>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</si>
  <si>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</si>
  <si>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</si>
  <si>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</si>
  <si>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</si>
  <si>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</si>
  <si>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</si>
  <si>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</si>
  <si>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</si>
  <si>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</si>
  <si>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</si>
  <si>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</si>
  <si>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</si>
  <si>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</si>
  <si>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</si>
  <si>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</si>
  <si>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</si>
  <si>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</si>
  <si>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</si>
  <si>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</si>
  <si>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</si>
  <si>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</si>
  <si>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</si>
  <si>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</si>
  <si>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</si>
  <si>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</si>
  <si>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</si>
  <si>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</si>
  <si>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</si>
  <si>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</si>
  <si>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</si>
  <si>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</si>
  <si>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</si>
  <si>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</si>
  <si>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</si>
  <si>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</si>
  <si>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</si>
  <si>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</si>
  <si>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</si>
  <si>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</si>
  <si>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</si>
  <si>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</si>
  <si>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</si>
  <si>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</si>
  <si>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</si>
  <si>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</si>
  <si>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</si>
  <si>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</si>
  <si>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</si>
  <si>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</si>
  <si>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</si>
  <si>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</si>
  <si>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</si>
  <si>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</si>
  <si>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</si>
  <si>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</si>
  <si>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</si>
  <si>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</si>
  <si>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</si>
  <si>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</si>
  <si>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</si>
  <si>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</si>
  <si>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</si>
  <si>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</si>
  <si>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</si>
  <si>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</si>
  <si>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</si>
  <si>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Ficha Excel. Versión 8.6.2 Prerelease</t>
  </si>
  <si>
    <r>
      <t>OJO</t>
    </r>
    <r>
      <rPr>
        <sz val="8"/>
        <color rgb="FF000000"/>
        <rFont val="Arial"/>
        <family val="2"/>
      </rPr>
      <t xml:space="preserve"> (verticalmente)</t>
    </r>
  </si>
  <si>
    <t>N/A</t>
  </si>
  <si>
    <t>Mods resistencias</t>
  </si>
  <si>
    <t>Desterrar a la Vigilia</t>
  </si>
  <si>
    <t>Fuerza arma</t>
  </si>
  <si>
    <t>Indiviual</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</si>
</sst>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548">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27" borderId="68" xfId="0" applyFont="1" applyFill="1" applyBorder="1" applyAlignment="1">
      <alignment horizontal="left"/>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0" borderId="92" xfId="0" applyFont="1" applyFill="1" applyBorder="1" applyAlignment="1">
      <alignment horizontal="left" vertical="center"/>
    </xf>
    <xf numFmtId="0" fontId="9" fillId="50"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50" borderId="110" xfId="0" applyFont="1" applyFill="1" applyBorder="1" applyAlignment="1">
      <alignment horizontal="left" vertical="center"/>
    </xf>
    <xf numFmtId="0" fontId="9" fillId="50" borderId="113" xfId="0" applyFont="1" applyFill="1" applyBorder="1" applyAlignment="1">
      <alignment horizontal="left" vertical="center"/>
    </xf>
    <xf numFmtId="0" fontId="9" fillId="50"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13" fillId="54" borderId="432" xfId="0" applyFont="1" applyFill="1" applyBorder="1" applyAlignment="1" applyProtection="1">
      <alignment horizontal="center"/>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9" fillId="47" borderId="714"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8" fillId="0" borderId="0" xfId="0" applyFont="1" applyFill="1" applyBorder="1" applyAlignment="1">
      <alignment horizontal="right"/>
    </xf>
    <xf numFmtId="0" fontId="8" fillId="0" borderId="0" xfId="0" applyFont="1" applyFill="1" applyBorder="1" applyAlignment="1">
      <alignment horizontal="center"/>
    </xf>
    <xf numFmtId="0" fontId="0" fillId="0" borderId="0" xfId="0" applyFill="1" applyBorder="1" applyAlignment="1">
      <alignment horizontal="center" vertical="center"/>
    </xf>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9" fillId="47" borderId="0" xfId="0" applyFont="1" applyFill="1" applyBorder="1"/>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9" fillId="50" borderId="0" xfId="0" applyFont="1" applyFill="1" applyBorder="1" applyAlignment="1">
      <alignment horizontal="left" vertical="center"/>
    </xf>
    <xf numFmtId="0" fontId="9" fillId="27" borderId="0" xfId="0" applyFont="1" applyFill="1" applyBorder="1" applyAlignment="1">
      <alignment horizontal="left" vertical="center"/>
    </xf>
    <xf numFmtId="0" fontId="9" fillId="27" borderId="0" xfId="0" applyFont="1" applyFill="1" applyBorder="1" applyAlignment="1">
      <alignment horizontal="left"/>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60" fillId="24" borderId="89" xfId="0" applyFont="1" applyFill="1" applyBorder="1" applyAlignment="1">
      <alignment vertical="center" wrapText="1"/>
    </xf>
    <xf numFmtId="0" fontId="60" fillId="24" borderId="0" xfId="0" applyFont="1" applyFill="1" applyBorder="1" applyAlignment="1">
      <alignment vertical="center" wrapText="1"/>
    </xf>
    <xf numFmtId="1" fontId="13" fillId="23" borderId="0" xfId="0" applyNumberFormat="1" applyFont="1" applyFill="1" applyBorder="1" applyAlignment="1">
      <alignment horizontal="center" vertical="top" wrapText="1"/>
    </xf>
    <xf numFmtId="0" fontId="50" fillId="24" borderId="68" xfId="0" applyFont="1" applyFill="1" applyBorder="1"/>
    <xf numFmtId="0" fontId="13" fillId="23" borderId="0" xfId="0" applyFont="1" applyFill="1" applyBorder="1" applyAlignment="1">
      <alignment horizontal="center" vertical="top" wrapText="1"/>
    </xf>
    <xf numFmtId="0" fontId="60" fillId="24" borderId="91" xfId="0" applyFont="1" applyFill="1" applyBorder="1" applyAlignment="1">
      <alignment vertical="center" wrapText="1"/>
    </xf>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Border="1" applyAlignment="1">
      <alignment vertical="center" wrapText="1"/>
    </xf>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53" fillId="3" borderId="0" xfId="0" applyFont="1" applyFill="1"/>
    <xf numFmtId="0" fontId="154" fillId="3" borderId="0" xfId="0" applyFont="1" applyFill="1" applyAlignment="1">
      <alignment horizontal="left" vertical="center"/>
    </xf>
    <xf numFmtId="0" fontId="92" fillId="3" borderId="0" xfId="0" applyFont="1" applyFill="1" applyAlignment="1">
      <alignment vertical="center"/>
    </xf>
    <xf numFmtId="0" fontId="154"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pplyProtection="1">
      <alignment horizontal="left"/>
    </xf>
    <xf numFmtId="0" fontId="92" fillId="3" borderId="0" xfId="0" applyFont="1" applyFill="1" applyAlignment="1" applyProtection="1">
      <alignment horizontal="center"/>
    </xf>
    <xf numFmtId="0" fontId="92" fillId="3" borderId="0" xfId="0" applyFont="1" applyFill="1" applyAlignment="1" applyProtection="1">
      <alignment horizontal="right"/>
    </xf>
    <xf numFmtId="0" fontId="92" fillId="3" borderId="0" xfId="0" applyFont="1" applyFill="1" applyProtection="1"/>
    <xf numFmtId="0" fontId="92" fillId="27" borderId="0" xfId="0" applyFont="1" applyFill="1" applyBorder="1" applyAlignment="1" applyProtection="1">
      <alignment horizontal="center" vertical="center"/>
    </xf>
    <xf numFmtId="0" fontId="92" fillId="3" borderId="0" xfId="0" applyFont="1" applyFill="1" applyAlignment="1">
      <alignment horizontal="left" shrinkToFit="1"/>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5"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6" fillId="3" borderId="0" xfId="0" applyFont="1" applyFill="1" applyAlignment="1">
      <alignment horizontal="center" vertical="center"/>
    </xf>
    <xf numFmtId="0" fontId="156"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1" fillId="7" borderId="0" xfId="0" applyFont="1" applyFill="1" applyBorder="1" applyAlignment="1">
      <alignment horizontal="center" vertical="top"/>
    </xf>
    <xf numFmtId="0" fontId="13" fillId="7" borderId="0" xfId="0" applyFont="1" applyFill="1" applyBorder="1" applyAlignment="1">
      <alignment horizontal="left" vertical="top" wrapText="1"/>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3" fillId="7" borderId="245" xfId="0" applyFont="1" applyFill="1" applyBorder="1" applyAlignment="1">
      <alignment horizontal="left" vertical="top" wrapText="1"/>
    </xf>
    <xf numFmtId="0" fontId="10" fillId="7" borderId="0" xfId="0" applyFont="1" applyFill="1" applyBorder="1" applyAlignment="1">
      <alignment horizontal="left" vertical="center"/>
    </xf>
    <xf numFmtId="0" fontId="10" fillId="7" borderId="0" xfId="0" applyFont="1" applyFill="1" applyBorder="1" applyAlignment="1">
      <alignment horizontal="left" vertical="top"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62" fillId="7" borderId="0" xfId="0" applyFont="1" applyFill="1" applyBorder="1" applyAlignment="1">
      <alignment horizontal="left"/>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10" fillId="7" borderId="0" xfId="0" applyFont="1" applyFill="1" applyBorder="1" applyAlignment="1">
      <alignment horizontal="right" vertical="top" wrapTex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96"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407"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394" xfId="0" applyFont="1" applyFill="1" applyBorder="1" applyAlignment="1" applyProtection="1">
      <alignment horizontal="center" vertical="center" wrapText="1"/>
      <protection locked="0"/>
    </xf>
    <xf numFmtId="0" fontId="13" fillId="55" borderId="400"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13" fillId="55" borderId="410"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3" fillId="55" borderId="406" xfId="0" applyFont="1" applyFill="1" applyBorder="1" applyAlignment="1" applyProtection="1">
      <alignment horizontal="left" vertical="center" wrapText="1"/>
      <protection locked="0"/>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32" fillId="3" borderId="113" xfId="0" applyFont="1" applyFill="1" applyBorder="1" applyAlignment="1">
      <alignment horizontal="center" vertical="center" wrapText="1"/>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7" borderId="595"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9" fillId="7" borderId="595"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13" fillId="7" borderId="0"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15" fillId="8" borderId="194" xfId="0" applyFont="1" applyFill="1" applyBorder="1" applyAlignment="1">
      <alignment horizontal="center"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9" fillId="7" borderId="486"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400"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9" fillId="7" borderId="90"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9" fillId="40" borderId="0" xfId="0" applyFont="1" applyFill="1" applyBorder="1" applyAlignment="1">
      <alignment horizontal="right" vertical="center"/>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pplyProtection="1">
      <alignment horizontal="left" vertical="center" wrapText="1"/>
    </xf>
    <xf numFmtId="0" fontId="13" fillId="30" borderId="329" xfId="0" applyFont="1" applyFill="1" applyBorder="1" applyAlignment="1" applyProtection="1">
      <alignment horizontal="left" vertical="center" wrapText="1"/>
    </xf>
    <xf numFmtId="0" fontId="13" fillId="30" borderId="332" xfId="0" applyFont="1" applyFill="1" applyBorder="1" applyAlignment="1" applyProtection="1">
      <alignment horizontal="left" vertical="center" wrapText="1"/>
    </xf>
    <xf numFmtId="0" fontId="13" fillId="30" borderId="107" xfId="0" applyFont="1" applyFill="1" applyBorder="1" applyAlignment="1" applyProtection="1">
      <alignment horizontal="left" vertical="center" wrapText="1"/>
    </xf>
    <xf numFmtId="0" fontId="13" fillId="30" borderId="595" xfId="0" applyFont="1" applyFill="1" applyBorder="1" applyAlignment="1" applyProtection="1">
      <alignment horizontal="left" vertical="center" wrapText="1"/>
    </xf>
    <xf numFmtId="0" fontId="13" fillId="30" borderId="736" xfId="0" applyFont="1" applyFill="1" applyBorder="1" applyAlignment="1" applyProtection="1">
      <alignment horizontal="left" vertical="center"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3" fillId="28" borderId="397" xfId="0" applyFont="1" applyFill="1" applyBorder="1" applyAlignment="1" applyProtection="1">
      <alignment horizontal="left"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3" fillId="28" borderId="394"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0" xfId="0" applyFont="1" applyFill="1" applyBorder="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9"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9" fillId="7" borderId="297"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15" fillId="8" borderId="193"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7"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05" xfId="0" applyFont="1" applyFill="1" applyBorder="1" applyAlignment="1">
      <alignment horizontal="right" wrapText="1"/>
    </xf>
    <xf numFmtId="0" fontId="85" fillId="31" borderId="703" xfId="0" applyFont="1" applyFill="1" applyBorder="1" applyAlignment="1">
      <alignment horizontal="center"/>
    </xf>
    <xf numFmtId="0" fontId="85" fillId="31" borderId="686" xfId="0" applyFont="1" applyFill="1" applyBorder="1" applyAlignment="1">
      <alignment horizontal="center"/>
    </xf>
    <xf numFmtId="0" fontId="85" fillId="31" borderId="738" xfId="0" applyFont="1" applyFill="1" applyBorder="1" applyAlignment="1">
      <alignment horizont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92"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8"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80"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8" xfId="0" applyFont="1" applyFill="1" applyBorder="1" applyAlignment="1">
      <alignment horizontal="right"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1" borderId="79"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9" fillId="7" borderId="160" xfId="0" applyFont="1" applyFill="1" applyBorder="1" applyAlignment="1">
      <alignment horizontal="right" wrapText="1"/>
    </xf>
    <xf numFmtId="0" fontId="9" fillId="7" borderId="70" xfId="0" applyFont="1" applyFill="1" applyBorder="1" applyAlignment="1">
      <alignment horizontal="right" wrapText="1"/>
    </xf>
    <xf numFmtId="0" fontId="9" fillId="7" borderId="178" xfId="0" applyFont="1" applyFill="1" applyBorder="1" applyAlignment="1">
      <alignment horizontal="right"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9" fillId="7" borderId="71"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0" fillId="7" borderId="168"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29"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3"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0" fillId="7" borderId="36" xfId="0" applyFill="1" applyBorder="1" applyAlignment="1">
      <alignment horizontal="center" vertical="center" wrapText="1"/>
    </xf>
    <xf numFmtId="0" fontId="0" fillId="7" borderId="77" xfId="0" applyFill="1" applyBorder="1" applyAlignment="1">
      <alignment horizontal="center" vertical="center" wrapText="1"/>
    </xf>
    <xf numFmtId="0" fontId="12" fillId="7" borderId="71"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17"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3" borderId="48"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16" fillId="7" borderId="87"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336" xfId="0" applyFont="1" applyFill="1" applyBorder="1" applyAlignment="1">
      <alignment horizont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7" xfId="0" applyFont="1" applyFill="1" applyBorder="1" applyAlignment="1">
      <alignment horizontal="center" vertical="center" wrapText="1"/>
    </xf>
    <xf numFmtId="0" fontId="24" fillId="7" borderId="277" xfId="0" applyFont="1" applyFill="1" applyBorder="1" applyAlignment="1">
      <alignment horizontal="center" vertical="center" wrapTex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5"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57" xfId="0" applyFont="1" applyFill="1" applyBorder="1" applyAlignment="1">
      <alignment horizontal="left" vertical="center" wrapText="1"/>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0" fillId="54" borderId="102" xfId="0" applyFill="1" applyBorder="1" applyAlignment="1" applyProtection="1">
      <alignment horizontal="center" vertical="center" wrapText="1"/>
      <protection locked="0"/>
    </xf>
    <xf numFmtId="0" fontId="0" fillId="54" borderId="104" xfId="0" applyFill="1" applyBorder="1" applyAlignment="1" applyProtection="1">
      <alignment horizontal="center" vertical="center" wrapText="1"/>
      <protection locked="0"/>
    </xf>
    <xf numFmtId="0" fontId="0" fillId="54" borderId="486"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24" fillId="7" borderId="315" xfId="0" applyFont="1" applyFill="1" applyBorder="1" applyAlignment="1">
      <alignment horizontal="center" vertical="center" wrapText="1"/>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2" fillId="31" borderId="98" xfId="0" applyFont="1" applyFill="1" applyBorder="1" applyAlignment="1">
      <alignment horizontal="center"/>
    </xf>
    <xf numFmtId="0" fontId="9" fillId="54" borderId="92"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7" xfId="0" applyFont="1" applyFill="1" applyBorder="1" applyAlignment="1">
      <alignment horizontal="left"/>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7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3" borderId="88" xfId="0" applyFont="1" applyFill="1" applyBorder="1" applyAlignment="1">
      <alignment horizontal="left" vertical="center"/>
    </xf>
    <xf numFmtId="0" fontId="12" fillId="31" borderId="100" xfId="0" applyFont="1" applyFill="1" applyBorder="1" applyAlignment="1">
      <alignment horizontal="center"/>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8" xfId="0" applyFont="1" applyFill="1" applyBorder="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19" xfId="0" applyFont="1" applyFill="1" applyBorder="1" applyAlignment="1">
      <alignment horizontal="left"/>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9" fillId="23" borderId="77" xfId="0" applyFont="1" applyFill="1" applyBorder="1"/>
    <xf numFmtId="0" fontId="0" fillId="23" borderId="77" xfId="0" applyFill="1" applyBorder="1"/>
    <xf numFmtId="0" fontId="9" fillId="23" borderId="92" xfId="0" applyFont="1" applyFill="1" applyBorder="1"/>
    <xf numFmtId="0" fontId="0" fillId="23" borderId="0" xfId="0" applyFill="1"/>
    <xf numFmtId="0" fontId="9" fillId="23" borderId="0" xfId="0" applyFont="1" applyFill="1"/>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9" fillId="23" borderId="0" xfId="0" applyFont="1" applyFill="1" applyAlignment="1">
      <alignment horizontal="left"/>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0" xfId="0" applyFont="1" applyFill="1" applyBorder="1" applyAlignment="1">
      <alignment horizontal="center" vertical="center"/>
    </xf>
    <xf numFmtId="0" fontId="15" fillId="13" borderId="142" xfId="0" applyFont="1" applyFill="1" applyBorder="1" applyAlignment="1">
      <alignment horizontal="center" vertical="center"/>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130" xfId="0" applyFont="1" applyFill="1" applyBorder="1" applyAlignment="1">
      <alignment horizontal="center" vertical="center"/>
    </xf>
    <xf numFmtId="0" fontId="9" fillId="23" borderId="379" xfId="0" applyFont="1" applyFill="1" applyBorder="1" applyAlignment="1">
      <alignment horizontal="center" vertical="center"/>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1" fillId="23" borderId="220"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0" fillId="12" borderId="92" xfId="0" applyFont="1" applyFill="1" applyBorder="1" applyAlignment="1">
      <alignment horizontal="right" vertical="center" wrapText="1"/>
    </xf>
    <xf numFmtId="0" fontId="10" fillId="12" borderId="107"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5"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0" fillId="23" borderId="92" xfId="0" applyFont="1" applyFill="1" applyBorder="1" applyAlignment="1">
      <alignment horizontal="right" vertical="center" wrapText="1"/>
    </xf>
    <xf numFmtId="0" fontId="11" fillId="23" borderId="79"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12" borderId="105"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9" fillId="23" borderId="0" xfId="0" applyFont="1" applyFill="1" applyAlignment="1">
      <alignment horizontal="left" wrapText="1"/>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0" fillId="23" borderId="80"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365"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10" fillId="23" borderId="217" xfId="0" applyFont="1" applyFill="1" applyBorder="1" applyAlignment="1">
      <alignment horizontal="right" vertical="center" wrapText="1"/>
    </xf>
    <xf numFmtId="0" fontId="13" fillId="28" borderId="411"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9" fillId="23" borderId="108" xfId="0" applyFont="1" applyFill="1" applyBorder="1" applyAlignment="1">
      <alignment horizontal="center" vertical="center"/>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28" fillId="12" borderId="88" xfId="0" applyFont="1" applyFill="1" applyBorder="1" applyAlignment="1">
      <alignment horizontal="center"/>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92" fillId="16" borderId="0" xfId="12" applyFont="1" applyFill="1" applyAlignment="1">
      <alignment horizontal="center" vertical="center"/>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9" fillId="24" borderId="92" xfId="12" applyFont="1" applyFill="1" applyBorder="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12" fillId="7" borderId="0" xfId="0" applyFont="1" applyFill="1" applyBorder="1" applyAlignment="1">
      <alignment horizontal="left" vertical="top" wrapText="1"/>
    </xf>
    <xf numFmtId="0" fontId="9" fillId="19" borderId="104" xfId="12" applyFont="1" applyFill="1" applyBorder="1" applyAlignment="1" applyProtection="1">
      <alignment horizontal="center" vertical="center"/>
      <protection locked="0"/>
    </xf>
    <xf numFmtId="0" fontId="50" fillId="24" borderId="98" xfId="12" applyFont="1" applyFill="1" applyBorder="1" applyAlignment="1">
      <alignment horizontal="center" vertical="center" wrapText="1" shrinkToFit="1"/>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9" fillId="19" borderId="116"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73" fillId="15" borderId="332" xfId="12" applyFont="1" applyFill="1" applyBorder="1" applyAlignment="1">
      <alignment horizontal="center" vertical="center"/>
    </xf>
    <xf numFmtId="0" fontId="12" fillId="24" borderId="141"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134" fillId="15" borderId="328"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134"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12" fillId="24" borderId="88"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67" fillId="16" borderId="88" xfId="12" applyFont="1" applyFill="1" applyBorder="1" applyAlignment="1">
      <alignment horizontal="center" vertical="center"/>
    </xf>
    <xf numFmtId="0" fontId="67" fillId="16" borderId="77" xfId="12" applyFont="1" applyFill="1" applyBorder="1" applyAlignment="1">
      <alignment horizontal="center" vertical="center"/>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09"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09"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5"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68"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45" fillId="8" borderId="0" xfId="0" applyFont="1" applyFill="1" applyAlignment="1">
      <alignment horizontal="center" vertical="center"/>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2" xfId="0" applyFont="1" applyFill="1" applyBorder="1" applyAlignment="1" applyProtection="1">
      <alignment horizontal="center" vertical="center" wrapText="1"/>
      <protection locked="0"/>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34" fillId="8" borderId="110"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0" xfId="0" applyFont="1" applyFill="1" applyAlignment="1">
      <alignment horizontal="center"/>
    </xf>
    <xf numFmtId="0" fontId="62" fillId="31" borderId="77" xfId="0" applyFont="1" applyFill="1" applyBorder="1" applyAlignment="1">
      <alignment horizontal="center"/>
    </xf>
    <xf numFmtId="0" fontId="13" fillId="55" borderId="33" xfId="0" applyFont="1" applyFill="1" applyBorder="1" applyAlignment="1" applyProtection="1">
      <alignment horizontal="left" vertical="center" wrapText="1"/>
      <protection locked="0"/>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27" fillId="7" borderId="358" xfId="0" applyFont="1" applyFill="1" applyBorder="1" applyAlignment="1">
      <alignment horizontal="center"/>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15" fillId="8" borderId="161" xfId="0" applyFont="1" applyFill="1" applyBorder="1" applyAlignment="1">
      <alignment horizontal="center"/>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51" borderId="0" xfId="0" applyFont="1" applyFill="1" applyAlignment="1" applyProtection="1">
      <alignment horizontal="center" vertical="center" wrapText="1"/>
      <protection locked="0"/>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2" xfId="0" applyFont="1" applyFill="1" applyBorder="1"/>
    <xf numFmtId="0" fontId="9" fillId="7" borderId="14" xfId="0" applyFont="1" applyFill="1" applyBorder="1"/>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123" fillId="3" borderId="0" xfId="0" applyFont="1" applyFill="1" applyAlignment="1">
      <alignment horizontal="left"/>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1" fontId="24" fillId="23" borderId="121" xfId="0" applyNumberFormat="1" applyFont="1" applyFill="1" applyBorder="1" applyAlignment="1">
      <alignment horizontal="center" vertical="center" wrapText="1"/>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60" fillId="24" borderId="88" xfId="0" applyFont="1" applyFill="1" applyBorder="1" applyAlignment="1">
      <alignment horizontal="center" vertical="center" wrapText="1"/>
    </xf>
    <xf numFmtId="0" fontId="60" fillId="24" borderId="0" xfId="0" applyFont="1" applyFill="1" applyBorder="1" applyAlignment="1">
      <alignment horizontal="center" vertical="center" wrapText="1"/>
    </xf>
    <xf numFmtId="0" fontId="60" fillId="24" borderId="77" xfId="0" applyFont="1" applyFill="1" applyBorder="1" applyAlignment="1">
      <alignment horizontal="center" vertical="center" wrapText="1"/>
    </xf>
    <xf numFmtId="0" fontId="12" fillId="24" borderId="0" xfId="0" applyFont="1" applyFill="1" applyBorder="1" applyAlignment="1">
      <alignment horizontal="right" vertical="top"/>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4" borderId="328" xfId="0" applyFont="1" applyFill="1" applyBorder="1" applyAlignment="1">
      <alignment horizontal="center"/>
    </xf>
    <xf numFmtId="0" fontId="31" fillId="24" borderId="88"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07"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11" fillId="55" borderId="355" xfId="0" applyFont="1" applyFill="1" applyBorder="1" applyAlignment="1" applyProtection="1">
      <alignment horizontal="center" vertical="center"/>
      <protection locked="0"/>
    </xf>
    <xf numFmtId="0" fontId="11" fillId="55" borderId="158" xfId="0" applyFont="1" applyFill="1" applyBorder="1" applyAlignment="1" applyProtection="1">
      <alignment horizontal="center" vertical="center"/>
      <protection locked="0"/>
    </xf>
    <xf numFmtId="0" fontId="20" fillId="30" borderId="101" xfId="0" applyFont="1" applyFill="1" applyBorder="1" applyAlignment="1">
      <alignment horizontal="center" vertical="center"/>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13" fillId="7" borderId="90" xfId="0" applyFont="1" applyFill="1" applyBorder="1" applyAlignment="1">
      <alignment horizontal="left" vertical="center" wrapText="1"/>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68"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91"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62" fillId="55" borderId="61" xfId="0" applyFont="1" applyFill="1" applyBorder="1" applyAlignment="1" applyProtection="1">
      <alignment horizontal="left" vertical="top" wrapText="1"/>
      <protection locked="0"/>
    </xf>
    <xf numFmtId="0" fontId="13" fillId="30" borderId="107" xfId="0" applyFont="1" applyFill="1" applyBorder="1" applyAlignment="1">
      <alignment horizontal="left" vertical="center" wrapText="1"/>
    </xf>
    <xf numFmtId="0" fontId="13" fillId="30" borderId="385"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14" xfId="0" applyFont="1" applyFill="1" applyBorder="1" applyAlignment="1">
      <alignment horizontal="center"/>
    </xf>
    <xf numFmtId="0" fontId="9" fillId="7" borderId="46" xfId="0" applyFont="1" applyFill="1" applyBorder="1" applyAlignment="1">
      <alignment horizontal="center"/>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8" xfId="0" applyFont="1" applyFill="1" applyBorder="1" applyAlignment="1">
      <alignment horizontal="center"/>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20" fillId="30" borderId="583" xfId="0" applyFont="1" applyFill="1" applyBorder="1" applyAlignment="1">
      <alignment horizontal="center" vertical="center"/>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67" fillId="3" borderId="68" xfId="0" applyFont="1" applyFill="1" applyBorder="1" applyAlignment="1">
      <alignment horizontal="center" vertical="center"/>
    </xf>
    <xf numFmtId="1" fontId="141" fillId="55" borderId="582" xfId="0" applyNumberFormat="1" applyFont="1" applyFill="1" applyBorder="1" applyAlignment="1" applyProtection="1">
      <alignment horizontal="center" vertical="center"/>
      <protection locked="0"/>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0" fontId="13" fillId="7" borderId="0" xfId="0" applyFont="1" applyFill="1" applyAlignment="1">
      <alignment horizontal="left" vertical="center" wrapText="1"/>
    </xf>
    <xf numFmtId="0" fontId="9" fillId="7" borderId="117"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2"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80" xfId="0" applyFont="1" applyFill="1" applyBorder="1" applyAlignment="1">
      <alignment horizontal="left" vertical="center" wrapText="1"/>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13" fillId="51" borderId="573"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13" fillId="55" borderId="160"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3" fillId="51" borderId="80" xfId="0" applyFont="1" applyFill="1" applyBorder="1" applyAlignment="1" applyProtection="1">
      <alignment horizontal="center" vertical="center" wrapText="1"/>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wrapText="1"/>
      <protection locked="0"/>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5" fillId="8" borderId="176"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1" borderId="660" xfId="0" applyFont="1" applyFill="1" applyBorder="1" applyAlignment="1" applyProtection="1">
      <alignment horizontal="center"/>
      <protection locked="0"/>
    </xf>
    <xf numFmtId="0" fontId="9" fillId="31" borderId="703" xfId="0" applyFont="1" applyFill="1" applyBorder="1" applyAlignment="1">
      <alignment horizontal="center"/>
    </xf>
    <xf numFmtId="0" fontId="9" fillId="31" borderId="676" xfId="0" applyFont="1" applyFill="1" applyBorder="1" applyAlignment="1">
      <alignment horizontal="center"/>
    </xf>
    <xf numFmtId="0" fontId="9" fillId="54" borderId="0" xfId="0" applyFont="1" applyFill="1" applyBorder="1" applyAlignment="1" applyProtection="1">
      <alignment horizontal="center"/>
      <protection locked="0"/>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2" fillId="31" borderId="555" xfId="0" applyFont="1" applyFill="1" applyBorder="1" applyAlignment="1">
      <alignment horizontal="center"/>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13" fillId="31" borderId="709" xfId="0" applyFont="1" applyFill="1" applyBorder="1" applyAlignment="1">
      <alignment horizontal="center" vertical="center"/>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23" fillId="3" borderId="0" xfId="0" applyFont="1" applyFill="1" applyAlignment="1">
      <alignment horizont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9" fillId="7" borderId="329"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31" borderId="0" xfId="0" applyFont="1" applyFill="1" applyBorder="1" applyAlignment="1">
      <alignment horizontal="center"/>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9" fillId="54" borderId="77" xfId="0" applyFont="1" applyFill="1" applyBorder="1" applyAlignment="1" applyProtection="1">
      <alignment horizontal="center"/>
      <protection locked="0"/>
    </xf>
    <xf numFmtId="0" fontId="13" fillId="55" borderId="53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13" fillId="54" borderId="90" xfId="0" applyFont="1" applyFill="1" applyBorder="1" applyAlignment="1" applyProtection="1">
      <alignment horizontal="center" shrinkToFit="1"/>
      <protection locked="0"/>
    </xf>
    <xf numFmtId="0" fontId="13" fillId="54" borderId="77" xfId="0" applyFont="1" applyFill="1" applyBorder="1" applyAlignment="1" applyProtection="1">
      <alignment horizontal="center" shrinkToFit="1"/>
      <protection locked="0"/>
    </xf>
    <xf numFmtId="0" fontId="13" fillId="54" borderId="91" xfId="0" applyFont="1" applyFill="1" applyBorder="1" applyAlignment="1" applyProtection="1">
      <alignment horizontal="center" shrinkToFit="1"/>
      <protection locked="0"/>
    </xf>
    <xf numFmtId="0" fontId="13" fillId="55" borderId="130" xfId="0" applyFont="1" applyFill="1" applyBorder="1" applyAlignment="1" applyProtection="1">
      <alignment horizontal="center" vertical="center" shrinkToFit="1"/>
      <protection locked="0"/>
    </xf>
    <xf numFmtId="0" fontId="13" fillId="55" borderId="724"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1" borderId="355"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54" borderId="92"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41" fillId="55" borderId="521"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51" xfId="0" applyFont="1" applyFill="1" applyBorder="1" applyAlignment="1">
      <alignment horizontal="center"/>
    </xf>
    <xf numFmtId="0" fontId="9" fillId="30" borderId="171" xfId="0" applyFont="1" applyFill="1" applyBorder="1" applyAlignment="1">
      <alignment horizontal="center"/>
    </xf>
    <xf numFmtId="0" fontId="141" fillId="55" borderId="0" xfId="0" applyFont="1" applyFill="1" applyBorder="1" applyAlignment="1" applyProtection="1">
      <alignment horizontal="center" vertical="center" wrapText="1"/>
      <protection locked="0"/>
    </xf>
    <xf numFmtId="0" fontId="141" fillId="55" borderId="80"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141" fillId="55" borderId="508" xfId="0" applyFont="1" applyFill="1" applyBorder="1" applyAlignment="1" applyProtection="1">
      <alignment horizontal="center" vertical="center" wrapText="1"/>
      <protection locked="0"/>
    </xf>
    <xf numFmtId="0" fontId="141" fillId="55" borderId="51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141" fillId="55" borderId="79"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329"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3" fillId="55" borderId="535" xfId="0" applyFont="1" applyFill="1" applyBorder="1" applyAlignment="1" applyProtection="1">
      <alignment horizontal="center" vertical="center"/>
      <protection locked="0"/>
    </xf>
    <xf numFmtId="0" fontId="13" fillId="55" borderId="536"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3" fillId="55" borderId="505"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9"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11" fillId="55" borderId="666" xfId="0" applyFont="1" applyFill="1" applyBorder="1" applyAlignment="1" applyProtection="1">
      <alignment horizontal="center" vertical="center"/>
      <protection locked="0"/>
    </xf>
    <xf numFmtId="0" fontId="15" fillId="8" borderId="306"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141" fillId="55" borderId="735"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328"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332" xfId="0" applyFont="1" applyFill="1" applyBorder="1" applyAlignment="1" applyProtection="1">
      <alignment horizontal="center"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7" borderId="355" xfId="0" applyFont="1" applyFill="1" applyBorder="1" applyAlignment="1">
      <alignmen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7"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736"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1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49" fontId="13" fillId="55" borderId="100"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9" fillId="54" borderId="0"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2"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36" xfId="0" applyFont="1" applyFill="1" applyBorder="1" applyAlignment="1">
      <alignment horizontal="center" vertical="center" wrapText="1"/>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49" fontId="13" fillId="55" borderId="116"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0" fontId="0" fillId="0" borderId="0" xfId="0" applyAlignment="1">
      <alignment horizont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0" fillId="25" borderId="97" xfId="0" applyFill="1" applyBorder="1" applyAlignment="1">
      <alignment horizontal="center" wrapText="1"/>
    </xf>
    <xf numFmtId="0" fontId="0" fillId="25" borderId="657" xfId="0" applyFill="1" applyBorder="1" applyAlignment="1">
      <alignment horizontal="center" wrapText="1"/>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98" fillId="15" borderId="0" xfId="0" applyFont="1" applyFill="1" applyAlignment="1">
      <alignment horizontal="left"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15" fillId="8" borderId="292"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699" xfId="0" applyFont="1" applyFill="1" applyBorder="1" applyAlignment="1">
      <alignment horizontal="center"/>
    </xf>
    <xf numFmtId="0" fontId="10" fillId="29" borderId="658" xfId="0" applyFont="1" applyFill="1" applyBorder="1" applyAlignment="1">
      <alignment horizontal="center"/>
    </xf>
    <xf numFmtId="0" fontId="15" fillId="8" borderId="10"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57" xfId="0" applyFont="1" applyFill="1" applyBorder="1" applyAlignment="1">
      <alignment horizontal="center"/>
    </xf>
    <xf numFmtId="0" fontId="10" fillId="29" borderId="98" xfId="0" applyFont="1" applyFill="1" applyBorder="1" applyAlignment="1">
      <alignment horizontal="center"/>
    </xf>
    <xf numFmtId="0" fontId="45" fillId="8" borderId="77"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73" fillId="8" borderId="88"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10" fillId="29" borderId="699" xfId="0" applyFont="1" applyFill="1" applyBorder="1" applyAlignment="1">
      <alignment horizontal="left"/>
    </xf>
    <xf numFmtId="0" fontId="10" fillId="29" borderId="657" xfId="0" applyFont="1" applyFill="1" applyBorder="1" applyAlignment="1">
      <alignment horizontal="left"/>
    </xf>
    <xf numFmtId="0" fontId="10" fillId="29" borderId="658" xfId="0" applyFont="1" applyFill="1" applyBorder="1" applyAlignment="1">
      <alignment horizontal="left"/>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0" xfId="0" applyFont="1" applyFill="1" applyBorder="1" applyAlignment="1">
      <alignment horizontal="center" vertic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15" fillId="8" borderId="87"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68" xfId="0" applyFont="1" applyFill="1" applyBorder="1" applyAlignment="1">
      <alignment horizontal="center" vertical="center"/>
    </xf>
    <xf numFmtId="0" fontId="34" fillId="8" borderId="77"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15" fillId="8" borderId="476" xfId="0" applyFont="1" applyFill="1" applyBorder="1" applyAlignment="1">
      <alignment horizontal="center"/>
    </xf>
    <xf numFmtId="0" fontId="15" fillId="8" borderId="0" xfId="0" applyFont="1" applyFill="1" applyAlignment="1">
      <alignment horizontal="center"/>
    </xf>
    <xf numFmtId="0" fontId="10" fillId="29" borderId="486" xfId="0" applyFont="1" applyFill="1" applyBorder="1" applyAlignment="1">
      <alignment horizontal="left"/>
    </xf>
    <xf numFmtId="0" fontId="45" fillId="8" borderId="17" xfId="0" applyFont="1" applyFill="1" applyBorder="1" applyAlignment="1">
      <alignment horizontal="left"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0" fillId="25" borderId="141" xfId="0" applyFill="1" applyBorder="1" applyAlignment="1">
      <alignment horizontal="center" wrapText="1"/>
    </xf>
    <xf numFmtId="0" fontId="15" fillId="8" borderId="733" xfId="0" applyFont="1" applyFill="1" applyBorder="1" applyAlignment="1">
      <alignment horizontal="center" vertical="center" wrapText="1"/>
    </xf>
    <xf numFmtId="0" fontId="15" fillId="8" borderId="736" xfId="0" applyFont="1" applyFill="1" applyBorder="1" applyAlignment="1">
      <alignment horizontal="center" vertical="center" wrapText="1"/>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49" fontId="43" fillId="8" borderId="0" xfId="0" applyNumberFormat="1" applyFont="1" applyFill="1" applyAlignment="1">
      <alignment horizontal="center" vertical="center"/>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9" fillId="8" borderId="87"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0" fillId="34" borderId="98" xfId="0" applyFill="1" applyBorder="1" applyAlignment="1">
      <alignment horizontal="left"/>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15" fillId="8" borderId="95" xfId="0" applyFont="1" applyFill="1" applyBorder="1" applyAlignment="1">
      <alignment horizontal="center" vertical="center" wrapText="1"/>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0" fillId="24" borderId="87" xfId="0" applyFill="1" applyBorder="1" applyAlignment="1">
      <alignment horizontal="center"/>
    </xf>
    <xf numFmtId="0" fontId="0" fillId="24" borderId="89" xfId="0" applyFill="1" applyBorder="1" applyAlignment="1">
      <alignment horizontal="center"/>
    </xf>
    <xf numFmtId="0" fontId="58" fillId="43" borderId="87" xfId="0" applyFont="1" applyFill="1" applyBorder="1" applyAlignment="1">
      <alignment horizontal="center"/>
    </xf>
    <xf numFmtId="0" fontId="58" fillId="43" borderId="89" xfId="0" applyFont="1"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34" fillId="8" borderId="0" xfId="0" applyFont="1" applyFill="1" applyBorder="1" applyAlignment="1">
      <alignment horizontal="center"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0" fillId="0" borderId="68" xfId="0" applyBorder="1" applyAlignment="1">
      <alignment horizont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9" fillId="42" borderId="0" xfId="0" quotePrefix="1" applyFont="1" applyFill="1" applyBorder="1" applyAlignment="1">
      <alignment horizontal="left" vertic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0" borderId="0" xfId="0" applyAlignment="1">
      <alignment horizontal="left"/>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58" fillId="43" borderId="88" xfId="0" applyFont="1" applyFill="1" applyBorder="1" applyAlignment="1">
      <alignment horizontal="center"/>
    </xf>
    <xf numFmtId="0" fontId="45" fillId="8" borderId="89" xfId="0" applyFont="1" applyFill="1" applyBorder="1" applyAlignment="1">
      <alignment horizontal="left" vertical="center"/>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79" fillId="8" borderId="88"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9" xfId="0" applyFont="1" applyFill="1" applyBorder="1" applyAlignment="1">
      <alignment horizontal="center"/>
    </xf>
    <xf numFmtId="0" fontId="50" fillId="12" borderId="68" xfId="0" applyFont="1" applyFill="1" applyBorder="1" applyAlignment="1">
      <alignment horizontal="center"/>
    </xf>
    <xf numFmtId="0" fontId="0" fillId="22" borderId="97" xfId="0" applyFill="1" applyBorder="1" applyAlignment="1">
      <alignment horizontal="center"/>
    </xf>
    <xf numFmtId="0" fontId="0" fillId="22" borderId="141" xfId="0"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50" fillId="12" borderId="79" xfId="0" applyFont="1" applyFill="1" applyBorder="1" applyAlignment="1">
      <alignment horizontal="left"/>
    </xf>
    <xf numFmtId="0" fontId="50" fillId="12" borderId="80" xfId="0" applyFont="1"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6" borderId="77" xfId="0" applyFont="1" applyFill="1" applyBorder="1" applyAlignment="1">
      <alignment horizontal="left"/>
    </xf>
    <xf numFmtId="0" fontId="0" fillId="16" borderId="77"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7" xfId="0"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0" fillId="12" borderId="687" xfId="0" applyFill="1" applyBorder="1" applyAlignment="1">
      <alignment horizontal="center"/>
    </xf>
    <xf numFmtId="0" fontId="50" fillId="12" borderId="0" xfId="0" applyFont="1" applyFill="1" applyAlignment="1">
      <alignment horizontal="center"/>
    </xf>
    <xf numFmtId="0" fontId="50" fillId="12" borderId="79" xfId="0" quotePrefix="1"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8" xfId="0" applyFont="1" applyFill="1" applyBorder="1" applyAlignment="1">
      <alignment horizontal="right" vertical="center"/>
    </xf>
    <xf numFmtId="0" fontId="41" fillId="23" borderId="65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49" xfId="0" applyFont="1" applyFill="1" applyBorder="1" applyAlignment="1">
      <alignment horizontal="left" vertical="center"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17" fontId="86" fillId="25" borderId="77" xfId="0" quotePrefix="1" applyNumberFormat="1" applyFont="1" applyFill="1" applyBorder="1" applyAlignment="1">
      <alignment horizontal="center" vertical="center"/>
    </xf>
    <xf numFmtId="0" fontId="41" fillId="23" borderId="709" xfId="0" applyFont="1" applyFill="1" applyBorder="1" applyAlignment="1">
      <alignment horizontal="right" vertical="center"/>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564" xfId="0" applyFont="1" applyFill="1" applyBorder="1" applyAlignment="1">
      <alignment horizontal="center"/>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69" fillId="13" borderId="117" xfId="0" applyFont="1" applyFill="1" applyBorder="1" applyAlignment="1">
      <alignment horizontal="center" vertical="center" wrapText="1"/>
    </xf>
    <xf numFmtId="0" fontId="69" fillId="13" borderId="118" xfId="0" applyFont="1" applyFill="1" applyBorder="1" applyAlignment="1">
      <alignment horizontal="center" vertical="center" wrapText="1"/>
    </xf>
    <xf numFmtId="0" fontId="56" fillId="24" borderId="504" xfId="0" applyFont="1" applyFill="1" applyBorder="1" applyAlignment="1" applyProtection="1">
      <alignment horizontal="center" vertical="top" wrapText="1"/>
    </xf>
    <xf numFmtId="0" fontId="104" fillId="28" borderId="36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3" borderId="39" xfId="0" applyFont="1" applyFill="1" applyBorder="1" applyAlignment="1">
      <alignment horizontal="center" vertical="center" shrinkToFit="1"/>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9" fillId="7" borderId="771"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325">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rgb="FFFF0000"/>
      </font>
    </dxf>
    <dxf>
      <font>
        <color rgb="FFFF0000"/>
      </font>
    </dxf>
    <dxf>
      <font>
        <color rgb="FFFF0000"/>
      </font>
    </dxf>
    <dxf>
      <font>
        <color rgb="FFFF000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ill>
        <patternFill>
          <bgColor theme="0"/>
        </patternFill>
      </fill>
      <border>
        <left style="thin">
          <color auto="1"/>
        </left>
        <right style="thin">
          <color auto="1"/>
        </right>
        <vertical/>
        <horizontal/>
      </border>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color rgb="FFFF000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66675</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28575</xdr:colOff>
      <xdr:row>2</xdr:row>
      <xdr:rowOff>28575</xdr:rowOff>
    </xdr:from>
    <xdr:to>
      <xdr:col>18</xdr:col>
      <xdr:colOff>238124</xdr:colOff>
      <xdr:row>5</xdr:row>
      <xdr:rowOff>116205</xdr:rowOff>
    </xdr:to>
    <xdr:pic>
      <xdr:nvPicPr>
        <xdr:cNvPr id="3" name="AnimaImg15">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5800725" y="33337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95"/>
      <c r="B1" s="2396"/>
      <c r="C1" s="2396"/>
      <c r="D1" s="2396"/>
      <c r="E1" s="2396"/>
      <c r="F1" s="2396"/>
      <c r="G1" s="2396"/>
      <c r="H1" s="2396"/>
      <c r="I1" s="2396"/>
      <c r="J1" s="2396"/>
      <c r="K1" s="2396"/>
      <c r="L1" s="2396"/>
      <c r="M1" s="2396"/>
      <c r="N1" s="2396"/>
      <c r="O1" s="2396"/>
      <c r="P1" s="2396"/>
      <c r="Q1" s="2396"/>
      <c r="R1" s="2396"/>
      <c r="S1" s="2396"/>
      <c r="T1" s="2396"/>
      <c r="U1" s="2396"/>
      <c r="V1" s="2396"/>
      <c r="W1" s="2396"/>
      <c r="X1" s="2396"/>
      <c r="Y1" s="2396"/>
      <c r="Z1" s="2396"/>
      <c r="AA1" s="2396"/>
      <c r="AB1" s="2396"/>
      <c r="AC1" s="2396"/>
      <c r="AD1" s="2396"/>
      <c r="AE1" s="2396"/>
      <c r="AF1" s="2396"/>
      <c r="AG1" s="2396"/>
      <c r="AH1" s="2396"/>
      <c r="AI1" s="2396"/>
      <c r="AJ1" s="2396"/>
      <c r="AK1" s="2396"/>
      <c r="AL1" s="2396"/>
    </row>
    <row r="2" spans="1:38" ht="12.75" customHeight="1" x14ac:dyDescent="0.2">
      <c r="A2" s="2396"/>
      <c r="B2" s="2397"/>
      <c r="C2" s="3113" t="s">
        <v>9992</v>
      </c>
      <c r="D2" s="3113"/>
      <c r="E2" s="3113"/>
      <c r="F2" s="3113"/>
      <c r="G2" s="3113"/>
      <c r="H2" s="3113"/>
      <c r="I2" s="3113"/>
      <c r="J2" s="3113"/>
      <c r="K2" s="3113"/>
      <c r="L2" s="3113"/>
      <c r="M2" s="3113"/>
      <c r="N2" s="3113"/>
      <c r="O2" s="3113"/>
      <c r="P2" s="3113"/>
      <c r="Q2" s="3113"/>
      <c r="R2" s="3113"/>
      <c r="S2" s="3113"/>
      <c r="T2" s="3113"/>
      <c r="U2" s="3113"/>
      <c r="V2" s="3113"/>
      <c r="W2" s="3113"/>
      <c r="X2" s="3113"/>
      <c r="Y2" s="3113"/>
      <c r="Z2" s="3113"/>
      <c r="AA2" s="3113"/>
      <c r="AB2" s="3113"/>
      <c r="AC2" s="3113"/>
      <c r="AD2" s="3113"/>
      <c r="AE2" s="3113"/>
      <c r="AF2" s="3113"/>
      <c r="AG2" s="3113"/>
      <c r="AH2" s="3113"/>
      <c r="AI2" s="3113"/>
      <c r="AJ2" s="3113"/>
      <c r="AK2" s="2398"/>
      <c r="AL2" s="2396"/>
    </row>
    <row r="3" spans="1:38" ht="12.75" customHeight="1" x14ac:dyDescent="0.2">
      <c r="A3" s="2396"/>
      <c r="B3" s="2399"/>
      <c r="C3" s="3114"/>
      <c r="D3" s="3114"/>
      <c r="E3" s="3114"/>
      <c r="F3" s="3114"/>
      <c r="G3" s="3114"/>
      <c r="H3" s="3114"/>
      <c r="I3" s="3114"/>
      <c r="J3" s="3114"/>
      <c r="K3" s="3114"/>
      <c r="L3" s="3114"/>
      <c r="M3" s="3114"/>
      <c r="N3" s="3114"/>
      <c r="O3" s="3114"/>
      <c r="P3" s="3114"/>
      <c r="Q3" s="3114"/>
      <c r="R3" s="3114"/>
      <c r="S3" s="3114"/>
      <c r="T3" s="3114"/>
      <c r="U3" s="3114"/>
      <c r="V3" s="3114"/>
      <c r="W3" s="3114"/>
      <c r="X3" s="3114"/>
      <c r="Y3" s="3114"/>
      <c r="Z3" s="3114"/>
      <c r="AA3" s="3114"/>
      <c r="AB3" s="3114"/>
      <c r="AC3" s="3114"/>
      <c r="AD3" s="3114"/>
      <c r="AE3" s="3114"/>
      <c r="AF3" s="3114"/>
      <c r="AG3" s="3114"/>
      <c r="AH3" s="3114"/>
      <c r="AI3" s="3114"/>
      <c r="AJ3" s="3114"/>
      <c r="AK3" s="2400"/>
      <c r="AL3" s="2396"/>
    </row>
    <row r="4" spans="1:38" ht="12.75" customHeight="1" x14ac:dyDescent="0.2">
      <c r="A4" s="2396"/>
      <c r="B4" s="2399"/>
      <c r="C4" s="3114"/>
      <c r="D4" s="3114"/>
      <c r="E4" s="3114"/>
      <c r="F4" s="3114"/>
      <c r="G4" s="3114"/>
      <c r="H4" s="3114"/>
      <c r="I4" s="3114"/>
      <c r="J4" s="3114"/>
      <c r="K4" s="3114"/>
      <c r="L4" s="3114"/>
      <c r="M4" s="3114"/>
      <c r="N4" s="3114"/>
      <c r="O4" s="3114"/>
      <c r="P4" s="3114"/>
      <c r="Q4" s="3114"/>
      <c r="R4" s="3114"/>
      <c r="S4" s="3114"/>
      <c r="T4" s="3114"/>
      <c r="U4" s="3114"/>
      <c r="V4" s="3114"/>
      <c r="W4" s="3114"/>
      <c r="X4" s="3114"/>
      <c r="Y4" s="3114"/>
      <c r="Z4" s="3114"/>
      <c r="AA4" s="3114"/>
      <c r="AB4" s="3114"/>
      <c r="AC4" s="3114"/>
      <c r="AD4" s="3114"/>
      <c r="AE4" s="3114"/>
      <c r="AF4" s="3114"/>
      <c r="AG4" s="3114"/>
      <c r="AH4" s="3114"/>
      <c r="AI4" s="3114"/>
      <c r="AJ4" s="3114"/>
      <c r="AK4" s="2400"/>
      <c r="AL4" s="2396"/>
    </row>
    <row r="5" spans="1:38" ht="12.75" customHeight="1" x14ac:dyDescent="0.2">
      <c r="A5" s="2396"/>
      <c r="B5" s="2399"/>
      <c r="C5" s="3114"/>
      <c r="D5" s="3114"/>
      <c r="E5" s="3114"/>
      <c r="F5" s="3114"/>
      <c r="G5" s="3114"/>
      <c r="H5" s="3114"/>
      <c r="I5" s="3114"/>
      <c r="J5" s="3114"/>
      <c r="K5" s="3114"/>
      <c r="L5" s="3114"/>
      <c r="M5" s="3114"/>
      <c r="N5" s="3114"/>
      <c r="O5" s="3114"/>
      <c r="P5" s="3114"/>
      <c r="Q5" s="3114"/>
      <c r="R5" s="3114"/>
      <c r="S5" s="3114"/>
      <c r="T5" s="3114"/>
      <c r="U5" s="3114"/>
      <c r="V5" s="3114"/>
      <c r="W5" s="3114"/>
      <c r="X5" s="3114"/>
      <c r="Y5" s="3114"/>
      <c r="Z5" s="3114"/>
      <c r="AA5" s="3114"/>
      <c r="AB5" s="3114"/>
      <c r="AC5" s="3114"/>
      <c r="AD5" s="3114"/>
      <c r="AE5" s="3114"/>
      <c r="AF5" s="3114"/>
      <c r="AG5" s="3114"/>
      <c r="AH5" s="3114"/>
      <c r="AI5" s="3114"/>
      <c r="AJ5" s="3114"/>
      <c r="AK5" s="2400"/>
      <c r="AL5" s="2396"/>
    </row>
    <row r="6" spans="1:38" ht="12.75" customHeight="1" x14ac:dyDescent="0.2">
      <c r="A6" s="2396"/>
      <c r="B6" s="2399"/>
      <c r="C6" s="3111" t="s">
        <v>10169</v>
      </c>
      <c r="D6" s="3111"/>
      <c r="E6" s="3111"/>
      <c r="F6" s="3111"/>
      <c r="G6" s="3111"/>
      <c r="H6" s="3111"/>
      <c r="I6" s="3111"/>
      <c r="J6" s="3111"/>
      <c r="K6" s="3111"/>
      <c r="L6" s="3111"/>
      <c r="M6" s="3111"/>
      <c r="N6" s="3111"/>
      <c r="O6" s="3111"/>
      <c r="P6" s="3111"/>
      <c r="Q6" s="3111"/>
      <c r="R6" s="3111"/>
      <c r="S6" s="3111"/>
      <c r="T6" s="3111"/>
      <c r="U6" s="3111"/>
      <c r="V6" s="3111"/>
      <c r="W6" s="3111"/>
      <c r="X6" s="3111"/>
      <c r="Y6" s="3111"/>
      <c r="Z6" s="3111"/>
      <c r="AA6" s="3111"/>
      <c r="AB6" s="3111"/>
      <c r="AC6" s="3111"/>
      <c r="AD6" s="3111"/>
      <c r="AE6" s="3111"/>
      <c r="AF6" s="3111"/>
      <c r="AG6" s="3111"/>
      <c r="AH6" s="3111"/>
      <c r="AI6" s="3111"/>
      <c r="AJ6" s="3111"/>
      <c r="AK6" s="2400"/>
      <c r="AL6" s="2396"/>
    </row>
    <row r="7" spans="1:38" ht="12.75" customHeight="1" x14ac:dyDescent="0.2">
      <c r="A7" s="2396"/>
      <c r="B7" s="2399"/>
      <c r="C7" s="3111"/>
      <c r="D7" s="3111"/>
      <c r="E7" s="3111"/>
      <c r="F7" s="3111"/>
      <c r="G7" s="3111"/>
      <c r="H7" s="3111"/>
      <c r="I7" s="3111"/>
      <c r="J7" s="3111"/>
      <c r="K7" s="3111"/>
      <c r="L7" s="3111"/>
      <c r="M7" s="3111"/>
      <c r="N7" s="3111"/>
      <c r="O7" s="3111"/>
      <c r="P7" s="3111"/>
      <c r="Q7" s="3111"/>
      <c r="R7" s="3111"/>
      <c r="S7" s="3111"/>
      <c r="T7" s="3111"/>
      <c r="U7" s="3111"/>
      <c r="V7" s="3111"/>
      <c r="W7" s="3111"/>
      <c r="X7" s="3111"/>
      <c r="Y7" s="3111"/>
      <c r="Z7" s="3111"/>
      <c r="AA7" s="3111"/>
      <c r="AB7" s="3111"/>
      <c r="AC7" s="3111"/>
      <c r="AD7" s="3111"/>
      <c r="AE7" s="3111"/>
      <c r="AF7" s="3111"/>
      <c r="AG7" s="3111"/>
      <c r="AH7" s="3111"/>
      <c r="AI7" s="3111"/>
      <c r="AJ7" s="3111"/>
      <c r="AK7" s="2400"/>
      <c r="AL7" s="2396"/>
    </row>
    <row r="8" spans="1:38" ht="12.75" customHeight="1" x14ac:dyDescent="0.2">
      <c r="A8" s="2396"/>
      <c r="B8" s="2399"/>
      <c r="C8" s="3111"/>
      <c r="D8" s="3111"/>
      <c r="E8" s="3111"/>
      <c r="F8" s="3111"/>
      <c r="G8" s="3111"/>
      <c r="H8" s="3111"/>
      <c r="I8" s="3111"/>
      <c r="J8" s="3111"/>
      <c r="K8" s="3111"/>
      <c r="L8" s="3111"/>
      <c r="M8" s="3111"/>
      <c r="N8" s="3111"/>
      <c r="O8" s="3111"/>
      <c r="P8" s="3111"/>
      <c r="Q8" s="3111"/>
      <c r="R8" s="3111"/>
      <c r="S8" s="3111"/>
      <c r="T8" s="3111"/>
      <c r="U8" s="3111"/>
      <c r="V8" s="3111"/>
      <c r="W8" s="3111"/>
      <c r="X8" s="3111"/>
      <c r="Y8" s="3111"/>
      <c r="Z8" s="3111"/>
      <c r="AA8" s="3111"/>
      <c r="AB8" s="3111"/>
      <c r="AC8" s="3111"/>
      <c r="AD8" s="3111"/>
      <c r="AE8" s="3111"/>
      <c r="AF8" s="3111"/>
      <c r="AG8" s="3111"/>
      <c r="AH8" s="3111"/>
      <c r="AI8" s="3111"/>
      <c r="AJ8" s="3111"/>
      <c r="AK8" s="2400"/>
      <c r="AL8" s="2396"/>
    </row>
    <row r="9" spans="1:38" ht="12.75" customHeight="1" x14ac:dyDescent="0.2">
      <c r="A9" s="2396"/>
      <c r="B9" s="2399"/>
      <c r="C9" s="3111"/>
      <c r="D9" s="3111"/>
      <c r="E9" s="3111"/>
      <c r="F9" s="3111"/>
      <c r="G9" s="3111"/>
      <c r="H9" s="3111"/>
      <c r="I9" s="3111"/>
      <c r="J9" s="3111"/>
      <c r="K9" s="3111"/>
      <c r="L9" s="3111"/>
      <c r="M9" s="3111"/>
      <c r="N9" s="3111"/>
      <c r="O9" s="3111"/>
      <c r="P9" s="3111"/>
      <c r="Q9" s="3111"/>
      <c r="R9" s="3111"/>
      <c r="S9" s="3111"/>
      <c r="T9" s="3111"/>
      <c r="U9" s="3111"/>
      <c r="V9" s="3111"/>
      <c r="W9" s="3111"/>
      <c r="X9" s="3111"/>
      <c r="Y9" s="3111"/>
      <c r="Z9" s="3111"/>
      <c r="AA9" s="3111"/>
      <c r="AB9" s="3111"/>
      <c r="AC9" s="3111"/>
      <c r="AD9" s="3111"/>
      <c r="AE9" s="3111"/>
      <c r="AF9" s="3111"/>
      <c r="AG9" s="3111"/>
      <c r="AH9" s="3111"/>
      <c r="AI9" s="3111"/>
      <c r="AJ9" s="3111"/>
      <c r="AK9" s="2400"/>
      <c r="AL9" s="2396"/>
    </row>
    <row r="10" spans="1:38" ht="12.75" customHeight="1" x14ac:dyDescent="0.2">
      <c r="A10" s="2396"/>
      <c r="B10" s="2399"/>
      <c r="C10" s="3111"/>
      <c r="D10" s="3111"/>
      <c r="E10" s="3111"/>
      <c r="F10" s="3111"/>
      <c r="G10" s="3111"/>
      <c r="H10" s="3111"/>
      <c r="I10" s="3111"/>
      <c r="J10" s="3111"/>
      <c r="K10" s="3111"/>
      <c r="L10" s="3111"/>
      <c r="M10" s="3111"/>
      <c r="N10" s="3111"/>
      <c r="O10" s="3111"/>
      <c r="P10" s="3111"/>
      <c r="Q10" s="3111"/>
      <c r="R10" s="3111"/>
      <c r="S10" s="3111"/>
      <c r="T10" s="3111"/>
      <c r="U10" s="3111"/>
      <c r="V10" s="3111"/>
      <c r="W10" s="3111"/>
      <c r="X10" s="3111"/>
      <c r="Y10" s="3111"/>
      <c r="Z10" s="3111"/>
      <c r="AA10" s="3111"/>
      <c r="AB10" s="3111"/>
      <c r="AC10" s="3111"/>
      <c r="AD10" s="3111"/>
      <c r="AE10" s="3111"/>
      <c r="AF10" s="3111"/>
      <c r="AG10" s="3111"/>
      <c r="AH10" s="3111"/>
      <c r="AI10" s="3111"/>
      <c r="AJ10" s="3111"/>
      <c r="AK10" s="2400"/>
      <c r="AL10" s="2396"/>
    </row>
    <row r="11" spans="1:38" ht="12.75" customHeight="1" x14ac:dyDescent="0.2">
      <c r="A11" s="2396"/>
      <c r="B11" s="2399"/>
      <c r="C11" s="3111"/>
      <c r="D11" s="3111"/>
      <c r="E11" s="3111"/>
      <c r="F11" s="3111"/>
      <c r="G11" s="3111"/>
      <c r="H11" s="3111"/>
      <c r="I11" s="3111"/>
      <c r="J11" s="3111"/>
      <c r="K11" s="3111"/>
      <c r="L11" s="3111"/>
      <c r="M11" s="3111"/>
      <c r="N11" s="3111"/>
      <c r="O11" s="3111"/>
      <c r="P11" s="3111"/>
      <c r="Q11" s="3111"/>
      <c r="R11" s="3111"/>
      <c r="S11" s="3111"/>
      <c r="T11" s="3111"/>
      <c r="U11" s="3111"/>
      <c r="V11" s="3111"/>
      <c r="W11" s="3111"/>
      <c r="X11" s="3111"/>
      <c r="Y11" s="3111"/>
      <c r="Z11" s="3111"/>
      <c r="AA11" s="3111"/>
      <c r="AB11" s="3111"/>
      <c r="AC11" s="3111"/>
      <c r="AD11" s="3111"/>
      <c r="AE11" s="3111"/>
      <c r="AF11" s="3111"/>
      <c r="AG11" s="3111"/>
      <c r="AH11" s="3111"/>
      <c r="AI11" s="3111"/>
      <c r="AJ11" s="3111"/>
      <c r="AK11" s="2400"/>
      <c r="AL11" s="2396"/>
    </row>
    <row r="12" spans="1:38" ht="12.75" customHeight="1" x14ac:dyDescent="0.2">
      <c r="A12" s="2396"/>
      <c r="B12" s="2399"/>
      <c r="C12" s="3111"/>
      <c r="D12" s="3111"/>
      <c r="E12" s="3111"/>
      <c r="F12" s="3111"/>
      <c r="G12" s="3111"/>
      <c r="H12" s="3111"/>
      <c r="I12" s="3111"/>
      <c r="J12" s="3111"/>
      <c r="K12" s="3111"/>
      <c r="L12" s="3111"/>
      <c r="M12" s="3111"/>
      <c r="N12" s="3111"/>
      <c r="O12" s="3111"/>
      <c r="P12" s="3111"/>
      <c r="Q12" s="3111"/>
      <c r="R12" s="3111"/>
      <c r="S12" s="3111"/>
      <c r="T12" s="3111"/>
      <c r="U12" s="3111"/>
      <c r="V12" s="3111"/>
      <c r="W12" s="3111"/>
      <c r="X12" s="3111"/>
      <c r="Y12" s="3111"/>
      <c r="Z12" s="3111"/>
      <c r="AA12" s="3111"/>
      <c r="AB12" s="3111"/>
      <c r="AC12" s="3111"/>
      <c r="AD12" s="3111"/>
      <c r="AE12" s="3111"/>
      <c r="AF12" s="3111"/>
      <c r="AG12" s="3111"/>
      <c r="AH12" s="3111"/>
      <c r="AI12" s="3111"/>
      <c r="AJ12" s="3111"/>
      <c r="AK12" s="2400"/>
      <c r="AL12" s="2396"/>
    </row>
    <row r="13" spans="1:38" ht="12.75" customHeight="1" x14ac:dyDescent="0.2">
      <c r="A13" s="2396"/>
      <c r="B13" s="2399"/>
      <c r="C13" s="3111"/>
      <c r="D13" s="3111"/>
      <c r="E13" s="3111"/>
      <c r="F13" s="3111"/>
      <c r="G13" s="3111"/>
      <c r="H13" s="3111"/>
      <c r="I13" s="3111"/>
      <c r="J13" s="3111"/>
      <c r="K13" s="3111"/>
      <c r="L13" s="3111"/>
      <c r="M13" s="3111"/>
      <c r="N13" s="3111"/>
      <c r="O13" s="3111"/>
      <c r="P13" s="3111"/>
      <c r="Q13" s="3111"/>
      <c r="R13" s="3111"/>
      <c r="S13" s="3111"/>
      <c r="T13" s="3111"/>
      <c r="U13" s="3111"/>
      <c r="V13" s="3111"/>
      <c r="W13" s="3111"/>
      <c r="X13" s="3111"/>
      <c r="Y13" s="3111"/>
      <c r="Z13" s="3111"/>
      <c r="AA13" s="3111"/>
      <c r="AB13" s="3111"/>
      <c r="AC13" s="3111"/>
      <c r="AD13" s="3111"/>
      <c r="AE13" s="3111"/>
      <c r="AF13" s="3111"/>
      <c r="AG13" s="3111"/>
      <c r="AH13" s="3111"/>
      <c r="AI13" s="3111"/>
      <c r="AJ13" s="3111"/>
      <c r="AK13" s="2400"/>
      <c r="AL13" s="2396"/>
    </row>
    <row r="14" spans="1:38" ht="12.75" customHeight="1" x14ac:dyDescent="0.2">
      <c r="A14" s="2396"/>
      <c r="B14" s="2399"/>
      <c r="C14" s="2402"/>
      <c r="D14" s="2402"/>
      <c r="E14" s="2402"/>
      <c r="F14" s="2402"/>
      <c r="G14" s="2402"/>
      <c r="H14" s="2402"/>
      <c r="I14" s="2402"/>
      <c r="J14" s="2402"/>
      <c r="K14" s="2402"/>
      <c r="L14" s="2402"/>
      <c r="M14" s="2402"/>
      <c r="N14" s="2402"/>
      <c r="O14" s="2402"/>
      <c r="P14" s="2402"/>
      <c r="Q14" s="2402"/>
      <c r="R14" s="2402"/>
      <c r="S14" s="2402"/>
      <c r="T14" s="2402"/>
      <c r="U14" s="2402"/>
      <c r="V14" s="2402"/>
      <c r="W14" s="2402"/>
      <c r="X14" s="2402"/>
      <c r="Y14" s="2402"/>
      <c r="Z14" s="2402"/>
      <c r="AA14" s="2402"/>
      <c r="AB14" s="2402"/>
      <c r="AC14" s="2402"/>
      <c r="AD14" s="2402"/>
      <c r="AE14" s="2402"/>
      <c r="AF14" s="2402"/>
      <c r="AG14" s="2402"/>
      <c r="AH14" s="2402"/>
      <c r="AI14" s="2402"/>
      <c r="AJ14" s="2402"/>
      <c r="AK14" s="2400"/>
      <c r="AL14" s="2396"/>
    </row>
    <row r="15" spans="1:38" ht="12.75" customHeight="1" x14ac:dyDescent="0.2">
      <c r="A15" s="2396"/>
      <c r="B15" s="2399"/>
      <c r="C15" s="3111" t="s">
        <v>10168</v>
      </c>
      <c r="D15" s="3111"/>
      <c r="E15" s="3111"/>
      <c r="F15" s="3111"/>
      <c r="G15" s="3111"/>
      <c r="H15" s="3111"/>
      <c r="I15" s="3111"/>
      <c r="J15" s="3111"/>
      <c r="K15" s="3111"/>
      <c r="L15" s="3111"/>
      <c r="M15" s="3111"/>
      <c r="N15" s="3111"/>
      <c r="O15" s="3111"/>
      <c r="P15" s="3111"/>
      <c r="Q15" s="3111"/>
      <c r="R15" s="3111"/>
      <c r="S15" s="3111"/>
      <c r="T15" s="3111"/>
      <c r="U15" s="3111"/>
      <c r="V15" s="3111"/>
      <c r="W15" s="3111"/>
      <c r="X15" s="3111"/>
      <c r="Y15" s="3111"/>
      <c r="Z15" s="3111"/>
      <c r="AA15" s="3111"/>
      <c r="AB15" s="3111"/>
      <c r="AC15" s="3111"/>
      <c r="AD15" s="3111"/>
      <c r="AE15" s="3111"/>
      <c r="AF15" s="3111"/>
      <c r="AG15" s="3111"/>
      <c r="AH15" s="3111"/>
      <c r="AI15" s="3111"/>
      <c r="AJ15" s="3111"/>
      <c r="AK15" s="2400"/>
      <c r="AL15" s="2396"/>
    </row>
    <row r="16" spans="1:38" ht="12.75" customHeight="1" x14ac:dyDescent="0.2">
      <c r="A16" s="2396"/>
      <c r="B16" s="2399"/>
      <c r="C16" s="3111"/>
      <c r="D16" s="3111"/>
      <c r="E16" s="3111"/>
      <c r="F16" s="3111"/>
      <c r="G16" s="3111"/>
      <c r="H16" s="3111"/>
      <c r="I16" s="3111"/>
      <c r="J16" s="3111"/>
      <c r="K16" s="3111"/>
      <c r="L16" s="3111"/>
      <c r="M16" s="3111"/>
      <c r="N16" s="3111"/>
      <c r="O16" s="3111"/>
      <c r="P16" s="3111"/>
      <c r="Q16" s="3111"/>
      <c r="R16" s="3111"/>
      <c r="S16" s="3111"/>
      <c r="T16" s="3111"/>
      <c r="U16" s="3111"/>
      <c r="V16" s="3111"/>
      <c r="W16" s="3111"/>
      <c r="X16" s="3111"/>
      <c r="Y16" s="3111"/>
      <c r="Z16" s="3111"/>
      <c r="AA16" s="3111"/>
      <c r="AB16" s="3111"/>
      <c r="AC16" s="3111"/>
      <c r="AD16" s="3111"/>
      <c r="AE16" s="3111"/>
      <c r="AF16" s="3111"/>
      <c r="AG16" s="3111"/>
      <c r="AH16" s="3111"/>
      <c r="AI16" s="3111"/>
      <c r="AJ16" s="3111"/>
      <c r="AK16" s="2400"/>
      <c r="AL16" s="2396"/>
    </row>
    <row r="17" spans="1:38" ht="12.75" customHeight="1" x14ac:dyDescent="0.2">
      <c r="A17" s="2396"/>
      <c r="B17" s="2399"/>
      <c r="C17" s="3112" t="str">
        <f>HYPERLINK("https://discord.gg/GK58q7a","Anima a Través de la Red")</f>
        <v>Anima a Través de la Red</v>
      </c>
      <c r="D17" s="3112"/>
      <c r="E17" s="3112"/>
      <c r="F17" s="3112"/>
      <c r="G17" s="3112"/>
      <c r="H17" s="3112"/>
      <c r="I17" s="3112"/>
      <c r="J17" s="3112"/>
      <c r="K17" s="3112"/>
      <c r="L17" s="2401"/>
      <c r="M17" s="2767"/>
      <c r="N17" s="2767"/>
      <c r="O17" s="2767"/>
      <c r="P17" s="2767"/>
      <c r="Q17" s="2767"/>
      <c r="R17" s="2767"/>
      <c r="S17" s="2767"/>
      <c r="T17" s="2767"/>
      <c r="U17" s="2767"/>
      <c r="V17" s="2402"/>
      <c r="W17" s="2402"/>
      <c r="X17" s="2402"/>
      <c r="Y17" s="2402"/>
      <c r="Z17" s="2402"/>
      <c r="AA17" s="2402"/>
      <c r="AB17" s="2402"/>
      <c r="AC17" s="2402"/>
      <c r="AD17" s="2402"/>
      <c r="AE17" s="2402"/>
      <c r="AF17" s="2402"/>
      <c r="AG17" s="2402"/>
      <c r="AH17" s="2402"/>
      <c r="AI17" s="2402"/>
      <c r="AJ17" s="2402"/>
      <c r="AK17" s="2400"/>
      <c r="AL17" s="2396"/>
    </row>
    <row r="18" spans="1:38" ht="12.75" customHeight="1" x14ac:dyDescent="0.2">
      <c r="A18" s="2396"/>
      <c r="B18" s="2399"/>
      <c r="C18" s="2402"/>
      <c r="D18" s="2402"/>
      <c r="E18" s="2402"/>
      <c r="F18" s="2402"/>
      <c r="G18" s="2402"/>
      <c r="H18" s="2402"/>
      <c r="I18" s="2402"/>
      <c r="J18" s="2402"/>
      <c r="K18" s="2402"/>
      <c r="L18" s="2402"/>
      <c r="M18" s="2402"/>
      <c r="N18" s="2402"/>
      <c r="O18" s="2402"/>
      <c r="P18" s="2402"/>
      <c r="Q18" s="2402"/>
      <c r="R18" s="2402"/>
      <c r="S18" s="2402"/>
      <c r="T18" s="2402"/>
      <c r="U18" s="2402"/>
      <c r="V18" s="2402"/>
      <c r="W18" s="2402"/>
      <c r="X18" s="2402"/>
      <c r="Y18" s="2402"/>
      <c r="Z18" s="2402"/>
      <c r="AA18" s="2402"/>
      <c r="AB18" s="2402"/>
      <c r="AC18" s="2402"/>
      <c r="AD18" s="2402"/>
      <c r="AE18" s="2402"/>
      <c r="AF18" s="2402"/>
      <c r="AG18" s="2402"/>
      <c r="AH18" s="2402"/>
      <c r="AI18" s="2402"/>
      <c r="AJ18" s="2402"/>
      <c r="AK18" s="2400"/>
      <c r="AL18" s="2396"/>
    </row>
    <row r="19" spans="1:38" ht="12.75" customHeight="1" x14ac:dyDescent="0.2">
      <c r="A19" s="2396"/>
      <c r="B19" s="2399"/>
      <c r="C19" s="3111" t="s">
        <v>9991</v>
      </c>
      <c r="D19" s="3111"/>
      <c r="E19" s="3111"/>
      <c r="F19" s="3111"/>
      <c r="G19" s="3111"/>
      <c r="H19" s="3111"/>
      <c r="I19" s="3111"/>
      <c r="J19" s="3111"/>
      <c r="K19" s="3111"/>
      <c r="L19" s="3111"/>
      <c r="M19" s="3111"/>
      <c r="N19" s="3111"/>
      <c r="O19" s="3111"/>
      <c r="P19" s="3111"/>
      <c r="Q19" s="3111"/>
      <c r="R19" s="3111"/>
      <c r="S19" s="3111"/>
      <c r="T19" s="3111"/>
      <c r="U19" s="3111"/>
      <c r="V19" s="3111"/>
      <c r="W19" s="3111"/>
      <c r="X19" s="3111"/>
      <c r="Y19" s="3111"/>
      <c r="Z19" s="3111"/>
      <c r="AA19" s="3111"/>
      <c r="AB19" s="3111"/>
      <c r="AC19" s="3111"/>
      <c r="AD19" s="3111"/>
      <c r="AE19" s="3111"/>
      <c r="AF19" s="3111"/>
      <c r="AG19" s="3111"/>
      <c r="AH19" s="3111"/>
      <c r="AI19" s="3111"/>
      <c r="AJ19" s="3111"/>
      <c r="AK19" s="2400"/>
      <c r="AL19" s="2396"/>
    </row>
    <row r="20" spans="1:38" ht="12.75" customHeight="1" x14ac:dyDescent="0.2">
      <c r="A20" s="2396"/>
      <c r="B20" s="2399"/>
      <c r="C20" s="3111"/>
      <c r="D20" s="3111"/>
      <c r="E20" s="3111"/>
      <c r="F20" s="3111"/>
      <c r="G20" s="3111"/>
      <c r="H20" s="3111"/>
      <c r="I20" s="3111"/>
      <c r="J20" s="3111"/>
      <c r="K20" s="3111"/>
      <c r="L20" s="3111"/>
      <c r="M20" s="3111"/>
      <c r="N20" s="3111"/>
      <c r="O20" s="3111"/>
      <c r="P20" s="3111"/>
      <c r="Q20" s="3111"/>
      <c r="R20" s="3111"/>
      <c r="S20" s="3111"/>
      <c r="T20" s="3111"/>
      <c r="U20" s="3111"/>
      <c r="V20" s="3111"/>
      <c r="W20" s="3111"/>
      <c r="X20" s="3111"/>
      <c r="Y20" s="3111"/>
      <c r="Z20" s="3111"/>
      <c r="AA20" s="3111"/>
      <c r="AB20" s="3111"/>
      <c r="AC20" s="3111"/>
      <c r="AD20" s="3111"/>
      <c r="AE20" s="3111"/>
      <c r="AF20" s="3111"/>
      <c r="AG20" s="3111"/>
      <c r="AH20" s="3111"/>
      <c r="AI20" s="3111"/>
      <c r="AJ20" s="3111"/>
      <c r="AK20" s="2400"/>
      <c r="AL20" s="2396"/>
    </row>
    <row r="21" spans="1:38" ht="12.75" customHeight="1" thickBot="1" x14ac:dyDescent="0.25">
      <c r="A21" s="2396"/>
      <c r="B21" s="2403"/>
      <c r="C21" s="2404"/>
      <c r="D21" s="2404"/>
      <c r="E21" s="2404"/>
      <c r="F21" s="2404"/>
      <c r="G21" s="2404"/>
      <c r="H21" s="2404"/>
      <c r="I21" s="2404"/>
      <c r="J21" s="2404"/>
      <c r="K21" s="2404"/>
      <c r="L21" s="2404"/>
      <c r="M21" s="2404"/>
      <c r="N21" s="2404"/>
      <c r="O21" s="2404"/>
      <c r="P21" s="2404"/>
      <c r="Q21" s="2404"/>
      <c r="R21" s="2404"/>
      <c r="S21" s="2404"/>
      <c r="T21" s="2404"/>
      <c r="U21" s="2404"/>
      <c r="V21" s="2404"/>
      <c r="W21" s="2404"/>
      <c r="X21" s="2404"/>
      <c r="Y21" s="2404"/>
      <c r="Z21" s="2404"/>
      <c r="AA21" s="2404"/>
      <c r="AB21" s="2404"/>
      <c r="AC21" s="2404"/>
      <c r="AD21" s="2404"/>
      <c r="AE21" s="2404"/>
      <c r="AF21" s="2404"/>
      <c r="AG21" s="2404"/>
      <c r="AH21" s="2404"/>
      <c r="AI21" s="2404"/>
      <c r="AJ21" s="2404"/>
      <c r="AK21" s="2405"/>
      <c r="AL21" s="2396"/>
    </row>
    <row r="22" spans="1:38" ht="12.75" customHeight="1" x14ac:dyDescent="0.2">
      <c r="A22" s="2396"/>
      <c r="B22" s="2396"/>
      <c r="C22" s="2396"/>
      <c r="D22" s="2396"/>
      <c r="E22" s="2396"/>
      <c r="F22" s="2396"/>
      <c r="G22" s="2396"/>
      <c r="H22" s="2396"/>
      <c r="I22" s="2396"/>
      <c r="J22" s="2396"/>
      <c r="K22" s="2396"/>
      <c r="L22" s="2396"/>
      <c r="M22" s="2396"/>
      <c r="N22" s="2396"/>
      <c r="O22" s="2396"/>
      <c r="P22" s="2396"/>
      <c r="Q22" s="2396"/>
      <c r="R22" s="2396"/>
      <c r="S22" s="2396"/>
      <c r="T22" s="2396"/>
      <c r="U22" s="2396"/>
      <c r="V22" s="2396"/>
      <c r="W22" s="2396"/>
      <c r="X22" s="2396"/>
      <c r="Y22" s="2396"/>
      <c r="Z22" s="2396"/>
      <c r="AA22" s="2396"/>
      <c r="AB22" s="2396"/>
      <c r="AC22" s="2396"/>
      <c r="AD22" s="2396"/>
      <c r="AE22" s="2396"/>
      <c r="AF22" s="2396"/>
      <c r="AG22" s="2396"/>
      <c r="AH22" s="2396"/>
      <c r="AI22" s="2396"/>
      <c r="AJ22" s="2396"/>
      <c r="AK22" s="2396"/>
      <c r="AL22" s="2396"/>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P13" sqref="AP13:AP14"/>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44" t="s">
        <v>8741</v>
      </c>
      <c r="AU1" s="1737"/>
    </row>
    <row r="2" spans="1:47" ht="11.25" customHeight="1" x14ac:dyDescent="0.2">
      <c r="A2" s="9"/>
      <c r="B2" s="815"/>
      <c r="C2" s="626"/>
      <c r="D2" s="626"/>
      <c r="E2" s="626"/>
      <c r="F2" s="626"/>
      <c r="G2" s="626"/>
      <c r="H2" s="626"/>
      <c r="I2" s="626"/>
      <c r="J2" s="626"/>
      <c r="K2" s="626"/>
      <c r="L2" s="626"/>
      <c r="M2" s="626"/>
      <c r="N2" s="626"/>
      <c r="O2" s="626"/>
      <c r="P2" s="626"/>
      <c r="Q2" s="626"/>
      <c r="R2" s="626"/>
      <c r="S2" s="626"/>
      <c r="T2" s="626"/>
      <c r="U2" s="626"/>
      <c r="V2" s="626"/>
      <c r="W2" s="626"/>
      <c r="X2" s="626"/>
      <c r="Y2" s="626"/>
      <c r="Z2" s="626"/>
      <c r="AA2" s="626"/>
      <c r="AB2" s="626"/>
      <c r="AC2" s="626"/>
      <c r="AD2" s="626"/>
      <c r="AE2" s="626"/>
      <c r="AF2" s="626"/>
      <c r="AG2" s="626"/>
      <c r="AH2" s="626"/>
      <c r="AI2" s="626"/>
      <c r="AJ2" s="626"/>
      <c r="AK2" s="628"/>
      <c r="AL2" s="23"/>
      <c r="AN2" s="3115" t="s">
        <v>7067</v>
      </c>
      <c r="AO2" s="3116"/>
      <c r="AP2" s="3116"/>
      <c r="AQ2" s="2947"/>
      <c r="AR2" s="2947"/>
      <c r="AS2" s="2948"/>
      <c r="AT2" s="1737"/>
      <c r="AU2" s="1758"/>
    </row>
    <row r="3" spans="1:47" ht="12" customHeight="1" x14ac:dyDescent="0.2">
      <c r="A3" s="9"/>
      <c r="B3" s="816"/>
      <c r="C3" s="3197" t="s">
        <v>10165</v>
      </c>
      <c r="D3" s="3198"/>
      <c r="E3" s="3198"/>
      <c r="F3" s="3198"/>
      <c r="G3" s="3198"/>
      <c r="H3" s="3198"/>
      <c r="I3" s="3198"/>
      <c r="J3" s="3198"/>
      <c r="K3" s="3198"/>
      <c r="L3" s="3198"/>
      <c r="M3" s="3191" t="str">
        <f>IF(General!$F$22=0,"",General!$F$22)</f>
        <v/>
      </c>
      <c r="N3" s="3191"/>
      <c r="O3" s="3191"/>
      <c r="P3" s="3191"/>
      <c r="Q3" s="3191"/>
      <c r="R3" s="3191"/>
      <c r="S3" s="3191"/>
      <c r="T3" s="3191"/>
      <c r="U3" s="3191"/>
      <c r="V3" s="3191"/>
      <c r="W3" s="3192"/>
      <c r="X3" s="2692"/>
      <c r="Y3" s="3173" t="str">
        <f>IF(General!P24&lt;&gt;"","Retrato - Apariencia "&amp;General!P24,"Retrato")</f>
        <v>Retrato</v>
      </c>
      <c r="Z3" s="3174"/>
      <c r="AA3" s="3174"/>
      <c r="AB3" s="3174"/>
      <c r="AC3" s="3174"/>
      <c r="AD3" s="3174"/>
      <c r="AE3" s="3174"/>
      <c r="AF3" s="3174"/>
      <c r="AG3" s="3174"/>
      <c r="AH3" s="3174"/>
      <c r="AI3" s="3174"/>
      <c r="AJ3" s="3175"/>
      <c r="AK3" s="1847"/>
      <c r="AL3" s="1846"/>
      <c r="AN3" s="3145"/>
      <c r="AO3" s="3146"/>
      <c r="AP3" s="3146"/>
      <c r="AQ3" s="2949"/>
      <c r="AR3" s="2949"/>
      <c r="AS3" s="2950"/>
      <c r="AT3" s="1737" t="s">
        <v>1402</v>
      </c>
      <c r="AU3" s="1737" t="b">
        <f>OR(AP13="Sí",COUNTIF(AU4:AU14,TRUE)&gt;0)</f>
        <v>1</v>
      </c>
    </row>
    <row r="4" spans="1:47" ht="12" customHeight="1" x14ac:dyDescent="0.2">
      <c r="A4" s="9"/>
      <c r="B4" s="816"/>
      <c r="C4" s="3199"/>
      <c r="D4" s="3200"/>
      <c r="E4" s="3200"/>
      <c r="F4" s="3200"/>
      <c r="G4" s="3200"/>
      <c r="H4" s="3200"/>
      <c r="I4" s="3200"/>
      <c r="J4" s="3200"/>
      <c r="K4" s="3200"/>
      <c r="L4" s="3200"/>
      <c r="M4" s="3193"/>
      <c r="N4" s="3193"/>
      <c r="O4" s="3193"/>
      <c r="P4" s="3193"/>
      <c r="Q4" s="3193"/>
      <c r="R4" s="3193"/>
      <c r="S4" s="3193"/>
      <c r="T4" s="3193"/>
      <c r="U4" s="3193"/>
      <c r="V4" s="3193"/>
      <c r="W4" s="3194"/>
      <c r="X4" s="2692"/>
      <c r="Y4" s="3181" t="s">
        <v>9635</v>
      </c>
      <c r="Z4" s="3182"/>
      <c r="AA4" s="3182"/>
      <c r="AB4" s="3182"/>
      <c r="AC4" s="3182"/>
      <c r="AD4" s="3182"/>
      <c r="AE4" s="3182"/>
      <c r="AF4" s="3182"/>
      <c r="AG4" s="3182"/>
      <c r="AH4" s="3182"/>
      <c r="AI4" s="3182"/>
      <c r="AJ4" s="3183"/>
      <c r="AK4" s="1847"/>
      <c r="AL4" s="1846"/>
      <c r="AN4" s="2312"/>
      <c r="AO4" s="2690"/>
      <c r="AP4" s="2690"/>
      <c r="AQ4" s="2690"/>
      <c r="AR4" s="2690"/>
      <c r="AS4" s="2313"/>
      <c r="AT4" s="1737"/>
      <c r="AU4" s="1737" t="b">
        <f>AND(AP13="Sí",NotasPrincipal&lt;&gt;"")</f>
        <v>0</v>
      </c>
    </row>
    <row r="5" spans="1:47" ht="12" customHeight="1" x14ac:dyDescent="0.2">
      <c r="A5" s="9"/>
      <c r="B5" s="816"/>
      <c r="C5" s="3199"/>
      <c r="D5" s="3200"/>
      <c r="E5" s="3200"/>
      <c r="F5" s="3200"/>
      <c r="G5" s="3200"/>
      <c r="H5" s="3200"/>
      <c r="I5" s="3200"/>
      <c r="J5" s="3200"/>
      <c r="K5" s="3200"/>
      <c r="L5" s="3200"/>
      <c r="M5" s="3193"/>
      <c r="N5" s="3193"/>
      <c r="O5" s="3193"/>
      <c r="P5" s="3193"/>
      <c r="Q5" s="3193"/>
      <c r="R5" s="3193"/>
      <c r="S5" s="3193"/>
      <c r="T5" s="3193"/>
      <c r="U5" s="3193"/>
      <c r="V5" s="3193"/>
      <c r="W5" s="3194"/>
      <c r="X5" s="2692"/>
      <c r="Y5" s="3184"/>
      <c r="Z5" s="3185"/>
      <c r="AA5" s="3185"/>
      <c r="AB5" s="3185"/>
      <c r="AC5" s="3185"/>
      <c r="AD5" s="3185"/>
      <c r="AE5" s="3185"/>
      <c r="AF5" s="3185"/>
      <c r="AG5" s="3185"/>
      <c r="AH5" s="3185"/>
      <c r="AI5" s="3185"/>
      <c r="AJ5" s="3186"/>
      <c r="AK5" s="1847"/>
      <c r="AL5" s="1846"/>
      <c r="AN5" s="2312"/>
      <c r="AO5" s="2690"/>
      <c r="AP5" s="2690"/>
      <c r="AQ5" s="2690"/>
      <c r="AR5" s="2690"/>
      <c r="AS5" s="2313"/>
      <c r="AT5" s="1737"/>
      <c r="AU5" s="1737" t="b">
        <f>AND(AP13="Sí",NotasPoderes&lt;&gt;"")</f>
        <v>0</v>
      </c>
    </row>
    <row r="6" spans="1:47" ht="12" customHeight="1" x14ac:dyDescent="0.2">
      <c r="A6" s="9"/>
      <c r="B6" s="816"/>
      <c r="C6" s="3199"/>
      <c r="D6" s="3200"/>
      <c r="E6" s="3200"/>
      <c r="F6" s="3200"/>
      <c r="G6" s="3200"/>
      <c r="H6" s="3200"/>
      <c r="I6" s="3200"/>
      <c r="J6" s="3200"/>
      <c r="K6" s="3200"/>
      <c r="L6" s="3200"/>
      <c r="M6" s="3193"/>
      <c r="N6" s="3193"/>
      <c r="O6" s="3193"/>
      <c r="P6" s="3193"/>
      <c r="Q6" s="3193"/>
      <c r="R6" s="3193"/>
      <c r="S6" s="3193"/>
      <c r="T6" s="3193"/>
      <c r="U6" s="3193"/>
      <c r="V6" s="3193"/>
      <c r="W6" s="3194"/>
      <c r="X6" s="2692"/>
      <c r="Y6" s="3184"/>
      <c r="Z6" s="3185"/>
      <c r="AA6" s="3185"/>
      <c r="AB6" s="3185"/>
      <c r="AC6" s="3185"/>
      <c r="AD6" s="3185"/>
      <c r="AE6" s="3185"/>
      <c r="AF6" s="3185"/>
      <c r="AG6" s="3185"/>
      <c r="AH6" s="3185"/>
      <c r="AI6" s="3185"/>
      <c r="AJ6" s="3186"/>
      <c r="AK6" s="1847"/>
      <c r="AL6" s="1846"/>
      <c r="AN6" s="2312"/>
      <c r="AO6" s="2690"/>
      <c r="AP6" s="2690"/>
      <c r="AQ6" s="2690"/>
      <c r="AR6" s="2690"/>
      <c r="AS6" s="2313"/>
      <c r="AT6" s="1737"/>
      <c r="AU6" s="1737" t="b">
        <f>AND(AP13="Sí",NotasPDs&lt;&gt;"")</f>
        <v>0</v>
      </c>
    </row>
    <row r="7" spans="1:47" ht="12" customHeight="1" x14ac:dyDescent="0.2">
      <c r="A7" s="9"/>
      <c r="B7" s="816"/>
      <c r="C7" s="3199"/>
      <c r="D7" s="3200"/>
      <c r="E7" s="3200"/>
      <c r="F7" s="3200"/>
      <c r="G7" s="3200"/>
      <c r="H7" s="3200"/>
      <c r="I7" s="3200"/>
      <c r="J7" s="3200"/>
      <c r="K7" s="3200"/>
      <c r="L7" s="3200"/>
      <c r="M7" s="3193"/>
      <c r="N7" s="3193"/>
      <c r="O7" s="3193"/>
      <c r="P7" s="3193"/>
      <c r="Q7" s="3193"/>
      <c r="R7" s="3193"/>
      <c r="S7" s="3193"/>
      <c r="T7" s="3193"/>
      <c r="U7" s="3193"/>
      <c r="V7" s="3193"/>
      <c r="W7" s="3194"/>
      <c r="X7" s="2692"/>
      <c r="Y7" s="3184"/>
      <c r="Z7" s="3185"/>
      <c r="AA7" s="3185"/>
      <c r="AB7" s="3185"/>
      <c r="AC7" s="3185"/>
      <c r="AD7" s="3185"/>
      <c r="AE7" s="3185"/>
      <c r="AF7" s="3185"/>
      <c r="AG7" s="3185"/>
      <c r="AH7" s="3185"/>
      <c r="AI7" s="3185"/>
      <c r="AJ7" s="3186"/>
      <c r="AK7" s="1847"/>
      <c r="AL7" s="1846"/>
      <c r="AN7" s="2312"/>
      <c r="AO7" s="2690"/>
      <c r="AP7" s="2690"/>
      <c r="AQ7" s="3205"/>
      <c r="AR7" s="3205"/>
      <c r="AS7" s="3206"/>
      <c r="AT7" s="1737"/>
      <c r="AU7" s="1737" t="b">
        <f>AND(AP13="Sí",NotasEquipoCombate&lt;&gt;"")</f>
        <v>0</v>
      </c>
    </row>
    <row r="8" spans="1:47" ht="15.75" customHeight="1" x14ac:dyDescent="0.2">
      <c r="A8" s="9"/>
      <c r="B8" s="816"/>
      <c r="C8" s="3201"/>
      <c r="D8" s="3202"/>
      <c r="E8" s="3202"/>
      <c r="F8" s="3202"/>
      <c r="G8" s="3202"/>
      <c r="H8" s="3202"/>
      <c r="I8" s="3202"/>
      <c r="J8" s="3202"/>
      <c r="K8" s="3202"/>
      <c r="L8" s="3202"/>
      <c r="M8" s="3195"/>
      <c r="N8" s="3195"/>
      <c r="O8" s="3195"/>
      <c r="P8" s="3195"/>
      <c r="Q8" s="3195"/>
      <c r="R8" s="3195"/>
      <c r="S8" s="3195"/>
      <c r="T8" s="3195"/>
      <c r="U8" s="3195"/>
      <c r="V8" s="3195"/>
      <c r="W8" s="3196"/>
      <c r="X8" s="2692"/>
      <c r="Y8" s="3184"/>
      <c r="Z8" s="3185"/>
      <c r="AA8" s="3185"/>
      <c r="AB8" s="3185"/>
      <c r="AC8" s="3185"/>
      <c r="AD8" s="3185"/>
      <c r="AE8" s="3185"/>
      <c r="AF8" s="3185"/>
      <c r="AG8" s="3185"/>
      <c r="AH8" s="3185"/>
      <c r="AI8" s="3185"/>
      <c r="AJ8" s="3186"/>
      <c r="AK8" s="1847"/>
      <c r="AL8" s="1846"/>
      <c r="AN8" s="2312"/>
      <c r="AO8" s="2690"/>
      <c r="AP8" s="2690"/>
      <c r="AQ8" s="3205"/>
      <c r="AR8" s="3205"/>
      <c r="AS8" s="3206"/>
      <c r="AT8" s="1737"/>
      <c r="AU8" s="1737" t="b">
        <f>AND(AP13="Sí",NotasCapacidadesCombate&lt;&gt;"")</f>
        <v>0</v>
      </c>
    </row>
    <row r="9" spans="1:47" ht="10.5" customHeight="1" x14ac:dyDescent="0.2">
      <c r="A9" s="9"/>
      <c r="B9" s="816"/>
      <c r="C9" s="2694"/>
      <c r="D9" s="2409"/>
      <c r="E9" s="2409"/>
      <c r="F9" s="2409"/>
      <c r="G9" s="2409"/>
      <c r="H9" s="2409"/>
      <c r="I9" s="2409"/>
      <c r="J9" s="2409"/>
      <c r="K9" s="2409"/>
      <c r="L9" s="2409"/>
      <c r="M9" s="2409"/>
      <c r="N9" s="2409"/>
      <c r="O9" s="2409"/>
      <c r="P9" s="2409"/>
      <c r="Q9" s="2409"/>
      <c r="R9" s="2409"/>
      <c r="S9" s="2409"/>
      <c r="T9" s="2409"/>
      <c r="U9" s="2409"/>
      <c r="V9" s="2409"/>
      <c r="W9" s="2409"/>
      <c r="X9" s="2691"/>
      <c r="Y9" s="3184"/>
      <c r="Z9" s="3185"/>
      <c r="AA9" s="3185"/>
      <c r="AB9" s="3185"/>
      <c r="AC9" s="3185"/>
      <c r="AD9" s="3185"/>
      <c r="AE9" s="3185"/>
      <c r="AF9" s="3185"/>
      <c r="AG9" s="3185"/>
      <c r="AH9" s="3185"/>
      <c r="AI9" s="3185"/>
      <c r="AJ9" s="3186"/>
      <c r="AK9" s="1848"/>
      <c r="AL9" s="22"/>
      <c r="AN9" s="2312"/>
      <c r="AO9" s="2690"/>
      <c r="AP9" s="2690"/>
      <c r="AQ9" s="3205"/>
      <c r="AR9" s="3205"/>
      <c r="AS9" s="3206"/>
      <c r="AT9" s="1737"/>
      <c r="AU9" s="1737" t="b">
        <f>AND(AP13="Sí",NotasKi&lt;&gt;"")</f>
        <v>0</v>
      </c>
    </row>
    <row r="10" spans="1:47" ht="4.5" customHeight="1" thickBot="1" x14ac:dyDescent="0.25">
      <c r="A10" s="9"/>
      <c r="B10" s="816"/>
      <c r="C10" s="1853"/>
      <c r="D10" s="1579"/>
      <c r="E10" s="1579"/>
      <c r="F10" s="1855"/>
      <c r="G10" s="1855"/>
      <c r="H10" s="1856"/>
      <c r="I10" s="1856"/>
      <c r="J10" s="1856"/>
      <c r="K10" s="1856"/>
      <c r="L10" s="1856"/>
      <c r="M10" s="1856"/>
      <c r="N10" s="1856"/>
      <c r="O10" s="1856"/>
      <c r="P10" s="1856"/>
      <c r="Q10" s="1856"/>
      <c r="R10" s="1855"/>
      <c r="S10" s="1855"/>
      <c r="T10" s="1579"/>
      <c r="U10" s="1579"/>
      <c r="V10" s="1579"/>
      <c r="W10" s="1579"/>
      <c r="X10" s="1868"/>
      <c r="Y10" s="3184"/>
      <c r="Z10" s="3185"/>
      <c r="AA10" s="3185"/>
      <c r="AB10" s="3185"/>
      <c r="AC10" s="3185"/>
      <c r="AD10" s="3185"/>
      <c r="AE10" s="3185"/>
      <c r="AF10" s="3185"/>
      <c r="AG10" s="3185"/>
      <c r="AH10" s="3185"/>
      <c r="AI10" s="3185"/>
      <c r="AJ10" s="3186"/>
      <c r="AK10" s="629"/>
      <c r="AL10" s="22"/>
      <c r="AN10" s="2312"/>
      <c r="AO10" s="2690"/>
      <c r="AP10" s="2690"/>
      <c r="AQ10" s="2690"/>
      <c r="AR10" s="2690"/>
      <c r="AS10" s="2313"/>
      <c r="AT10" s="1737"/>
      <c r="AU10" s="1737" t="b">
        <f>AND(AP13="Sí",NotasMisticos&lt;&gt;"")</f>
        <v>0</v>
      </c>
    </row>
    <row r="11" spans="1:47" ht="13.5" customHeight="1" x14ac:dyDescent="0.2">
      <c r="A11" s="9"/>
      <c r="B11" s="817"/>
      <c r="C11" s="2053"/>
      <c r="D11" s="2695" t="s">
        <v>1325</v>
      </c>
      <c r="E11" s="2695"/>
      <c r="F11" s="3178" t="str">
        <f>(PDs!S7+PDs!S9+PDs!S11+PDs!S13+PDs!S15)&amp;IF(Principal!AA27=0,""," + "&amp;Principal!AA27)</f>
        <v>0</v>
      </c>
      <c r="G11" s="3178"/>
      <c r="H11" s="3178"/>
      <c r="I11" s="3178"/>
      <c r="J11" s="2696"/>
      <c r="K11" s="2697" t="s">
        <v>1363</v>
      </c>
      <c r="L11" s="3180" t="str">
        <f>Principal!K7</f>
        <v>Natural 10</v>
      </c>
      <c r="M11" s="3180"/>
      <c r="N11" s="3180"/>
      <c r="O11" s="3180"/>
      <c r="P11" s="3180"/>
      <c r="Q11" s="3180"/>
      <c r="R11" s="3180"/>
      <c r="S11" s="3180"/>
      <c r="T11" s="3180"/>
      <c r="U11" s="3180"/>
      <c r="V11" s="3180"/>
      <c r="W11" s="3190"/>
      <c r="X11" s="2698"/>
      <c r="Y11" s="3184"/>
      <c r="Z11" s="3185"/>
      <c r="AA11" s="3185"/>
      <c r="AB11" s="3185"/>
      <c r="AC11" s="3185"/>
      <c r="AD11" s="3185"/>
      <c r="AE11" s="3185"/>
      <c r="AF11" s="3185"/>
      <c r="AG11" s="3185"/>
      <c r="AH11" s="3185"/>
      <c r="AI11" s="3185"/>
      <c r="AJ11" s="3186"/>
      <c r="AK11" s="629"/>
      <c r="AL11" s="22"/>
      <c r="AN11" s="3115" t="s">
        <v>10162</v>
      </c>
      <c r="AO11" s="3116"/>
      <c r="AP11" s="3116"/>
      <c r="AQ11" s="3147" t="s">
        <v>10163</v>
      </c>
      <c r="AR11" s="3148"/>
      <c r="AS11" s="3151" t="s">
        <v>1381</v>
      </c>
      <c r="AT11" s="1737"/>
      <c r="AU11" s="1737" t="b">
        <f>AND(AP13="Sí",NotasSheele&lt;&gt;"")</f>
        <v>0</v>
      </c>
    </row>
    <row r="12" spans="1:47" ht="13.5" customHeight="1" thickBot="1" x14ac:dyDescent="0.25">
      <c r="A12" s="9"/>
      <c r="B12" s="817"/>
      <c r="C12" s="2053"/>
      <c r="D12" s="2699" t="s">
        <v>9564</v>
      </c>
      <c r="E12" s="3180" t="str">
        <f>"   "&amp;Principal!N11</f>
        <v xml:space="preserve">   20</v>
      </c>
      <c r="F12" s="3180"/>
      <c r="G12" s="3180"/>
      <c r="H12" s="2700"/>
      <c r="I12" s="2701"/>
      <c r="J12" s="2701"/>
      <c r="K12" s="2697" t="s">
        <v>1324</v>
      </c>
      <c r="L12" s="3207" t="str">
        <f>IF(LEN(PDs!E11)&lt;=AT20,PDs!E11,"… /"&amp;RIGHT(PDs!E11,AT20-FIND("/",RIGHT(PDs!E11,AT20))))</f>
        <v/>
      </c>
      <c r="M12" s="3207"/>
      <c r="N12" s="3207"/>
      <c r="O12" s="3207"/>
      <c r="P12" s="3207"/>
      <c r="Q12" s="3207"/>
      <c r="R12" s="3207"/>
      <c r="S12" s="3207"/>
      <c r="T12" s="3207"/>
      <c r="U12" s="3207"/>
      <c r="V12" s="3207"/>
      <c r="W12" s="3208"/>
      <c r="X12" s="2702"/>
      <c r="Y12" s="3184"/>
      <c r="Z12" s="3185"/>
      <c r="AA12" s="3185"/>
      <c r="AB12" s="3185"/>
      <c r="AC12" s="3185"/>
      <c r="AD12" s="3185"/>
      <c r="AE12" s="3185"/>
      <c r="AF12" s="3185"/>
      <c r="AG12" s="3185"/>
      <c r="AH12" s="3185"/>
      <c r="AI12" s="3185"/>
      <c r="AJ12" s="3186"/>
      <c r="AK12" s="629"/>
      <c r="AL12" s="22"/>
      <c r="AN12" s="3209"/>
      <c r="AO12" s="3210"/>
      <c r="AP12" s="3210"/>
      <c r="AQ12" s="3149"/>
      <c r="AR12" s="3150"/>
      <c r="AS12" s="3152"/>
      <c r="AT12" s="1737"/>
      <c r="AU12" s="1737" t="b">
        <f>AND(AP13="Sí",NotasPsiquicos&lt;&gt;"")</f>
        <v>0</v>
      </c>
    </row>
    <row r="13" spans="1:47" ht="12" customHeight="1" x14ac:dyDescent="0.2">
      <c r="A13" s="9"/>
      <c r="B13" s="817"/>
      <c r="C13" s="2053"/>
      <c r="D13" s="2703" t="s">
        <v>1852</v>
      </c>
      <c r="E13" s="2703"/>
      <c r="F13" s="3127">
        <f>FUE</f>
        <v>0</v>
      </c>
      <c r="G13" s="3127"/>
      <c r="H13" s="2703" t="s">
        <v>1853</v>
      </c>
      <c r="I13" s="2703"/>
      <c r="J13" s="3127">
        <f>DES</f>
        <v>0</v>
      </c>
      <c r="K13" s="3127"/>
      <c r="L13" s="2703" t="s">
        <v>1854</v>
      </c>
      <c r="M13" s="2703"/>
      <c r="N13" s="3127">
        <f>AGI</f>
        <v>0</v>
      </c>
      <c r="O13" s="3127"/>
      <c r="P13" s="2703" t="s">
        <v>1855</v>
      </c>
      <c r="Q13" s="2703"/>
      <c r="R13" s="3127">
        <f>CON</f>
        <v>0</v>
      </c>
      <c r="S13" s="3127"/>
      <c r="T13" s="2704"/>
      <c r="U13" s="2704"/>
      <c r="V13" s="2704"/>
      <c r="W13" s="1859"/>
      <c r="X13" s="2705"/>
      <c r="Y13" s="3184"/>
      <c r="Z13" s="3185"/>
      <c r="AA13" s="3185"/>
      <c r="AB13" s="3185"/>
      <c r="AC13" s="3185"/>
      <c r="AD13" s="3185"/>
      <c r="AE13" s="3185"/>
      <c r="AF13" s="3185"/>
      <c r="AG13" s="3185"/>
      <c r="AH13" s="3185"/>
      <c r="AI13" s="3185"/>
      <c r="AJ13" s="3186"/>
      <c r="AK13" s="629"/>
      <c r="AL13" s="22"/>
      <c r="AN13" s="3118" t="s">
        <v>1402</v>
      </c>
      <c r="AO13" s="3119"/>
      <c r="AP13" s="3211" t="s">
        <v>2584</v>
      </c>
      <c r="AQ13" s="3118" t="s">
        <v>1326</v>
      </c>
      <c r="AR13" s="3119"/>
      <c r="AS13" s="3124" t="s">
        <v>1381</v>
      </c>
      <c r="AT13" s="1737"/>
      <c r="AU13" s="1737" t="b">
        <f>AND(AP13="Sí",NotasPersonalizacion&lt;&gt;"")</f>
        <v>0</v>
      </c>
    </row>
    <row r="14" spans="1:47" ht="13.5" customHeight="1" x14ac:dyDescent="0.2">
      <c r="A14" s="9"/>
      <c r="B14" s="817"/>
      <c r="C14" s="2053"/>
      <c r="D14" s="2706" t="s">
        <v>1856</v>
      </c>
      <c r="E14" s="2706"/>
      <c r="F14" s="3127">
        <f>POD</f>
        <v>0</v>
      </c>
      <c r="G14" s="3127"/>
      <c r="H14" s="2706" t="s">
        <v>1857</v>
      </c>
      <c r="I14" s="2706"/>
      <c r="J14" s="3127">
        <f>INT</f>
        <v>0</v>
      </c>
      <c r="K14" s="3127"/>
      <c r="L14" s="2706" t="s">
        <v>1858</v>
      </c>
      <c r="M14" s="2706"/>
      <c r="N14" s="3127">
        <f>VOL</f>
        <v>0</v>
      </c>
      <c r="O14" s="3127"/>
      <c r="P14" s="2706" t="s">
        <v>1859</v>
      </c>
      <c r="Q14" s="2706"/>
      <c r="R14" s="3127">
        <f>PER</f>
        <v>0</v>
      </c>
      <c r="S14" s="3127"/>
      <c r="T14" s="2704"/>
      <c r="U14" s="2704"/>
      <c r="V14" s="2704"/>
      <c r="W14" s="1859"/>
      <c r="X14" s="2705"/>
      <c r="Y14" s="3184"/>
      <c r="Z14" s="3185"/>
      <c r="AA14" s="3185"/>
      <c r="AB14" s="3185"/>
      <c r="AC14" s="3185"/>
      <c r="AD14" s="3185"/>
      <c r="AE14" s="3185"/>
      <c r="AF14" s="3185"/>
      <c r="AG14" s="3185"/>
      <c r="AH14" s="3185"/>
      <c r="AI14" s="3185"/>
      <c r="AJ14" s="3186"/>
      <c r="AK14" s="629"/>
      <c r="AL14" s="22"/>
      <c r="AN14" s="3118"/>
      <c r="AO14" s="3119"/>
      <c r="AP14" s="3211"/>
      <c r="AQ14" s="3118"/>
      <c r="AR14" s="3119"/>
      <c r="AS14" s="3124"/>
      <c r="AT14" s="1737" t="s">
        <v>1475</v>
      </c>
      <c r="AU14" s="1737" t="b">
        <f>AND(AP15="Sí",COUNTIF(Principal!$D$68:$E$77,"*")&gt;0)</f>
        <v>0</v>
      </c>
    </row>
    <row r="15" spans="1:47" ht="13.5" customHeight="1" x14ac:dyDescent="0.2">
      <c r="A15" s="9"/>
      <c r="B15" s="817"/>
      <c r="C15" s="2053"/>
      <c r="D15" s="2707" t="s">
        <v>1839</v>
      </c>
      <c r="E15" s="2707"/>
      <c r="F15" s="2707"/>
      <c r="G15" s="2707"/>
      <c r="H15" s="3163">
        <f>Presencia_final</f>
        <v>20</v>
      </c>
      <c r="I15" s="3163"/>
      <c r="J15" s="3163"/>
      <c r="K15" s="3163"/>
      <c r="L15" s="2708"/>
      <c r="M15" s="2708"/>
      <c r="N15" s="2709"/>
      <c r="O15" s="2709"/>
      <c r="P15" s="2710"/>
      <c r="Q15" s="2710"/>
      <c r="R15" s="2711"/>
      <c r="S15" s="2711"/>
      <c r="T15" s="2704"/>
      <c r="U15" s="2704"/>
      <c r="V15" s="2704"/>
      <c r="W15" s="1859"/>
      <c r="X15" s="2705"/>
      <c r="Y15" s="3187"/>
      <c r="Z15" s="3188"/>
      <c r="AA15" s="3188"/>
      <c r="AB15" s="3188"/>
      <c r="AC15" s="3188"/>
      <c r="AD15" s="3188"/>
      <c r="AE15" s="3188"/>
      <c r="AF15" s="3188"/>
      <c r="AG15" s="3188"/>
      <c r="AH15" s="3188"/>
      <c r="AI15" s="3188"/>
      <c r="AJ15" s="3189"/>
      <c r="AK15" s="629"/>
      <c r="AL15" s="22"/>
      <c r="AN15" s="3212" t="s">
        <v>1475</v>
      </c>
      <c r="AO15" s="3213"/>
      <c r="AP15" s="3216" t="s">
        <v>2584</v>
      </c>
      <c r="AQ15" s="3212" t="s">
        <v>9563</v>
      </c>
      <c r="AR15" s="3213"/>
      <c r="AS15" s="3125" t="s">
        <v>1381</v>
      </c>
      <c r="AT15" s="1737" t="s">
        <v>1326</v>
      </c>
      <c r="AU15" s="1737" t="b">
        <f>AS13="Sí"</f>
        <v>0</v>
      </c>
    </row>
    <row r="16" spans="1:47" ht="12" customHeight="1" thickBot="1" x14ac:dyDescent="0.25">
      <c r="A16" s="9"/>
      <c r="B16" s="817"/>
      <c r="C16" s="2053"/>
      <c r="D16" s="2712" t="s">
        <v>1860</v>
      </c>
      <c r="E16" s="2713"/>
      <c r="F16" s="3127">
        <f>Principal!J58</f>
        <v>20</v>
      </c>
      <c r="G16" s="3127"/>
      <c r="H16" s="2712" t="s">
        <v>1861</v>
      </c>
      <c r="I16" s="2712"/>
      <c r="J16" s="3127">
        <f>Principal!J61</f>
        <v>20</v>
      </c>
      <c r="K16" s="3127"/>
      <c r="L16" s="2712" t="s">
        <v>1862</v>
      </c>
      <c r="M16" s="2712"/>
      <c r="N16" s="3127">
        <f>Principal!J62</f>
        <v>20</v>
      </c>
      <c r="O16" s="3127"/>
      <c r="P16" s="2712" t="s">
        <v>1863</v>
      </c>
      <c r="Q16" s="2712"/>
      <c r="R16" s="3127">
        <f>Principal!J60</f>
        <v>20</v>
      </c>
      <c r="S16" s="3127"/>
      <c r="T16" s="2712" t="s">
        <v>1864</v>
      </c>
      <c r="U16" s="2712"/>
      <c r="V16" s="3176">
        <f>Principal!J59</f>
        <v>20</v>
      </c>
      <c r="W16" s="3177"/>
      <c r="X16" s="2714"/>
      <c r="Y16" s="2715"/>
      <c r="Z16" s="2715"/>
      <c r="AA16" s="2691"/>
      <c r="AB16" s="2691"/>
      <c r="AC16" s="2691"/>
      <c r="AD16" s="2691"/>
      <c r="AE16" s="2691"/>
      <c r="AF16" s="2715"/>
      <c r="AG16" s="2715"/>
      <c r="AH16" s="2715"/>
      <c r="AI16" s="2715"/>
      <c r="AJ16" s="2715"/>
      <c r="AK16" s="629"/>
      <c r="AL16" s="22"/>
      <c r="AN16" s="3214"/>
      <c r="AO16" s="3215"/>
      <c r="AP16" s="3217"/>
      <c r="AQ16" s="3214"/>
      <c r="AR16" s="3215"/>
      <c r="AS16" s="3152"/>
      <c r="AT16" s="1737" t="s">
        <v>10164</v>
      </c>
      <c r="AU16" s="1737" t="b">
        <f>AS11="Sí"</f>
        <v>0</v>
      </c>
    </row>
    <row r="17" spans="1:47" ht="2.25" customHeight="1" x14ac:dyDescent="0.2">
      <c r="A17" s="9"/>
      <c r="B17" s="817"/>
      <c r="C17" s="2052"/>
      <c r="D17" s="1852"/>
      <c r="E17" s="1852"/>
      <c r="F17" s="2320"/>
      <c r="G17" s="2320"/>
      <c r="H17" s="2159"/>
      <c r="I17" s="2159"/>
      <c r="J17" s="1851"/>
      <c r="K17" s="1851"/>
      <c r="L17" s="2159"/>
      <c r="M17" s="2159"/>
      <c r="N17" s="1851"/>
      <c r="O17" s="1851"/>
      <c r="P17" s="2159"/>
      <c r="Q17" s="2159"/>
      <c r="R17" s="1851"/>
      <c r="S17" s="1851"/>
      <c r="T17" s="2159"/>
      <c r="U17" s="2159"/>
      <c r="V17" s="1851"/>
      <c r="W17" s="1851"/>
      <c r="X17" s="2318"/>
      <c r="Y17" s="2318"/>
      <c r="Z17" s="2319"/>
      <c r="AA17" s="2319"/>
      <c r="AB17" s="2318"/>
      <c r="AC17" s="2318"/>
      <c r="AD17" s="2319"/>
      <c r="AE17" s="2319"/>
      <c r="AF17" s="2318"/>
      <c r="AG17" s="2318"/>
      <c r="AH17" s="2319"/>
      <c r="AI17" s="2319"/>
      <c r="AJ17" s="1857"/>
      <c r="AK17" s="629"/>
      <c r="AL17" s="2344"/>
      <c r="AM17" s="2409"/>
      <c r="AN17" s="2691"/>
      <c r="AO17" s="2691"/>
      <c r="AP17" s="2691"/>
      <c r="AQ17" s="2691"/>
      <c r="AR17" s="2691"/>
      <c r="AS17" s="2691"/>
      <c r="AT17" s="1737" t="s">
        <v>9563</v>
      </c>
      <c r="AU17" s="1737" t="b">
        <f>AS15="Sí"</f>
        <v>0</v>
      </c>
    </row>
    <row r="18" spans="1:47" ht="1.5" customHeight="1" x14ac:dyDescent="0.2">
      <c r="A18" s="9"/>
      <c r="B18" s="817"/>
      <c r="C18" s="2053"/>
      <c r="D18" s="3179" t="s">
        <v>1865</v>
      </c>
      <c r="E18" s="3179"/>
      <c r="F18" s="3179"/>
      <c r="G18" s="3179"/>
      <c r="H18" s="2578"/>
      <c r="I18" s="2578"/>
      <c r="J18" s="2578"/>
      <c r="K18" s="2578"/>
      <c r="L18" s="2578"/>
      <c r="M18" s="2578"/>
      <c r="N18" s="2578"/>
      <c r="O18" s="2578"/>
      <c r="P18" s="2578"/>
      <c r="Q18" s="2578"/>
      <c r="R18" s="2578"/>
      <c r="S18" s="2578"/>
      <c r="T18" s="2578"/>
      <c r="U18" s="2578"/>
      <c r="V18" s="2578"/>
      <c r="W18" s="2578"/>
      <c r="X18" s="2578"/>
      <c r="Y18" s="2578"/>
      <c r="Z18" s="2578"/>
      <c r="AA18" s="2578"/>
      <c r="AB18" s="2578"/>
      <c r="AC18" s="2578"/>
      <c r="AD18" s="2578"/>
      <c r="AE18" s="2578"/>
      <c r="AF18" s="2578"/>
      <c r="AG18" s="2578"/>
      <c r="AH18" s="2578"/>
      <c r="AI18" s="2578"/>
      <c r="AJ18" s="1860"/>
      <c r="AK18" s="629"/>
      <c r="AL18" s="2344"/>
      <c r="AM18" s="2409"/>
      <c r="AN18" s="2691"/>
      <c r="AO18" s="2691"/>
      <c r="AP18" s="2691"/>
      <c r="AQ18" s="2691"/>
      <c r="AR18" s="2691"/>
      <c r="AS18" s="2691"/>
      <c r="AT18" s="1737"/>
      <c r="AU18" s="1737"/>
    </row>
    <row r="19" spans="1:47" ht="12" customHeight="1" x14ac:dyDescent="0.2">
      <c r="A19" s="9"/>
      <c r="B19" s="817"/>
      <c r="C19" s="2053"/>
      <c r="D19" s="3179"/>
      <c r="E19" s="3179"/>
      <c r="F19" s="3179"/>
      <c r="G19" s="3179"/>
      <c r="H19" s="3136" t="str">
        <f ca="1">Combate!$AV48&amp;Combate!$AW48&amp;Combate!$AX48&amp;Combate!$AY48&amp;Combate!$AZ48&amp;Combate!$BA48&amp;Combate!$BB48&amp;Combate!$BC48&amp;Combate!$BD48&amp;Combate!$BE48&amp;Combate!$BF48&amp;Combate!$BG48&amp;Combate!BH47</f>
        <v>40 Desarmado</v>
      </c>
      <c r="I19" s="3136"/>
      <c r="J19" s="3136"/>
      <c r="K19" s="3136"/>
      <c r="L19" s="3136"/>
      <c r="M19" s="3136"/>
      <c r="N19" s="3136"/>
      <c r="O19" s="3136"/>
      <c r="P19" s="3136"/>
      <c r="Q19" s="3136"/>
      <c r="R19" s="3136"/>
      <c r="S19" s="3136"/>
      <c r="T19" s="3136"/>
      <c r="U19" s="3136"/>
      <c r="V19" s="3136"/>
      <c r="W19" s="3136"/>
      <c r="X19" s="3136"/>
      <c r="Y19" s="3136"/>
      <c r="Z19" s="3136"/>
      <c r="AA19" s="3136"/>
      <c r="AB19" s="3136"/>
      <c r="AC19" s="3136"/>
      <c r="AD19" s="3136"/>
      <c r="AE19" s="3136"/>
      <c r="AF19" s="3136"/>
      <c r="AG19" s="3136"/>
      <c r="AH19" s="3136"/>
      <c r="AI19" s="3136"/>
      <c r="AJ19" s="1860"/>
      <c r="AK19" s="629"/>
      <c r="AL19" s="22"/>
      <c r="AM19" s="2409"/>
      <c r="AQ19" s="2747"/>
      <c r="AR19" s="2747"/>
      <c r="AS19" s="2747"/>
      <c r="AT19" s="3045"/>
      <c r="AU19" s="3045"/>
    </row>
    <row r="20" spans="1:47" ht="12" customHeight="1" x14ac:dyDescent="0.2">
      <c r="A20" s="9"/>
      <c r="B20" s="817"/>
      <c r="C20" s="2053"/>
      <c r="D20" s="3179"/>
      <c r="E20" s="3179"/>
      <c r="F20" s="3179"/>
      <c r="G20" s="3179"/>
      <c r="H20" s="3136"/>
      <c r="I20" s="3136"/>
      <c r="J20" s="3136"/>
      <c r="K20" s="3136"/>
      <c r="L20" s="3136"/>
      <c r="M20" s="3136"/>
      <c r="N20" s="3136"/>
      <c r="O20" s="3136"/>
      <c r="P20" s="3136"/>
      <c r="Q20" s="3136"/>
      <c r="R20" s="3136"/>
      <c r="S20" s="3136"/>
      <c r="T20" s="3136"/>
      <c r="U20" s="3136"/>
      <c r="V20" s="3136"/>
      <c r="W20" s="3136"/>
      <c r="X20" s="3136"/>
      <c r="Y20" s="3136"/>
      <c r="Z20" s="3136"/>
      <c r="AA20" s="3136"/>
      <c r="AB20" s="3136"/>
      <c r="AC20" s="3136"/>
      <c r="AD20" s="3136"/>
      <c r="AE20" s="3136"/>
      <c r="AF20" s="3136"/>
      <c r="AG20" s="3136"/>
      <c r="AH20" s="3136"/>
      <c r="AI20" s="3136"/>
      <c r="AJ20" s="1860"/>
      <c r="AK20" s="629"/>
      <c r="AL20" s="22"/>
      <c r="AM20" s="2409"/>
      <c r="AQ20" s="2748"/>
      <c r="AR20" s="2748"/>
      <c r="AS20" s="2748"/>
      <c r="AT20" s="1737">
        <v>45</v>
      </c>
      <c r="AU20" s="3045"/>
    </row>
    <row r="21" spans="1:47" ht="1.5" customHeight="1" x14ac:dyDescent="0.2">
      <c r="A21" s="9"/>
      <c r="B21" s="817"/>
      <c r="C21" s="2053"/>
      <c r="D21" s="3179" t="s">
        <v>1397</v>
      </c>
      <c r="E21" s="3179"/>
      <c r="F21" s="3179"/>
      <c r="G21" s="3179"/>
      <c r="H21" s="3136"/>
      <c r="I21" s="3136"/>
      <c r="J21" s="3136"/>
      <c r="K21" s="3136"/>
      <c r="L21" s="3136"/>
      <c r="M21" s="3136"/>
      <c r="N21" s="3136"/>
      <c r="O21" s="3136"/>
      <c r="P21" s="3136"/>
      <c r="Q21" s="3136"/>
      <c r="R21" s="3136"/>
      <c r="S21" s="3136"/>
      <c r="T21" s="3136"/>
      <c r="U21" s="3136"/>
      <c r="V21" s="3136"/>
      <c r="W21" s="3136"/>
      <c r="X21" s="3136"/>
      <c r="Y21" s="3136"/>
      <c r="Z21" s="3136"/>
      <c r="AA21" s="3136"/>
      <c r="AB21" s="3136"/>
      <c r="AC21" s="3136"/>
      <c r="AD21" s="3136"/>
      <c r="AE21" s="3136"/>
      <c r="AF21" s="3136"/>
      <c r="AG21" s="3136"/>
      <c r="AH21" s="3136"/>
      <c r="AI21" s="3136"/>
      <c r="AJ21" s="1860"/>
      <c r="AK21" s="629"/>
      <c r="AL21" s="22"/>
      <c r="AM21" s="2409"/>
      <c r="AQ21" s="2749"/>
      <c r="AR21" s="2749"/>
      <c r="AS21" s="2749"/>
      <c r="AT21" s="3046"/>
      <c r="AU21" s="3045"/>
    </row>
    <row r="22" spans="1:47" ht="12" customHeight="1" x14ac:dyDescent="0.2">
      <c r="A22" s="9"/>
      <c r="B22" s="817"/>
      <c r="C22" s="2053"/>
      <c r="D22" s="3179"/>
      <c r="E22" s="3179"/>
      <c r="F22" s="3179"/>
      <c r="G22" s="3179"/>
      <c r="H22" s="3136" t="str">
        <f ca="1">Combate!$AV49&amp;Combate!$AW49&amp;Combate!$AX49&amp;Combate!$AY49&amp;Combate!$AZ49&amp;Combate!$BA49&amp;Combate!$BB49&amp;Combate!$BC49&amp;Combate!$BD49&amp;Combate!$BE49&amp;Combate!$BF49&amp;Combate!$BG49</f>
        <v>-60 Desarmado</v>
      </c>
      <c r="I22" s="3136"/>
      <c r="J22" s="3136"/>
      <c r="K22" s="3136"/>
      <c r="L22" s="3136"/>
      <c r="M22" s="3136"/>
      <c r="N22" s="3136"/>
      <c r="O22" s="3136"/>
      <c r="P22" s="3136"/>
      <c r="Q22" s="3136"/>
      <c r="R22" s="3136"/>
      <c r="S22" s="3136"/>
      <c r="T22" s="3136"/>
      <c r="U22" s="3136"/>
      <c r="V22" s="3136"/>
      <c r="W22" s="3136"/>
      <c r="X22" s="3136"/>
      <c r="Y22" s="3136"/>
      <c r="Z22" s="3136"/>
      <c r="AA22" s="3136"/>
      <c r="AB22" s="3136"/>
      <c r="AC22" s="3136"/>
      <c r="AD22" s="3136"/>
      <c r="AE22" s="3136"/>
      <c r="AF22" s="3136"/>
      <c r="AG22" s="3136"/>
      <c r="AH22" s="3136"/>
      <c r="AI22" s="3136"/>
      <c r="AJ22" s="1861"/>
      <c r="AK22" s="629"/>
      <c r="AL22" s="22"/>
      <c r="AM22" s="2409"/>
      <c r="AQ22" s="2750"/>
      <c r="AR22" s="2750"/>
      <c r="AS22" s="2750"/>
      <c r="AT22" s="3046"/>
      <c r="AU22" s="3045"/>
    </row>
    <row r="23" spans="1:47" ht="12" customHeight="1" x14ac:dyDescent="0.2">
      <c r="A23" s="9"/>
      <c r="B23" s="817"/>
      <c r="C23" s="2053"/>
      <c r="D23" s="3179"/>
      <c r="E23" s="3179"/>
      <c r="F23" s="3179"/>
      <c r="G23" s="3179"/>
      <c r="H23" s="3136"/>
      <c r="I23" s="3136"/>
      <c r="J23" s="3136"/>
      <c r="K23" s="3136"/>
      <c r="L23" s="3136"/>
      <c r="M23" s="3136"/>
      <c r="N23" s="3136"/>
      <c r="O23" s="3136"/>
      <c r="P23" s="3136"/>
      <c r="Q23" s="3136"/>
      <c r="R23" s="3136"/>
      <c r="S23" s="3136"/>
      <c r="T23" s="3136"/>
      <c r="U23" s="3136"/>
      <c r="V23" s="3136"/>
      <c r="W23" s="3136"/>
      <c r="X23" s="3136"/>
      <c r="Y23" s="3136"/>
      <c r="Z23" s="3136"/>
      <c r="AA23" s="3136"/>
      <c r="AB23" s="3136"/>
      <c r="AC23" s="3136"/>
      <c r="AD23" s="3136"/>
      <c r="AE23" s="3136"/>
      <c r="AF23" s="3136"/>
      <c r="AG23" s="3136"/>
      <c r="AH23" s="3136"/>
      <c r="AI23" s="3136"/>
      <c r="AJ23" s="1861"/>
      <c r="AK23" s="629"/>
      <c r="AL23" s="22"/>
      <c r="AM23" s="2409"/>
      <c r="AQ23" s="2750"/>
      <c r="AR23" s="2750"/>
      <c r="AS23" s="2750"/>
      <c r="AT23" s="3046"/>
      <c r="AU23" s="3045"/>
    </row>
    <row r="24" spans="1:47" ht="1.5" customHeight="1" x14ac:dyDescent="0.2">
      <c r="A24" s="9"/>
      <c r="B24" s="817"/>
      <c r="C24" s="2053"/>
      <c r="D24" s="3179" t="s">
        <v>8734</v>
      </c>
      <c r="E24" s="3179"/>
      <c r="F24" s="3179"/>
      <c r="G24" s="3179"/>
      <c r="H24" s="3136"/>
      <c r="I24" s="3136"/>
      <c r="J24" s="3136"/>
      <c r="K24" s="3136"/>
      <c r="L24" s="3136"/>
      <c r="M24" s="3136"/>
      <c r="N24" s="3136"/>
      <c r="O24" s="3136"/>
      <c r="P24" s="3136"/>
      <c r="Q24" s="3136"/>
      <c r="R24" s="3136"/>
      <c r="S24" s="3136"/>
      <c r="T24" s="3136"/>
      <c r="U24" s="3136"/>
      <c r="V24" s="3136"/>
      <c r="W24" s="3136"/>
      <c r="X24" s="3136"/>
      <c r="Y24" s="3136"/>
      <c r="Z24" s="3136"/>
      <c r="AA24" s="3136"/>
      <c r="AB24" s="3136"/>
      <c r="AC24" s="3136"/>
      <c r="AD24" s="3136"/>
      <c r="AE24" s="3136"/>
      <c r="AF24" s="3136"/>
      <c r="AG24" s="3136"/>
      <c r="AH24" s="3136"/>
      <c r="AI24" s="3136"/>
      <c r="AJ24" s="1860"/>
      <c r="AK24" s="629"/>
      <c r="AL24" s="22"/>
      <c r="AQ24" s="2750"/>
      <c r="AR24" s="2750"/>
      <c r="AS24" s="2750"/>
      <c r="AT24" s="3046"/>
      <c r="AU24" s="3045"/>
    </row>
    <row r="25" spans="1:47" ht="12" customHeight="1" thickBot="1" x14ac:dyDescent="0.25">
      <c r="A25" s="9"/>
      <c r="B25" s="816"/>
      <c r="C25" s="2052"/>
      <c r="D25" s="3179"/>
      <c r="E25" s="3179"/>
      <c r="F25" s="3179"/>
      <c r="G25" s="3179"/>
      <c r="H25" s="3136" t="str">
        <f ca="1">RIGHT(Combate!AU67,LEN(Combate!AU67)-2)</f>
        <v>0 Esquiva</v>
      </c>
      <c r="I25" s="3136"/>
      <c r="J25" s="3136"/>
      <c r="K25" s="3136"/>
      <c r="L25" s="3136"/>
      <c r="M25" s="3136"/>
      <c r="N25" s="3136"/>
      <c r="O25" s="3136"/>
      <c r="P25" s="3136"/>
      <c r="Q25" s="3136"/>
      <c r="R25" s="3136"/>
      <c r="S25" s="3136"/>
      <c r="T25" s="3136"/>
      <c r="U25" s="3136"/>
      <c r="V25" s="3136"/>
      <c r="W25" s="3136"/>
      <c r="X25" s="3136"/>
      <c r="Y25" s="3136"/>
      <c r="Z25" s="3136"/>
      <c r="AA25" s="3136"/>
      <c r="AB25" s="3136"/>
      <c r="AC25" s="3136"/>
      <c r="AD25" s="3136"/>
      <c r="AE25" s="3136"/>
      <c r="AF25" s="3136"/>
      <c r="AG25" s="3136"/>
      <c r="AH25" s="3136"/>
      <c r="AI25" s="3136"/>
      <c r="AJ25" s="1861"/>
      <c r="AK25" s="629"/>
      <c r="AL25" s="22"/>
      <c r="AN25" s="2409"/>
      <c r="AO25" s="2409"/>
      <c r="AP25" s="2409"/>
      <c r="AQ25" s="2751"/>
      <c r="AR25" s="2751"/>
      <c r="AS25" s="2751"/>
      <c r="AT25" s="3047"/>
      <c r="AU25" s="3045"/>
    </row>
    <row r="26" spans="1:47" ht="12" customHeight="1" x14ac:dyDescent="0.2">
      <c r="A26" s="9"/>
      <c r="B26" s="816"/>
      <c r="C26" s="2052"/>
      <c r="D26" s="3179"/>
      <c r="E26" s="3179"/>
      <c r="F26" s="3179"/>
      <c r="G26" s="3179"/>
      <c r="H26" s="3136"/>
      <c r="I26" s="3136"/>
      <c r="J26" s="3136"/>
      <c r="K26" s="3136"/>
      <c r="L26" s="3136"/>
      <c r="M26" s="3136"/>
      <c r="N26" s="3136"/>
      <c r="O26" s="3136"/>
      <c r="P26" s="3136"/>
      <c r="Q26" s="3136"/>
      <c r="R26" s="3136"/>
      <c r="S26" s="3136"/>
      <c r="T26" s="3136"/>
      <c r="U26" s="3136"/>
      <c r="V26" s="3136"/>
      <c r="W26" s="3136"/>
      <c r="X26" s="3136"/>
      <c r="Y26" s="3136"/>
      <c r="Z26" s="3136"/>
      <c r="AA26" s="3136"/>
      <c r="AB26" s="3136"/>
      <c r="AC26" s="3136"/>
      <c r="AD26" s="3136"/>
      <c r="AE26" s="3136"/>
      <c r="AF26" s="3136"/>
      <c r="AG26" s="3136"/>
      <c r="AH26" s="3136"/>
      <c r="AI26" s="3136"/>
      <c r="AJ26" s="1861"/>
      <c r="AK26" s="629"/>
      <c r="AL26" s="22"/>
      <c r="AN26" s="3115" t="s">
        <v>9612</v>
      </c>
      <c r="AO26" s="3116"/>
      <c r="AP26" s="3117"/>
      <c r="AQ26" s="2748"/>
      <c r="AR26" s="2748"/>
      <c r="AS26" s="2748"/>
      <c r="AT26" s="3047"/>
      <c r="AU26" s="3045"/>
    </row>
    <row r="27" spans="1:47" ht="1.5" customHeight="1" x14ac:dyDescent="0.2">
      <c r="A27" s="9"/>
      <c r="B27" s="817"/>
      <c r="C27" s="2053"/>
      <c r="D27" s="3179" t="s">
        <v>1866</v>
      </c>
      <c r="E27" s="3179"/>
      <c r="F27" s="3179"/>
      <c r="G27" s="3179"/>
      <c r="H27" s="3136"/>
      <c r="I27" s="3136"/>
      <c r="J27" s="3136"/>
      <c r="K27" s="3136"/>
      <c r="L27" s="3136"/>
      <c r="M27" s="3136"/>
      <c r="N27" s="3136"/>
      <c r="O27" s="3136"/>
      <c r="P27" s="3136"/>
      <c r="Q27" s="3136"/>
      <c r="R27" s="3136"/>
      <c r="S27" s="3136"/>
      <c r="T27" s="3136"/>
      <c r="U27" s="3136"/>
      <c r="V27" s="3136"/>
      <c r="W27" s="3136"/>
      <c r="X27" s="3136"/>
      <c r="Y27" s="3136"/>
      <c r="Z27" s="3136"/>
      <c r="AA27" s="3136"/>
      <c r="AB27" s="3136"/>
      <c r="AC27" s="3136"/>
      <c r="AD27" s="3136"/>
      <c r="AE27" s="3136"/>
      <c r="AF27" s="3136"/>
      <c r="AG27" s="3136"/>
      <c r="AH27" s="3136"/>
      <c r="AI27" s="3136"/>
      <c r="AJ27" s="1860"/>
      <c r="AK27" s="629"/>
      <c r="AL27" s="22"/>
      <c r="AN27" s="3145"/>
      <c r="AO27" s="3146"/>
      <c r="AP27" s="3203"/>
      <c r="AQ27" s="2748"/>
      <c r="AR27" s="2748"/>
      <c r="AS27" s="2748"/>
      <c r="AT27" s="3047"/>
      <c r="AU27" s="3048"/>
    </row>
    <row r="28" spans="1:47" ht="12" customHeight="1" x14ac:dyDescent="0.2">
      <c r="A28" s="9"/>
      <c r="B28" s="816"/>
      <c r="C28" s="2052"/>
      <c r="D28" s="3179"/>
      <c r="E28" s="3179"/>
      <c r="F28" s="3179"/>
      <c r="G28" s="3179"/>
      <c r="H28" s="3136" t="str">
        <f ca="1">Combate!$AV51&amp;Combate!$AW51&amp;Combate!$AX51&amp;Combate!$AY51&amp;Combate!$AZ51&amp;Combate!$BA51&amp;Combate!$BB51&amp;Combate!$BC51&amp;Combate!$BD51&amp;Combate!$BE51&amp;Combate!$BF51&amp;Combate!$BG51&amp;Combate!BH50</f>
        <v>5 Desarmado (CON)</v>
      </c>
      <c r="I28" s="3136"/>
      <c r="J28" s="3136"/>
      <c r="K28" s="3136"/>
      <c r="L28" s="3136"/>
      <c r="M28" s="3136"/>
      <c r="N28" s="3136"/>
      <c r="O28" s="3136"/>
      <c r="P28" s="3136"/>
      <c r="Q28" s="3136"/>
      <c r="R28" s="3136"/>
      <c r="S28" s="3136"/>
      <c r="T28" s="3136"/>
      <c r="U28" s="3136"/>
      <c r="V28" s="3136"/>
      <c r="W28" s="3136"/>
      <c r="X28" s="3136"/>
      <c r="Y28" s="3136"/>
      <c r="Z28" s="3136"/>
      <c r="AA28" s="3136"/>
      <c r="AB28" s="3136"/>
      <c r="AC28" s="3136"/>
      <c r="AD28" s="3136"/>
      <c r="AE28" s="3136"/>
      <c r="AF28" s="3136"/>
      <c r="AG28" s="3136"/>
      <c r="AH28" s="3136"/>
      <c r="AI28" s="3136"/>
      <c r="AJ28" s="1860"/>
      <c r="AK28" s="629"/>
      <c r="AL28" s="22"/>
      <c r="AN28" s="3145"/>
      <c r="AO28" s="3146"/>
      <c r="AP28" s="3203"/>
      <c r="AQ28" s="2748"/>
      <c r="AR28" s="2748"/>
      <c r="AS28" s="2748"/>
      <c r="AT28" s="3047"/>
      <c r="AU28" s="3048"/>
    </row>
    <row r="29" spans="1:47" ht="12" customHeight="1" x14ac:dyDescent="0.2">
      <c r="A29" s="9"/>
      <c r="B29" s="816"/>
      <c r="C29" s="2052"/>
      <c r="D29" s="3179"/>
      <c r="E29" s="3179"/>
      <c r="F29" s="3179"/>
      <c r="G29" s="3179"/>
      <c r="H29" s="3136"/>
      <c r="I29" s="3136"/>
      <c r="J29" s="3136"/>
      <c r="K29" s="3136"/>
      <c r="L29" s="3136"/>
      <c r="M29" s="3136"/>
      <c r="N29" s="3136"/>
      <c r="O29" s="3136"/>
      <c r="P29" s="3136"/>
      <c r="Q29" s="3136"/>
      <c r="R29" s="3136"/>
      <c r="S29" s="3136"/>
      <c r="T29" s="3136"/>
      <c r="U29" s="3136"/>
      <c r="V29" s="3136"/>
      <c r="W29" s="3136"/>
      <c r="X29" s="3136"/>
      <c r="Y29" s="3136"/>
      <c r="Z29" s="3136"/>
      <c r="AA29" s="3136"/>
      <c r="AB29" s="3136"/>
      <c r="AC29" s="3136"/>
      <c r="AD29" s="3136"/>
      <c r="AE29" s="3136"/>
      <c r="AF29" s="3136"/>
      <c r="AG29" s="3136"/>
      <c r="AH29" s="3136"/>
      <c r="AI29" s="3136"/>
      <c r="AJ29" s="1860"/>
      <c r="AK29" s="629"/>
      <c r="AL29" s="22"/>
      <c r="AN29" s="3164" t="s">
        <v>2088</v>
      </c>
      <c r="AO29" s="3204"/>
      <c r="AP29" s="3166"/>
      <c r="AQ29" s="2750"/>
      <c r="AR29" s="2750"/>
      <c r="AS29" s="2750"/>
      <c r="AT29" s="3047"/>
      <c r="AU29" s="3045"/>
    </row>
    <row r="30" spans="1:47" ht="1.5" customHeight="1" x14ac:dyDescent="0.2">
      <c r="A30" s="9"/>
      <c r="B30" s="817"/>
      <c r="C30" s="2053"/>
      <c r="D30" s="2696"/>
      <c r="E30" s="2696"/>
      <c r="F30" s="2696"/>
      <c r="G30" s="2578"/>
      <c r="H30" s="3136"/>
      <c r="I30" s="3136"/>
      <c r="J30" s="3136"/>
      <c r="K30" s="3136"/>
      <c r="L30" s="3136"/>
      <c r="M30" s="3136"/>
      <c r="N30" s="3136"/>
      <c r="O30" s="3136"/>
      <c r="P30" s="3136"/>
      <c r="Q30" s="3136"/>
      <c r="R30" s="3136"/>
      <c r="S30" s="3136"/>
      <c r="T30" s="3136"/>
      <c r="U30" s="3136"/>
      <c r="V30" s="3136"/>
      <c r="W30" s="3136"/>
      <c r="X30" s="3136"/>
      <c r="Y30" s="3136"/>
      <c r="Z30" s="3136"/>
      <c r="AA30" s="3136"/>
      <c r="AB30" s="3136"/>
      <c r="AC30" s="3136"/>
      <c r="AD30" s="3136"/>
      <c r="AE30" s="3136"/>
      <c r="AF30" s="3136"/>
      <c r="AG30" s="3136"/>
      <c r="AH30" s="3136"/>
      <c r="AI30" s="3136"/>
      <c r="AJ30" s="1860"/>
      <c r="AK30" s="629"/>
      <c r="AL30" s="22"/>
      <c r="AN30" s="3164"/>
      <c r="AO30" s="3204"/>
      <c r="AP30" s="3166"/>
      <c r="AQ30" s="2750"/>
      <c r="AR30" s="2750"/>
      <c r="AS30" s="2750"/>
      <c r="AT30" s="3047"/>
      <c r="AU30" s="3045"/>
    </row>
    <row r="31" spans="1:47" ht="12" customHeight="1" thickBot="1" x14ac:dyDescent="0.25">
      <c r="A31" s="9"/>
      <c r="B31" s="816"/>
      <c r="C31" s="2052"/>
      <c r="D31" s="2696"/>
      <c r="E31" s="2696"/>
      <c r="F31" s="2696"/>
      <c r="G31" s="2716" t="s">
        <v>1867</v>
      </c>
      <c r="H31" s="271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18"/>
      <c r="J31" s="2718"/>
      <c r="K31" s="2718"/>
      <c r="L31" s="2718"/>
      <c r="M31" s="2718"/>
      <c r="N31" s="2718"/>
      <c r="O31" s="2718"/>
      <c r="P31" s="2718"/>
      <c r="Q31" s="2718"/>
      <c r="R31" s="2718"/>
      <c r="S31" s="2718"/>
      <c r="T31" s="2718"/>
      <c r="U31" s="2718"/>
      <c r="V31" s="2718"/>
      <c r="W31" s="2718"/>
      <c r="X31" s="2718"/>
      <c r="Y31" s="2718"/>
      <c r="Z31" s="2718"/>
      <c r="AA31" s="2718"/>
      <c r="AB31" s="2718"/>
      <c r="AC31" s="2718"/>
      <c r="AD31" s="2718"/>
      <c r="AE31" s="2718"/>
      <c r="AF31" s="2718"/>
      <c r="AG31" s="2718"/>
      <c r="AH31" s="2718"/>
      <c r="AI31" s="2718"/>
      <c r="AJ31" s="1860"/>
      <c r="AK31" s="629"/>
      <c r="AL31" s="22"/>
      <c r="AN31" s="3167"/>
      <c r="AO31" s="3168"/>
      <c r="AP31" s="3169"/>
      <c r="AQ31" s="2750"/>
      <c r="AR31" s="2750"/>
      <c r="AS31" s="2750"/>
      <c r="AT31" s="3047"/>
      <c r="AU31" s="3045"/>
    </row>
    <row r="32" spans="1:47" ht="12" customHeight="1" x14ac:dyDescent="0.2">
      <c r="A32" s="9"/>
      <c r="B32" s="816"/>
      <c r="C32" s="2052"/>
      <c r="D32" s="2578"/>
      <c r="E32" s="2578"/>
      <c r="F32" s="2578"/>
      <c r="G32" s="2719" t="s">
        <v>1868</v>
      </c>
      <c r="H32" s="3135" t="str">
        <f>Combate!I16&amp;IF(Combate!$C$15="",""," ("&amp;Combate!I15&amp;")")</f>
        <v>0</v>
      </c>
      <c r="I32" s="3135"/>
      <c r="J32" s="2720"/>
      <c r="K32" s="2719" t="s">
        <v>1869</v>
      </c>
      <c r="L32" s="3135" t="str">
        <f>Combate!J16&amp;IF(Combate!$C$15="",""," ("&amp;Combate!J15&amp;")")</f>
        <v>0</v>
      </c>
      <c r="M32" s="3135"/>
      <c r="N32" s="2720"/>
      <c r="O32" s="2719" t="s">
        <v>1870</v>
      </c>
      <c r="P32" s="3135" t="str">
        <f>Combate!K16&amp;IF(Combate!$C$15="",""," ("&amp;Combate!K15&amp;")")</f>
        <v>0</v>
      </c>
      <c r="Q32" s="3135"/>
      <c r="R32" s="2720"/>
      <c r="S32" s="2719" t="s">
        <v>1871</v>
      </c>
      <c r="T32" s="3135" t="str">
        <f>Combate!L16&amp;IF(Combate!$C$15="",""," ("&amp;Combate!L15&amp;")")</f>
        <v>0</v>
      </c>
      <c r="U32" s="3135"/>
      <c r="V32" s="2720"/>
      <c r="W32" s="2719" t="s">
        <v>1873</v>
      </c>
      <c r="X32" s="3135" t="str">
        <f>Combate!M16&amp;IF(Combate!$C$15="",""," ("&amp;Combate!M15&amp;")")</f>
        <v>0</v>
      </c>
      <c r="Y32" s="3135"/>
      <c r="Z32" s="2720"/>
      <c r="AA32" s="2719" t="s">
        <v>1872</v>
      </c>
      <c r="AB32" s="3135" t="str">
        <f>Combate!N16&amp;IF(Combate!$C$15="",""," ("&amp;Combate!N15&amp;")")</f>
        <v>0</v>
      </c>
      <c r="AC32" s="3135"/>
      <c r="AD32" s="2720"/>
      <c r="AE32" s="2719" t="s">
        <v>1874</v>
      </c>
      <c r="AF32" s="3135" t="str">
        <f>Combate!O16&amp;IF(Combate!$C$15="",""," ("&amp;Combate!O15&amp;")")</f>
        <v>0</v>
      </c>
      <c r="AG32" s="3135"/>
      <c r="AH32" s="2704"/>
      <c r="AI32" s="2720"/>
      <c r="AJ32" s="1860"/>
      <c r="AK32" s="629"/>
      <c r="AL32" s="22"/>
      <c r="AQ32" s="2752"/>
      <c r="AR32" s="2752"/>
      <c r="AS32" s="2752"/>
      <c r="AT32" s="3046"/>
      <c r="AU32" s="3045"/>
    </row>
    <row r="33" spans="1:47" ht="2.25" customHeight="1" x14ac:dyDescent="0.2">
      <c r="A33" s="9"/>
      <c r="B33" s="817"/>
      <c r="C33" s="2052"/>
      <c r="D33" s="1852"/>
      <c r="E33" s="1852"/>
      <c r="F33" s="2320"/>
      <c r="G33" s="2320"/>
      <c r="H33" s="2159"/>
      <c r="I33" s="2159"/>
      <c r="J33" s="1851"/>
      <c r="K33" s="1851"/>
      <c r="L33" s="2159"/>
      <c r="M33" s="2159"/>
      <c r="N33" s="1851"/>
      <c r="O33" s="1851"/>
      <c r="P33" s="2159"/>
      <c r="Q33" s="2159"/>
      <c r="R33" s="1851"/>
      <c r="S33" s="1851"/>
      <c r="T33" s="2159"/>
      <c r="U33" s="2159"/>
      <c r="V33" s="1851"/>
      <c r="W33" s="1851"/>
      <c r="X33" s="1851"/>
      <c r="Y33" s="1851"/>
      <c r="Z33" s="1851"/>
      <c r="AA33" s="1851"/>
      <c r="AB33" s="1851"/>
      <c r="AC33" s="1851"/>
      <c r="AD33" s="1851"/>
      <c r="AE33" s="1851"/>
      <c r="AF33" s="1851"/>
      <c r="AG33" s="1851"/>
      <c r="AH33" s="1851"/>
      <c r="AI33" s="1851"/>
      <c r="AJ33" s="1860"/>
      <c r="AK33" s="629"/>
      <c r="AL33" s="22"/>
      <c r="AQ33" s="2753"/>
      <c r="AR33" s="2753"/>
      <c r="AS33" s="2753"/>
      <c r="AT33" s="3045"/>
      <c r="AU33" s="3045"/>
    </row>
    <row r="34" spans="1:47" ht="1.5" customHeight="1" x14ac:dyDescent="0.2">
      <c r="A34" s="9"/>
      <c r="B34" s="817"/>
      <c r="C34" s="2053"/>
      <c r="D34" s="2696"/>
      <c r="E34" s="2696"/>
      <c r="F34" s="2696"/>
      <c r="G34" s="2696"/>
      <c r="H34" s="2578"/>
      <c r="I34" s="2578"/>
      <c r="J34" s="2578"/>
      <c r="K34" s="2578"/>
      <c r="L34" s="2578"/>
      <c r="M34" s="2578"/>
      <c r="N34" s="2578"/>
      <c r="O34" s="2578"/>
      <c r="P34" s="2578"/>
      <c r="Q34" s="2578"/>
      <c r="R34" s="2578"/>
      <c r="S34" s="2578"/>
      <c r="T34" s="2578"/>
      <c r="U34" s="2578"/>
      <c r="V34" s="2578"/>
      <c r="W34" s="2578"/>
      <c r="X34" s="2578"/>
      <c r="Y34" s="2578"/>
      <c r="Z34" s="2578"/>
      <c r="AA34" s="2578"/>
      <c r="AB34" s="2578"/>
      <c r="AC34" s="2578"/>
      <c r="AD34" s="2578"/>
      <c r="AE34" s="2578"/>
      <c r="AF34" s="2578"/>
      <c r="AG34" s="2578"/>
      <c r="AH34" s="2578"/>
      <c r="AI34" s="2578"/>
      <c r="AJ34" s="1860"/>
      <c r="AK34" s="629"/>
      <c r="AL34" s="22"/>
      <c r="AQ34" s="2753"/>
      <c r="AR34" s="2753"/>
      <c r="AS34" s="2753"/>
      <c r="AT34" s="3045"/>
      <c r="AU34" s="3045"/>
    </row>
    <row r="35" spans="1:47" ht="12" customHeight="1" x14ac:dyDescent="0.2">
      <c r="A35" s="9"/>
      <c r="B35" s="489"/>
      <c r="C35" s="2721"/>
      <c r="D35" s="3128" t="s">
        <v>1875</v>
      </c>
      <c r="E35" s="3128"/>
      <c r="F35" s="3128"/>
      <c r="G35" s="3128"/>
      <c r="H35" s="2696"/>
      <c r="I35" s="3127" t="str">
        <f>"("&amp;Ki!F24&amp;")"</f>
        <v>(0)</v>
      </c>
      <c r="J35" s="3127"/>
      <c r="K35" s="2720" t="s">
        <v>1852</v>
      </c>
      <c r="L35" s="2720"/>
      <c r="M35" s="3127" t="str">
        <f>Ki!F18</f>
        <v>-</v>
      </c>
      <c r="N35" s="3127"/>
      <c r="O35" s="2720" t="s">
        <v>1853</v>
      </c>
      <c r="P35" s="2720"/>
      <c r="Q35" s="3127" t="str">
        <f>Ki!F16</f>
        <v>-</v>
      </c>
      <c r="R35" s="3127"/>
      <c r="S35" s="2720" t="s">
        <v>1854</v>
      </c>
      <c r="T35" s="2720"/>
      <c r="U35" s="3127" t="str">
        <f>Ki!F12</f>
        <v>-</v>
      </c>
      <c r="V35" s="3127"/>
      <c r="W35" s="2720" t="s">
        <v>1855</v>
      </c>
      <c r="X35" s="2720"/>
      <c r="Y35" s="3127" t="str">
        <f>Ki!F14</f>
        <v>-</v>
      </c>
      <c r="Z35" s="3127"/>
      <c r="AA35" s="2720" t="s">
        <v>1856</v>
      </c>
      <c r="AB35" s="2720"/>
      <c r="AC35" s="3127" t="str">
        <f>Ki!F20</f>
        <v>-</v>
      </c>
      <c r="AD35" s="3127"/>
      <c r="AE35" s="2720" t="s">
        <v>1858</v>
      </c>
      <c r="AF35" s="2720"/>
      <c r="AG35" s="3127" t="str">
        <f>Ki!F22</f>
        <v>-</v>
      </c>
      <c r="AH35" s="3127"/>
      <c r="AI35" s="2704"/>
      <c r="AJ35" s="1862"/>
      <c r="AK35" s="629"/>
      <c r="AL35" s="22"/>
      <c r="AQ35" s="2753"/>
      <c r="AR35" s="2753"/>
      <c r="AS35" s="2753"/>
      <c r="AT35" s="3045"/>
      <c r="AU35" s="3045"/>
    </row>
    <row r="36" spans="1:47" ht="1.5" customHeight="1" x14ac:dyDescent="0.2">
      <c r="A36" s="9"/>
      <c r="B36" s="817"/>
      <c r="C36" s="2053"/>
      <c r="D36" s="2578"/>
      <c r="E36" s="2578"/>
      <c r="F36" s="2578"/>
      <c r="G36" s="2578"/>
      <c r="H36" s="2578"/>
      <c r="I36" s="2578"/>
      <c r="J36" s="2578"/>
      <c r="K36" s="2578"/>
      <c r="L36" s="2578"/>
      <c r="M36" s="2578"/>
      <c r="N36" s="2578"/>
      <c r="O36" s="2578"/>
      <c r="P36" s="2578"/>
      <c r="Q36" s="2578"/>
      <c r="R36" s="2578"/>
      <c r="S36" s="2578"/>
      <c r="T36" s="2578"/>
      <c r="U36" s="2578"/>
      <c r="V36" s="2578"/>
      <c r="W36" s="2578"/>
      <c r="X36" s="2578"/>
      <c r="Y36" s="2578"/>
      <c r="Z36" s="2578"/>
      <c r="AA36" s="2578"/>
      <c r="AB36" s="2578"/>
      <c r="AC36" s="2578"/>
      <c r="AD36" s="2578"/>
      <c r="AE36" s="2578"/>
      <c r="AF36" s="2578"/>
      <c r="AG36" s="2578"/>
      <c r="AH36" s="2578"/>
      <c r="AI36" s="2578"/>
      <c r="AJ36" s="1860"/>
      <c r="AK36" s="629"/>
      <c r="AL36" s="22"/>
      <c r="AQ36" s="2753"/>
      <c r="AR36" s="2753"/>
      <c r="AS36" s="2753"/>
      <c r="AT36" s="3045"/>
      <c r="AU36" s="3045"/>
    </row>
    <row r="37" spans="1:47" ht="12" customHeight="1" x14ac:dyDescent="0.2">
      <c r="A37" s="9"/>
      <c r="B37" s="2314"/>
      <c r="C37" s="2722"/>
      <c r="D37" s="3128" t="s">
        <v>9967</v>
      </c>
      <c r="E37" s="3128"/>
      <c r="F37" s="3128"/>
      <c r="G37" s="3128"/>
      <c r="H37" s="3128"/>
      <c r="I37" s="3131" t="str">
        <f>"("&amp;Ki!D24&amp;")"</f>
        <v>(0)</v>
      </c>
      <c r="J37" s="3131"/>
      <c r="K37" s="2720" t="s">
        <v>1852</v>
      </c>
      <c r="L37" s="2720"/>
      <c r="M37" s="3127">
        <f>Ki!D18</f>
        <v>0</v>
      </c>
      <c r="N37" s="3127"/>
      <c r="O37" s="2720" t="s">
        <v>1853</v>
      </c>
      <c r="P37" s="2720"/>
      <c r="Q37" s="3127">
        <f>Ki!D16</f>
        <v>0</v>
      </c>
      <c r="R37" s="3127"/>
      <c r="S37" s="2720" t="s">
        <v>1854</v>
      </c>
      <c r="T37" s="2720"/>
      <c r="U37" s="3127">
        <f>Ki!D12</f>
        <v>0</v>
      </c>
      <c r="V37" s="3127"/>
      <c r="W37" s="2720" t="s">
        <v>1855</v>
      </c>
      <c r="X37" s="2720"/>
      <c r="Y37" s="3127">
        <f>Ki!D14</f>
        <v>0</v>
      </c>
      <c r="Z37" s="3127"/>
      <c r="AA37" s="2720" t="s">
        <v>1856</v>
      </c>
      <c r="AB37" s="2720"/>
      <c r="AC37" s="3127">
        <f>Ki!D20</f>
        <v>0</v>
      </c>
      <c r="AD37" s="3127"/>
      <c r="AE37" s="2720" t="s">
        <v>1858</v>
      </c>
      <c r="AF37" s="2720"/>
      <c r="AG37" s="3127">
        <f>Ki!D22</f>
        <v>0</v>
      </c>
      <c r="AH37" s="3127"/>
      <c r="AI37" s="2704"/>
      <c r="AJ37" s="1862"/>
      <c r="AK37" s="629"/>
      <c r="AL37" s="22"/>
      <c r="AQ37" s="2753"/>
      <c r="AR37" s="2753"/>
      <c r="AS37" s="2753"/>
      <c r="AT37" s="3045"/>
      <c r="AU37" s="3045"/>
    </row>
    <row r="38" spans="1:47" ht="1.5" customHeight="1" x14ac:dyDescent="0.2">
      <c r="A38" s="9"/>
      <c r="B38" s="817"/>
      <c r="C38" s="2053"/>
      <c r="D38" s="3144" t="s">
        <v>1876</v>
      </c>
      <c r="E38" s="3144"/>
      <c r="F38" s="3144"/>
      <c r="G38" s="3144"/>
      <c r="H38" s="2696"/>
      <c r="I38" s="2696"/>
      <c r="J38" s="2578"/>
      <c r="K38" s="2578"/>
      <c r="L38" s="2578"/>
      <c r="M38" s="2578"/>
      <c r="N38" s="2578"/>
      <c r="O38" s="2578"/>
      <c r="P38" s="2578"/>
      <c r="Q38" s="2578"/>
      <c r="R38" s="2578"/>
      <c r="S38" s="2578"/>
      <c r="T38" s="2578"/>
      <c r="U38" s="2578"/>
      <c r="V38" s="2578"/>
      <c r="W38" s="2578"/>
      <c r="X38" s="2578"/>
      <c r="Y38" s="2578"/>
      <c r="Z38" s="2578"/>
      <c r="AA38" s="2578"/>
      <c r="AB38" s="2578"/>
      <c r="AC38" s="2578"/>
      <c r="AD38" s="2578"/>
      <c r="AE38" s="2578"/>
      <c r="AF38" s="2578"/>
      <c r="AG38" s="2578"/>
      <c r="AH38" s="2578"/>
      <c r="AI38" s="2578"/>
      <c r="AJ38" s="1860"/>
      <c r="AK38" s="629"/>
      <c r="AL38" s="22"/>
      <c r="AQ38" s="2753"/>
      <c r="AR38" s="2753"/>
      <c r="AS38" s="2753"/>
      <c r="AT38" s="3045"/>
      <c r="AU38" s="3045"/>
    </row>
    <row r="39" spans="1:47" ht="12" customHeight="1" x14ac:dyDescent="0.2">
      <c r="A39" s="9"/>
      <c r="B39" s="2314"/>
      <c r="C39" s="2722"/>
      <c r="D39" s="3144"/>
      <c r="E39" s="3144"/>
      <c r="F39" s="3144"/>
      <c r="G39" s="3144"/>
      <c r="H39" s="3136" t="str">
        <f>IFERROR(RIGHT(AT39,LEN(AT39)-2),"")</f>
        <v/>
      </c>
      <c r="I39" s="3136"/>
      <c r="J39" s="3136"/>
      <c r="K39" s="3136"/>
      <c r="L39" s="3136"/>
      <c r="M39" s="3136"/>
      <c r="N39" s="3136"/>
      <c r="O39" s="3136"/>
      <c r="P39" s="3136"/>
      <c r="Q39" s="3136"/>
      <c r="R39" s="3136"/>
      <c r="S39" s="3136"/>
      <c r="T39" s="3136"/>
      <c r="U39" s="3136"/>
      <c r="V39" s="3136"/>
      <c r="W39" s="3136"/>
      <c r="X39" s="3136"/>
      <c r="Y39" s="3136"/>
      <c r="Z39" s="3136"/>
      <c r="AA39" s="3136"/>
      <c r="AB39" s="3136"/>
      <c r="AC39" s="3136"/>
      <c r="AD39" s="3136"/>
      <c r="AE39" s="3136"/>
      <c r="AF39" s="3136"/>
      <c r="AG39" s="3136"/>
      <c r="AH39" s="3136"/>
      <c r="AI39" s="3136"/>
      <c r="AJ39" s="1866"/>
      <c r="AK39" s="629"/>
      <c r="AL39" s="22"/>
      <c r="AQ39" s="2753"/>
      <c r="AR39" s="2753"/>
      <c r="AS39" s="2753"/>
      <c r="AT39" s="3049" t="str">
        <f>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amp;Tablas!C2049&amp;Tablas!C2050&amp;Tablas!C2051&amp;Tablas!C2052&amp;Tablas!C2053&amp;Tablas!C2054&amp;Tablas!C2055</f>
        <v/>
      </c>
      <c r="AU39" s="3045"/>
    </row>
    <row r="40" spans="1:47" ht="12" customHeight="1" x14ac:dyDescent="0.2">
      <c r="A40" s="9"/>
      <c r="B40" s="2314"/>
      <c r="C40" s="2722"/>
      <c r="D40" s="3144"/>
      <c r="E40" s="3144"/>
      <c r="F40" s="3144"/>
      <c r="G40" s="3144"/>
      <c r="H40" s="3136"/>
      <c r="I40" s="3136"/>
      <c r="J40" s="3136"/>
      <c r="K40" s="3136"/>
      <c r="L40" s="3136"/>
      <c r="M40" s="3136"/>
      <c r="N40" s="3136"/>
      <c r="O40" s="3136"/>
      <c r="P40" s="3136"/>
      <c r="Q40" s="3136"/>
      <c r="R40" s="3136"/>
      <c r="S40" s="3136"/>
      <c r="T40" s="3136"/>
      <c r="U40" s="3136"/>
      <c r="V40" s="3136"/>
      <c r="W40" s="3136"/>
      <c r="X40" s="3136"/>
      <c r="Y40" s="3136"/>
      <c r="Z40" s="3136"/>
      <c r="AA40" s="3136"/>
      <c r="AB40" s="3136"/>
      <c r="AC40" s="3136"/>
      <c r="AD40" s="3136"/>
      <c r="AE40" s="3136"/>
      <c r="AF40" s="3136"/>
      <c r="AG40" s="3136"/>
      <c r="AH40" s="3136"/>
      <c r="AI40" s="3136"/>
      <c r="AJ40" s="1866"/>
      <c r="AK40" s="629"/>
      <c r="AL40" s="23"/>
      <c r="AQ40" s="2753"/>
      <c r="AR40" s="2753"/>
      <c r="AS40" s="2753"/>
      <c r="AT40" s="3045"/>
      <c r="AU40" s="3045"/>
    </row>
    <row r="41" spans="1:47" ht="12" customHeight="1" x14ac:dyDescent="0.2">
      <c r="A41" s="9"/>
      <c r="B41" s="2314"/>
      <c r="C41" s="2722"/>
      <c r="D41" s="2720"/>
      <c r="E41" s="2720"/>
      <c r="F41" s="2720"/>
      <c r="G41" s="2720"/>
      <c r="H41" s="3136"/>
      <c r="I41" s="3136"/>
      <c r="J41" s="3136"/>
      <c r="K41" s="3136"/>
      <c r="L41" s="3136"/>
      <c r="M41" s="3136"/>
      <c r="N41" s="3136"/>
      <c r="O41" s="3136"/>
      <c r="P41" s="3136"/>
      <c r="Q41" s="3136"/>
      <c r="R41" s="3136"/>
      <c r="S41" s="3136"/>
      <c r="T41" s="3136"/>
      <c r="U41" s="3136"/>
      <c r="V41" s="3136"/>
      <c r="W41" s="3136"/>
      <c r="X41" s="3136"/>
      <c r="Y41" s="3136"/>
      <c r="Z41" s="3136"/>
      <c r="AA41" s="3136"/>
      <c r="AB41" s="3136"/>
      <c r="AC41" s="3136"/>
      <c r="AD41" s="3136"/>
      <c r="AE41" s="3136"/>
      <c r="AF41" s="3136"/>
      <c r="AG41" s="3136"/>
      <c r="AH41" s="3136"/>
      <c r="AI41" s="3136"/>
      <c r="AJ41" s="1866"/>
      <c r="AK41" s="629"/>
      <c r="AL41" s="23"/>
      <c r="AQ41" s="2753"/>
      <c r="AR41" s="2753"/>
      <c r="AS41" s="2753"/>
      <c r="AT41" s="3045"/>
      <c r="AU41" s="3045"/>
    </row>
    <row r="42" spans="1:47" ht="1.5" customHeight="1" x14ac:dyDescent="0.2">
      <c r="A42" s="9"/>
      <c r="B42" s="817"/>
      <c r="C42" s="2053"/>
      <c r="D42" s="3128" t="s">
        <v>1877</v>
      </c>
      <c r="E42" s="3128"/>
      <c r="F42" s="3128"/>
      <c r="G42" s="2578"/>
      <c r="H42" s="2578"/>
      <c r="I42" s="2578"/>
      <c r="J42" s="2578"/>
      <c r="K42" s="2578"/>
      <c r="L42" s="2578"/>
      <c r="M42" s="2578"/>
      <c r="N42" s="2578"/>
      <c r="O42" s="2578"/>
      <c r="P42" s="2578"/>
      <c r="Q42" s="2578"/>
      <c r="R42" s="2578"/>
      <c r="S42" s="2578"/>
      <c r="T42" s="2578"/>
      <c r="U42" s="2578"/>
      <c r="V42" s="2578"/>
      <c r="W42" s="2578"/>
      <c r="X42" s="2578"/>
      <c r="Y42" s="2578"/>
      <c r="Z42" s="2578"/>
      <c r="AA42" s="2578"/>
      <c r="AB42" s="2578"/>
      <c r="AC42" s="2578"/>
      <c r="AD42" s="2578"/>
      <c r="AE42" s="2578"/>
      <c r="AF42" s="2578"/>
      <c r="AG42" s="2578"/>
      <c r="AH42" s="2578"/>
      <c r="AI42" s="2578"/>
      <c r="AJ42" s="1860"/>
      <c r="AK42" s="629"/>
      <c r="AL42" s="22"/>
      <c r="AQ42" s="2753"/>
      <c r="AR42" s="2753"/>
      <c r="AS42" s="2753"/>
      <c r="AT42" s="3045"/>
      <c r="AU42" s="3045"/>
    </row>
    <row r="43" spans="1:47" ht="12" customHeight="1" x14ac:dyDescent="0.2">
      <c r="A43" s="9"/>
      <c r="B43" s="2314"/>
      <c r="C43" s="2722"/>
      <c r="D43" s="3128"/>
      <c r="E43" s="3128"/>
      <c r="F43" s="3128"/>
      <c r="G43" s="3136" t="str">
        <f>Ki!AN26</f>
        <v/>
      </c>
      <c r="H43" s="3136"/>
      <c r="I43" s="3136"/>
      <c r="J43" s="3136"/>
      <c r="K43" s="3136"/>
      <c r="L43" s="3136"/>
      <c r="M43" s="3136"/>
      <c r="N43" s="3136"/>
      <c r="O43" s="3136"/>
      <c r="P43" s="3136"/>
      <c r="Q43" s="3136"/>
      <c r="R43" s="3136"/>
      <c r="S43" s="3136"/>
      <c r="T43" s="3136"/>
      <c r="U43" s="3136"/>
      <c r="V43" s="3136"/>
      <c r="W43" s="3136"/>
      <c r="X43" s="3136"/>
      <c r="Y43" s="3136"/>
      <c r="Z43" s="3136"/>
      <c r="AA43" s="3136"/>
      <c r="AB43" s="3136"/>
      <c r="AC43" s="3136"/>
      <c r="AD43" s="3136"/>
      <c r="AE43" s="3136"/>
      <c r="AF43" s="3136"/>
      <c r="AG43" s="3136"/>
      <c r="AH43" s="3136"/>
      <c r="AI43" s="3136"/>
      <c r="AJ43" s="1866"/>
      <c r="AK43" s="629"/>
      <c r="AL43" s="23"/>
      <c r="AQ43" s="2753"/>
      <c r="AR43" s="2753"/>
      <c r="AS43" s="2753"/>
      <c r="AT43" s="3045"/>
      <c r="AU43" s="3045"/>
    </row>
    <row r="44" spans="1:47" ht="12" customHeight="1" x14ac:dyDescent="0.2">
      <c r="A44" s="9"/>
      <c r="B44" s="2314"/>
      <c r="C44" s="2722"/>
      <c r="D44" s="2720"/>
      <c r="E44" s="2720"/>
      <c r="F44" s="2720"/>
      <c r="G44" s="3136"/>
      <c r="H44" s="3136"/>
      <c r="I44" s="3136"/>
      <c r="J44" s="3136"/>
      <c r="K44" s="3136"/>
      <c r="L44" s="3136"/>
      <c r="M44" s="3136"/>
      <c r="N44" s="3136"/>
      <c r="O44" s="3136"/>
      <c r="P44" s="3136"/>
      <c r="Q44" s="3136"/>
      <c r="R44" s="3136"/>
      <c r="S44" s="3136"/>
      <c r="T44" s="3136"/>
      <c r="U44" s="3136"/>
      <c r="V44" s="3136"/>
      <c r="W44" s="3136"/>
      <c r="X44" s="3136"/>
      <c r="Y44" s="3136"/>
      <c r="Z44" s="3136"/>
      <c r="AA44" s="3136"/>
      <c r="AB44" s="3136"/>
      <c r="AC44" s="3136"/>
      <c r="AD44" s="3136"/>
      <c r="AE44" s="3136"/>
      <c r="AF44" s="3136"/>
      <c r="AG44" s="3136"/>
      <c r="AH44" s="3136"/>
      <c r="AI44" s="3136"/>
      <c r="AJ44" s="1866"/>
      <c r="AK44" s="629"/>
      <c r="AL44" s="23"/>
      <c r="AQ44" s="2753"/>
      <c r="AR44" s="2753"/>
      <c r="AS44" s="2753"/>
      <c r="AT44" s="3045"/>
      <c r="AU44" s="3045"/>
    </row>
    <row r="45" spans="1:47" ht="12" customHeight="1" x14ac:dyDescent="0.2">
      <c r="A45" s="9"/>
      <c r="B45" s="2314"/>
      <c r="C45" s="2722"/>
      <c r="D45" s="1851"/>
      <c r="E45" s="1851"/>
      <c r="F45" s="1851"/>
      <c r="G45" s="3142"/>
      <c r="H45" s="3142"/>
      <c r="I45" s="3142"/>
      <c r="J45" s="3142"/>
      <c r="K45" s="3142"/>
      <c r="L45" s="3142"/>
      <c r="M45" s="3142"/>
      <c r="N45" s="3142"/>
      <c r="O45" s="3142"/>
      <c r="P45" s="3142"/>
      <c r="Q45" s="3142"/>
      <c r="R45" s="3142"/>
      <c r="S45" s="3142"/>
      <c r="T45" s="3142"/>
      <c r="U45" s="3142"/>
      <c r="V45" s="3142"/>
      <c r="W45" s="3142"/>
      <c r="X45" s="3142"/>
      <c r="Y45" s="3142"/>
      <c r="Z45" s="3142"/>
      <c r="AA45" s="3142"/>
      <c r="AB45" s="3142"/>
      <c r="AC45" s="3142"/>
      <c r="AD45" s="3142"/>
      <c r="AE45" s="3142"/>
      <c r="AF45" s="3142"/>
      <c r="AG45" s="3142"/>
      <c r="AH45" s="3142"/>
      <c r="AI45" s="3142"/>
      <c r="AJ45" s="1866"/>
      <c r="AK45" s="629"/>
      <c r="AL45" s="23"/>
      <c r="AQ45" s="2753"/>
      <c r="AR45" s="2753"/>
      <c r="AS45" s="2753"/>
      <c r="AT45" s="3045"/>
      <c r="AU45" s="3045"/>
    </row>
    <row r="46" spans="1:47" ht="2.25" customHeight="1" x14ac:dyDescent="0.2">
      <c r="A46" s="9"/>
      <c r="B46" s="2314"/>
      <c r="C46" s="2722"/>
      <c r="D46" s="2720"/>
      <c r="E46" s="2720"/>
      <c r="F46" s="2720"/>
      <c r="G46" s="2687"/>
      <c r="H46" s="2687"/>
      <c r="I46" s="2687"/>
      <c r="J46" s="2687"/>
      <c r="K46" s="2687"/>
      <c r="L46" s="2687"/>
      <c r="M46" s="2687"/>
      <c r="N46" s="2687"/>
      <c r="O46" s="2687"/>
      <c r="P46" s="2687"/>
      <c r="Q46" s="2687"/>
      <c r="R46" s="2687"/>
      <c r="S46" s="2687"/>
      <c r="T46" s="2687"/>
      <c r="U46" s="2687"/>
      <c r="V46" s="2687"/>
      <c r="W46" s="2687"/>
      <c r="X46" s="2687"/>
      <c r="Y46" s="2687"/>
      <c r="Z46" s="2687"/>
      <c r="AA46" s="2687"/>
      <c r="AB46" s="2687"/>
      <c r="AC46" s="2687"/>
      <c r="AD46" s="2687"/>
      <c r="AE46" s="2687"/>
      <c r="AF46" s="2687"/>
      <c r="AG46" s="2687"/>
      <c r="AH46" s="2687"/>
      <c r="AI46" s="2687"/>
      <c r="AJ46" s="1866"/>
      <c r="AK46" s="629"/>
      <c r="AL46" s="23"/>
      <c r="AQ46" s="2753"/>
      <c r="AR46" s="2753"/>
      <c r="AS46" s="2753"/>
      <c r="AT46" s="3045"/>
      <c r="AU46" s="3045"/>
    </row>
    <row r="47" spans="1:47" ht="1.5" customHeight="1" thickBot="1" x14ac:dyDescent="0.25">
      <c r="A47" s="9"/>
      <c r="B47" s="817"/>
      <c r="C47" s="2053"/>
      <c r="D47" s="2578"/>
      <c r="E47" s="2578"/>
      <c r="F47" s="2578"/>
      <c r="G47" s="2578"/>
      <c r="H47" s="2578"/>
      <c r="I47" s="2578"/>
      <c r="J47" s="2578"/>
      <c r="K47" s="2578"/>
      <c r="L47" s="2578"/>
      <c r="M47" s="2578"/>
      <c r="N47" s="2578"/>
      <c r="O47" s="2578"/>
      <c r="P47" s="2578"/>
      <c r="Q47" s="2578"/>
      <c r="R47" s="2578"/>
      <c r="S47" s="2578"/>
      <c r="T47" s="2578"/>
      <c r="U47" s="2578"/>
      <c r="V47" s="2578"/>
      <c r="W47" s="2578"/>
      <c r="X47" s="2578"/>
      <c r="Y47" s="2578"/>
      <c r="Z47" s="2578"/>
      <c r="AA47" s="2578"/>
      <c r="AB47" s="2578"/>
      <c r="AC47" s="2578"/>
      <c r="AD47" s="2578"/>
      <c r="AE47" s="2578"/>
      <c r="AF47" s="2578"/>
      <c r="AG47" s="2578"/>
      <c r="AH47" s="2578"/>
      <c r="AI47" s="2578"/>
      <c r="AJ47" s="1860"/>
      <c r="AK47" s="629"/>
      <c r="AL47" s="22"/>
      <c r="AQ47" s="2753"/>
      <c r="AR47" s="2753"/>
      <c r="AS47" s="2753"/>
      <c r="AT47" s="3045"/>
      <c r="AU47" s="3045"/>
    </row>
    <row r="48" spans="1:47" ht="12" customHeight="1" x14ac:dyDescent="0.2">
      <c r="A48" s="9"/>
      <c r="B48" s="2314"/>
      <c r="C48" s="2722"/>
      <c r="D48" s="2724" t="s">
        <v>10439</v>
      </c>
      <c r="E48" s="954"/>
      <c r="F48" s="954"/>
      <c r="G48" s="2983"/>
      <c r="H48" s="954"/>
      <c r="I48" s="2983"/>
      <c r="J48" s="3130" t="str">
        <f>IF(Místicos!P12=Místicos!Q12,Místicos!P12,Místicos!P12&amp;" Ofensiva"&amp;", "&amp;Místicos!Q12&amp;" Defensiva")&amp;IF(OR(Místicos!BA11,Místicos!BB11,Místicos!BC11),". "&amp;Místicos!AT10,"")</f>
        <v>0</v>
      </c>
      <c r="K48" s="3130"/>
      <c r="L48" s="3130"/>
      <c r="M48" s="3130"/>
      <c r="N48" s="3130"/>
      <c r="O48" s="3130"/>
      <c r="P48" s="3130"/>
      <c r="Q48" s="3130"/>
      <c r="R48" s="3130"/>
      <c r="S48" s="3130"/>
      <c r="T48" s="2980"/>
      <c r="U48" s="2979" t="s">
        <v>1881</v>
      </c>
      <c r="V48" s="3127">
        <f>IF(AND(Místicos!AT10="Onmyodo",SUM(Místicos!$AW$62:$AW$72)&gt;0),Místicos!K18-SUM(Místicos!$AW$62:$AW$72)&amp;" ("&amp;Místicos!K18&amp;")",Místicos!K18)</f>
        <v>0</v>
      </c>
      <c r="W48" s="3127"/>
      <c r="X48" s="3127"/>
      <c r="Y48" s="3127"/>
      <c r="Z48" s="2984"/>
      <c r="AA48" s="954"/>
      <c r="AB48" s="954"/>
      <c r="AC48" s="2979" t="s">
        <v>10438</v>
      </c>
      <c r="AD48" s="3127">
        <f>IF(Místicos!J12&lt;&gt;Místicos!I12,Místicos!J12&amp;" ("&amp;Místicos!I12&amp;")",Místicos!J12)</f>
        <v>0</v>
      </c>
      <c r="AE48" s="3127"/>
      <c r="AF48" s="3127"/>
      <c r="AG48" s="3127"/>
      <c r="AH48" s="3127"/>
      <c r="AI48" s="3127"/>
      <c r="AJ48" s="1863"/>
      <c r="AK48" s="629"/>
      <c r="AL48" s="23"/>
      <c r="AN48" s="3115" t="s">
        <v>1513</v>
      </c>
      <c r="AO48" s="3116"/>
      <c r="AP48" s="3117"/>
      <c r="AQ48" s="2753"/>
      <c r="AR48" s="2753"/>
      <c r="AS48" s="2753"/>
      <c r="AT48" s="3045"/>
      <c r="AU48" s="3045"/>
    </row>
    <row r="49" spans="1:47" ht="1.5" customHeight="1" x14ac:dyDescent="0.2">
      <c r="A49" s="9"/>
      <c r="B49" s="817"/>
      <c r="C49" s="2053"/>
      <c r="D49" s="954"/>
      <c r="E49" s="2724"/>
      <c r="F49" s="2724"/>
      <c r="G49" s="2724"/>
      <c r="H49" s="2724"/>
      <c r="I49" s="2724"/>
      <c r="J49" s="2578"/>
      <c r="K49" s="2578"/>
      <c r="L49" s="2578"/>
      <c r="M49" s="2578"/>
      <c r="N49" s="2578"/>
      <c r="O49" s="2578"/>
      <c r="P49" s="2578"/>
      <c r="Q49" s="2578"/>
      <c r="R49" s="2578"/>
      <c r="S49" s="954"/>
      <c r="T49" s="2578"/>
      <c r="U49" s="2578"/>
      <c r="V49" s="954"/>
      <c r="W49" s="2578"/>
      <c r="X49" s="954"/>
      <c r="Y49" s="2578"/>
      <c r="Z49" s="2578"/>
      <c r="AA49" s="2578"/>
      <c r="AB49" s="2578"/>
      <c r="AC49" s="2578"/>
      <c r="AD49" s="2578"/>
      <c r="AE49" s="2578"/>
      <c r="AF49" s="2578"/>
      <c r="AG49" s="2578"/>
      <c r="AH49" s="2578"/>
      <c r="AI49" s="2578"/>
      <c r="AJ49" s="1860"/>
      <c r="AK49" s="629"/>
      <c r="AL49" s="22"/>
      <c r="AN49" s="3005"/>
      <c r="AO49" s="2949"/>
      <c r="AP49" s="2950"/>
      <c r="AQ49" s="2753"/>
      <c r="AR49" s="2753"/>
      <c r="AS49" s="2753"/>
      <c r="AT49" s="3045"/>
      <c r="AU49" s="3045"/>
    </row>
    <row r="50" spans="1:47" ht="12" customHeight="1" x14ac:dyDescent="0.2">
      <c r="A50" s="9"/>
      <c r="B50" s="818"/>
      <c r="C50" s="2723"/>
      <c r="D50" s="2703" t="s">
        <v>1878</v>
      </c>
      <c r="E50" s="954"/>
      <c r="F50" s="3129">
        <f>Tablas!H1100</f>
        <v>0</v>
      </c>
      <c r="G50" s="3129"/>
      <c r="H50" s="3129"/>
      <c r="I50" s="3129"/>
      <c r="J50" s="3129"/>
      <c r="K50" s="3129"/>
      <c r="L50" s="3129"/>
      <c r="M50" s="3129"/>
      <c r="N50" s="3129"/>
      <c r="O50" s="2982"/>
      <c r="P50" s="954"/>
      <c r="Q50" s="2978"/>
      <c r="R50" s="2979" t="s">
        <v>1879</v>
      </c>
      <c r="S50" s="3127">
        <f>Místicos!M26</f>
        <v>0</v>
      </c>
      <c r="T50" s="3127"/>
      <c r="U50" s="954"/>
      <c r="V50" s="2978"/>
      <c r="W50" s="2979" t="s">
        <v>1882</v>
      </c>
      <c r="X50" s="3127">
        <f>Místicos!M27</f>
        <v>0</v>
      </c>
      <c r="Y50" s="3127"/>
      <c r="Z50" s="954"/>
      <c r="AA50" s="2979" t="s">
        <v>1880</v>
      </c>
      <c r="AB50" s="3127">
        <f>Místicos!M28</f>
        <v>0</v>
      </c>
      <c r="AC50" s="3127"/>
      <c r="AD50" s="954"/>
      <c r="AE50" s="954"/>
      <c r="AF50" s="954"/>
      <c r="AG50" s="2979" t="s">
        <v>1883</v>
      </c>
      <c r="AH50" s="3127">
        <f>Místicos!M29</f>
        <v>0</v>
      </c>
      <c r="AI50" s="3127"/>
      <c r="AJ50" s="1863"/>
      <c r="AK50" s="629"/>
      <c r="AL50" s="23"/>
      <c r="AN50" s="3118" t="s">
        <v>8530</v>
      </c>
      <c r="AO50" s="3119"/>
      <c r="AP50" s="3124" t="s">
        <v>2584</v>
      </c>
      <c r="AQ50" s="2753"/>
      <c r="AR50" s="2753"/>
      <c r="AS50" s="2753"/>
      <c r="AT50" s="3045"/>
      <c r="AU50" s="3045"/>
    </row>
    <row r="51" spans="1:47" ht="1.5" customHeight="1" x14ac:dyDescent="0.2">
      <c r="A51" s="9"/>
      <c r="B51" s="817"/>
      <c r="C51" s="2053"/>
      <c r="D51" s="3134" t="s">
        <v>10440</v>
      </c>
      <c r="E51" s="3134"/>
      <c r="F51" s="3134"/>
      <c r="G51" s="2706"/>
      <c r="H51" s="2706"/>
      <c r="I51" s="954"/>
      <c r="J51" s="2578"/>
      <c r="K51" s="2578"/>
      <c r="L51" s="2578"/>
      <c r="M51" s="2578"/>
      <c r="N51" s="2578"/>
      <c r="O51" s="2578"/>
      <c r="P51" s="2578"/>
      <c r="Q51" s="2578"/>
      <c r="R51" s="2578"/>
      <c r="S51" s="2578"/>
      <c r="T51" s="2578"/>
      <c r="U51" s="2578"/>
      <c r="V51" s="2578"/>
      <c r="W51" s="2578"/>
      <c r="X51" s="2578"/>
      <c r="Y51" s="2578"/>
      <c r="Z51" s="2578"/>
      <c r="AA51" s="2578"/>
      <c r="AB51" s="2578"/>
      <c r="AC51" s="2578"/>
      <c r="AD51" s="2578"/>
      <c r="AE51" s="2578"/>
      <c r="AF51" s="2578"/>
      <c r="AG51" s="2578"/>
      <c r="AH51" s="2578"/>
      <c r="AI51" s="2578"/>
      <c r="AJ51" s="1860"/>
      <c r="AK51" s="629"/>
      <c r="AL51" s="22"/>
      <c r="AN51" s="3118"/>
      <c r="AO51" s="3119"/>
      <c r="AP51" s="3124"/>
      <c r="AQ51" s="2753"/>
      <c r="AR51" s="2753"/>
      <c r="AS51" s="2753"/>
      <c r="AT51" s="3045"/>
      <c r="AU51" s="3045"/>
    </row>
    <row r="52" spans="1:47" ht="12" customHeight="1" x14ac:dyDescent="0.2">
      <c r="A52" s="9"/>
      <c r="B52" s="818"/>
      <c r="C52" s="2723"/>
      <c r="D52" s="3134"/>
      <c r="E52" s="3134"/>
      <c r="F52" s="3134"/>
      <c r="G52" s="3132" t="str">
        <f>IFERROR(MID(Tablas!G2020,3,LEN(Tablas!G2020)),"")</f>
        <v/>
      </c>
      <c r="H52" s="3132"/>
      <c r="I52" s="3132"/>
      <c r="J52" s="3132"/>
      <c r="K52" s="3132"/>
      <c r="L52" s="3132"/>
      <c r="M52" s="3132"/>
      <c r="N52" s="3132"/>
      <c r="O52" s="3132"/>
      <c r="P52" s="3132"/>
      <c r="Q52" s="3132"/>
      <c r="R52" s="3132"/>
      <c r="S52" s="3132"/>
      <c r="T52" s="3132"/>
      <c r="U52" s="3132"/>
      <c r="V52" s="3132"/>
      <c r="W52" s="3132"/>
      <c r="X52" s="3132"/>
      <c r="Y52" s="3132"/>
      <c r="Z52" s="3132"/>
      <c r="AA52" s="3132"/>
      <c r="AB52" s="3132"/>
      <c r="AC52" s="3132"/>
      <c r="AD52" s="3132"/>
      <c r="AE52" s="3132"/>
      <c r="AF52" s="3132"/>
      <c r="AG52" s="3132"/>
      <c r="AH52" s="3132"/>
      <c r="AI52" s="3132"/>
      <c r="AJ52" s="1862"/>
      <c r="AK52" s="629"/>
      <c r="AL52" s="23"/>
      <c r="AN52" s="3118"/>
      <c r="AO52" s="3119"/>
      <c r="AP52" s="3124"/>
      <c r="AQ52" s="2753"/>
      <c r="AR52" s="2753"/>
      <c r="AS52" s="2753"/>
      <c r="AT52" s="3045"/>
      <c r="AU52" s="3045"/>
    </row>
    <row r="53" spans="1:47" ht="1.5" customHeight="1" x14ac:dyDescent="0.2">
      <c r="A53" s="9"/>
      <c r="B53" s="817"/>
      <c r="C53" s="2053"/>
      <c r="D53" s="3134"/>
      <c r="E53" s="3134"/>
      <c r="F53" s="3134"/>
      <c r="G53" s="3132"/>
      <c r="H53" s="3132"/>
      <c r="I53" s="3132"/>
      <c r="J53" s="3132"/>
      <c r="K53" s="3132"/>
      <c r="L53" s="3132"/>
      <c r="M53" s="3132"/>
      <c r="N53" s="3132"/>
      <c r="O53" s="3132"/>
      <c r="P53" s="3132"/>
      <c r="Q53" s="3132"/>
      <c r="R53" s="3132"/>
      <c r="S53" s="3132"/>
      <c r="T53" s="3132"/>
      <c r="U53" s="3132"/>
      <c r="V53" s="3132"/>
      <c r="W53" s="3132"/>
      <c r="X53" s="3132"/>
      <c r="Y53" s="3132"/>
      <c r="Z53" s="3132"/>
      <c r="AA53" s="3132"/>
      <c r="AB53" s="3132"/>
      <c r="AC53" s="3132"/>
      <c r="AD53" s="3132"/>
      <c r="AE53" s="3132"/>
      <c r="AF53" s="3132"/>
      <c r="AG53" s="3132"/>
      <c r="AH53" s="3132"/>
      <c r="AI53" s="3132"/>
      <c r="AJ53" s="1860"/>
      <c r="AK53" s="629"/>
      <c r="AL53" s="22"/>
      <c r="AN53" s="3118"/>
      <c r="AO53" s="3119"/>
      <c r="AP53" s="3006"/>
      <c r="AQ53" s="2753"/>
      <c r="AR53" s="2753"/>
      <c r="AS53" s="2753"/>
      <c r="AT53" s="3045"/>
      <c r="AU53" s="3045"/>
    </row>
    <row r="54" spans="1:47" ht="12" customHeight="1" x14ac:dyDescent="0.2">
      <c r="A54" s="9"/>
      <c r="B54" s="818"/>
      <c r="C54" s="2723"/>
      <c r="D54" s="3134"/>
      <c r="E54" s="3134"/>
      <c r="F54" s="3134"/>
      <c r="G54" s="3132"/>
      <c r="H54" s="3132"/>
      <c r="I54" s="3132"/>
      <c r="J54" s="3132"/>
      <c r="K54" s="3132"/>
      <c r="L54" s="3132"/>
      <c r="M54" s="3132"/>
      <c r="N54" s="3132"/>
      <c r="O54" s="3132"/>
      <c r="P54" s="3132"/>
      <c r="Q54" s="3132"/>
      <c r="R54" s="3132"/>
      <c r="S54" s="3132"/>
      <c r="T54" s="3132"/>
      <c r="U54" s="3132"/>
      <c r="V54" s="3132"/>
      <c r="W54" s="3132"/>
      <c r="X54" s="3132"/>
      <c r="Y54" s="3132"/>
      <c r="Z54" s="3132"/>
      <c r="AA54" s="3132"/>
      <c r="AB54" s="3132"/>
      <c r="AC54" s="3132"/>
      <c r="AD54" s="3132"/>
      <c r="AE54" s="3132"/>
      <c r="AF54" s="3132"/>
      <c r="AG54" s="3132"/>
      <c r="AH54" s="3132"/>
      <c r="AI54" s="3132"/>
      <c r="AJ54" s="1866"/>
      <c r="AK54" s="629"/>
      <c r="AL54" s="23"/>
      <c r="AN54" s="3120" t="s">
        <v>8737</v>
      </c>
      <c r="AO54" s="3121"/>
      <c r="AP54" s="3125" t="s">
        <v>2584</v>
      </c>
      <c r="AQ54" s="2753"/>
      <c r="AR54" s="2753"/>
      <c r="AS54" s="2753"/>
      <c r="AT54" s="3045"/>
      <c r="AU54" s="3045"/>
    </row>
    <row r="55" spans="1:47" ht="12" customHeight="1" x14ac:dyDescent="0.2">
      <c r="A55" s="9"/>
      <c r="B55" s="818"/>
      <c r="C55" s="2723"/>
      <c r="D55" s="2985"/>
      <c r="E55" s="2985"/>
      <c r="F55" s="2985"/>
      <c r="G55" s="3132"/>
      <c r="H55" s="3132"/>
      <c r="I55" s="3132"/>
      <c r="J55" s="3132"/>
      <c r="K55" s="3132"/>
      <c r="L55" s="3132"/>
      <c r="M55" s="3132"/>
      <c r="N55" s="3132"/>
      <c r="O55" s="3132"/>
      <c r="P55" s="3132"/>
      <c r="Q55" s="3132"/>
      <c r="R55" s="3132"/>
      <c r="S55" s="3132"/>
      <c r="T55" s="3132"/>
      <c r="U55" s="3132"/>
      <c r="V55" s="3132"/>
      <c r="W55" s="3132"/>
      <c r="X55" s="3132"/>
      <c r="Y55" s="3132"/>
      <c r="Z55" s="3132"/>
      <c r="AA55" s="3132"/>
      <c r="AB55" s="3132"/>
      <c r="AC55" s="3132"/>
      <c r="AD55" s="3132"/>
      <c r="AE55" s="3132"/>
      <c r="AF55" s="3132"/>
      <c r="AG55" s="3132"/>
      <c r="AH55" s="3132"/>
      <c r="AI55" s="3132"/>
      <c r="AJ55" s="1866"/>
      <c r="AK55" s="629"/>
      <c r="AL55" s="23"/>
      <c r="AN55" s="3120"/>
      <c r="AO55" s="3121"/>
      <c r="AP55" s="3125"/>
      <c r="AQ55" s="2753"/>
      <c r="AR55" s="2753"/>
      <c r="AS55" s="2753"/>
      <c r="AT55" s="3045"/>
      <c r="AU55" s="3045"/>
    </row>
    <row r="56" spans="1:47" ht="12" customHeight="1" x14ac:dyDescent="0.2">
      <c r="A56" s="9"/>
      <c r="B56" s="489"/>
      <c r="C56" s="2721"/>
      <c r="D56" s="2980"/>
      <c r="E56" s="2980"/>
      <c r="F56" s="2980"/>
      <c r="G56" s="3132"/>
      <c r="H56" s="3132"/>
      <c r="I56" s="3132"/>
      <c r="J56" s="3132"/>
      <c r="K56" s="3132"/>
      <c r="L56" s="3132"/>
      <c r="M56" s="3132"/>
      <c r="N56" s="3132"/>
      <c r="O56" s="3132"/>
      <c r="P56" s="3132"/>
      <c r="Q56" s="3132"/>
      <c r="R56" s="3132"/>
      <c r="S56" s="3132"/>
      <c r="T56" s="3132"/>
      <c r="U56" s="3132"/>
      <c r="V56" s="3132"/>
      <c r="W56" s="3132"/>
      <c r="X56" s="3132"/>
      <c r="Y56" s="3132"/>
      <c r="Z56" s="3132"/>
      <c r="AA56" s="3132"/>
      <c r="AB56" s="3132"/>
      <c r="AC56" s="3132"/>
      <c r="AD56" s="3132"/>
      <c r="AE56" s="3132"/>
      <c r="AF56" s="3132"/>
      <c r="AG56" s="3132"/>
      <c r="AH56" s="3132"/>
      <c r="AI56" s="3132"/>
      <c r="AJ56" s="1866"/>
      <c r="AK56" s="629"/>
      <c r="AL56" s="23"/>
      <c r="AN56" s="3118" t="s">
        <v>1691</v>
      </c>
      <c r="AO56" s="3119"/>
      <c r="AP56" s="3124" t="s">
        <v>2584</v>
      </c>
      <c r="AQ56" s="2753"/>
      <c r="AR56" s="2753"/>
      <c r="AS56" s="2753"/>
      <c r="AT56" s="3045"/>
      <c r="AU56" s="3045"/>
    </row>
    <row r="57" spans="1:47" ht="12" customHeight="1" thickBot="1" x14ac:dyDescent="0.25">
      <c r="A57" s="9"/>
      <c r="B57" s="489"/>
      <c r="C57" s="2721"/>
      <c r="D57" s="2981"/>
      <c r="E57" s="2981"/>
      <c r="F57" s="2981"/>
      <c r="G57" s="3133"/>
      <c r="H57" s="3133"/>
      <c r="I57" s="3133"/>
      <c r="J57" s="3133"/>
      <c r="K57" s="3133"/>
      <c r="L57" s="3133"/>
      <c r="M57" s="3133"/>
      <c r="N57" s="3133"/>
      <c r="O57" s="3133"/>
      <c r="P57" s="3133"/>
      <c r="Q57" s="3133"/>
      <c r="R57" s="3133"/>
      <c r="S57" s="3133"/>
      <c r="T57" s="3133"/>
      <c r="U57" s="3133"/>
      <c r="V57" s="3133"/>
      <c r="W57" s="3133"/>
      <c r="X57" s="3133"/>
      <c r="Y57" s="3133"/>
      <c r="Z57" s="3133"/>
      <c r="AA57" s="3133"/>
      <c r="AB57" s="3133"/>
      <c r="AC57" s="3133"/>
      <c r="AD57" s="3133"/>
      <c r="AE57" s="3133"/>
      <c r="AF57" s="3133"/>
      <c r="AG57" s="3133"/>
      <c r="AH57" s="3133"/>
      <c r="AI57" s="3133"/>
      <c r="AJ57" s="1866"/>
      <c r="AK57" s="629"/>
      <c r="AL57" s="23"/>
      <c r="AN57" s="3122"/>
      <c r="AO57" s="3123"/>
      <c r="AP57" s="3126"/>
      <c r="AQ57" s="2753"/>
      <c r="AR57" s="2753"/>
      <c r="AS57" s="2753"/>
      <c r="AT57" s="3045"/>
      <c r="AU57" s="3045"/>
    </row>
    <row r="58" spans="1:47" ht="2.25" customHeight="1" x14ac:dyDescent="0.2">
      <c r="A58" s="9"/>
      <c r="B58" s="489"/>
      <c r="C58" s="2721"/>
      <c r="D58" s="2720"/>
      <c r="E58" s="2720"/>
      <c r="F58" s="2720"/>
      <c r="G58" s="2720"/>
      <c r="H58" s="2720"/>
      <c r="I58" s="2687"/>
      <c r="J58" s="2687"/>
      <c r="K58" s="2687"/>
      <c r="L58" s="2687"/>
      <c r="M58" s="2687"/>
      <c r="N58" s="2687"/>
      <c r="O58" s="2687"/>
      <c r="P58" s="2687"/>
      <c r="Q58" s="2687"/>
      <c r="R58" s="2687"/>
      <c r="S58" s="2687"/>
      <c r="T58" s="2687"/>
      <c r="U58" s="2687"/>
      <c r="V58" s="2687"/>
      <c r="W58" s="2687"/>
      <c r="X58" s="2687"/>
      <c r="Y58" s="2687"/>
      <c r="Z58" s="2687"/>
      <c r="AA58" s="2687"/>
      <c r="AB58" s="2687"/>
      <c r="AC58" s="2687"/>
      <c r="AD58" s="2687"/>
      <c r="AE58" s="2687"/>
      <c r="AF58" s="2687"/>
      <c r="AG58" s="2687"/>
      <c r="AH58" s="2687"/>
      <c r="AI58" s="2687"/>
      <c r="AJ58" s="1866"/>
      <c r="AK58" s="629"/>
      <c r="AL58" s="23"/>
      <c r="AQ58" s="2753"/>
      <c r="AR58" s="2753"/>
      <c r="AS58" s="2753"/>
      <c r="AT58" s="3045"/>
      <c r="AU58" s="3045"/>
    </row>
    <row r="59" spans="1:47" ht="1.5" customHeight="1" x14ac:dyDescent="0.2">
      <c r="A59" s="9"/>
      <c r="B59" s="817"/>
      <c r="C59" s="2053"/>
      <c r="D59" s="2578"/>
      <c r="E59" s="2578"/>
      <c r="F59" s="2578"/>
      <c r="G59" s="2578"/>
      <c r="H59" s="2578"/>
      <c r="I59" s="2578"/>
      <c r="J59" s="2578"/>
      <c r="K59" s="2578"/>
      <c r="L59" s="2578"/>
      <c r="M59" s="2578"/>
      <c r="N59" s="2578"/>
      <c r="O59" s="2578"/>
      <c r="P59" s="2578"/>
      <c r="Q59" s="2578"/>
      <c r="R59" s="3160" t="s">
        <v>1886</v>
      </c>
      <c r="S59" s="3160"/>
      <c r="T59" s="3160"/>
      <c r="U59" s="3160"/>
      <c r="V59" s="3160"/>
      <c r="W59" s="3160"/>
      <c r="X59" s="2578"/>
      <c r="Y59" s="2578"/>
      <c r="Z59" s="2578"/>
      <c r="AA59" s="2578"/>
      <c r="AB59" s="2578"/>
      <c r="AC59" s="2578"/>
      <c r="AD59" s="2578"/>
      <c r="AE59" s="2578"/>
      <c r="AF59" s="2578"/>
      <c r="AG59" s="2578"/>
      <c r="AH59" s="2578"/>
      <c r="AI59" s="2578"/>
      <c r="AJ59" s="1860"/>
      <c r="AK59" s="629"/>
      <c r="AL59" s="22"/>
      <c r="AQ59" s="2753"/>
      <c r="AR59" s="2753"/>
      <c r="AS59" s="2753"/>
      <c r="AT59" s="3045"/>
      <c r="AU59" s="3045"/>
    </row>
    <row r="60" spans="1:47" ht="12" customHeight="1" x14ac:dyDescent="0.2">
      <c r="A60" s="9"/>
      <c r="B60" s="818"/>
      <c r="C60" s="2723"/>
      <c r="D60" s="2707" t="s">
        <v>1884</v>
      </c>
      <c r="E60" s="2707"/>
      <c r="F60" s="2707"/>
      <c r="G60" s="2707"/>
      <c r="H60" s="3163">
        <f>Psíquicos!I16</f>
        <v>0</v>
      </c>
      <c r="I60" s="3163"/>
      <c r="J60" s="3163"/>
      <c r="K60" s="3163"/>
      <c r="L60" s="2724" t="s">
        <v>1885</v>
      </c>
      <c r="M60" s="2724"/>
      <c r="N60" s="2724"/>
      <c r="O60" s="3163">
        <f>Psíquicos!M13</f>
        <v>0</v>
      </c>
      <c r="P60" s="3163"/>
      <c r="Q60" s="3163"/>
      <c r="R60" s="3160"/>
      <c r="S60" s="3160"/>
      <c r="T60" s="3160"/>
      <c r="U60" s="3160"/>
      <c r="V60" s="3160"/>
      <c r="W60" s="3160"/>
      <c r="X60" s="3161" t="str">
        <f>IFERROR(RIGHT(AT60,LEN(AT60)-2),"")</f>
        <v/>
      </c>
      <c r="Y60" s="3161"/>
      <c r="Z60" s="3161"/>
      <c r="AA60" s="3161"/>
      <c r="AB60" s="3161"/>
      <c r="AC60" s="3161"/>
      <c r="AD60" s="3161"/>
      <c r="AE60" s="3161"/>
      <c r="AF60" s="3161"/>
      <c r="AG60" s="3161"/>
      <c r="AH60" s="3161"/>
      <c r="AI60" s="3161"/>
      <c r="AJ60" s="1863"/>
      <c r="AK60" s="629"/>
      <c r="AL60" s="23"/>
      <c r="AQ60" s="2753"/>
      <c r="AR60" s="2753"/>
      <c r="AS60" s="2753"/>
      <c r="AT60" s="3045" t="str">
        <f>IF(Psíquicos!C39="","",", "&amp;Psíquicos!C39)&amp;IF(Psíquicos!C41="","",", "&amp;Psíquicos!C41)&amp;IF(Psíquicos!C43="","",", "&amp;Psíquicos!C43)&amp;IF(Psíquicos!C45="","",", "&amp;Psíquicos!C45)&amp;IF(Psíquicos!C47="","",", "&amp;Psíquicos!C47)&amp;IF(Psíquicos!C49="","",", "&amp;Psíquicos!C49)</f>
        <v/>
      </c>
      <c r="AU60" s="3045"/>
    </row>
    <row r="61" spans="1:47" ht="1.5" customHeight="1" x14ac:dyDescent="0.2">
      <c r="A61" s="9"/>
      <c r="B61" s="817"/>
      <c r="C61" s="2053"/>
      <c r="D61" s="2578"/>
      <c r="E61" s="2578"/>
      <c r="F61" s="2578"/>
      <c r="G61" s="2578"/>
      <c r="H61" s="2578"/>
      <c r="I61" s="2578"/>
      <c r="J61" s="2578"/>
      <c r="K61" s="2578"/>
      <c r="L61" s="2578"/>
      <c r="M61" s="2578"/>
      <c r="N61" s="2578"/>
      <c r="O61" s="2578"/>
      <c r="P61" s="2578"/>
      <c r="Q61" s="2578"/>
      <c r="R61" s="2578"/>
      <c r="S61" s="2578"/>
      <c r="T61" s="2578"/>
      <c r="U61" s="2578"/>
      <c r="V61" s="2578"/>
      <c r="W61" s="2578"/>
      <c r="X61" s="3161"/>
      <c r="Y61" s="3161"/>
      <c r="Z61" s="3161"/>
      <c r="AA61" s="3161"/>
      <c r="AB61" s="3161"/>
      <c r="AC61" s="3161"/>
      <c r="AD61" s="3161"/>
      <c r="AE61" s="3161"/>
      <c r="AF61" s="3161"/>
      <c r="AG61" s="3161"/>
      <c r="AH61" s="3161"/>
      <c r="AI61" s="3161"/>
      <c r="AJ61" s="1860"/>
      <c r="AK61" s="629"/>
      <c r="AL61" s="22"/>
      <c r="AQ61" s="2753"/>
      <c r="AR61" s="2753"/>
      <c r="AS61" s="2753"/>
      <c r="AT61" s="3045"/>
      <c r="AU61" s="3045"/>
    </row>
    <row r="62" spans="1:47" ht="12" customHeight="1" x14ac:dyDescent="0.2">
      <c r="A62" s="9"/>
      <c r="B62" s="818"/>
      <c r="C62" s="2723"/>
      <c r="D62" s="2707" t="s">
        <v>1887</v>
      </c>
      <c r="E62" s="2707"/>
      <c r="F62" s="2707"/>
      <c r="G62" s="2707"/>
      <c r="H62" s="2707"/>
      <c r="I62" s="2707"/>
      <c r="J62" s="3136">
        <f>Psíquicos!H11</f>
        <v>0</v>
      </c>
      <c r="K62" s="3136"/>
      <c r="L62" s="3136"/>
      <c r="M62" s="3136"/>
      <c r="N62" s="3136"/>
      <c r="O62" s="3136"/>
      <c r="P62" s="3136"/>
      <c r="Q62" s="3136"/>
      <c r="R62" s="3136"/>
      <c r="S62" s="3136"/>
      <c r="T62" s="3136"/>
      <c r="U62" s="3136"/>
      <c r="V62" s="3136"/>
      <c r="W62" s="3136"/>
      <c r="X62" s="3161"/>
      <c r="Y62" s="3161"/>
      <c r="Z62" s="3161"/>
      <c r="AA62" s="3161"/>
      <c r="AB62" s="3161"/>
      <c r="AC62" s="3161"/>
      <c r="AD62" s="3161"/>
      <c r="AE62" s="3161"/>
      <c r="AF62" s="3161"/>
      <c r="AG62" s="3161"/>
      <c r="AH62" s="3161"/>
      <c r="AI62" s="3161"/>
      <c r="AJ62" s="1863"/>
      <c r="AK62" s="629"/>
      <c r="AL62" s="23"/>
      <c r="AQ62" s="2753"/>
      <c r="AR62" s="2753"/>
      <c r="AS62" s="2753"/>
      <c r="AT62" s="3045"/>
      <c r="AU62" s="3045"/>
    </row>
    <row r="63" spans="1:47" ht="1.5" customHeight="1" x14ac:dyDescent="0.2">
      <c r="A63" s="9"/>
      <c r="B63" s="817"/>
      <c r="C63" s="2053"/>
      <c r="D63" s="2578"/>
      <c r="E63" s="2578"/>
      <c r="F63" s="2578"/>
      <c r="G63" s="2578"/>
      <c r="H63" s="2578"/>
      <c r="I63" s="2578"/>
      <c r="J63" s="2578"/>
      <c r="K63" s="2578"/>
      <c r="L63" s="2578"/>
      <c r="M63" s="2578"/>
      <c r="N63" s="2578"/>
      <c r="O63" s="2578"/>
      <c r="P63" s="2578"/>
      <c r="Q63" s="2578"/>
      <c r="R63" s="2578"/>
      <c r="S63" s="2578"/>
      <c r="T63" s="2578"/>
      <c r="U63" s="2578"/>
      <c r="V63" s="2578"/>
      <c r="W63" s="2578"/>
      <c r="X63" s="3161"/>
      <c r="Y63" s="3161"/>
      <c r="Z63" s="3161"/>
      <c r="AA63" s="3161"/>
      <c r="AB63" s="3161"/>
      <c r="AC63" s="3161"/>
      <c r="AD63" s="3161"/>
      <c r="AE63" s="3161"/>
      <c r="AF63" s="3161"/>
      <c r="AG63" s="3161"/>
      <c r="AH63" s="3161"/>
      <c r="AI63" s="3161"/>
      <c r="AJ63" s="1860"/>
      <c r="AK63" s="629"/>
      <c r="AL63" s="22"/>
      <c r="AQ63" s="2753"/>
      <c r="AR63" s="2753"/>
      <c r="AS63" s="2753"/>
      <c r="AT63" s="3045"/>
      <c r="AU63" s="3045"/>
    </row>
    <row r="64" spans="1:47" ht="12" customHeight="1" x14ac:dyDescent="0.2">
      <c r="A64" s="9"/>
      <c r="B64" s="818"/>
      <c r="C64" s="2723"/>
      <c r="D64" s="2707" t="s">
        <v>1888</v>
      </c>
      <c r="E64" s="2707"/>
      <c r="F64" s="2707"/>
      <c r="G64" s="2707"/>
      <c r="H64" s="2707"/>
      <c r="I64" s="2707"/>
      <c r="J64" s="2707"/>
      <c r="K64" s="3136">
        <f>IF(Psíquicos!P12=Psíquicos!Q12,Psíquicos!P12,Psíquicos!P12&amp;" Ofensiva"&amp;", "&amp;Psíquicos!Q12&amp;" Defensiva")</f>
        <v>0</v>
      </c>
      <c r="L64" s="3136"/>
      <c r="M64" s="3136"/>
      <c r="N64" s="3136"/>
      <c r="O64" s="3136"/>
      <c r="P64" s="3136"/>
      <c r="Q64" s="3136"/>
      <c r="R64" s="3136"/>
      <c r="S64" s="3136"/>
      <c r="T64" s="3136"/>
      <c r="U64" s="3136"/>
      <c r="V64" s="3136"/>
      <c r="W64" s="3136"/>
      <c r="X64" s="3161"/>
      <c r="Y64" s="3161"/>
      <c r="Z64" s="3161"/>
      <c r="AA64" s="3161"/>
      <c r="AB64" s="3161"/>
      <c r="AC64" s="3161"/>
      <c r="AD64" s="3161"/>
      <c r="AE64" s="3161"/>
      <c r="AF64" s="3161"/>
      <c r="AG64" s="3161"/>
      <c r="AH64" s="3161"/>
      <c r="AI64" s="3161"/>
      <c r="AJ64" s="1866"/>
      <c r="AK64" s="629"/>
      <c r="AL64" s="23"/>
      <c r="AQ64" s="2753"/>
      <c r="AR64" s="2753"/>
      <c r="AS64" s="2753"/>
      <c r="AT64" s="3045"/>
      <c r="AU64" s="3045"/>
    </row>
    <row r="65" spans="1:47" ht="1.5" customHeight="1" x14ac:dyDescent="0.2">
      <c r="A65" s="9"/>
      <c r="B65" s="817"/>
      <c r="C65" s="2053"/>
      <c r="D65" s="3128" t="s">
        <v>1889</v>
      </c>
      <c r="E65" s="3128"/>
      <c r="F65" s="3128"/>
      <c r="G65" s="3128"/>
      <c r="H65" s="3128"/>
      <c r="I65" s="3128"/>
      <c r="J65" s="3128"/>
      <c r="K65" s="2578"/>
      <c r="L65" s="2578"/>
      <c r="M65" s="2578"/>
      <c r="N65" s="2578"/>
      <c r="O65" s="2578"/>
      <c r="P65" s="2578"/>
      <c r="Q65" s="2578"/>
      <c r="R65" s="2578"/>
      <c r="S65" s="2578"/>
      <c r="T65" s="2578"/>
      <c r="U65" s="2578"/>
      <c r="V65" s="2578"/>
      <c r="W65" s="2578"/>
      <c r="X65" s="2578"/>
      <c r="Y65" s="2578"/>
      <c r="Z65" s="2578"/>
      <c r="AA65" s="2578"/>
      <c r="AB65" s="2578"/>
      <c r="AC65" s="2578"/>
      <c r="AD65" s="2578"/>
      <c r="AE65" s="2578"/>
      <c r="AF65" s="2578"/>
      <c r="AG65" s="2578"/>
      <c r="AH65" s="2578"/>
      <c r="AI65" s="2578"/>
      <c r="AJ65" s="1860"/>
      <c r="AK65" s="629"/>
      <c r="AL65" s="22"/>
      <c r="AQ65" s="2753"/>
      <c r="AR65" s="2753"/>
      <c r="AS65" s="2753"/>
      <c r="AT65" s="3045"/>
      <c r="AU65" s="3045"/>
    </row>
    <row r="66" spans="1:47" ht="12" customHeight="1" x14ac:dyDescent="0.2">
      <c r="A66" s="9"/>
      <c r="B66" s="818"/>
      <c r="C66" s="2723"/>
      <c r="D66" s="3128"/>
      <c r="E66" s="3128"/>
      <c r="F66" s="3128"/>
      <c r="G66" s="3128"/>
      <c r="H66" s="3128"/>
      <c r="I66" s="3128"/>
      <c r="J66" s="3128"/>
      <c r="K66" s="3136" t="str">
        <f>IF(Psíquicos!C25=0,"",Psíquicos!C25)&amp;IF(Psíquicos!C27=0,"",", "&amp;Psíquicos!C27)&amp;IF(Psíquicos!C29=0,"",", "&amp;Psíquicos!C29)&amp;IF(Psíquicos!C31=0,"",", "&amp;Psíquicos!C31)&amp;IF(Psíquicos!C33=0,"",", "&amp;Psíquicos!C33)&amp;IF(Psíquicos!C35=0,"",", "&amp;Psíquicos!C35)</f>
        <v/>
      </c>
      <c r="L66" s="3136"/>
      <c r="M66" s="3136"/>
      <c r="N66" s="3136"/>
      <c r="O66" s="3136"/>
      <c r="P66" s="3136"/>
      <c r="Q66" s="3136"/>
      <c r="R66" s="3136"/>
      <c r="S66" s="3136"/>
      <c r="T66" s="3136"/>
      <c r="U66" s="3136"/>
      <c r="V66" s="3136"/>
      <c r="W66" s="3136"/>
      <c r="X66" s="3136"/>
      <c r="Y66" s="3136"/>
      <c r="Z66" s="3136"/>
      <c r="AA66" s="3136"/>
      <c r="AB66" s="3136"/>
      <c r="AC66" s="3136"/>
      <c r="AD66" s="3136"/>
      <c r="AE66" s="3136"/>
      <c r="AF66" s="3136"/>
      <c r="AG66" s="3136"/>
      <c r="AH66" s="3136"/>
      <c r="AI66" s="3136"/>
      <c r="AJ66" s="1866"/>
      <c r="AK66" s="629"/>
      <c r="AL66" s="23"/>
      <c r="AQ66" s="2753"/>
      <c r="AR66" s="2753"/>
      <c r="AS66" s="2753"/>
      <c r="AT66" s="3045"/>
      <c r="AU66" s="3045"/>
    </row>
    <row r="67" spans="1:47" ht="1.5" customHeight="1" x14ac:dyDescent="0.2">
      <c r="A67" s="9"/>
      <c r="B67" s="817"/>
      <c r="C67" s="2053"/>
      <c r="D67" s="2578"/>
      <c r="E67" s="2578"/>
      <c r="F67" s="2578"/>
      <c r="G67" s="2578"/>
      <c r="H67" s="2578"/>
      <c r="I67" s="2578"/>
      <c r="J67" s="2578"/>
      <c r="K67" s="2578"/>
      <c r="L67" s="2578"/>
      <c r="M67" s="2578"/>
      <c r="N67" s="2578"/>
      <c r="O67" s="2578"/>
      <c r="P67" s="2578"/>
      <c r="Q67" s="2578"/>
      <c r="R67" s="2578"/>
      <c r="S67" s="2578"/>
      <c r="T67" s="2578"/>
      <c r="U67" s="2578"/>
      <c r="V67" s="2578"/>
      <c r="W67" s="2578"/>
      <c r="X67" s="2578"/>
      <c r="Y67" s="2578"/>
      <c r="Z67" s="2578"/>
      <c r="AA67" s="2578"/>
      <c r="AB67" s="2578"/>
      <c r="AC67" s="2578"/>
      <c r="AD67" s="2578"/>
      <c r="AE67" s="2578"/>
      <c r="AF67" s="2578"/>
      <c r="AG67" s="2578"/>
      <c r="AH67" s="2578"/>
      <c r="AI67" s="2578"/>
      <c r="AJ67" s="1860"/>
      <c r="AK67" s="629"/>
      <c r="AL67" s="22"/>
      <c r="AQ67" s="2753"/>
      <c r="AR67" s="2753"/>
      <c r="AS67" s="2753"/>
      <c r="AT67" s="3045"/>
      <c r="AU67" s="3045"/>
    </row>
    <row r="68" spans="1:47" ht="12" customHeight="1" x14ac:dyDescent="0.2">
      <c r="A68" s="9"/>
      <c r="B68" s="816"/>
      <c r="C68" s="2052"/>
      <c r="D68" s="2696" t="s">
        <v>1890</v>
      </c>
      <c r="E68" s="2696"/>
      <c r="F68" s="2696"/>
      <c r="G68" s="2696"/>
      <c r="H68" s="2696"/>
      <c r="I68" s="2696"/>
      <c r="J68" s="3136" t="str">
        <f>IFERROR(MID(Psíquicos!AR15,3,LEN(Psíquicos!AR15)),"")</f>
        <v/>
      </c>
      <c r="K68" s="3136"/>
      <c r="L68" s="3136"/>
      <c r="M68" s="3136"/>
      <c r="N68" s="3136"/>
      <c r="O68" s="3136"/>
      <c r="P68" s="3136"/>
      <c r="Q68" s="3136"/>
      <c r="R68" s="3136"/>
      <c r="S68" s="3136"/>
      <c r="T68" s="3136"/>
      <c r="U68" s="3136"/>
      <c r="V68" s="3136"/>
      <c r="W68" s="3136"/>
      <c r="X68" s="3136"/>
      <c r="Y68" s="3136"/>
      <c r="Z68" s="3136"/>
      <c r="AA68" s="3136"/>
      <c r="AB68" s="3136"/>
      <c r="AC68" s="3136"/>
      <c r="AD68" s="3136"/>
      <c r="AE68" s="3136"/>
      <c r="AF68" s="3136"/>
      <c r="AG68" s="3136"/>
      <c r="AH68" s="3136"/>
      <c r="AI68" s="3136"/>
      <c r="AJ68" s="1860"/>
      <c r="AK68" s="629"/>
      <c r="AL68" s="23"/>
      <c r="AQ68" s="2753"/>
      <c r="AR68" s="2753"/>
      <c r="AS68" s="2753"/>
      <c r="AT68" s="3045"/>
      <c r="AU68" s="3045"/>
    </row>
    <row r="69" spans="1:47" ht="12" customHeight="1" x14ac:dyDescent="0.2">
      <c r="A69" s="9"/>
      <c r="B69" s="816"/>
      <c r="C69" s="2052"/>
      <c r="D69" s="2578"/>
      <c r="E69" s="2578"/>
      <c r="F69" s="2578"/>
      <c r="G69" s="2578"/>
      <c r="H69" s="2578"/>
      <c r="I69" s="2578"/>
      <c r="J69" s="3136"/>
      <c r="K69" s="3136"/>
      <c r="L69" s="3136"/>
      <c r="M69" s="3136"/>
      <c r="N69" s="3136"/>
      <c r="O69" s="3136"/>
      <c r="P69" s="3136"/>
      <c r="Q69" s="3136"/>
      <c r="R69" s="3136"/>
      <c r="S69" s="3136"/>
      <c r="T69" s="3136"/>
      <c r="U69" s="3136"/>
      <c r="V69" s="3136"/>
      <c r="W69" s="3136"/>
      <c r="X69" s="3136"/>
      <c r="Y69" s="3136"/>
      <c r="Z69" s="3136"/>
      <c r="AA69" s="3136"/>
      <c r="AB69" s="3136"/>
      <c r="AC69" s="3136"/>
      <c r="AD69" s="3136"/>
      <c r="AE69" s="3136"/>
      <c r="AF69" s="3136"/>
      <c r="AG69" s="3136"/>
      <c r="AH69" s="3136"/>
      <c r="AI69" s="3136"/>
      <c r="AJ69" s="1866"/>
      <c r="AK69" s="629"/>
      <c r="AL69" s="23"/>
      <c r="AQ69" s="2753"/>
      <c r="AR69" s="2753"/>
      <c r="AS69" s="2753"/>
      <c r="AT69" s="3045"/>
      <c r="AU69" s="3045"/>
    </row>
    <row r="70" spans="1:47" ht="12" customHeight="1" x14ac:dyDescent="0.2">
      <c r="A70" s="9"/>
      <c r="B70" s="816"/>
      <c r="C70" s="2052"/>
      <c r="D70" s="1851"/>
      <c r="E70" s="1851"/>
      <c r="F70" s="1851"/>
      <c r="G70" s="1851"/>
      <c r="H70" s="1851"/>
      <c r="I70" s="1851"/>
      <c r="J70" s="3142"/>
      <c r="K70" s="3142"/>
      <c r="L70" s="3142"/>
      <c r="M70" s="3142"/>
      <c r="N70" s="3142"/>
      <c r="O70" s="3142"/>
      <c r="P70" s="3142"/>
      <c r="Q70" s="3142"/>
      <c r="R70" s="3142"/>
      <c r="S70" s="3142"/>
      <c r="T70" s="3142"/>
      <c r="U70" s="3142"/>
      <c r="V70" s="3142"/>
      <c r="W70" s="3142"/>
      <c r="X70" s="3142"/>
      <c r="Y70" s="3142"/>
      <c r="Z70" s="3142"/>
      <c r="AA70" s="3142"/>
      <c r="AB70" s="3142"/>
      <c r="AC70" s="3142"/>
      <c r="AD70" s="3142"/>
      <c r="AE70" s="3142"/>
      <c r="AF70" s="3142"/>
      <c r="AG70" s="3142"/>
      <c r="AH70" s="3142"/>
      <c r="AI70" s="3142"/>
      <c r="AJ70" s="1863"/>
      <c r="AK70" s="629"/>
      <c r="AL70" s="23"/>
      <c r="AQ70" s="2753"/>
      <c r="AR70" s="2753"/>
      <c r="AS70" s="2753"/>
      <c r="AT70" s="3045"/>
      <c r="AU70" s="3045"/>
    </row>
    <row r="71" spans="1:47" ht="2.25" customHeight="1" x14ac:dyDescent="0.2">
      <c r="A71" s="9"/>
      <c r="B71" s="816"/>
      <c r="C71" s="2052"/>
      <c r="D71" s="2720"/>
      <c r="E71" s="2720"/>
      <c r="F71" s="2720"/>
      <c r="G71" s="2720"/>
      <c r="H71" s="2720"/>
      <c r="I71" s="2720"/>
      <c r="J71" s="2720"/>
      <c r="K71" s="2720"/>
      <c r="L71" s="2720"/>
      <c r="M71" s="2720"/>
      <c r="N71" s="2720"/>
      <c r="O71" s="2720"/>
      <c r="P71" s="2720"/>
      <c r="Q71" s="2720"/>
      <c r="R71" s="2720"/>
      <c r="S71" s="2720"/>
      <c r="T71" s="2720"/>
      <c r="U71" s="2720"/>
      <c r="V71" s="2720"/>
      <c r="W71" s="2720"/>
      <c r="X71" s="2720"/>
      <c r="Y71" s="2720"/>
      <c r="Z71" s="2720"/>
      <c r="AA71" s="2720"/>
      <c r="AB71" s="2720"/>
      <c r="AC71" s="2720"/>
      <c r="AD71" s="2720"/>
      <c r="AE71" s="2720"/>
      <c r="AF71" s="2720"/>
      <c r="AG71" s="2720"/>
      <c r="AH71" s="2720"/>
      <c r="AI71" s="2720"/>
      <c r="AJ71" s="1863"/>
      <c r="AK71" s="629"/>
      <c r="AL71" s="23"/>
      <c r="AQ71" s="2753"/>
      <c r="AR71" s="2753"/>
      <c r="AS71" s="2753"/>
      <c r="AT71" s="3045"/>
      <c r="AU71" s="3045"/>
    </row>
    <row r="72" spans="1:47" ht="1.5" customHeight="1" x14ac:dyDescent="0.2">
      <c r="A72" s="9"/>
      <c r="B72" s="817"/>
      <c r="C72" s="2053"/>
      <c r="D72" s="3128" t="s">
        <v>1891</v>
      </c>
      <c r="E72" s="3128"/>
      <c r="F72" s="3128"/>
      <c r="G72" s="3128"/>
      <c r="H72" s="3128"/>
      <c r="I72" s="3128"/>
      <c r="J72" s="3128"/>
      <c r="K72" s="2578"/>
      <c r="L72" s="2578"/>
      <c r="M72" s="2578"/>
      <c r="N72" s="2578"/>
      <c r="O72" s="2578"/>
      <c r="P72" s="2578"/>
      <c r="Q72" s="2578"/>
      <c r="R72" s="2578"/>
      <c r="S72" s="2578"/>
      <c r="T72" s="2578"/>
      <c r="U72" s="2578"/>
      <c r="V72" s="2578"/>
      <c r="W72" s="2578"/>
      <c r="X72" s="2578"/>
      <c r="Y72" s="2578"/>
      <c r="Z72" s="2578"/>
      <c r="AA72" s="2578"/>
      <c r="AB72" s="2578"/>
      <c r="AC72" s="2578"/>
      <c r="AD72" s="2578"/>
      <c r="AE72" s="2578"/>
      <c r="AF72" s="2578"/>
      <c r="AG72" s="2578"/>
      <c r="AH72" s="2578"/>
      <c r="AI72" s="2578"/>
      <c r="AJ72" s="1860"/>
      <c r="AK72" s="629"/>
      <c r="AL72" s="22"/>
      <c r="AQ72" s="2753"/>
      <c r="AR72" s="2753"/>
      <c r="AS72" s="2753"/>
      <c r="AT72" s="3045"/>
      <c r="AU72" s="3045"/>
    </row>
    <row r="73" spans="1:47" ht="12" customHeight="1" x14ac:dyDescent="0.2">
      <c r="A73" s="9"/>
      <c r="B73" s="816"/>
      <c r="C73" s="2052"/>
      <c r="D73" s="3128"/>
      <c r="E73" s="3128"/>
      <c r="F73" s="3128"/>
      <c r="G73" s="3128"/>
      <c r="H73" s="3128"/>
      <c r="I73" s="3128"/>
      <c r="J73" s="3128"/>
      <c r="K73" s="3136" t="str">
        <f>IFERROR(RIGHT(Tablas!G2011,LEN(Tablas!G2011)-2),"")</f>
        <v/>
      </c>
      <c r="L73" s="3136"/>
      <c r="M73" s="3136"/>
      <c r="N73" s="3136"/>
      <c r="O73" s="3136"/>
      <c r="P73" s="3136"/>
      <c r="Q73" s="3136"/>
      <c r="R73" s="3136"/>
      <c r="S73" s="3136"/>
      <c r="T73" s="3136"/>
      <c r="U73" s="3136"/>
      <c r="V73" s="3136"/>
      <c r="W73" s="3136"/>
      <c r="X73" s="3136"/>
      <c r="Y73" s="3136"/>
      <c r="Z73" s="3136"/>
      <c r="AA73" s="3136"/>
      <c r="AB73" s="3136"/>
      <c r="AC73" s="3136"/>
      <c r="AD73" s="3136"/>
      <c r="AE73" s="3136"/>
      <c r="AF73" s="3136"/>
      <c r="AG73" s="3136"/>
      <c r="AH73" s="3136"/>
      <c r="AI73" s="3136"/>
      <c r="AJ73" s="1866"/>
      <c r="AK73" s="629"/>
      <c r="AL73" s="23"/>
      <c r="AQ73" s="2752"/>
      <c r="AR73" s="2753"/>
      <c r="AS73" s="2753"/>
      <c r="AT73" s="3045"/>
      <c r="AU73" s="3050"/>
    </row>
    <row r="74" spans="1:47" ht="12" customHeight="1" x14ac:dyDescent="0.2">
      <c r="A74" s="9"/>
      <c r="B74" s="816"/>
      <c r="C74" s="2052"/>
      <c r="D74" s="2720"/>
      <c r="E74" s="2720"/>
      <c r="F74" s="2720"/>
      <c r="G74" s="2720"/>
      <c r="H74" s="2720"/>
      <c r="I74" s="2720"/>
      <c r="J74" s="2720"/>
      <c r="K74" s="3136"/>
      <c r="L74" s="3136"/>
      <c r="M74" s="3136"/>
      <c r="N74" s="3136"/>
      <c r="O74" s="3136"/>
      <c r="P74" s="3136"/>
      <c r="Q74" s="3136"/>
      <c r="R74" s="3136"/>
      <c r="S74" s="3136"/>
      <c r="T74" s="3136"/>
      <c r="U74" s="3136"/>
      <c r="V74" s="3136"/>
      <c r="W74" s="3136"/>
      <c r="X74" s="3136"/>
      <c r="Y74" s="3136"/>
      <c r="Z74" s="3136"/>
      <c r="AA74" s="3136"/>
      <c r="AB74" s="3136"/>
      <c r="AC74" s="3136"/>
      <c r="AD74" s="3136"/>
      <c r="AE74" s="3136"/>
      <c r="AF74" s="3136"/>
      <c r="AG74" s="3136"/>
      <c r="AH74" s="3136"/>
      <c r="AI74" s="3136"/>
      <c r="AJ74" s="1866"/>
      <c r="AK74" s="629"/>
      <c r="AL74" s="23"/>
      <c r="AQ74" s="2753"/>
      <c r="AR74" s="2753"/>
      <c r="AS74" s="2753"/>
      <c r="AT74" s="3045"/>
      <c r="AU74" s="3045"/>
    </row>
    <row r="75" spans="1:47" ht="1.5" customHeight="1" x14ac:dyDescent="0.2">
      <c r="A75" s="9"/>
      <c r="B75" s="817"/>
      <c r="C75" s="2053"/>
      <c r="D75" s="3128" t="s">
        <v>1892</v>
      </c>
      <c r="E75" s="3128"/>
      <c r="F75" s="3128"/>
      <c r="G75" s="3128"/>
      <c r="H75" s="3128"/>
      <c r="I75" s="3128"/>
      <c r="J75" s="3128"/>
      <c r="K75" s="2578"/>
      <c r="L75" s="2578"/>
      <c r="M75" s="2578"/>
      <c r="N75" s="2578"/>
      <c r="O75" s="2578"/>
      <c r="P75" s="2578"/>
      <c r="Q75" s="2578"/>
      <c r="R75" s="2578"/>
      <c r="S75" s="2578"/>
      <c r="T75" s="2578"/>
      <c r="U75" s="2578"/>
      <c r="V75" s="2578"/>
      <c r="W75" s="2578"/>
      <c r="X75" s="2578"/>
      <c r="Y75" s="2578"/>
      <c r="Z75" s="2578"/>
      <c r="AA75" s="2578"/>
      <c r="AB75" s="2578"/>
      <c r="AC75" s="2578"/>
      <c r="AD75" s="2578"/>
      <c r="AE75" s="2578"/>
      <c r="AF75" s="2578"/>
      <c r="AG75" s="2578"/>
      <c r="AH75" s="2578"/>
      <c r="AI75" s="2578"/>
      <c r="AJ75" s="1860"/>
      <c r="AK75" s="629"/>
      <c r="AL75" s="22"/>
      <c r="AQ75" s="2753"/>
      <c r="AR75" s="2753"/>
      <c r="AS75" s="2753"/>
      <c r="AT75" s="3045"/>
      <c r="AU75" s="3045"/>
    </row>
    <row r="76" spans="1:47" ht="12" customHeight="1" x14ac:dyDescent="0.2">
      <c r="A76" s="9"/>
      <c r="B76" s="816"/>
      <c r="C76" s="2052"/>
      <c r="D76" s="3128"/>
      <c r="E76" s="3128"/>
      <c r="F76" s="3128"/>
      <c r="G76" s="3128"/>
      <c r="H76" s="3128"/>
      <c r="I76" s="3128"/>
      <c r="J76" s="3128"/>
      <c r="K76" s="3136" t="str">
        <f>Tablas!$G$2070</f>
        <v/>
      </c>
      <c r="L76" s="3136"/>
      <c r="M76" s="3136"/>
      <c r="N76" s="3136"/>
      <c r="O76" s="3136"/>
      <c r="P76" s="3136"/>
      <c r="Q76" s="3136"/>
      <c r="R76" s="3136"/>
      <c r="S76" s="3136"/>
      <c r="T76" s="3136"/>
      <c r="U76" s="3136"/>
      <c r="V76" s="3136"/>
      <c r="W76" s="3136"/>
      <c r="X76" s="3136"/>
      <c r="Y76" s="3136"/>
      <c r="Z76" s="3136"/>
      <c r="AA76" s="3136"/>
      <c r="AB76" s="3136"/>
      <c r="AC76" s="3136"/>
      <c r="AD76" s="3136"/>
      <c r="AE76" s="3136"/>
      <c r="AF76" s="3136"/>
      <c r="AG76" s="3136"/>
      <c r="AH76" s="3136"/>
      <c r="AI76" s="3136"/>
      <c r="AJ76" s="1866"/>
      <c r="AK76" s="629"/>
      <c r="AL76" s="23"/>
      <c r="AQ76" s="2753"/>
      <c r="AR76" s="2753"/>
      <c r="AS76" s="2753"/>
      <c r="AT76" s="3045"/>
      <c r="AU76" s="3045"/>
    </row>
    <row r="77" spans="1:47" ht="12" customHeight="1" x14ac:dyDescent="0.2">
      <c r="A77" s="9"/>
      <c r="B77" s="816"/>
      <c r="C77" s="2052"/>
      <c r="D77" s="2720"/>
      <c r="E77" s="2720"/>
      <c r="F77" s="2720"/>
      <c r="G77" s="2720"/>
      <c r="H77" s="2720"/>
      <c r="I77" s="2720"/>
      <c r="J77" s="2720"/>
      <c r="K77" s="3136"/>
      <c r="L77" s="3136"/>
      <c r="M77" s="3136"/>
      <c r="N77" s="3136"/>
      <c r="O77" s="3136"/>
      <c r="P77" s="3136"/>
      <c r="Q77" s="3136"/>
      <c r="R77" s="3136"/>
      <c r="S77" s="3136"/>
      <c r="T77" s="3136"/>
      <c r="U77" s="3136"/>
      <c r="V77" s="3136"/>
      <c r="W77" s="3136"/>
      <c r="X77" s="3136"/>
      <c r="Y77" s="3136"/>
      <c r="Z77" s="3136"/>
      <c r="AA77" s="3136"/>
      <c r="AB77" s="3136"/>
      <c r="AC77" s="3136"/>
      <c r="AD77" s="3136"/>
      <c r="AE77" s="3136"/>
      <c r="AF77" s="3136"/>
      <c r="AG77" s="3136"/>
      <c r="AH77" s="3136"/>
      <c r="AI77" s="3136"/>
      <c r="AJ77" s="1866"/>
      <c r="AK77" s="629"/>
      <c r="AL77" s="23"/>
      <c r="AQ77" s="2753"/>
      <c r="AR77" s="2753"/>
      <c r="AS77" s="2753"/>
      <c r="AT77" s="3045"/>
      <c r="AU77" s="3045"/>
    </row>
    <row r="78" spans="1:47" ht="1.5" customHeight="1" x14ac:dyDescent="0.2">
      <c r="A78" s="9"/>
      <c r="B78" s="817"/>
      <c r="C78" s="2053"/>
      <c r="D78" s="2578"/>
      <c r="E78" s="2578"/>
      <c r="F78" s="2578"/>
      <c r="G78" s="2578"/>
      <c r="H78" s="2578"/>
      <c r="I78" s="2578"/>
      <c r="J78" s="2578"/>
      <c r="K78" s="2578"/>
      <c r="L78" s="2578"/>
      <c r="M78" s="2578"/>
      <c r="N78" s="2578"/>
      <c r="O78" s="2578"/>
      <c r="P78" s="2578"/>
      <c r="Q78" s="2578"/>
      <c r="R78" s="2578"/>
      <c r="S78" s="2578"/>
      <c r="T78" s="2578"/>
      <c r="U78" s="2578"/>
      <c r="V78" s="2578"/>
      <c r="W78" s="2578"/>
      <c r="X78" s="2578"/>
      <c r="Y78" s="2578"/>
      <c r="Z78" s="2578"/>
      <c r="AA78" s="2578"/>
      <c r="AB78" s="2578"/>
      <c r="AC78" s="2578"/>
      <c r="AD78" s="2578"/>
      <c r="AE78" s="2578"/>
      <c r="AF78" s="2578"/>
      <c r="AG78" s="2578"/>
      <c r="AH78" s="2578"/>
      <c r="AI78" s="2578"/>
      <c r="AJ78" s="1860"/>
      <c r="AK78" s="629"/>
      <c r="AL78" s="22"/>
      <c r="AQ78" s="2753"/>
      <c r="AR78" s="2753"/>
      <c r="AS78" s="2753"/>
      <c r="AT78" s="3045"/>
      <c r="AU78" s="3045"/>
    </row>
    <row r="79" spans="1:47" ht="12" customHeight="1" x14ac:dyDescent="0.2">
      <c r="A79" s="9"/>
      <c r="B79" s="816"/>
      <c r="C79" s="2052"/>
      <c r="D79" s="3143" t="s">
        <v>7291</v>
      </c>
      <c r="E79" s="3143"/>
      <c r="F79" s="3143"/>
      <c r="G79" s="3136" t="str">
        <f>IFERROR(RIGHT(AT79,LEN(AT79)-2),"")</f>
        <v/>
      </c>
      <c r="H79" s="3136"/>
      <c r="I79" s="3136"/>
      <c r="J79" s="3136"/>
      <c r="K79" s="3136"/>
      <c r="L79" s="3136"/>
      <c r="M79" s="3136"/>
      <c r="N79" s="3136"/>
      <c r="O79" s="3136"/>
      <c r="P79" s="3136"/>
      <c r="Q79" s="3136"/>
      <c r="R79" s="3136"/>
      <c r="S79" s="3136"/>
      <c r="T79" s="3136"/>
      <c r="U79" s="3136"/>
      <c r="V79" s="3136"/>
      <c r="W79" s="3136"/>
      <c r="X79" s="3136"/>
      <c r="Y79" s="3136"/>
      <c r="Z79" s="3136"/>
      <c r="AA79" s="3136"/>
      <c r="AB79" s="3136"/>
      <c r="AC79" s="3136"/>
      <c r="AD79" s="3136"/>
      <c r="AE79" s="3136"/>
      <c r="AF79" s="3136"/>
      <c r="AG79" s="3136"/>
      <c r="AH79" s="3136"/>
      <c r="AI79" s="3136"/>
      <c r="AJ79" s="1866"/>
      <c r="AK79" s="629"/>
      <c r="AL79" s="23"/>
      <c r="AQ79" s="2753"/>
      <c r="AR79" s="2753"/>
      <c r="AS79" s="2753"/>
      <c r="AT79" s="3049"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45"/>
    </row>
    <row r="80" spans="1:47" ht="0.75" customHeight="1" x14ac:dyDescent="0.2">
      <c r="A80" s="9"/>
      <c r="B80" s="817"/>
      <c r="C80" s="2053"/>
      <c r="D80" s="2725"/>
      <c r="E80" s="2578"/>
      <c r="F80" s="2578"/>
      <c r="G80" s="3136"/>
      <c r="H80" s="3136"/>
      <c r="I80" s="3136"/>
      <c r="J80" s="3136"/>
      <c r="K80" s="3136"/>
      <c r="L80" s="3136"/>
      <c r="M80" s="3136"/>
      <c r="N80" s="3136"/>
      <c r="O80" s="3136"/>
      <c r="P80" s="3136"/>
      <c r="Q80" s="3136"/>
      <c r="R80" s="3136"/>
      <c r="S80" s="3136"/>
      <c r="T80" s="3136"/>
      <c r="U80" s="3136"/>
      <c r="V80" s="3136"/>
      <c r="W80" s="3136"/>
      <c r="X80" s="3136"/>
      <c r="Y80" s="3136"/>
      <c r="Z80" s="3136"/>
      <c r="AA80" s="3136"/>
      <c r="AB80" s="3136"/>
      <c r="AC80" s="3136"/>
      <c r="AD80" s="3136"/>
      <c r="AE80" s="3136"/>
      <c r="AF80" s="3136"/>
      <c r="AG80" s="3136"/>
      <c r="AH80" s="3136"/>
      <c r="AI80" s="3136"/>
      <c r="AJ80" s="1860"/>
      <c r="AK80" s="629"/>
      <c r="AL80" s="22"/>
      <c r="AQ80" s="2753"/>
      <c r="AR80" s="2753"/>
      <c r="AS80" s="2753"/>
      <c r="AT80" s="3045"/>
      <c r="AU80" s="3045"/>
    </row>
    <row r="81" spans="1:47" ht="12" customHeight="1" x14ac:dyDescent="0.2">
      <c r="A81" s="9"/>
      <c r="B81" s="816"/>
      <c r="C81" s="2052"/>
      <c r="D81" s="2682"/>
      <c r="E81" s="2682"/>
      <c r="F81" s="2682"/>
      <c r="G81" s="3142"/>
      <c r="H81" s="3142"/>
      <c r="I81" s="3142"/>
      <c r="J81" s="3142"/>
      <c r="K81" s="3142"/>
      <c r="L81" s="3142"/>
      <c r="M81" s="3142"/>
      <c r="N81" s="3142"/>
      <c r="O81" s="3142"/>
      <c r="P81" s="3142"/>
      <c r="Q81" s="3142"/>
      <c r="R81" s="3142"/>
      <c r="S81" s="3142"/>
      <c r="T81" s="3142"/>
      <c r="U81" s="3142"/>
      <c r="V81" s="3142"/>
      <c r="W81" s="3142"/>
      <c r="X81" s="3142"/>
      <c r="Y81" s="3142"/>
      <c r="Z81" s="3142"/>
      <c r="AA81" s="3142"/>
      <c r="AB81" s="3142"/>
      <c r="AC81" s="3142"/>
      <c r="AD81" s="3142"/>
      <c r="AE81" s="3142"/>
      <c r="AF81" s="3142"/>
      <c r="AG81" s="3142"/>
      <c r="AH81" s="3142"/>
      <c r="AI81" s="3142"/>
      <c r="AJ81" s="1866"/>
      <c r="AK81" s="629"/>
      <c r="AL81" s="23"/>
      <c r="AQ81" s="2753"/>
      <c r="AR81" s="2753"/>
      <c r="AS81" s="2753"/>
      <c r="AT81" s="3045"/>
      <c r="AU81" s="3045"/>
    </row>
    <row r="82" spans="1:47" ht="2.25" customHeight="1" x14ac:dyDescent="0.2">
      <c r="A82" s="9"/>
      <c r="B82" s="816"/>
      <c r="C82" s="2052"/>
      <c r="D82" s="2710"/>
      <c r="E82" s="2710"/>
      <c r="F82" s="2710"/>
      <c r="G82" s="2726"/>
      <c r="H82" s="2726"/>
      <c r="I82" s="2726"/>
      <c r="J82" s="2726"/>
      <c r="K82" s="2726"/>
      <c r="L82" s="2726"/>
      <c r="M82" s="2726"/>
      <c r="N82" s="2726"/>
      <c r="O82" s="2726"/>
      <c r="P82" s="2726"/>
      <c r="Q82" s="2726"/>
      <c r="R82" s="2726"/>
      <c r="S82" s="2726"/>
      <c r="T82" s="2726"/>
      <c r="U82" s="2726"/>
      <c r="V82" s="2726"/>
      <c r="W82" s="2726"/>
      <c r="X82" s="2726"/>
      <c r="Y82" s="2726"/>
      <c r="Z82" s="2726"/>
      <c r="AA82" s="2726"/>
      <c r="AB82" s="2726"/>
      <c r="AC82" s="2726"/>
      <c r="AD82" s="2726"/>
      <c r="AE82" s="2726"/>
      <c r="AF82" s="2726"/>
      <c r="AG82" s="2726"/>
      <c r="AH82" s="2726"/>
      <c r="AI82" s="2726"/>
      <c r="AJ82" s="1866"/>
      <c r="AK82" s="629"/>
      <c r="AL82" s="23"/>
      <c r="AQ82" s="2753"/>
      <c r="AR82" s="2753"/>
      <c r="AS82" s="2753"/>
      <c r="AT82" s="3045"/>
      <c r="AU82" s="3045"/>
    </row>
    <row r="83" spans="1:47" ht="1.5" customHeight="1" x14ac:dyDescent="0.2">
      <c r="A83" s="9"/>
      <c r="B83" s="817"/>
      <c r="C83" s="2053"/>
      <c r="D83" s="3128" t="s">
        <v>1893</v>
      </c>
      <c r="E83" s="3128"/>
      <c r="F83" s="3128"/>
      <c r="G83" s="3128"/>
      <c r="H83" s="3128"/>
      <c r="I83" s="3128"/>
      <c r="J83" s="3128"/>
      <c r="K83" s="2578"/>
      <c r="L83" s="2578"/>
      <c r="M83" s="2578"/>
      <c r="N83" s="2578"/>
      <c r="O83" s="2578"/>
      <c r="P83" s="2578"/>
      <c r="Q83" s="2578"/>
      <c r="R83" s="2578"/>
      <c r="S83" s="2578"/>
      <c r="T83" s="2578"/>
      <c r="U83" s="2578"/>
      <c r="V83" s="2578"/>
      <c r="W83" s="2578"/>
      <c r="X83" s="2578"/>
      <c r="Y83" s="2578"/>
      <c r="Z83" s="2578"/>
      <c r="AA83" s="2578"/>
      <c r="AB83" s="2578"/>
      <c r="AC83" s="2578"/>
      <c r="AD83" s="2578"/>
      <c r="AE83" s="2578"/>
      <c r="AF83" s="2578"/>
      <c r="AG83" s="2578"/>
      <c r="AH83" s="2578"/>
      <c r="AI83" s="2578"/>
      <c r="AJ83" s="1860"/>
      <c r="AK83" s="629"/>
      <c r="AL83" s="22"/>
      <c r="AQ83" s="2753"/>
      <c r="AR83" s="2753"/>
      <c r="AS83" s="2753"/>
      <c r="AT83" s="3045"/>
      <c r="AU83" s="3045"/>
    </row>
    <row r="84" spans="1:47" ht="12" customHeight="1" x14ac:dyDescent="0.2">
      <c r="A84" s="9"/>
      <c r="B84" s="816"/>
      <c r="C84" s="2052"/>
      <c r="D84" s="3128"/>
      <c r="E84" s="3128"/>
      <c r="F84" s="3128"/>
      <c r="G84" s="3128"/>
      <c r="H84" s="3128"/>
      <c r="I84" s="3128"/>
      <c r="J84" s="3128"/>
      <c r="K84" s="3136" t="str">
        <f>IFERROR(RIGHT(AT87,LEN(AT87)-2),"")</f>
        <v/>
      </c>
      <c r="L84" s="3136"/>
      <c r="M84" s="3136"/>
      <c r="N84" s="3136"/>
      <c r="O84" s="3136"/>
      <c r="P84" s="3136"/>
      <c r="Q84" s="3136"/>
      <c r="R84" s="3136"/>
      <c r="S84" s="3136"/>
      <c r="T84" s="3136"/>
      <c r="U84" s="3136"/>
      <c r="V84" s="3136"/>
      <c r="W84" s="3136"/>
      <c r="X84" s="3136"/>
      <c r="Y84" s="3136"/>
      <c r="Z84" s="3136"/>
      <c r="AA84" s="3136"/>
      <c r="AB84" s="3136"/>
      <c r="AC84" s="3136"/>
      <c r="AD84" s="3136"/>
      <c r="AE84" s="3136"/>
      <c r="AF84" s="3136"/>
      <c r="AG84" s="3136"/>
      <c r="AH84" s="3136"/>
      <c r="AI84" s="3136"/>
      <c r="AJ84" s="1866"/>
      <c r="AK84" s="629"/>
      <c r="AL84" s="23"/>
      <c r="AQ84" s="2753"/>
      <c r="AR84" s="2753"/>
      <c r="AS84" s="2753"/>
      <c r="AT84" s="3045"/>
      <c r="AU84" s="3045"/>
    </row>
    <row r="85" spans="1:47" ht="12" customHeight="1" x14ac:dyDescent="0.2">
      <c r="A85" s="9"/>
      <c r="B85" s="816"/>
      <c r="C85" s="2052"/>
      <c r="D85" s="2696"/>
      <c r="E85" s="2720"/>
      <c r="F85" s="2720"/>
      <c r="G85" s="2720"/>
      <c r="H85" s="2727"/>
      <c r="I85" s="2727"/>
      <c r="J85" s="2720"/>
      <c r="K85" s="3136"/>
      <c r="L85" s="3136"/>
      <c r="M85" s="3136"/>
      <c r="N85" s="3136"/>
      <c r="O85" s="3136"/>
      <c r="P85" s="3136"/>
      <c r="Q85" s="3136"/>
      <c r="R85" s="3136"/>
      <c r="S85" s="3136"/>
      <c r="T85" s="3136"/>
      <c r="U85" s="3136"/>
      <c r="V85" s="3136"/>
      <c r="W85" s="3136"/>
      <c r="X85" s="3136"/>
      <c r="Y85" s="3136"/>
      <c r="Z85" s="3136"/>
      <c r="AA85" s="3136"/>
      <c r="AB85" s="3136"/>
      <c r="AC85" s="3136"/>
      <c r="AD85" s="3136"/>
      <c r="AE85" s="3136"/>
      <c r="AF85" s="3136"/>
      <c r="AG85" s="3136"/>
      <c r="AH85" s="3136"/>
      <c r="AI85" s="3136"/>
      <c r="AJ85" s="1866"/>
      <c r="AK85" s="629"/>
      <c r="AL85" s="23"/>
      <c r="AQ85" s="2753"/>
      <c r="AR85" s="2753"/>
      <c r="AS85" s="2753"/>
      <c r="AT85" s="3045"/>
      <c r="AU85" s="3045"/>
    </row>
    <row r="86" spans="1:47" ht="1.5" customHeight="1" x14ac:dyDescent="0.2">
      <c r="A86" s="9"/>
      <c r="B86" s="817"/>
      <c r="C86" s="2053"/>
      <c r="D86" s="3128" t="s">
        <v>1894</v>
      </c>
      <c r="E86" s="3128"/>
      <c r="F86" s="3128"/>
      <c r="G86" s="2578"/>
      <c r="H86" s="2578"/>
      <c r="I86" s="2578"/>
      <c r="J86" s="2578"/>
      <c r="K86" s="2578"/>
      <c r="L86" s="2578"/>
      <c r="M86" s="2578"/>
      <c r="N86" s="2578"/>
      <c r="O86" s="2578"/>
      <c r="P86" s="2578"/>
      <c r="Q86" s="2578"/>
      <c r="R86" s="2578"/>
      <c r="S86" s="2578"/>
      <c r="T86" s="2578"/>
      <c r="U86" s="2578"/>
      <c r="V86" s="2578"/>
      <c r="W86" s="2578"/>
      <c r="X86" s="2578"/>
      <c r="Y86" s="2578"/>
      <c r="Z86" s="2578"/>
      <c r="AA86" s="2578"/>
      <c r="AB86" s="2578"/>
      <c r="AC86" s="2578"/>
      <c r="AD86" s="2578"/>
      <c r="AE86" s="2578"/>
      <c r="AF86" s="2578"/>
      <c r="AG86" s="2578"/>
      <c r="AH86" s="2578"/>
      <c r="AI86" s="2578"/>
      <c r="AJ86" s="1860"/>
      <c r="AK86" s="629"/>
      <c r="AL86" s="22"/>
      <c r="AQ86" s="2753"/>
      <c r="AR86" s="2753"/>
      <c r="AS86" s="2753"/>
      <c r="AT86" s="3045"/>
      <c r="AU86" s="3045"/>
    </row>
    <row r="87" spans="1:47" ht="12" customHeight="1" x14ac:dyDescent="0.2">
      <c r="A87" s="9"/>
      <c r="B87" s="816"/>
      <c r="C87" s="2052"/>
      <c r="D87" s="3128"/>
      <c r="E87" s="3128"/>
      <c r="F87" s="3128"/>
      <c r="G87" s="3136" t="str">
        <f>Tablas!J2107</f>
        <v/>
      </c>
      <c r="H87" s="3136"/>
      <c r="I87" s="3136"/>
      <c r="J87" s="3136"/>
      <c r="K87" s="3136"/>
      <c r="L87" s="3136"/>
      <c r="M87" s="3136"/>
      <c r="N87" s="3136"/>
      <c r="O87" s="3136"/>
      <c r="P87" s="3136"/>
      <c r="Q87" s="3136"/>
      <c r="R87" s="3136"/>
      <c r="S87" s="3136"/>
      <c r="T87" s="3136"/>
      <c r="U87" s="3136"/>
      <c r="V87" s="3136"/>
      <c r="W87" s="3136"/>
      <c r="X87" s="3136"/>
      <c r="Y87" s="3136"/>
      <c r="Z87" s="3136"/>
      <c r="AA87" s="3136"/>
      <c r="AB87" s="3136"/>
      <c r="AC87" s="3136"/>
      <c r="AD87" s="3136"/>
      <c r="AE87" s="3136"/>
      <c r="AF87" s="3136"/>
      <c r="AG87" s="3136"/>
      <c r="AH87" s="3136"/>
      <c r="AI87" s="3136"/>
      <c r="AJ87" s="1866"/>
      <c r="AK87" s="629"/>
      <c r="AL87" s="23"/>
      <c r="AQ87" s="2753"/>
      <c r="AR87" s="2753"/>
      <c r="AS87" s="2753"/>
      <c r="AT87" s="3045"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45"/>
    </row>
    <row r="88" spans="1:47" ht="12" customHeight="1" x14ac:dyDescent="0.2">
      <c r="A88" s="9"/>
      <c r="B88" s="816"/>
      <c r="C88" s="2052"/>
      <c r="D88" s="2720"/>
      <c r="E88" s="2720"/>
      <c r="F88" s="2720"/>
      <c r="G88" s="3136"/>
      <c r="H88" s="3136"/>
      <c r="I88" s="3136"/>
      <c r="J88" s="3136"/>
      <c r="K88" s="3136"/>
      <c r="L88" s="3136"/>
      <c r="M88" s="3136"/>
      <c r="N88" s="3136"/>
      <c r="O88" s="3136"/>
      <c r="P88" s="3136"/>
      <c r="Q88" s="3136"/>
      <c r="R88" s="3136"/>
      <c r="S88" s="3136"/>
      <c r="T88" s="3136"/>
      <c r="U88" s="3136"/>
      <c r="V88" s="3136"/>
      <c r="W88" s="3136"/>
      <c r="X88" s="3136"/>
      <c r="Y88" s="3136"/>
      <c r="Z88" s="3136"/>
      <c r="AA88" s="3136"/>
      <c r="AB88" s="3136"/>
      <c r="AC88" s="3136"/>
      <c r="AD88" s="3136"/>
      <c r="AE88" s="3136"/>
      <c r="AF88" s="3136"/>
      <c r="AG88" s="3136"/>
      <c r="AH88" s="3136"/>
      <c r="AI88" s="3136"/>
      <c r="AJ88" s="1866"/>
      <c r="AK88" s="629"/>
      <c r="AL88" s="23"/>
      <c r="AQ88" s="2753"/>
      <c r="AR88" s="2753"/>
      <c r="AS88" s="2753"/>
      <c r="AT88" s="3045"/>
      <c r="AU88" s="3045"/>
    </row>
    <row r="89" spans="1:47" ht="12" customHeight="1" x14ac:dyDescent="0.2">
      <c r="A89" s="9"/>
      <c r="B89" s="816"/>
      <c r="C89" s="2052"/>
      <c r="D89" s="2720"/>
      <c r="E89" s="2720"/>
      <c r="F89" s="2720"/>
      <c r="G89" s="3136"/>
      <c r="H89" s="3136"/>
      <c r="I89" s="3136"/>
      <c r="J89" s="3136"/>
      <c r="K89" s="3136"/>
      <c r="L89" s="3136"/>
      <c r="M89" s="3136"/>
      <c r="N89" s="3136"/>
      <c r="O89" s="3136"/>
      <c r="P89" s="3136"/>
      <c r="Q89" s="3136"/>
      <c r="R89" s="3136"/>
      <c r="S89" s="3136"/>
      <c r="T89" s="3136"/>
      <c r="U89" s="3136"/>
      <c r="V89" s="3136"/>
      <c r="W89" s="3136"/>
      <c r="X89" s="3136"/>
      <c r="Y89" s="3136"/>
      <c r="Z89" s="3136"/>
      <c r="AA89" s="3136"/>
      <c r="AB89" s="3136"/>
      <c r="AC89" s="3136"/>
      <c r="AD89" s="3136"/>
      <c r="AE89" s="3136"/>
      <c r="AF89" s="3136"/>
      <c r="AG89" s="3136"/>
      <c r="AH89" s="3136"/>
      <c r="AI89" s="3136"/>
      <c r="AJ89" s="1866"/>
      <c r="AK89" s="629"/>
      <c r="AL89" s="23"/>
      <c r="AQ89" s="2753"/>
      <c r="AR89" s="2753"/>
      <c r="AS89" s="2753"/>
      <c r="AT89" s="3045"/>
      <c r="AU89" s="3045"/>
    </row>
    <row r="90" spans="1:47" ht="12" customHeight="1" x14ac:dyDescent="0.2">
      <c r="A90" s="9"/>
      <c r="B90" s="816"/>
      <c r="C90" s="2052"/>
      <c r="D90" s="1851"/>
      <c r="E90" s="1851"/>
      <c r="F90" s="1851"/>
      <c r="G90" s="3142"/>
      <c r="H90" s="3142"/>
      <c r="I90" s="3142"/>
      <c r="J90" s="3142"/>
      <c r="K90" s="3142"/>
      <c r="L90" s="3142"/>
      <c r="M90" s="3142"/>
      <c r="N90" s="3142"/>
      <c r="O90" s="3142"/>
      <c r="P90" s="3142"/>
      <c r="Q90" s="3142"/>
      <c r="R90" s="3142"/>
      <c r="S90" s="3142"/>
      <c r="T90" s="3142"/>
      <c r="U90" s="3142"/>
      <c r="V90" s="3142"/>
      <c r="W90" s="3142"/>
      <c r="X90" s="3142"/>
      <c r="Y90" s="3142"/>
      <c r="Z90" s="3142"/>
      <c r="AA90" s="3142"/>
      <c r="AB90" s="3142"/>
      <c r="AC90" s="3142"/>
      <c r="AD90" s="3142"/>
      <c r="AE90" s="3142"/>
      <c r="AF90" s="3142"/>
      <c r="AG90" s="3142"/>
      <c r="AH90" s="3142"/>
      <c r="AI90" s="3142"/>
      <c r="AJ90" s="1866"/>
      <c r="AK90" s="629"/>
      <c r="AL90" s="23"/>
      <c r="AQ90" s="2752"/>
      <c r="AR90" s="2752"/>
      <c r="AS90" s="2752"/>
      <c r="AT90" s="3045"/>
      <c r="AU90" s="3045"/>
    </row>
    <row r="91" spans="1:47" ht="2.25" customHeight="1" x14ac:dyDescent="0.2">
      <c r="A91" s="9"/>
      <c r="B91" s="816"/>
      <c r="C91" s="2052"/>
      <c r="D91" s="2720"/>
      <c r="E91" s="2720"/>
      <c r="F91" s="2720"/>
      <c r="G91" s="2687"/>
      <c r="H91" s="2687"/>
      <c r="I91" s="2687"/>
      <c r="J91" s="2687"/>
      <c r="K91" s="2687"/>
      <c r="L91" s="2687"/>
      <c r="M91" s="2687"/>
      <c r="N91" s="2687"/>
      <c r="O91" s="2687"/>
      <c r="P91" s="2687"/>
      <c r="Q91" s="2687"/>
      <c r="R91" s="2687"/>
      <c r="S91" s="2687"/>
      <c r="T91" s="2687"/>
      <c r="U91" s="2687"/>
      <c r="V91" s="2687"/>
      <c r="W91" s="2687"/>
      <c r="X91" s="2687"/>
      <c r="Y91" s="2687"/>
      <c r="Z91" s="2687"/>
      <c r="AA91" s="2687"/>
      <c r="AB91" s="2687"/>
      <c r="AC91" s="2687"/>
      <c r="AD91" s="2687"/>
      <c r="AE91" s="2687"/>
      <c r="AF91" s="2687"/>
      <c r="AG91" s="2687"/>
      <c r="AH91" s="2687"/>
      <c r="AI91" s="2687"/>
      <c r="AJ91" s="1866"/>
      <c r="AK91" s="629"/>
      <c r="AL91" s="23"/>
      <c r="AQ91" s="2752"/>
      <c r="AR91" s="2752"/>
      <c r="AS91" s="2752"/>
      <c r="AT91" s="3045"/>
      <c r="AU91" s="3045"/>
    </row>
    <row r="92" spans="1:47" ht="1.5" customHeight="1" x14ac:dyDescent="0.2">
      <c r="A92" s="9"/>
      <c r="B92" s="817"/>
      <c r="C92" s="2053"/>
      <c r="D92" s="3162" t="s">
        <v>1361</v>
      </c>
      <c r="E92" s="3162"/>
      <c r="F92" s="3162"/>
      <c r="G92" s="2578"/>
      <c r="H92" s="2578"/>
      <c r="I92" s="2578"/>
      <c r="J92" s="2578"/>
      <c r="K92" s="2578"/>
      <c r="L92" s="3143" t="s">
        <v>1896</v>
      </c>
      <c r="M92" s="3143"/>
      <c r="N92" s="3143"/>
      <c r="O92" s="3143"/>
      <c r="P92" s="3143"/>
      <c r="Q92" s="3143"/>
      <c r="R92" s="3143"/>
      <c r="S92" s="2578"/>
      <c r="T92" s="2578"/>
      <c r="U92" s="2578"/>
      <c r="V92" s="2578"/>
      <c r="W92" s="2578"/>
      <c r="X92" s="2578"/>
      <c r="Y92" s="2578"/>
      <c r="Z92" s="2578"/>
      <c r="AA92" s="2578"/>
      <c r="AB92" s="2578"/>
      <c r="AC92" s="2578"/>
      <c r="AD92" s="2578"/>
      <c r="AE92" s="2578"/>
      <c r="AF92" s="2578"/>
      <c r="AG92" s="2578"/>
      <c r="AH92" s="2578"/>
      <c r="AI92" s="2578"/>
      <c r="AJ92" s="1860"/>
      <c r="AK92" s="629"/>
      <c r="AL92" s="22"/>
      <c r="AQ92" s="2752"/>
      <c r="AR92" s="2752"/>
      <c r="AS92" s="2752"/>
      <c r="AT92" s="3045"/>
      <c r="AU92" s="3045"/>
    </row>
    <row r="93" spans="1:47" ht="12" customHeight="1" x14ac:dyDescent="0.2">
      <c r="A93" s="9"/>
      <c r="B93" s="816"/>
      <c r="C93" s="2052"/>
      <c r="D93" s="3162"/>
      <c r="E93" s="3162"/>
      <c r="F93" s="3162"/>
      <c r="G93" s="3159" t="str">
        <f>Tamaño&amp;", "&amp;Principal!L6</f>
        <v>1, Medio</v>
      </c>
      <c r="H93" s="3159"/>
      <c r="I93" s="3159"/>
      <c r="J93" s="3159"/>
      <c r="K93" s="3159"/>
      <c r="L93" s="3143"/>
      <c r="M93" s="3143"/>
      <c r="N93" s="3143"/>
      <c r="O93" s="3143"/>
      <c r="P93" s="3143"/>
      <c r="Q93" s="3143"/>
      <c r="R93" s="3143"/>
      <c r="S93" s="3140" t="str">
        <f>Tablas!T65</f>
        <v>1 (&lt; 1 m / asalto)</v>
      </c>
      <c r="T93" s="3140"/>
      <c r="U93" s="3140"/>
      <c r="V93" s="3140"/>
      <c r="W93" s="3140"/>
      <c r="X93" s="3140"/>
      <c r="Y93" s="3140"/>
      <c r="Z93" s="3140"/>
      <c r="AA93" s="3140"/>
      <c r="AB93" s="3140"/>
      <c r="AC93" s="3140"/>
      <c r="AD93" s="3140"/>
      <c r="AE93" s="3140"/>
      <c r="AF93" s="3140"/>
      <c r="AG93" s="3140"/>
      <c r="AH93" s="3140"/>
      <c r="AI93" s="3140"/>
      <c r="AJ93" s="1863"/>
      <c r="AK93" s="629"/>
      <c r="AL93" s="23"/>
      <c r="AQ93" s="2752"/>
      <c r="AR93" s="2752"/>
      <c r="AS93" s="2752"/>
      <c r="AT93" s="3045"/>
      <c r="AU93" s="3045"/>
    </row>
    <row r="94" spans="1:47" ht="1.5" customHeight="1" x14ac:dyDescent="0.2">
      <c r="A94" s="9"/>
      <c r="B94" s="817"/>
      <c r="C94" s="2053"/>
      <c r="D94" s="2578"/>
      <c r="E94" s="2578"/>
      <c r="F94" s="2578"/>
      <c r="G94" s="2578"/>
      <c r="H94" s="2578"/>
      <c r="I94" s="2578"/>
      <c r="J94" s="2578"/>
      <c r="K94" s="2578"/>
      <c r="L94" s="3143" t="s">
        <v>1895</v>
      </c>
      <c r="M94" s="3143"/>
      <c r="N94" s="3143"/>
      <c r="O94" s="3143"/>
      <c r="P94" s="3143"/>
      <c r="Q94" s="2578"/>
      <c r="R94" s="2578"/>
      <c r="S94" s="2578"/>
      <c r="T94" s="2578"/>
      <c r="U94" s="2578"/>
      <c r="V94" s="2578"/>
      <c r="W94" s="2578"/>
      <c r="X94" s="2578"/>
      <c r="Y94" s="2578"/>
      <c r="Z94" s="2578"/>
      <c r="AA94" s="2578"/>
      <c r="AB94" s="2578"/>
      <c r="AC94" s="2578"/>
      <c r="AD94" s="2578"/>
      <c r="AE94" s="2578"/>
      <c r="AF94" s="2578"/>
      <c r="AG94" s="2578"/>
      <c r="AH94" s="2578"/>
      <c r="AI94" s="2578"/>
      <c r="AJ94" s="1860"/>
      <c r="AK94" s="629"/>
      <c r="AL94" s="22"/>
      <c r="AQ94" s="2752"/>
      <c r="AR94" s="2752"/>
      <c r="AS94" s="2752"/>
      <c r="AT94" s="3045"/>
      <c r="AU94" s="3045"/>
    </row>
    <row r="95" spans="1:47" ht="13.5" customHeight="1" x14ac:dyDescent="0.2">
      <c r="A95" s="9"/>
      <c r="B95" s="816"/>
      <c r="C95" s="2052"/>
      <c r="D95" s="2171" t="s">
        <v>1897</v>
      </c>
      <c r="E95" s="1851"/>
      <c r="F95" s="1851"/>
      <c r="G95" s="1851"/>
      <c r="H95" s="3155" t="str">
        <f>IF(Cansancio=0,"Incansable",Cansancio)</f>
        <v>Incansable</v>
      </c>
      <c r="I95" s="3155"/>
      <c r="J95" s="3155"/>
      <c r="K95" s="3155"/>
      <c r="L95" s="3157"/>
      <c r="M95" s="3157"/>
      <c r="N95" s="3157"/>
      <c r="O95" s="3157"/>
      <c r="P95" s="3157"/>
      <c r="Q95" s="3158" t="str">
        <f>Regeneración&amp;IF(Regeneración=0," Ninguna"," ("&amp;Principal!K11&amp;" y pen: "&amp;Principal!K12&amp;")")</f>
        <v>0 Ninguna</v>
      </c>
      <c r="R95" s="3158"/>
      <c r="S95" s="3158"/>
      <c r="T95" s="3158"/>
      <c r="U95" s="3158"/>
      <c r="V95" s="3158"/>
      <c r="W95" s="3158"/>
      <c r="X95" s="3158"/>
      <c r="Y95" s="3158"/>
      <c r="Z95" s="3158"/>
      <c r="AA95" s="2171"/>
      <c r="AB95" s="2171"/>
      <c r="AC95" s="2171"/>
      <c r="AD95" s="2171"/>
      <c r="AE95" s="2171"/>
      <c r="AF95" s="2322" t="s">
        <v>1424</v>
      </c>
      <c r="AG95" s="2685" t="str">
        <f>"  "&amp;Principal!J32</f>
        <v xml:space="preserve">  1</v>
      </c>
      <c r="AH95" s="2685"/>
      <c r="AI95" s="2685"/>
      <c r="AJ95" s="1863"/>
      <c r="AK95" s="629"/>
      <c r="AL95" s="23"/>
      <c r="AQ95" s="2752"/>
      <c r="AR95" s="2752"/>
      <c r="AS95" s="2752"/>
      <c r="AT95" s="3045"/>
      <c r="AU95" s="3045"/>
    </row>
    <row r="96" spans="1:47" ht="2.25" customHeight="1" thickBot="1" x14ac:dyDescent="0.25">
      <c r="A96" s="9"/>
      <c r="B96" s="489"/>
      <c r="C96" s="2721"/>
      <c r="D96" s="2720"/>
      <c r="E96" s="2720"/>
      <c r="F96" s="2720"/>
      <c r="G96" s="2720"/>
      <c r="H96" s="2720"/>
      <c r="I96" s="2687"/>
      <c r="J96" s="2687"/>
      <c r="K96" s="2687"/>
      <c r="L96" s="2687"/>
      <c r="M96" s="2687"/>
      <c r="N96" s="2687"/>
      <c r="O96" s="2687"/>
      <c r="P96" s="2687"/>
      <c r="Q96" s="2687"/>
      <c r="R96" s="2687"/>
      <c r="S96" s="2687"/>
      <c r="T96" s="2687"/>
      <c r="U96" s="2687"/>
      <c r="V96" s="2687"/>
      <c r="W96" s="2687"/>
      <c r="X96" s="2687"/>
      <c r="Y96" s="2687"/>
      <c r="Z96" s="2687"/>
      <c r="AA96" s="2687"/>
      <c r="AB96" s="2687"/>
      <c r="AC96" s="2687"/>
      <c r="AD96" s="2687"/>
      <c r="AE96" s="2687"/>
      <c r="AF96" s="2687"/>
      <c r="AG96" s="2687"/>
      <c r="AH96" s="2687"/>
      <c r="AI96" s="2687"/>
      <c r="AJ96" s="1866"/>
      <c r="AK96" s="629"/>
      <c r="AL96" s="23"/>
      <c r="AN96" s="579"/>
      <c r="AO96" s="579"/>
      <c r="AP96" s="579"/>
      <c r="AQ96" s="2754"/>
      <c r="AR96" s="2754"/>
      <c r="AS96" s="2754"/>
      <c r="AT96" s="3045"/>
      <c r="AU96" s="3045"/>
    </row>
    <row r="97" spans="1:47" ht="12" customHeight="1" x14ac:dyDescent="0.2">
      <c r="A97" s="9"/>
      <c r="B97" s="816"/>
      <c r="C97" s="2052"/>
      <c r="D97" s="2696" t="s">
        <v>1898</v>
      </c>
      <c r="E97" s="2696"/>
      <c r="F97" s="2696"/>
      <c r="G97" s="2696"/>
      <c r="H97" s="2696"/>
      <c r="I97" s="2696"/>
      <c r="J97" s="2696"/>
      <c r="K97" s="2696"/>
      <c r="L97" s="2696"/>
      <c r="M97" s="2710"/>
      <c r="N97" s="2720"/>
      <c r="O97" s="2720"/>
      <c r="P97" s="2720"/>
      <c r="Q97" s="2720"/>
      <c r="R97" s="2720"/>
      <c r="S97" s="2720"/>
      <c r="T97" s="2720"/>
      <c r="U97" s="2720"/>
      <c r="V97" s="2720"/>
      <c r="W97" s="2720"/>
      <c r="X97" s="2720"/>
      <c r="Y97" s="2720"/>
      <c r="Z97" s="2720"/>
      <c r="AA97" s="2720"/>
      <c r="AB97" s="2720"/>
      <c r="AC97" s="2720"/>
      <c r="AD97" s="2720"/>
      <c r="AE97" s="2720"/>
      <c r="AF97" s="2720"/>
      <c r="AG97" s="2720"/>
      <c r="AH97" s="2720"/>
      <c r="AI97" s="2720"/>
      <c r="AJ97" s="1863"/>
      <c r="AK97" s="629"/>
      <c r="AL97" s="23"/>
      <c r="AN97" s="3115" t="s">
        <v>9600</v>
      </c>
      <c r="AO97" s="3116"/>
      <c r="AP97" s="3117"/>
      <c r="AQ97" s="2748"/>
      <c r="AR97" s="2748"/>
      <c r="AS97" s="2748"/>
      <c r="AT97" s="3045"/>
      <c r="AU97" s="3045"/>
    </row>
    <row r="98" spans="1:47" ht="12" customHeight="1" x14ac:dyDescent="0.2">
      <c r="A98" s="9"/>
      <c r="B98" s="816"/>
      <c r="C98" s="2052"/>
      <c r="D98" s="3136" t="str">
        <f>IF(AN99=AT100,Tablas!N2036,Tablas!K2036)</f>
        <v/>
      </c>
      <c r="E98" s="3136"/>
      <c r="F98" s="3136"/>
      <c r="G98" s="3136"/>
      <c r="H98" s="3136"/>
      <c r="I98" s="3136"/>
      <c r="J98" s="3136"/>
      <c r="K98" s="3136"/>
      <c r="L98" s="3136"/>
      <c r="M98" s="3136"/>
      <c r="N98" s="3136"/>
      <c r="O98" s="3136"/>
      <c r="P98" s="3136"/>
      <c r="Q98" s="3136"/>
      <c r="R98" s="3136"/>
      <c r="S98" s="3136"/>
      <c r="T98" s="3136"/>
      <c r="U98" s="3136"/>
      <c r="V98" s="3136"/>
      <c r="W98" s="3136"/>
      <c r="X98" s="3136"/>
      <c r="Y98" s="3136"/>
      <c r="Z98" s="3136"/>
      <c r="AA98" s="3136"/>
      <c r="AB98" s="3136"/>
      <c r="AC98" s="3136"/>
      <c r="AD98" s="3136"/>
      <c r="AE98" s="3136"/>
      <c r="AF98" s="3136"/>
      <c r="AG98" s="3136"/>
      <c r="AH98" s="3136"/>
      <c r="AI98" s="3136"/>
      <c r="AJ98" s="1866"/>
      <c r="AK98" s="629"/>
      <c r="AL98" s="23"/>
      <c r="AN98" s="3137"/>
      <c r="AO98" s="3138"/>
      <c r="AP98" s="3139"/>
      <c r="AQ98" s="2748"/>
      <c r="AR98" s="2748"/>
      <c r="AS98" s="2748"/>
      <c r="AT98" s="3045"/>
      <c r="AU98" s="3045"/>
    </row>
    <row r="99" spans="1:47" ht="12" customHeight="1" x14ac:dyDescent="0.2">
      <c r="A99" s="9"/>
      <c r="B99" s="816"/>
      <c r="C99" s="2052"/>
      <c r="D99" s="3136"/>
      <c r="E99" s="3136"/>
      <c r="F99" s="3136"/>
      <c r="G99" s="3136"/>
      <c r="H99" s="3136"/>
      <c r="I99" s="3136"/>
      <c r="J99" s="3136"/>
      <c r="K99" s="3136"/>
      <c r="L99" s="3136"/>
      <c r="M99" s="3136"/>
      <c r="N99" s="3136"/>
      <c r="O99" s="3136"/>
      <c r="P99" s="3136"/>
      <c r="Q99" s="3136"/>
      <c r="R99" s="3136"/>
      <c r="S99" s="3136"/>
      <c r="T99" s="3136"/>
      <c r="U99" s="3136"/>
      <c r="V99" s="3136"/>
      <c r="W99" s="3136"/>
      <c r="X99" s="3136"/>
      <c r="Y99" s="3136"/>
      <c r="Z99" s="3136"/>
      <c r="AA99" s="3136"/>
      <c r="AB99" s="3136"/>
      <c r="AC99" s="3136"/>
      <c r="AD99" s="3136"/>
      <c r="AE99" s="3136"/>
      <c r="AF99" s="3136"/>
      <c r="AG99" s="3136"/>
      <c r="AH99" s="3136"/>
      <c r="AI99" s="3136"/>
      <c r="AJ99" s="1866"/>
      <c r="AK99" s="629"/>
      <c r="AL99" s="23"/>
      <c r="AN99" s="3164" t="s">
        <v>9599</v>
      </c>
      <c r="AO99" s="3165"/>
      <c r="AP99" s="3166"/>
      <c r="AQ99" s="2750"/>
      <c r="AR99" s="2750"/>
      <c r="AS99" s="2750"/>
      <c r="AT99" s="3051" t="s">
        <v>9598</v>
      </c>
      <c r="AU99" s="3045"/>
    </row>
    <row r="100" spans="1:47" ht="12" customHeight="1" thickBot="1" x14ac:dyDescent="0.25">
      <c r="A100" s="9"/>
      <c r="B100" s="816"/>
      <c r="C100" s="2052"/>
      <c r="D100" s="3136"/>
      <c r="E100" s="3136"/>
      <c r="F100" s="3136"/>
      <c r="G100" s="3136"/>
      <c r="H100" s="3136"/>
      <c r="I100" s="3136"/>
      <c r="J100" s="3136"/>
      <c r="K100" s="3136"/>
      <c r="L100" s="3136"/>
      <c r="M100" s="3136"/>
      <c r="N100" s="3136"/>
      <c r="O100" s="3136"/>
      <c r="P100" s="3136"/>
      <c r="Q100" s="3136"/>
      <c r="R100" s="3136"/>
      <c r="S100" s="3136"/>
      <c r="T100" s="3136"/>
      <c r="U100" s="3136"/>
      <c r="V100" s="3136"/>
      <c r="W100" s="3136"/>
      <c r="X100" s="3136"/>
      <c r="Y100" s="3136"/>
      <c r="Z100" s="3136"/>
      <c r="AA100" s="3136"/>
      <c r="AB100" s="3136"/>
      <c r="AC100" s="3136"/>
      <c r="AD100" s="3136"/>
      <c r="AE100" s="3136"/>
      <c r="AF100" s="3136"/>
      <c r="AG100" s="3136"/>
      <c r="AH100" s="3136"/>
      <c r="AI100" s="3136"/>
      <c r="AJ100" s="1866"/>
      <c r="AK100" s="629"/>
      <c r="AL100" s="23"/>
      <c r="AN100" s="3167"/>
      <c r="AO100" s="3168"/>
      <c r="AP100" s="3169"/>
      <c r="AQ100" s="2750"/>
      <c r="AR100" s="2750"/>
      <c r="AS100" s="2750"/>
      <c r="AT100" s="3049" t="s">
        <v>9599</v>
      </c>
      <c r="AU100" s="3045"/>
    </row>
    <row r="101" spans="1:47" ht="12" customHeight="1" x14ac:dyDescent="0.2">
      <c r="A101" s="9"/>
      <c r="B101" s="816"/>
      <c r="C101" s="2052"/>
      <c r="D101" s="3136"/>
      <c r="E101" s="3136"/>
      <c r="F101" s="3136"/>
      <c r="G101" s="3136"/>
      <c r="H101" s="3136"/>
      <c r="I101" s="3136"/>
      <c r="J101" s="3136"/>
      <c r="K101" s="3136"/>
      <c r="L101" s="3136"/>
      <c r="M101" s="3136"/>
      <c r="N101" s="3136"/>
      <c r="O101" s="3136"/>
      <c r="P101" s="3136"/>
      <c r="Q101" s="3136"/>
      <c r="R101" s="3136"/>
      <c r="S101" s="3136"/>
      <c r="T101" s="3136"/>
      <c r="U101" s="3136"/>
      <c r="V101" s="3136"/>
      <c r="W101" s="3136"/>
      <c r="X101" s="3136"/>
      <c r="Y101" s="3136"/>
      <c r="Z101" s="3136"/>
      <c r="AA101" s="3136"/>
      <c r="AB101" s="3136"/>
      <c r="AC101" s="3136"/>
      <c r="AD101" s="3136"/>
      <c r="AE101" s="3136"/>
      <c r="AF101" s="3136"/>
      <c r="AG101" s="3136"/>
      <c r="AH101" s="3136"/>
      <c r="AI101" s="3136"/>
      <c r="AJ101" s="1866"/>
      <c r="AK101" s="629"/>
      <c r="AL101" s="23"/>
      <c r="AN101" s="3115" t="s">
        <v>10063</v>
      </c>
      <c r="AO101" s="3116"/>
      <c r="AP101" s="3117"/>
      <c r="AQ101" s="2748"/>
      <c r="AR101" s="2748"/>
      <c r="AS101" s="2748"/>
      <c r="AT101" s="3045"/>
      <c r="AU101" s="3045"/>
    </row>
    <row r="102" spans="1:47" ht="12" customHeight="1" x14ac:dyDescent="0.2">
      <c r="A102" s="9"/>
      <c r="B102" s="816"/>
      <c r="C102" s="2052"/>
      <c r="D102" s="3136"/>
      <c r="E102" s="3136"/>
      <c r="F102" s="3136"/>
      <c r="G102" s="3136"/>
      <c r="H102" s="3136"/>
      <c r="I102" s="3136"/>
      <c r="J102" s="3136"/>
      <c r="K102" s="3136"/>
      <c r="L102" s="3136"/>
      <c r="M102" s="3136"/>
      <c r="N102" s="3136"/>
      <c r="O102" s="3136"/>
      <c r="P102" s="3136"/>
      <c r="Q102" s="3136"/>
      <c r="R102" s="3136"/>
      <c r="S102" s="3136"/>
      <c r="T102" s="3136"/>
      <c r="U102" s="3136"/>
      <c r="V102" s="3136"/>
      <c r="W102" s="3136"/>
      <c r="X102" s="3136"/>
      <c r="Y102" s="3136"/>
      <c r="Z102" s="3136"/>
      <c r="AA102" s="3136"/>
      <c r="AB102" s="3136"/>
      <c r="AC102" s="3136"/>
      <c r="AD102" s="3136"/>
      <c r="AE102" s="3136"/>
      <c r="AF102" s="3136"/>
      <c r="AG102" s="3136"/>
      <c r="AH102" s="3136"/>
      <c r="AI102" s="3136"/>
      <c r="AJ102" s="1866"/>
      <c r="AK102" s="629"/>
      <c r="AL102" s="23"/>
      <c r="AN102" s="3170" t="s">
        <v>1381</v>
      </c>
      <c r="AO102" s="3171"/>
      <c r="AP102" s="3172"/>
      <c r="AQ102" s="2755"/>
      <c r="AR102" s="2755"/>
      <c r="AS102" s="2755"/>
      <c r="AT102" s="3045"/>
      <c r="AU102" s="3045"/>
    </row>
    <row r="103" spans="1:47" ht="12" customHeight="1" thickBot="1" x14ac:dyDescent="0.25">
      <c r="A103" s="9"/>
      <c r="B103" s="816"/>
      <c r="C103" s="2693"/>
      <c r="D103" s="3141"/>
      <c r="E103" s="3141"/>
      <c r="F103" s="3141"/>
      <c r="G103" s="3141"/>
      <c r="H103" s="3141"/>
      <c r="I103" s="3141"/>
      <c r="J103" s="3141"/>
      <c r="K103" s="3141"/>
      <c r="L103" s="3141"/>
      <c r="M103" s="3141"/>
      <c r="N103" s="3141"/>
      <c r="O103" s="3141"/>
      <c r="P103" s="3141"/>
      <c r="Q103" s="3141"/>
      <c r="R103" s="3141"/>
      <c r="S103" s="3141"/>
      <c r="T103" s="3141"/>
      <c r="U103" s="3141"/>
      <c r="V103" s="3141"/>
      <c r="W103" s="3141"/>
      <c r="X103" s="3141"/>
      <c r="Y103" s="3141"/>
      <c r="Z103" s="3141"/>
      <c r="AA103" s="3141"/>
      <c r="AB103" s="3141"/>
      <c r="AC103" s="3141"/>
      <c r="AD103" s="3141"/>
      <c r="AE103" s="3141"/>
      <c r="AF103" s="3141"/>
      <c r="AG103" s="3141"/>
      <c r="AH103" s="3141"/>
      <c r="AI103" s="3141"/>
      <c r="AJ103" s="2728"/>
      <c r="AK103" s="629"/>
      <c r="AL103" s="23"/>
      <c r="AN103" s="3167"/>
      <c r="AO103" s="3168"/>
      <c r="AP103" s="3169"/>
      <c r="AQ103" s="2755"/>
      <c r="AR103" s="2755"/>
      <c r="AS103" s="2755"/>
      <c r="AT103" s="3045"/>
      <c r="AU103" s="3045"/>
    </row>
    <row r="104" spans="1:47" ht="12.75" customHeight="1" thickBot="1" x14ac:dyDescent="0.25">
      <c r="A104" s="9"/>
      <c r="B104" s="819"/>
      <c r="C104" s="630"/>
      <c r="D104" s="630"/>
      <c r="E104" s="630"/>
      <c r="F104" s="630"/>
      <c r="G104" s="630"/>
      <c r="H104" s="630"/>
      <c r="I104" s="630"/>
      <c r="J104" s="630"/>
      <c r="K104" s="630"/>
      <c r="L104" s="630"/>
      <c r="M104" s="630"/>
      <c r="N104" s="630"/>
      <c r="O104" s="630"/>
      <c r="P104" s="630"/>
      <c r="Q104" s="630"/>
      <c r="R104" s="630"/>
      <c r="S104" s="630"/>
      <c r="T104" s="630"/>
      <c r="U104" s="630"/>
      <c r="V104" s="630"/>
      <c r="W104" s="630"/>
      <c r="X104" s="630"/>
      <c r="Y104" s="630"/>
      <c r="Z104" s="630"/>
      <c r="AA104" s="630"/>
      <c r="AB104" s="630"/>
      <c r="AC104" s="630"/>
      <c r="AD104" s="630"/>
      <c r="AE104" s="630"/>
      <c r="AF104" s="630"/>
      <c r="AG104" s="630"/>
      <c r="AH104" s="630"/>
      <c r="AI104" s="630"/>
      <c r="AJ104" s="630"/>
      <c r="AK104" s="632"/>
      <c r="AL104" s="23"/>
      <c r="AQ104" s="2752"/>
      <c r="AR104" s="2752"/>
      <c r="AS104" s="2752"/>
      <c r="AT104" s="3045"/>
      <c r="AU104" s="3045"/>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50"/>
      <c r="AJ105" s="954"/>
      <c r="AK105" s="2054" t="s">
        <v>10463</v>
      </c>
      <c r="AL105" s="23"/>
      <c r="AQ105" s="2752"/>
      <c r="AR105" s="2752"/>
      <c r="AS105" s="2752"/>
      <c r="AT105" s="3045"/>
      <c r="AU105" s="3045"/>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50"/>
      <c r="AJ106" s="954"/>
      <c r="AK106" s="2054"/>
      <c r="AL106" s="2473"/>
      <c r="AQ106" s="2753"/>
      <c r="AR106" s="2753"/>
      <c r="AS106" s="2753"/>
      <c r="AT106" s="3045"/>
      <c r="AU106" s="3045"/>
    </row>
    <row r="107" spans="1:47" ht="12" customHeight="1" thickBot="1" x14ac:dyDescent="0.25">
      <c r="A107" s="941"/>
      <c r="B107" s="2344"/>
      <c r="C107" s="2344"/>
      <c r="D107" s="2344"/>
      <c r="E107" s="2344"/>
      <c r="F107" s="2344"/>
      <c r="G107" s="2344"/>
      <c r="H107" s="2344"/>
      <c r="I107" s="2344"/>
      <c r="J107" s="2344"/>
      <c r="K107" s="2344"/>
      <c r="L107" s="2344"/>
      <c r="M107" s="2344"/>
      <c r="N107" s="2344"/>
      <c r="O107" s="2344"/>
      <c r="P107" s="2344"/>
      <c r="Q107" s="2344"/>
      <c r="R107" s="2344"/>
      <c r="S107" s="2344"/>
      <c r="T107" s="2344"/>
      <c r="U107" s="2344"/>
      <c r="V107" s="2344"/>
      <c r="W107" s="2344"/>
      <c r="X107" s="2344"/>
      <c r="Y107" s="2344"/>
      <c r="Z107" s="2344"/>
      <c r="AA107" s="2344"/>
      <c r="AB107" s="2344"/>
      <c r="AC107" s="2344"/>
      <c r="AD107" s="2344"/>
      <c r="AE107" s="2344"/>
      <c r="AF107" s="2344"/>
      <c r="AG107" s="2344"/>
      <c r="AH107" s="2344"/>
      <c r="AI107" s="2344"/>
      <c r="AJ107" s="2344"/>
      <c r="AK107" s="2343"/>
      <c r="AL107" s="2107"/>
      <c r="AQ107" s="2753"/>
      <c r="AR107" s="2753"/>
      <c r="AS107" s="2753"/>
      <c r="AT107" s="3045"/>
      <c r="AU107" s="3045"/>
    </row>
    <row r="108" spans="1:47" ht="11.25" customHeight="1" x14ac:dyDescent="0.2">
      <c r="A108" s="2341"/>
      <c r="B108" s="2315"/>
      <c r="C108" s="2182"/>
      <c r="D108" s="2182"/>
      <c r="E108" s="2182"/>
      <c r="F108" s="2182"/>
      <c r="G108" s="2182"/>
      <c r="H108" s="2182"/>
      <c r="I108" s="2182"/>
      <c r="J108" s="2182"/>
      <c r="K108" s="2182"/>
      <c r="L108" s="2182"/>
      <c r="M108" s="2182"/>
      <c r="N108" s="2182"/>
      <c r="O108" s="2182"/>
      <c r="P108" s="2182"/>
      <c r="Q108" s="2182"/>
      <c r="R108" s="2182"/>
      <c r="S108" s="2182"/>
      <c r="T108" s="2182"/>
      <c r="U108" s="2182"/>
      <c r="V108" s="2182"/>
      <c r="W108" s="2182"/>
      <c r="X108" s="2182"/>
      <c r="Y108" s="2182"/>
      <c r="Z108" s="2182"/>
      <c r="AA108" s="2182"/>
      <c r="AB108" s="2182"/>
      <c r="AC108" s="2182"/>
      <c r="AD108" s="2182"/>
      <c r="AE108" s="2182"/>
      <c r="AF108" s="2182"/>
      <c r="AG108" s="2182"/>
      <c r="AH108" s="2182"/>
      <c r="AI108" s="2182"/>
      <c r="AJ108" s="2182"/>
      <c r="AK108" s="2183"/>
      <c r="AL108" s="2107"/>
      <c r="AQ108" s="2753"/>
      <c r="AR108" s="2753"/>
      <c r="AS108" s="2753"/>
      <c r="AT108" s="3045"/>
      <c r="AU108" s="3045"/>
    </row>
    <row r="109" spans="1:47" ht="4.5" customHeight="1" x14ac:dyDescent="0.2">
      <c r="A109" s="2341"/>
      <c r="B109" s="2316"/>
      <c r="C109" s="1853"/>
      <c r="D109" s="2379"/>
      <c r="E109" s="2379"/>
      <c r="F109" s="2379"/>
      <c r="G109" s="2379"/>
      <c r="H109" s="2379"/>
      <c r="I109" s="2379"/>
      <c r="J109" s="2379"/>
      <c r="K109" s="2379"/>
      <c r="L109" s="2379"/>
      <c r="M109" s="2379"/>
      <c r="N109" s="2379"/>
      <c r="O109" s="2379"/>
      <c r="P109" s="2379"/>
      <c r="Q109" s="2379"/>
      <c r="R109" s="2379"/>
      <c r="S109" s="2379"/>
      <c r="T109" s="2379"/>
      <c r="U109" s="2379"/>
      <c r="V109" s="2379"/>
      <c r="W109" s="2379"/>
      <c r="X109" s="2379"/>
      <c r="Y109" s="2379"/>
      <c r="Z109" s="2379"/>
      <c r="AA109" s="2379"/>
      <c r="AB109" s="2379"/>
      <c r="AC109" s="2379"/>
      <c r="AD109" s="2379"/>
      <c r="AE109" s="2379"/>
      <c r="AF109" s="2379"/>
      <c r="AG109" s="2379"/>
      <c r="AH109" s="2379"/>
      <c r="AI109" s="2379"/>
      <c r="AJ109" s="2380"/>
      <c r="AK109" s="1847"/>
      <c r="AL109" s="1846"/>
      <c r="AQ109" s="2753"/>
      <c r="AR109" s="2753"/>
      <c r="AS109" s="2753"/>
      <c r="AT109" s="3045"/>
      <c r="AU109" s="3045"/>
    </row>
    <row r="110" spans="1:47" ht="12.75" customHeight="1" x14ac:dyDescent="0.2">
      <c r="A110" s="2341"/>
      <c r="B110" s="2316"/>
      <c r="C110" s="1854"/>
      <c r="D110" s="2345"/>
      <c r="E110" s="3156" t="s">
        <v>9605</v>
      </c>
      <c r="F110" s="3156"/>
      <c r="G110" s="3156"/>
      <c r="H110" s="3156"/>
      <c r="I110" s="3156"/>
      <c r="J110" s="3156"/>
      <c r="K110" s="3156"/>
      <c r="L110" s="3156"/>
      <c r="M110" s="3156"/>
      <c r="N110" s="3156"/>
      <c r="O110" s="3156"/>
      <c r="P110" s="3156"/>
      <c r="Q110" s="3156"/>
      <c r="R110" s="3156"/>
      <c r="S110" s="3156"/>
      <c r="T110" s="3156"/>
      <c r="U110" s="3156"/>
      <c r="V110" s="3156"/>
      <c r="W110" s="3156"/>
      <c r="X110" s="3156"/>
      <c r="Y110" s="3156"/>
      <c r="Z110" s="3156"/>
      <c r="AA110" s="3156"/>
      <c r="AB110" s="3156"/>
      <c r="AC110" s="3156"/>
      <c r="AD110" s="3156"/>
      <c r="AE110" s="3156"/>
      <c r="AF110" s="3156"/>
      <c r="AG110" s="3156"/>
      <c r="AH110" s="3156"/>
      <c r="AI110" s="2345"/>
      <c r="AJ110" s="2381"/>
      <c r="AK110" s="1847"/>
      <c r="AL110" s="1846"/>
      <c r="AQ110" s="2753"/>
      <c r="AR110" s="2753"/>
      <c r="AS110" s="2753"/>
      <c r="AT110" s="3045"/>
      <c r="AU110" s="3045"/>
    </row>
    <row r="111" spans="1:47" ht="12.75" customHeight="1" x14ac:dyDescent="0.2">
      <c r="A111" s="2341"/>
      <c r="B111" s="2316"/>
      <c r="C111" s="1854"/>
      <c r="D111" s="2347"/>
      <c r="E111" s="3156"/>
      <c r="F111" s="3156"/>
      <c r="G111" s="3156"/>
      <c r="H111" s="3156"/>
      <c r="I111" s="3156"/>
      <c r="J111" s="3156"/>
      <c r="K111" s="3156"/>
      <c r="L111" s="3156"/>
      <c r="M111" s="3156"/>
      <c r="N111" s="3156"/>
      <c r="O111" s="3156"/>
      <c r="P111" s="3156"/>
      <c r="Q111" s="3156"/>
      <c r="R111" s="3156"/>
      <c r="S111" s="3156"/>
      <c r="T111" s="3156"/>
      <c r="U111" s="3156"/>
      <c r="V111" s="3156"/>
      <c r="W111" s="3156"/>
      <c r="X111" s="3156"/>
      <c r="Y111" s="3156"/>
      <c r="Z111" s="3156"/>
      <c r="AA111" s="3156"/>
      <c r="AB111" s="3156"/>
      <c r="AC111" s="3156"/>
      <c r="AD111" s="3156"/>
      <c r="AE111" s="3156"/>
      <c r="AF111" s="3156"/>
      <c r="AG111" s="3156"/>
      <c r="AH111" s="3156"/>
      <c r="AI111" s="2346"/>
      <c r="AJ111" s="2381"/>
      <c r="AK111" s="1847"/>
      <c r="AL111" s="1846"/>
      <c r="AQ111" s="2753"/>
      <c r="AR111" s="2753"/>
      <c r="AS111" s="2753"/>
      <c r="AT111" s="3045"/>
      <c r="AU111" s="3045"/>
    </row>
    <row r="112" spans="1:47" ht="13.5" customHeight="1" x14ac:dyDescent="0.2">
      <c r="A112" s="2341"/>
      <c r="B112" s="2316"/>
      <c r="C112" s="1854"/>
      <c r="D112" s="3153"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53"/>
      <c r="F112" s="3153"/>
      <c r="G112" s="3153"/>
      <c r="H112" s="3153"/>
      <c r="I112" s="3153"/>
      <c r="J112" s="3153"/>
      <c r="K112" s="3153"/>
      <c r="L112" s="3153"/>
      <c r="M112" s="3153"/>
      <c r="N112" s="3153"/>
      <c r="O112" s="3153"/>
      <c r="P112" s="3153"/>
      <c r="Q112" s="3153"/>
      <c r="R112" s="3153"/>
      <c r="S112" s="3153"/>
      <c r="T112" s="3153"/>
      <c r="U112" s="3153"/>
      <c r="V112" s="3153"/>
      <c r="W112" s="3153"/>
      <c r="X112" s="3153"/>
      <c r="Y112" s="3153"/>
      <c r="Z112" s="3153"/>
      <c r="AA112" s="3153"/>
      <c r="AB112" s="3153"/>
      <c r="AC112" s="3153"/>
      <c r="AD112" s="3153"/>
      <c r="AE112" s="3153"/>
      <c r="AF112" s="3153"/>
      <c r="AG112" s="3153"/>
      <c r="AH112" s="3153"/>
      <c r="AI112" s="3153"/>
      <c r="AJ112" s="2381"/>
      <c r="AK112" s="1847"/>
      <c r="AL112" s="1846"/>
      <c r="AN112" s="3154"/>
      <c r="AO112" s="3154"/>
      <c r="AP112" s="3154"/>
      <c r="AQ112" s="2756"/>
      <c r="AR112" s="2756"/>
      <c r="AS112" s="2756"/>
      <c r="AT112" s="3045"/>
      <c r="AU112" s="3045"/>
    </row>
    <row r="113" spans="1:47" ht="11.45" customHeight="1" x14ac:dyDescent="0.2">
      <c r="A113" s="2341"/>
      <c r="B113" s="2316"/>
      <c r="C113" s="1854"/>
      <c r="D113" s="3153"/>
      <c r="E113" s="3153"/>
      <c r="F113" s="3153"/>
      <c r="G113" s="3153"/>
      <c r="H113" s="3153"/>
      <c r="I113" s="3153"/>
      <c r="J113" s="3153"/>
      <c r="K113" s="3153"/>
      <c r="L113" s="3153"/>
      <c r="M113" s="3153"/>
      <c r="N113" s="3153"/>
      <c r="O113" s="3153"/>
      <c r="P113" s="3153"/>
      <c r="Q113" s="3153"/>
      <c r="R113" s="3153"/>
      <c r="S113" s="3153"/>
      <c r="T113" s="3153"/>
      <c r="U113" s="3153"/>
      <c r="V113" s="3153"/>
      <c r="W113" s="3153"/>
      <c r="X113" s="3153"/>
      <c r="Y113" s="3153"/>
      <c r="Z113" s="3153"/>
      <c r="AA113" s="3153"/>
      <c r="AB113" s="3153"/>
      <c r="AC113" s="3153"/>
      <c r="AD113" s="3153"/>
      <c r="AE113" s="3153"/>
      <c r="AF113" s="3153"/>
      <c r="AG113" s="3153"/>
      <c r="AH113" s="3153"/>
      <c r="AI113" s="3153"/>
      <c r="AJ113" s="2381"/>
      <c r="AK113" s="1847"/>
      <c r="AL113" s="1846"/>
      <c r="AQ113" s="2753"/>
      <c r="AR113" s="2753"/>
      <c r="AS113" s="2753"/>
      <c r="AT113" s="3045"/>
      <c r="AU113" s="3045"/>
    </row>
    <row r="114" spans="1:47" ht="11.45" customHeight="1" x14ac:dyDescent="0.2">
      <c r="A114" s="2341"/>
      <c r="B114" s="2316"/>
      <c r="C114" s="1854"/>
      <c r="D114" s="3153"/>
      <c r="E114" s="3153"/>
      <c r="F114" s="3153"/>
      <c r="G114" s="3153"/>
      <c r="H114" s="3153"/>
      <c r="I114" s="3153"/>
      <c r="J114" s="3153"/>
      <c r="K114" s="3153"/>
      <c r="L114" s="3153"/>
      <c r="M114" s="3153"/>
      <c r="N114" s="3153"/>
      <c r="O114" s="3153"/>
      <c r="P114" s="3153"/>
      <c r="Q114" s="3153"/>
      <c r="R114" s="3153"/>
      <c r="S114" s="3153"/>
      <c r="T114" s="3153"/>
      <c r="U114" s="3153"/>
      <c r="V114" s="3153"/>
      <c r="W114" s="3153"/>
      <c r="X114" s="3153"/>
      <c r="Y114" s="3153"/>
      <c r="Z114" s="3153"/>
      <c r="AA114" s="3153"/>
      <c r="AB114" s="3153"/>
      <c r="AC114" s="3153"/>
      <c r="AD114" s="3153"/>
      <c r="AE114" s="3153"/>
      <c r="AF114" s="3153"/>
      <c r="AG114" s="3153"/>
      <c r="AH114" s="3153"/>
      <c r="AI114" s="3153"/>
      <c r="AJ114" s="2381"/>
      <c r="AK114" s="1847"/>
      <c r="AL114" s="1846"/>
      <c r="AQ114" s="2753"/>
      <c r="AR114" s="2753"/>
      <c r="AS114" s="2753"/>
      <c r="AT114" s="3045"/>
      <c r="AU114" s="3045"/>
    </row>
    <row r="115" spans="1:47" ht="11.45" customHeight="1" x14ac:dyDescent="0.2">
      <c r="A115" s="2341"/>
      <c r="B115" s="2316"/>
      <c r="C115" s="1854"/>
      <c r="D115" s="3153"/>
      <c r="E115" s="3153"/>
      <c r="F115" s="3153"/>
      <c r="G115" s="3153"/>
      <c r="H115" s="3153"/>
      <c r="I115" s="3153"/>
      <c r="J115" s="3153"/>
      <c r="K115" s="3153"/>
      <c r="L115" s="3153"/>
      <c r="M115" s="3153"/>
      <c r="N115" s="3153"/>
      <c r="O115" s="3153"/>
      <c r="P115" s="3153"/>
      <c r="Q115" s="3153"/>
      <c r="R115" s="3153"/>
      <c r="S115" s="3153"/>
      <c r="T115" s="3153"/>
      <c r="U115" s="3153"/>
      <c r="V115" s="3153"/>
      <c r="W115" s="3153"/>
      <c r="X115" s="3153"/>
      <c r="Y115" s="3153"/>
      <c r="Z115" s="3153"/>
      <c r="AA115" s="3153"/>
      <c r="AB115" s="3153"/>
      <c r="AC115" s="3153"/>
      <c r="AD115" s="3153"/>
      <c r="AE115" s="3153"/>
      <c r="AF115" s="3153"/>
      <c r="AG115" s="3153"/>
      <c r="AH115" s="3153"/>
      <c r="AI115" s="3153"/>
      <c r="AJ115" s="2381"/>
      <c r="AK115" s="1848"/>
      <c r="AL115" s="1850"/>
      <c r="AQ115" s="2753"/>
      <c r="AR115" s="2753"/>
      <c r="AS115" s="2753"/>
      <c r="AT115" s="3045"/>
      <c r="AU115" s="3045"/>
    </row>
    <row r="116" spans="1:47" ht="11.45" customHeight="1" x14ac:dyDescent="0.2">
      <c r="A116" s="2341"/>
      <c r="B116" s="2316"/>
      <c r="C116" s="1854"/>
      <c r="D116" s="3153"/>
      <c r="E116" s="3153"/>
      <c r="F116" s="3153"/>
      <c r="G116" s="3153"/>
      <c r="H116" s="3153"/>
      <c r="I116" s="3153"/>
      <c r="J116" s="3153"/>
      <c r="K116" s="3153"/>
      <c r="L116" s="3153"/>
      <c r="M116" s="3153"/>
      <c r="N116" s="3153"/>
      <c r="O116" s="3153"/>
      <c r="P116" s="3153"/>
      <c r="Q116" s="3153"/>
      <c r="R116" s="3153"/>
      <c r="S116" s="3153"/>
      <c r="T116" s="3153"/>
      <c r="U116" s="3153"/>
      <c r="V116" s="3153"/>
      <c r="W116" s="3153"/>
      <c r="X116" s="3153"/>
      <c r="Y116" s="3153"/>
      <c r="Z116" s="3153"/>
      <c r="AA116" s="3153"/>
      <c r="AB116" s="3153"/>
      <c r="AC116" s="3153"/>
      <c r="AD116" s="3153"/>
      <c r="AE116" s="3153"/>
      <c r="AF116" s="3153"/>
      <c r="AG116" s="3153"/>
      <c r="AH116" s="3153"/>
      <c r="AI116" s="3153"/>
      <c r="AJ116" s="2381"/>
      <c r="AK116" s="1848"/>
      <c r="AL116" s="1850"/>
      <c r="AQ116" s="2753"/>
      <c r="AR116" s="2753"/>
      <c r="AS116" s="2753"/>
      <c r="AT116" s="3045"/>
      <c r="AU116" s="3045"/>
    </row>
    <row r="117" spans="1:47" ht="11.45" customHeight="1" x14ac:dyDescent="0.2">
      <c r="A117" s="2341"/>
      <c r="B117" s="2316"/>
      <c r="C117" s="1858"/>
      <c r="D117" s="3153"/>
      <c r="E117" s="3153"/>
      <c r="F117" s="3153"/>
      <c r="G117" s="3153"/>
      <c r="H117" s="3153"/>
      <c r="I117" s="3153"/>
      <c r="J117" s="3153"/>
      <c r="K117" s="3153"/>
      <c r="L117" s="3153"/>
      <c r="M117" s="3153"/>
      <c r="N117" s="3153"/>
      <c r="O117" s="3153"/>
      <c r="P117" s="3153"/>
      <c r="Q117" s="3153"/>
      <c r="R117" s="3153"/>
      <c r="S117" s="3153"/>
      <c r="T117" s="3153"/>
      <c r="U117" s="3153"/>
      <c r="V117" s="3153"/>
      <c r="W117" s="3153"/>
      <c r="X117" s="3153"/>
      <c r="Y117" s="3153"/>
      <c r="Z117" s="3153"/>
      <c r="AA117" s="3153"/>
      <c r="AB117" s="3153"/>
      <c r="AC117" s="3153"/>
      <c r="AD117" s="3153"/>
      <c r="AE117" s="3153"/>
      <c r="AF117" s="3153"/>
      <c r="AG117" s="3153"/>
      <c r="AH117" s="3153"/>
      <c r="AI117" s="3153"/>
      <c r="AJ117" s="2381"/>
      <c r="AK117" s="1848"/>
      <c r="AL117" s="1850"/>
      <c r="AQ117" s="2753"/>
      <c r="AR117" s="2753"/>
      <c r="AS117" s="2753"/>
      <c r="AT117" s="3045"/>
      <c r="AU117" s="3045"/>
    </row>
    <row r="118" spans="1:47" ht="11.45" customHeight="1" x14ac:dyDescent="0.2">
      <c r="A118" s="2341"/>
      <c r="B118" s="2316"/>
      <c r="C118" s="1858"/>
      <c r="D118" s="3153"/>
      <c r="E118" s="3153"/>
      <c r="F118" s="3153"/>
      <c r="G118" s="3153"/>
      <c r="H118" s="3153"/>
      <c r="I118" s="3153"/>
      <c r="J118" s="3153"/>
      <c r="K118" s="3153"/>
      <c r="L118" s="3153"/>
      <c r="M118" s="3153"/>
      <c r="N118" s="3153"/>
      <c r="O118" s="3153"/>
      <c r="P118" s="3153"/>
      <c r="Q118" s="3153"/>
      <c r="R118" s="3153"/>
      <c r="S118" s="3153"/>
      <c r="T118" s="3153"/>
      <c r="U118" s="3153"/>
      <c r="V118" s="3153"/>
      <c r="W118" s="3153"/>
      <c r="X118" s="3153"/>
      <c r="Y118" s="3153"/>
      <c r="Z118" s="3153"/>
      <c r="AA118" s="3153"/>
      <c r="AB118" s="3153"/>
      <c r="AC118" s="3153"/>
      <c r="AD118" s="3153"/>
      <c r="AE118" s="3153"/>
      <c r="AF118" s="3153"/>
      <c r="AG118" s="3153"/>
      <c r="AH118" s="3153"/>
      <c r="AI118" s="3153"/>
      <c r="AJ118" s="2381"/>
      <c r="AK118" s="1848"/>
      <c r="AL118" s="1850"/>
      <c r="AQ118" s="2753"/>
      <c r="AR118" s="2753"/>
      <c r="AS118" s="2753"/>
      <c r="AT118" s="3045"/>
      <c r="AU118" s="3045"/>
    </row>
    <row r="119" spans="1:47" ht="11.45" customHeight="1" x14ac:dyDescent="0.2">
      <c r="A119" s="2341"/>
      <c r="B119" s="2316"/>
      <c r="C119" s="1858"/>
      <c r="D119" s="3153"/>
      <c r="E119" s="3153"/>
      <c r="F119" s="3153"/>
      <c r="G119" s="3153"/>
      <c r="H119" s="3153"/>
      <c r="I119" s="3153"/>
      <c r="J119" s="3153"/>
      <c r="K119" s="3153"/>
      <c r="L119" s="3153"/>
      <c r="M119" s="3153"/>
      <c r="N119" s="3153"/>
      <c r="O119" s="3153"/>
      <c r="P119" s="3153"/>
      <c r="Q119" s="3153"/>
      <c r="R119" s="3153"/>
      <c r="S119" s="3153"/>
      <c r="T119" s="3153"/>
      <c r="U119" s="3153"/>
      <c r="V119" s="3153"/>
      <c r="W119" s="3153"/>
      <c r="X119" s="3153"/>
      <c r="Y119" s="3153"/>
      <c r="Z119" s="3153"/>
      <c r="AA119" s="3153"/>
      <c r="AB119" s="3153"/>
      <c r="AC119" s="3153"/>
      <c r="AD119" s="3153"/>
      <c r="AE119" s="3153"/>
      <c r="AF119" s="3153"/>
      <c r="AG119" s="3153"/>
      <c r="AH119" s="3153"/>
      <c r="AI119" s="3153"/>
      <c r="AJ119" s="2381"/>
      <c r="AK119" s="1848"/>
      <c r="AL119" s="1850"/>
      <c r="AQ119" s="2753"/>
      <c r="AR119" s="2753"/>
      <c r="AS119" s="2753"/>
      <c r="AT119" s="3045"/>
      <c r="AU119" s="3045"/>
    </row>
    <row r="120" spans="1:47" ht="11.45" customHeight="1" x14ac:dyDescent="0.2">
      <c r="A120" s="2341"/>
      <c r="B120" s="2316"/>
      <c r="C120" s="1858"/>
      <c r="D120" s="3153"/>
      <c r="E120" s="3153"/>
      <c r="F120" s="3153"/>
      <c r="G120" s="3153"/>
      <c r="H120" s="3153"/>
      <c r="I120" s="3153"/>
      <c r="J120" s="3153"/>
      <c r="K120" s="3153"/>
      <c r="L120" s="3153"/>
      <c r="M120" s="3153"/>
      <c r="N120" s="3153"/>
      <c r="O120" s="3153"/>
      <c r="P120" s="3153"/>
      <c r="Q120" s="3153"/>
      <c r="R120" s="3153"/>
      <c r="S120" s="3153"/>
      <c r="T120" s="3153"/>
      <c r="U120" s="3153"/>
      <c r="V120" s="3153"/>
      <c r="W120" s="3153"/>
      <c r="X120" s="3153"/>
      <c r="Y120" s="3153"/>
      <c r="Z120" s="3153"/>
      <c r="AA120" s="3153"/>
      <c r="AB120" s="3153"/>
      <c r="AC120" s="3153"/>
      <c r="AD120" s="3153"/>
      <c r="AE120" s="3153"/>
      <c r="AF120" s="3153"/>
      <c r="AG120" s="3153"/>
      <c r="AH120" s="3153"/>
      <c r="AI120" s="3153"/>
      <c r="AJ120" s="2381"/>
      <c r="AK120" s="1848"/>
      <c r="AL120" s="1850"/>
      <c r="AQ120" s="2753"/>
      <c r="AR120" s="2753"/>
      <c r="AS120" s="2753"/>
      <c r="AT120" s="3045"/>
      <c r="AU120" s="3045"/>
    </row>
    <row r="121" spans="1:47" ht="11.45" customHeight="1" x14ac:dyDescent="0.2">
      <c r="A121" s="2341"/>
      <c r="B121" s="2316"/>
      <c r="C121" s="1858"/>
      <c r="D121" s="3153"/>
      <c r="E121" s="3153"/>
      <c r="F121" s="3153"/>
      <c r="G121" s="3153"/>
      <c r="H121" s="3153"/>
      <c r="I121" s="3153"/>
      <c r="J121" s="3153"/>
      <c r="K121" s="3153"/>
      <c r="L121" s="3153"/>
      <c r="M121" s="3153"/>
      <c r="N121" s="3153"/>
      <c r="O121" s="3153"/>
      <c r="P121" s="3153"/>
      <c r="Q121" s="3153"/>
      <c r="R121" s="3153"/>
      <c r="S121" s="3153"/>
      <c r="T121" s="3153"/>
      <c r="U121" s="3153"/>
      <c r="V121" s="3153"/>
      <c r="W121" s="3153"/>
      <c r="X121" s="3153"/>
      <c r="Y121" s="3153"/>
      <c r="Z121" s="3153"/>
      <c r="AA121" s="3153"/>
      <c r="AB121" s="3153"/>
      <c r="AC121" s="3153"/>
      <c r="AD121" s="3153"/>
      <c r="AE121" s="3153"/>
      <c r="AF121" s="3153"/>
      <c r="AG121" s="3153"/>
      <c r="AH121" s="3153"/>
      <c r="AI121" s="3153"/>
      <c r="AJ121" s="2381"/>
      <c r="AK121" s="1848"/>
      <c r="AL121" s="1850"/>
      <c r="AQ121" s="2753"/>
      <c r="AR121" s="2753"/>
      <c r="AS121" s="2753"/>
      <c r="AT121" s="3045"/>
      <c r="AU121" s="3045"/>
    </row>
    <row r="122" spans="1:47" ht="11.45" customHeight="1" x14ac:dyDescent="0.2">
      <c r="A122" s="2341"/>
      <c r="B122" s="2316"/>
      <c r="C122" s="1858"/>
      <c r="D122" s="3153"/>
      <c r="E122" s="3153"/>
      <c r="F122" s="3153"/>
      <c r="G122" s="3153"/>
      <c r="H122" s="3153"/>
      <c r="I122" s="3153"/>
      <c r="J122" s="3153"/>
      <c r="K122" s="3153"/>
      <c r="L122" s="3153"/>
      <c r="M122" s="3153"/>
      <c r="N122" s="3153"/>
      <c r="O122" s="3153"/>
      <c r="P122" s="3153"/>
      <c r="Q122" s="3153"/>
      <c r="R122" s="3153"/>
      <c r="S122" s="3153"/>
      <c r="T122" s="3153"/>
      <c r="U122" s="3153"/>
      <c r="V122" s="3153"/>
      <c r="W122" s="3153"/>
      <c r="X122" s="3153"/>
      <c r="Y122" s="3153"/>
      <c r="Z122" s="3153"/>
      <c r="AA122" s="3153"/>
      <c r="AB122" s="3153"/>
      <c r="AC122" s="3153"/>
      <c r="AD122" s="3153"/>
      <c r="AE122" s="3153"/>
      <c r="AF122" s="3153"/>
      <c r="AG122" s="3153"/>
      <c r="AH122" s="3153"/>
      <c r="AI122" s="3153"/>
      <c r="AJ122" s="2382"/>
      <c r="AK122" s="1848"/>
      <c r="AL122" s="1850"/>
      <c r="AQ122" s="2753"/>
      <c r="AR122" s="2753"/>
      <c r="AS122" s="2753"/>
      <c r="AT122" s="3045"/>
      <c r="AU122" s="3045"/>
    </row>
    <row r="123" spans="1:47" ht="11.45" customHeight="1" x14ac:dyDescent="0.2">
      <c r="A123" s="2341"/>
      <c r="B123" s="2316"/>
      <c r="C123" s="1854"/>
      <c r="D123" s="3153"/>
      <c r="E123" s="3153"/>
      <c r="F123" s="3153"/>
      <c r="G123" s="3153"/>
      <c r="H123" s="3153"/>
      <c r="I123" s="3153"/>
      <c r="J123" s="3153"/>
      <c r="K123" s="3153"/>
      <c r="L123" s="3153"/>
      <c r="M123" s="3153"/>
      <c r="N123" s="3153"/>
      <c r="O123" s="3153"/>
      <c r="P123" s="3153"/>
      <c r="Q123" s="3153"/>
      <c r="R123" s="3153"/>
      <c r="S123" s="3153"/>
      <c r="T123" s="3153"/>
      <c r="U123" s="3153"/>
      <c r="V123" s="3153"/>
      <c r="W123" s="3153"/>
      <c r="X123" s="3153"/>
      <c r="Y123" s="3153"/>
      <c r="Z123" s="3153"/>
      <c r="AA123" s="3153"/>
      <c r="AB123" s="3153"/>
      <c r="AC123" s="3153"/>
      <c r="AD123" s="3153"/>
      <c r="AE123" s="3153"/>
      <c r="AF123" s="3153"/>
      <c r="AG123" s="3153"/>
      <c r="AH123" s="3153"/>
      <c r="AI123" s="3153"/>
      <c r="AJ123" s="2382"/>
      <c r="AK123" s="1848"/>
      <c r="AL123" s="1850"/>
      <c r="AQ123" s="2753"/>
      <c r="AR123" s="2753"/>
      <c r="AS123" s="2753"/>
      <c r="AT123" s="3045"/>
      <c r="AU123" s="3045"/>
    </row>
    <row r="124" spans="1:47" ht="11.45" customHeight="1" x14ac:dyDescent="0.2">
      <c r="A124" s="2340"/>
      <c r="B124" s="2321"/>
      <c r="C124" s="2383"/>
      <c r="D124" s="3153"/>
      <c r="E124" s="3153"/>
      <c r="F124" s="3153"/>
      <c r="G124" s="3153"/>
      <c r="H124" s="3153"/>
      <c r="I124" s="3153"/>
      <c r="J124" s="3153"/>
      <c r="K124" s="3153"/>
      <c r="L124" s="3153"/>
      <c r="M124" s="3153"/>
      <c r="N124" s="3153"/>
      <c r="O124" s="3153"/>
      <c r="P124" s="3153"/>
      <c r="Q124" s="3153"/>
      <c r="R124" s="3153"/>
      <c r="S124" s="3153"/>
      <c r="T124" s="3153"/>
      <c r="U124" s="3153"/>
      <c r="V124" s="3153"/>
      <c r="W124" s="3153"/>
      <c r="X124" s="3153"/>
      <c r="Y124" s="3153"/>
      <c r="Z124" s="3153"/>
      <c r="AA124" s="3153"/>
      <c r="AB124" s="3153"/>
      <c r="AC124" s="3153"/>
      <c r="AD124" s="3153"/>
      <c r="AE124" s="3153"/>
      <c r="AF124" s="3153"/>
      <c r="AG124" s="3153"/>
      <c r="AH124" s="3153"/>
      <c r="AI124" s="3153"/>
      <c r="AJ124" s="2384"/>
      <c r="AK124" s="1402"/>
      <c r="AL124" s="954"/>
      <c r="AQ124" s="2753"/>
      <c r="AR124" s="2753"/>
      <c r="AS124" s="2753"/>
      <c r="AT124" s="3045"/>
      <c r="AU124" s="3045"/>
    </row>
    <row r="125" spans="1:47" ht="11.45" customHeight="1" x14ac:dyDescent="0.2">
      <c r="A125" s="2341"/>
      <c r="B125" s="2316"/>
      <c r="C125" s="1858"/>
      <c r="D125" s="3153"/>
      <c r="E125" s="3153"/>
      <c r="F125" s="3153"/>
      <c r="G125" s="3153"/>
      <c r="H125" s="3153"/>
      <c r="I125" s="3153"/>
      <c r="J125" s="3153"/>
      <c r="K125" s="3153"/>
      <c r="L125" s="3153"/>
      <c r="M125" s="3153"/>
      <c r="N125" s="3153"/>
      <c r="O125" s="3153"/>
      <c r="P125" s="3153"/>
      <c r="Q125" s="3153"/>
      <c r="R125" s="3153"/>
      <c r="S125" s="3153"/>
      <c r="T125" s="3153"/>
      <c r="U125" s="3153"/>
      <c r="V125" s="3153"/>
      <c r="W125" s="3153"/>
      <c r="X125" s="3153"/>
      <c r="Y125" s="3153"/>
      <c r="Z125" s="3153"/>
      <c r="AA125" s="3153"/>
      <c r="AB125" s="3153"/>
      <c r="AC125" s="3153"/>
      <c r="AD125" s="3153"/>
      <c r="AE125" s="3153"/>
      <c r="AF125" s="3153"/>
      <c r="AG125" s="3153"/>
      <c r="AH125" s="3153"/>
      <c r="AI125" s="3153"/>
      <c r="AJ125" s="2385"/>
      <c r="AK125" s="1848"/>
      <c r="AL125" s="1850"/>
      <c r="AQ125" s="2753"/>
      <c r="AR125" s="2753"/>
      <c r="AS125" s="2753"/>
      <c r="AT125" s="3045"/>
      <c r="AU125" s="3045"/>
    </row>
    <row r="126" spans="1:47" ht="11.45" customHeight="1" x14ac:dyDescent="0.2">
      <c r="A126" s="2341"/>
      <c r="B126" s="2316"/>
      <c r="C126" s="1858"/>
      <c r="D126" s="3153"/>
      <c r="E126" s="3153"/>
      <c r="F126" s="3153"/>
      <c r="G126" s="3153"/>
      <c r="H126" s="3153"/>
      <c r="I126" s="3153"/>
      <c r="J126" s="3153"/>
      <c r="K126" s="3153"/>
      <c r="L126" s="3153"/>
      <c r="M126" s="3153"/>
      <c r="N126" s="3153"/>
      <c r="O126" s="3153"/>
      <c r="P126" s="3153"/>
      <c r="Q126" s="3153"/>
      <c r="R126" s="3153"/>
      <c r="S126" s="3153"/>
      <c r="T126" s="3153"/>
      <c r="U126" s="3153"/>
      <c r="V126" s="3153"/>
      <c r="W126" s="3153"/>
      <c r="X126" s="3153"/>
      <c r="Y126" s="3153"/>
      <c r="Z126" s="3153"/>
      <c r="AA126" s="3153"/>
      <c r="AB126" s="3153"/>
      <c r="AC126" s="3153"/>
      <c r="AD126" s="3153"/>
      <c r="AE126" s="3153"/>
      <c r="AF126" s="3153"/>
      <c r="AG126" s="3153"/>
      <c r="AH126" s="3153"/>
      <c r="AI126" s="3153"/>
      <c r="AJ126" s="2385"/>
      <c r="AK126" s="1848"/>
      <c r="AL126" s="1850"/>
      <c r="AQ126" s="2753"/>
      <c r="AR126" s="2753"/>
      <c r="AS126" s="2753"/>
      <c r="AT126" s="3045"/>
      <c r="AU126" s="3045"/>
    </row>
    <row r="127" spans="1:47" ht="11.45" customHeight="1" x14ac:dyDescent="0.2">
      <c r="A127" s="2340"/>
      <c r="B127" s="2321"/>
      <c r="C127" s="2383"/>
      <c r="D127" s="3153"/>
      <c r="E127" s="3153"/>
      <c r="F127" s="3153"/>
      <c r="G127" s="3153"/>
      <c r="H127" s="3153"/>
      <c r="I127" s="3153"/>
      <c r="J127" s="3153"/>
      <c r="K127" s="3153"/>
      <c r="L127" s="3153"/>
      <c r="M127" s="3153"/>
      <c r="N127" s="3153"/>
      <c r="O127" s="3153"/>
      <c r="P127" s="3153"/>
      <c r="Q127" s="3153"/>
      <c r="R127" s="3153"/>
      <c r="S127" s="3153"/>
      <c r="T127" s="3153"/>
      <c r="U127" s="3153"/>
      <c r="V127" s="3153"/>
      <c r="W127" s="3153"/>
      <c r="X127" s="3153"/>
      <c r="Y127" s="3153"/>
      <c r="Z127" s="3153"/>
      <c r="AA127" s="3153"/>
      <c r="AB127" s="3153"/>
      <c r="AC127" s="3153"/>
      <c r="AD127" s="3153"/>
      <c r="AE127" s="3153"/>
      <c r="AF127" s="3153"/>
      <c r="AG127" s="3153"/>
      <c r="AH127" s="3153"/>
      <c r="AI127" s="3153"/>
      <c r="AJ127" s="2384"/>
      <c r="AK127" s="1402"/>
      <c r="AL127" s="954"/>
      <c r="AQ127" s="2753"/>
      <c r="AR127" s="2753"/>
      <c r="AS127" s="2753"/>
      <c r="AT127" s="3045"/>
      <c r="AU127" s="3045"/>
    </row>
    <row r="128" spans="1:47" ht="11.45" customHeight="1" x14ac:dyDescent="0.2">
      <c r="A128" s="2341"/>
      <c r="B128" s="2316"/>
      <c r="C128" s="1858"/>
      <c r="D128" s="3153"/>
      <c r="E128" s="3153"/>
      <c r="F128" s="3153"/>
      <c r="G128" s="3153"/>
      <c r="H128" s="3153"/>
      <c r="I128" s="3153"/>
      <c r="J128" s="3153"/>
      <c r="K128" s="3153"/>
      <c r="L128" s="3153"/>
      <c r="M128" s="3153"/>
      <c r="N128" s="3153"/>
      <c r="O128" s="3153"/>
      <c r="P128" s="3153"/>
      <c r="Q128" s="3153"/>
      <c r="R128" s="3153"/>
      <c r="S128" s="3153"/>
      <c r="T128" s="3153"/>
      <c r="U128" s="3153"/>
      <c r="V128" s="3153"/>
      <c r="W128" s="3153"/>
      <c r="X128" s="3153"/>
      <c r="Y128" s="3153"/>
      <c r="Z128" s="3153"/>
      <c r="AA128" s="3153"/>
      <c r="AB128" s="3153"/>
      <c r="AC128" s="3153"/>
      <c r="AD128" s="3153"/>
      <c r="AE128" s="3153"/>
      <c r="AF128" s="3153"/>
      <c r="AG128" s="3153"/>
      <c r="AH128" s="3153"/>
      <c r="AI128" s="3153"/>
      <c r="AJ128" s="2386"/>
      <c r="AK128" s="1848"/>
      <c r="AL128" s="1850"/>
      <c r="AQ128" s="2753"/>
      <c r="AR128" s="2753"/>
      <c r="AS128" s="2753"/>
      <c r="AT128" s="3045"/>
      <c r="AU128" s="3045"/>
    </row>
    <row r="129" spans="1:47" ht="11.45" customHeight="1" x14ac:dyDescent="0.2">
      <c r="A129" s="2341"/>
      <c r="B129" s="2316"/>
      <c r="C129" s="1858"/>
      <c r="D129" s="3153"/>
      <c r="E129" s="3153"/>
      <c r="F129" s="3153"/>
      <c r="G129" s="3153"/>
      <c r="H129" s="3153"/>
      <c r="I129" s="3153"/>
      <c r="J129" s="3153"/>
      <c r="K129" s="3153"/>
      <c r="L129" s="3153"/>
      <c r="M129" s="3153"/>
      <c r="N129" s="3153"/>
      <c r="O129" s="3153"/>
      <c r="P129" s="3153"/>
      <c r="Q129" s="3153"/>
      <c r="R129" s="3153"/>
      <c r="S129" s="3153"/>
      <c r="T129" s="3153"/>
      <c r="U129" s="3153"/>
      <c r="V129" s="3153"/>
      <c r="W129" s="3153"/>
      <c r="X129" s="3153"/>
      <c r="Y129" s="3153"/>
      <c r="Z129" s="3153"/>
      <c r="AA129" s="3153"/>
      <c r="AB129" s="3153"/>
      <c r="AC129" s="3153"/>
      <c r="AD129" s="3153"/>
      <c r="AE129" s="3153"/>
      <c r="AF129" s="3153"/>
      <c r="AG129" s="3153"/>
      <c r="AH129" s="3153"/>
      <c r="AI129" s="3153"/>
      <c r="AJ129" s="2386"/>
      <c r="AK129" s="1848"/>
      <c r="AL129" s="1850"/>
      <c r="AQ129" s="2753"/>
      <c r="AR129" s="2753"/>
      <c r="AS129" s="2753"/>
      <c r="AT129" s="3045"/>
      <c r="AU129" s="3045"/>
    </row>
    <row r="130" spans="1:47" ht="11.45" customHeight="1" x14ac:dyDescent="0.2">
      <c r="A130" s="2340"/>
      <c r="B130" s="2321"/>
      <c r="C130" s="2383"/>
      <c r="D130" s="3153"/>
      <c r="E130" s="3153"/>
      <c r="F130" s="3153"/>
      <c r="G130" s="3153"/>
      <c r="H130" s="3153"/>
      <c r="I130" s="3153"/>
      <c r="J130" s="3153"/>
      <c r="K130" s="3153"/>
      <c r="L130" s="3153"/>
      <c r="M130" s="3153"/>
      <c r="N130" s="3153"/>
      <c r="O130" s="3153"/>
      <c r="P130" s="3153"/>
      <c r="Q130" s="3153"/>
      <c r="R130" s="3153"/>
      <c r="S130" s="3153"/>
      <c r="T130" s="3153"/>
      <c r="U130" s="3153"/>
      <c r="V130" s="3153"/>
      <c r="W130" s="3153"/>
      <c r="X130" s="3153"/>
      <c r="Y130" s="3153"/>
      <c r="Z130" s="3153"/>
      <c r="AA130" s="3153"/>
      <c r="AB130" s="3153"/>
      <c r="AC130" s="3153"/>
      <c r="AD130" s="3153"/>
      <c r="AE130" s="3153"/>
      <c r="AF130" s="3153"/>
      <c r="AG130" s="3153"/>
      <c r="AH130" s="3153"/>
      <c r="AI130" s="3153"/>
      <c r="AJ130" s="2384"/>
      <c r="AK130" s="1402"/>
      <c r="AL130" s="954"/>
      <c r="AQ130" s="2753"/>
      <c r="AR130" s="2753"/>
      <c r="AS130" s="2753"/>
      <c r="AT130" s="3045"/>
      <c r="AU130" s="3045"/>
    </row>
    <row r="131" spans="1:47" ht="11.45" customHeight="1" x14ac:dyDescent="0.2">
      <c r="A131" s="2341"/>
      <c r="B131" s="2316"/>
      <c r="C131" s="1854"/>
      <c r="D131" s="3153"/>
      <c r="E131" s="3153"/>
      <c r="F131" s="3153"/>
      <c r="G131" s="3153"/>
      <c r="H131" s="3153"/>
      <c r="I131" s="3153"/>
      <c r="J131" s="3153"/>
      <c r="K131" s="3153"/>
      <c r="L131" s="3153"/>
      <c r="M131" s="3153"/>
      <c r="N131" s="3153"/>
      <c r="O131" s="3153"/>
      <c r="P131" s="3153"/>
      <c r="Q131" s="3153"/>
      <c r="R131" s="3153"/>
      <c r="S131" s="3153"/>
      <c r="T131" s="3153"/>
      <c r="U131" s="3153"/>
      <c r="V131" s="3153"/>
      <c r="W131" s="3153"/>
      <c r="X131" s="3153"/>
      <c r="Y131" s="3153"/>
      <c r="Z131" s="3153"/>
      <c r="AA131" s="3153"/>
      <c r="AB131" s="3153"/>
      <c r="AC131" s="3153"/>
      <c r="AD131" s="3153"/>
      <c r="AE131" s="3153"/>
      <c r="AF131" s="3153"/>
      <c r="AG131" s="3153"/>
      <c r="AH131" s="3153"/>
      <c r="AI131" s="3153"/>
      <c r="AJ131" s="2386"/>
      <c r="AK131" s="1848"/>
      <c r="AL131" s="1850"/>
      <c r="AQ131" s="2753"/>
      <c r="AR131" s="2753"/>
      <c r="AS131" s="2753"/>
      <c r="AT131" s="3045"/>
      <c r="AU131" s="3045"/>
    </row>
    <row r="132" spans="1:47" ht="11.45" customHeight="1" x14ac:dyDescent="0.2">
      <c r="A132" s="2341"/>
      <c r="B132" s="2316"/>
      <c r="C132" s="1854"/>
      <c r="D132" s="3153"/>
      <c r="E132" s="3153"/>
      <c r="F132" s="3153"/>
      <c r="G132" s="3153"/>
      <c r="H132" s="3153"/>
      <c r="I132" s="3153"/>
      <c r="J132" s="3153"/>
      <c r="K132" s="3153"/>
      <c r="L132" s="3153"/>
      <c r="M132" s="3153"/>
      <c r="N132" s="3153"/>
      <c r="O132" s="3153"/>
      <c r="P132" s="3153"/>
      <c r="Q132" s="3153"/>
      <c r="R132" s="3153"/>
      <c r="S132" s="3153"/>
      <c r="T132" s="3153"/>
      <c r="U132" s="3153"/>
      <c r="V132" s="3153"/>
      <c r="W132" s="3153"/>
      <c r="X132" s="3153"/>
      <c r="Y132" s="3153"/>
      <c r="Z132" s="3153"/>
      <c r="AA132" s="3153"/>
      <c r="AB132" s="3153"/>
      <c r="AC132" s="3153"/>
      <c r="AD132" s="3153"/>
      <c r="AE132" s="3153"/>
      <c r="AF132" s="3153"/>
      <c r="AG132" s="3153"/>
      <c r="AH132" s="3153"/>
      <c r="AI132" s="3153"/>
      <c r="AJ132" s="2386"/>
      <c r="AK132" s="1848"/>
      <c r="AL132" s="1850"/>
      <c r="AQ132" s="2753"/>
      <c r="AR132" s="2753"/>
      <c r="AS132" s="2753"/>
      <c r="AT132" s="3045"/>
      <c r="AU132" s="3045"/>
    </row>
    <row r="133" spans="1:47" ht="11.45" customHeight="1" x14ac:dyDescent="0.2">
      <c r="A133" s="2340"/>
      <c r="B133" s="2321"/>
      <c r="C133" s="2383"/>
      <c r="D133" s="3153"/>
      <c r="E133" s="3153"/>
      <c r="F133" s="3153"/>
      <c r="G133" s="3153"/>
      <c r="H133" s="3153"/>
      <c r="I133" s="3153"/>
      <c r="J133" s="3153"/>
      <c r="K133" s="3153"/>
      <c r="L133" s="3153"/>
      <c r="M133" s="3153"/>
      <c r="N133" s="3153"/>
      <c r="O133" s="3153"/>
      <c r="P133" s="3153"/>
      <c r="Q133" s="3153"/>
      <c r="R133" s="3153"/>
      <c r="S133" s="3153"/>
      <c r="T133" s="3153"/>
      <c r="U133" s="3153"/>
      <c r="V133" s="3153"/>
      <c r="W133" s="3153"/>
      <c r="X133" s="3153"/>
      <c r="Y133" s="3153"/>
      <c r="Z133" s="3153"/>
      <c r="AA133" s="3153"/>
      <c r="AB133" s="3153"/>
      <c r="AC133" s="3153"/>
      <c r="AD133" s="3153"/>
      <c r="AE133" s="3153"/>
      <c r="AF133" s="3153"/>
      <c r="AG133" s="3153"/>
      <c r="AH133" s="3153"/>
      <c r="AI133" s="3153"/>
      <c r="AJ133" s="2384"/>
      <c r="AK133" s="1402"/>
      <c r="AL133" s="954"/>
      <c r="AQ133" s="2753"/>
      <c r="AR133" s="2753"/>
      <c r="AS133" s="2753"/>
      <c r="AT133" s="3045"/>
      <c r="AU133" s="3045"/>
    </row>
    <row r="134" spans="1:47" ht="11.45" customHeight="1" x14ac:dyDescent="0.2">
      <c r="A134" s="2341"/>
      <c r="B134" s="2316"/>
      <c r="C134" s="1854"/>
      <c r="D134" s="3153"/>
      <c r="E134" s="3153"/>
      <c r="F134" s="3153"/>
      <c r="G134" s="3153"/>
      <c r="H134" s="3153"/>
      <c r="I134" s="3153"/>
      <c r="J134" s="3153"/>
      <c r="K134" s="3153"/>
      <c r="L134" s="3153"/>
      <c r="M134" s="3153"/>
      <c r="N134" s="3153"/>
      <c r="O134" s="3153"/>
      <c r="P134" s="3153"/>
      <c r="Q134" s="3153"/>
      <c r="R134" s="3153"/>
      <c r="S134" s="3153"/>
      <c r="T134" s="3153"/>
      <c r="U134" s="3153"/>
      <c r="V134" s="3153"/>
      <c r="W134" s="3153"/>
      <c r="X134" s="3153"/>
      <c r="Y134" s="3153"/>
      <c r="Z134" s="3153"/>
      <c r="AA134" s="3153"/>
      <c r="AB134" s="3153"/>
      <c r="AC134" s="3153"/>
      <c r="AD134" s="3153"/>
      <c r="AE134" s="3153"/>
      <c r="AF134" s="3153"/>
      <c r="AG134" s="3153"/>
      <c r="AH134" s="3153"/>
      <c r="AI134" s="3153"/>
      <c r="AJ134" s="2385"/>
      <c r="AK134" s="1848"/>
      <c r="AL134" s="1850"/>
      <c r="AT134" s="1737"/>
      <c r="AU134" s="1737"/>
    </row>
    <row r="135" spans="1:47" ht="11.45" customHeight="1" x14ac:dyDescent="0.2">
      <c r="A135" s="2341"/>
      <c r="B135" s="2316"/>
      <c r="C135" s="1854"/>
      <c r="D135" s="3153"/>
      <c r="E135" s="3153"/>
      <c r="F135" s="3153"/>
      <c r="G135" s="3153"/>
      <c r="H135" s="3153"/>
      <c r="I135" s="3153"/>
      <c r="J135" s="3153"/>
      <c r="K135" s="3153"/>
      <c r="L135" s="3153"/>
      <c r="M135" s="3153"/>
      <c r="N135" s="3153"/>
      <c r="O135" s="3153"/>
      <c r="P135" s="3153"/>
      <c r="Q135" s="3153"/>
      <c r="R135" s="3153"/>
      <c r="S135" s="3153"/>
      <c r="T135" s="3153"/>
      <c r="U135" s="3153"/>
      <c r="V135" s="3153"/>
      <c r="W135" s="3153"/>
      <c r="X135" s="3153"/>
      <c r="Y135" s="3153"/>
      <c r="Z135" s="3153"/>
      <c r="AA135" s="3153"/>
      <c r="AB135" s="3153"/>
      <c r="AC135" s="3153"/>
      <c r="AD135" s="3153"/>
      <c r="AE135" s="3153"/>
      <c r="AF135" s="3153"/>
      <c r="AG135" s="3153"/>
      <c r="AH135" s="3153"/>
      <c r="AI135" s="3153"/>
      <c r="AJ135" s="2385"/>
      <c r="AK135" s="1848"/>
      <c r="AL135" s="1850"/>
      <c r="AT135" s="1737"/>
      <c r="AU135" s="1737"/>
    </row>
    <row r="136" spans="1:47" ht="11.45" customHeight="1" x14ac:dyDescent="0.2">
      <c r="A136" s="2340"/>
      <c r="B136" s="2321"/>
      <c r="C136" s="2383"/>
      <c r="D136" s="3153"/>
      <c r="E136" s="3153"/>
      <c r="F136" s="3153"/>
      <c r="G136" s="3153"/>
      <c r="H136" s="3153"/>
      <c r="I136" s="3153"/>
      <c r="J136" s="3153"/>
      <c r="K136" s="3153"/>
      <c r="L136" s="3153"/>
      <c r="M136" s="3153"/>
      <c r="N136" s="3153"/>
      <c r="O136" s="3153"/>
      <c r="P136" s="3153"/>
      <c r="Q136" s="3153"/>
      <c r="R136" s="3153"/>
      <c r="S136" s="3153"/>
      <c r="T136" s="3153"/>
      <c r="U136" s="3153"/>
      <c r="V136" s="3153"/>
      <c r="W136" s="3153"/>
      <c r="X136" s="3153"/>
      <c r="Y136" s="3153"/>
      <c r="Z136" s="3153"/>
      <c r="AA136" s="3153"/>
      <c r="AB136" s="3153"/>
      <c r="AC136" s="3153"/>
      <c r="AD136" s="3153"/>
      <c r="AE136" s="3153"/>
      <c r="AF136" s="3153"/>
      <c r="AG136" s="3153"/>
      <c r="AH136" s="3153"/>
      <c r="AI136" s="3153"/>
      <c r="AJ136" s="2384"/>
      <c r="AK136" s="1402"/>
      <c r="AL136" s="954"/>
      <c r="AT136" s="1737"/>
      <c r="AU136" s="1737"/>
    </row>
    <row r="137" spans="1:47" ht="11.45" customHeight="1" x14ac:dyDescent="0.2">
      <c r="A137" s="2341"/>
      <c r="B137" s="2316"/>
      <c r="C137" s="1854"/>
      <c r="D137" s="3153"/>
      <c r="E137" s="3153"/>
      <c r="F137" s="3153"/>
      <c r="G137" s="3153"/>
      <c r="H137" s="3153"/>
      <c r="I137" s="3153"/>
      <c r="J137" s="3153"/>
      <c r="K137" s="3153"/>
      <c r="L137" s="3153"/>
      <c r="M137" s="3153"/>
      <c r="N137" s="3153"/>
      <c r="O137" s="3153"/>
      <c r="P137" s="3153"/>
      <c r="Q137" s="3153"/>
      <c r="R137" s="3153"/>
      <c r="S137" s="3153"/>
      <c r="T137" s="3153"/>
      <c r="U137" s="3153"/>
      <c r="V137" s="3153"/>
      <c r="W137" s="3153"/>
      <c r="X137" s="3153"/>
      <c r="Y137" s="3153"/>
      <c r="Z137" s="3153"/>
      <c r="AA137" s="3153"/>
      <c r="AB137" s="3153"/>
      <c r="AC137" s="3153"/>
      <c r="AD137" s="3153"/>
      <c r="AE137" s="3153"/>
      <c r="AF137" s="3153"/>
      <c r="AG137" s="3153"/>
      <c r="AH137" s="3153"/>
      <c r="AI137" s="3153"/>
      <c r="AJ137" s="2387"/>
      <c r="AK137" s="1848"/>
      <c r="AL137" s="1850"/>
      <c r="AT137" s="1737"/>
      <c r="AU137" s="1737"/>
    </row>
    <row r="138" spans="1:47" ht="11.45" customHeight="1" x14ac:dyDescent="0.2">
      <c r="A138" s="2341"/>
      <c r="B138" s="2316"/>
      <c r="C138" s="1854"/>
      <c r="D138" s="3153"/>
      <c r="E138" s="3153"/>
      <c r="F138" s="3153"/>
      <c r="G138" s="3153"/>
      <c r="H138" s="3153"/>
      <c r="I138" s="3153"/>
      <c r="J138" s="3153"/>
      <c r="K138" s="3153"/>
      <c r="L138" s="3153"/>
      <c r="M138" s="3153"/>
      <c r="N138" s="3153"/>
      <c r="O138" s="3153"/>
      <c r="P138" s="3153"/>
      <c r="Q138" s="3153"/>
      <c r="R138" s="3153"/>
      <c r="S138" s="3153"/>
      <c r="T138" s="3153"/>
      <c r="U138" s="3153"/>
      <c r="V138" s="3153"/>
      <c r="W138" s="3153"/>
      <c r="X138" s="3153"/>
      <c r="Y138" s="3153"/>
      <c r="Z138" s="3153"/>
      <c r="AA138" s="3153"/>
      <c r="AB138" s="3153"/>
      <c r="AC138" s="3153"/>
      <c r="AD138" s="3153"/>
      <c r="AE138" s="3153"/>
      <c r="AF138" s="3153"/>
      <c r="AG138" s="3153"/>
      <c r="AH138" s="3153"/>
      <c r="AI138" s="3153"/>
      <c r="AJ138" s="2382"/>
      <c r="AK138" s="1848"/>
      <c r="AL138" s="1850"/>
      <c r="AT138" s="1737"/>
      <c r="AU138" s="1737"/>
    </row>
    <row r="139" spans="1:47" ht="11.45" customHeight="1" x14ac:dyDescent="0.2">
      <c r="A139" s="2341"/>
      <c r="B139" s="2316"/>
      <c r="C139" s="1854"/>
      <c r="D139" s="3153"/>
      <c r="E139" s="3153"/>
      <c r="F139" s="3153"/>
      <c r="G139" s="3153"/>
      <c r="H139" s="3153"/>
      <c r="I139" s="3153"/>
      <c r="J139" s="3153"/>
      <c r="K139" s="3153"/>
      <c r="L139" s="3153"/>
      <c r="M139" s="3153"/>
      <c r="N139" s="3153"/>
      <c r="O139" s="3153"/>
      <c r="P139" s="3153"/>
      <c r="Q139" s="3153"/>
      <c r="R139" s="3153"/>
      <c r="S139" s="3153"/>
      <c r="T139" s="3153"/>
      <c r="U139" s="3153"/>
      <c r="V139" s="3153"/>
      <c r="W139" s="3153"/>
      <c r="X139" s="3153"/>
      <c r="Y139" s="3153"/>
      <c r="Z139" s="3153"/>
      <c r="AA139" s="3153"/>
      <c r="AB139" s="3153"/>
      <c r="AC139" s="3153"/>
      <c r="AD139" s="3153"/>
      <c r="AE139" s="3153"/>
      <c r="AF139" s="3153"/>
      <c r="AG139" s="3153"/>
      <c r="AH139" s="3153"/>
      <c r="AI139" s="3153"/>
      <c r="AJ139" s="2382"/>
      <c r="AK139" s="1848"/>
      <c r="AL139" s="1850"/>
      <c r="AT139" s="1737"/>
      <c r="AU139" s="1737"/>
    </row>
    <row r="140" spans="1:47" ht="11.45" customHeight="1" x14ac:dyDescent="0.2">
      <c r="A140" s="2340"/>
      <c r="B140" s="2321"/>
      <c r="C140" s="2383"/>
      <c r="D140" s="3153"/>
      <c r="E140" s="3153"/>
      <c r="F140" s="3153"/>
      <c r="G140" s="3153"/>
      <c r="H140" s="3153"/>
      <c r="I140" s="3153"/>
      <c r="J140" s="3153"/>
      <c r="K140" s="3153"/>
      <c r="L140" s="3153"/>
      <c r="M140" s="3153"/>
      <c r="N140" s="3153"/>
      <c r="O140" s="3153"/>
      <c r="P140" s="3153"/>
      <c r="Q140" s="3153"/>
      <c r="R140" s="3153"/>
      <c r="S140" s="3153"/>
      <c r="T140" s="3153"/>
      <c r="U140" s="3153"/>
      <c r="V140" s="3153"/>
      <c r="W140" s="3153"/>
      <c r="X140" s="3153"/>
      <c r="Y140" s="3153"/>
      <c r="Z140" s="3153"/>
      <c r="AA140" s="3153"/>
      <c r="AB140" s="3153"/>
      <c r="AC140" s="3153"/>
      <c r="AD140" s="3153"/>
      <c r="AE140" s="3153"/>
      <c r="AF140" s="3153"/>
      <c r="AG140" s="3153"/>
      <c r="AH140" s="3153"/>
      <c r="AI140" s="3153"/>
      <c r="AJ140" s="2384"/>
      <c r="AK140" s="1402"/>
      <c r="AL140" s="954"/>
      <c r="AT140" s="1737"/>
      <c r="AU140" s="1737"/>
    </row>
    <row r="141" spans="1:47" ht="11.45" customHeight="1" x14ac:dyDescent="0.2">
      <c r="A141" s="2341"/>
      <c r="B141" s="2316"/>
      <c r="C141" s="1864"/>
      <c r="D141" s="3153"/>
      <c r="E141" s="3153"/>
      <c r="F141" s="3153"/>
      <c r="G141" s="3153"/>
      <c r="H141" s="3153"/>
      <c r="I141" s="3153"/>
      <c r="J141" s="3153"/>
      <c r="K141" s="3153"/>
      <c r="L141" s="3153"/>
      <c r="M141" s="3153"/>
      <c r="N141" s="3153"/>
      <c r="O141" s="3153"/>
      <c r="P141" s="3153"/>
      <c r="Q141" s="3153"/>
      <c r="R141" s="3153"/>
      <c r="S141" s="3153"/>
      <c r="T141" s="3153"/>
      <c r="U141" s="3153"/>
      <c r="V141" s="3153"/>
      <c r="W141" s="3153"/>
      <c r="X141" s="3153"/>
      <c r="Y141" s="3153"/>
      <c r="Z141" s="3153"/>
      <c r="AA141" s="3153"/>
      <c r="AB141" s="3153"/>
      <c r="AC141" s="3153"/>
      <c r="AD141" s="3153"/>
      <c r="AE141" s="3153"/>
      <c r="AF141" s="3153"/>
      <c r="AG141" s="3153"/>
      <c r="AH141" s="3153"/>
      <c r="AI141" s="3153"/>
      <c r="AJ141" s="2387"/>
      <c r="AK141" s="1848"/>
      <c r="AL141" s="1850"/>
      <c r="AT141" s="1737"/>
      <c r="AU141" s="1737"/>
    </row>
    <row r="142" spans="1:47" ht="11.45" customHeight="1" x14ac:dyDescent="0.2">
      <c r="A142" s="2340"/>
      <c r="B142" s="2321"/>
      <c r="C142" s="2383"/>
      <c r="D142" s="3153"/>
      <c r="E142" s="3153"/>
      <c r="F142" s="3153"/>
      <c r="G142" s="3153"/>
      <c r="H142" s="3153"/>
      <c r="I142" s="3153"/>
      <c r="J142" s="3153"/>
      <c r="K142" s="3153"/>
      <c r="L142" s="3153"/>
      <c r="M142" s="3153"/>
      <c r="N142" s="3153"/>
      <c r="O142" s="3153"/>
      <c r="P142" s="3153"/>
      <c r="Q142" s="3153"/>
      <c r="R142" s="3153"/>
      <c r="S142" s="3153"/>
      <c r="T142" s="3153"/>
      <c r="U142" s="3153"/>
      <c r="V142" s="3153"/>
      <c r="W142" s="3153"/>
      <c r="X142" s="3153"/>
      <c r="Y142" s="3153"/>
      <c r="Z142" s="3153"/>
      <c r="AA142" s="3153"/>
      <c r="AB142" s="3153"/>
      <c r="AC142" s="3153"/>
      <c r="AD142" s="3153"/>
      <c r="AE142" s="3153"/>
      <c r="AF142" s="3153"/>
      <c r="AG142" s="3153"/>
      <c r="AH142" s="3153"/>
      <c r="AI142" s="3153"/>
      <c r="AJ142" s="2384"/>
      <c r="AK142" s="1402"/>
      <c r="AL142" s="954"/>
      <c r="AT142" s="1737"/>
      <c r="AU142" s="1737"/>
    </row>
    <row r="143" spans="1:47" ht="11.45" customHeight="1" x14ac:dyDescent="0.2">
      <c r="A143" s="2341"/>
      <c r="B143" s="2316"/>
      <c r="C143" s="1865"/>
      <c r="D143" s="3153"/>
      <c r="E143" s="3153"/>
      <c r="F143" s="3153"/>
      <c r="G143" s="3153"/>
      <c r="H143" s="3153"/>
      <c r="I143" s="3153"/>
      <c r="J143" s="3153"/>
      <c r="K143" s="3153"/>
      <c r="L143" s="3153"/>
      <c r="M143" s="3153"/>
      <c r="N143" s="3153"/>
      <c r="O143" s="3153"/>
      <c r="P143" s="3153"/>
      <c r="Q143" s="3153"/>
      <c r="R143" s="3153"/>
      <c r="S143" s="3153"/>
      <c r="T143" s="3153"/>
      <c r="U143" s="3153"/>
      <c r="V143" s="3153"/>
      <c r="W143" s="3153"/>
      <c r="X143" s="3153"/>
      <c r="Y143" s="3153"/>
      <c r="Z143" s="3153"/>
      <c r="AA143" s="3153"/>
      <c r="AB143" s="3153"/>
      <c r="AC143" s="3153"/>
      <c r="AD143" s="3153"/>
      <c r="AE143" s="3153"/>
      <c r="AF143" s="3153"/>
      <c r="AG143" s="3153"/>
      <c r="AH143" s="3153"/>
      <c r="AI143" s="3153"/>
      <c r="AJ143" s="2387"/>
      <c r="AK143" s="1848"/>
      <c r="AL143" s="1850"/>
      <c r="AT143" s="1737"/>
      <c r="AU143" s="1737"/>
    </row>
    <row r="144" spans="1:47" ht="11.45" customHeight="1" x14ac:dyDescent="0.2">
      <c r="A144" s="2340"/>
      <c r="B144" s="2321"/>
      <c r="C144" s="2383"/>
      <c r="D144" s="3153"/>
      <c r="E144" s="3153"/>
      <c r="F144" s="3153"/>
      <c r="G144" s="3153"/>
      <c r="H144" s="3153"/>
      <c r="I144" s="3153"/>
      <c r="J144" s="3153"/>
      <c r="K144" s="3153"/>
      <c r="L144" s="3153"/>
      <c r="M144" s="3153"/>
      <c r="N144" s="3153"/>
      <c r="O144" s="3153"/>
      <c r="P144" s="3153"/>
      <c r="Q144" s="3153"/>
      <c r="R144" s="3153"/>
      <c r="S144" s="3153"/>
      <c r="T144" s="3153"/>
      <c r="U144" s="3153"/>
      <c r="V144" s="3153"/>
      <c r="W144" s="3153"/>
      <c r="X144" s="3153"/>
      <c r="Y144" s="3153"/>
      <c r="Z144" s="3153"/>
      <c r="AA144" s="3153"/>
      <c r="AB144" s="3153"/>
      <c r="AC144" s="3153"/>
      <c r="AD144" s="3153"/>
      <c r="AE144" s="3153"/>
      <c r="AF144" s="3153"/>
      <c r="AG144" s="3153"/>
      <c r="AH144" s="3153"/>
      <c r="AI144" s="3153"/>
      <c r="AJ144" s="2384"/>
      <c r="AK144" s="1402"/>
      <c r="AL144" s="954"/>
      <c r="AT144" s="1737"/>
      <c r="AU144" s="1737"/>
    </row>
    <row r="145" spans="1:47" ht="11.45" customHeight="1" x14ac:dyDescent="0.2">
      <c r="A145" s="2341"/>
      <c r="B145" s="2316"/>
      <c r="C145" s="1865"/>
      <c r="D145" s="3153"/>
      <c r="E145" s="3153"/>
      <c r="F145" s="3153"/>
      <c r="G145" s="3153"/>
      <c r="H145" s="3153"/>
      <c r="I145" s="3153"/>
      <c r="J145" s="3153"/>
      <c r="K145" s="3153"/>
      <c r="L145" s="3153"/>
      <c r="M145" s="3153"/>
      <c r="N145" s="3153"/>
      <c r="O145" s="3153"/>
      <c r="P145" s="3153"/>
      <c r="Q145" s="3153"/>
      <c r="R145" s="3153"/>
      <c r="S145" s="3153"/>
      <c r="T145" s="3153"/>
      <c r="U145" s="3153"/>
      <c r="V145" s="3153"/>
      <c r="W145" s="3153"/>
      <c r="X145" s="3153"/>
      <c r="Y145" s="3153"/>
      <c r="Z145" s="3153"/>
      <c r="AA145" s="3153"/>
      <c r="AB145" s="3153"/>
      <c r="AC145" s="3153"/>
      <c r="AD145" s="3153"/>
      <c r="AE145" s="3153"/>
      <c r="AF145" s="3153"/>
      <c r="AG145" s="3153"/>
      <c r="AH145" s="3153"/>
      <c r="AI145" s="3153"/>
      <c r="AJ145" s="2388"/>
      <c r="AK145" s="1848"/>
      <c r="AL145" s="1850"/>
      <c r="AT145" s="1737"/>
      <c r="AU145" s="1737"/>
    </row>
    <row r="146" spans="1:47" ht="11.45" customHeight="1" x14ac:dyDescent="0.2">
      <c r="A146" s="2341"/>
      <c r="B146" s="2316"/>
      <c r="C146" s="1865"/>
      <c r="D146" s="3153"/>
      <c r="E146" s="3153"/>
      <c r="F146" s="3153"/>
      <c r="G146" s="3153"/>
      <c r="H146" s="3153"/>
      <c r="I146" s="3153"/>
      <c r="J146" s="3153"/>
      <c r="K146" s="3153"/>
      <c r="L146" s="3153"/>
      <c r="M146" s="3153"/>
      <c r="N146" s="3153"/>
      <c r="O146" s="3153"/>
      <c r="P146" s="3153"/>
      <c r="Q146" s="3153"/>
      <c r="R146" s="3153"/>
      <c r="S146" s="3153"/>
      <c r="T146" s="3153"/>
      <c r="U146" s="3153"/>
      <c r="V146" s="3153"/>
      <c r="W146" s="3153"/>
      <c r="X146" s="3153"/>
      <c r="Y146" s="3153"/>
      <c r="Z146" s="3153"/>
      <c r="AA146" s="3153"/>
      <c r="AB146" s="3153"/>
      <c r="AC146" s="3153"/>
      <c r="AD146" s="3153"/>
      <c r="AE146" s="3153"/>
      <c r="AF146" s="3153"/>
      <c r="AG146" s="3153"/>
      <c r="AH146" s="3153"/>
      <c r="AI146" s="3153"/>
      <c r="AJ146" s="2388"/>
      <c r="AK146" s="1848"/>
      <c r="AL146" s="2107"/>
      <c r="AT146" s="1737"/>
      <c r="AU146" s="1737"/>
    </row>
    <row r="147" spans="1:47" ht="11.45" customHeight="1" x14ac:dyDescent="0.2">
      <c r="A147" s="2341"/>
      <c r="B147" s="2316"/>
      <c r="C147" s="1865"/>
      <c r="D147" s="3153"/>
      <c r="E147" s="3153"/>
      <c r="F147" s="3153"/>
      <c r="G147" s="3153"/>
      <c r="H147" s="3153"/>
      <c r="I147" s="3153"/>
      <c r="J147" s="3153"/>
      <c r="K147" s="3153"/>
      <c r="L147" s="3153"/>
      <c r="M147" s="3153"/>
      <c r="N147" s="3153"/>
      <c r="O147" s="3153"/>
      <c r="P147" s="3153"/>
      <c r="Q147" s="3153"/>
      <c r="R147" s="3153"/>
      <c r="S147" s="3153"/>
      <c r="T147" s="3153"/>
      <c r="U147" s="3153"/>
      <c r="V147" s="3153"/>
      <c r="W147" s="3153"/>
      <c r="X147" s="3153"/>
      <c r="Y147" s="3153"/>
      <c r="Z147" s="3153"/>
      <c r="AA147" s="3153"/>
      <c r="AB147" s="3153"/>
      <c r="AC147" s="3153"/>
      <c r="AD147" s="3153"/>
      <c r="AE147" s="3153"/>
      <c r="AF147" s="3153"/>
      <c r="AG147" s="3153"/>
      <c r="AH147" s="3153"/>
      <c r="AI147" s="3153"/>
      <c r="AJ147" s="2388"/>
      <c r="AK147" s="1848"/>
      <c r="AL147" s="2107"/>
      <c r="AT147" s="1737"/>
      <c r="AU147" s="1737"/>
    </row>
    <row r="148" spans="1:47" ht="11.45" customHeight="1" x14ac:dyDescent="0.2">
      <c r="A148" s="2340"/>
      <c r="B148" s="2321"/>
      <c r="C148" s="2383"/>
      <c r="D148" s="3153"/>
      <c r="E148" s="3153"/>
      <c r="F148" s="3153"/>
      <c r="G148" s="3153"/>
      <c r="H148" s="3153"/>
      <c r="I148" s="3153"/>
      <c r="J148" s="3153"/>
      <c r="K148" s="3153"/>
      <c r="L148" s="3153"/>
      <c r="M148" s="3153"/>
      <c r="N148" s="3153"/>
      <c r="O148" s="3153"/>
      <c r="P148" s="3153"/>
      <c r="Q148" s="3153"/>
      <c r="R148" s="3153"/>
      <c r="S148" s="3153"/>
      <c r="T148" s="3153"/>
      <c r="U148" s="3153"/>
      <c r="V148" s="3153"/>
      <c r="W148" s="3153"/>
      <c r="X148" s="3153"/>
      <c r="Y148" s="3153"/>
      <c r="Z148" s="3153"/>
      <c r="AA148" s="3153"/>
      <c r="AB148" s="3153"/>
      <c r="AC148" s="3153"/>
      <c r="AD148" s="3153"/>
      <c r="AE148" s="3153"/>
      <c r="AF148" s="3153"/>
      <c r="AG148" s="3153"/>
      <c r="AH148" s="3153"/>
      <c r="AI148" s="3153"/>
      <c r="AJ148" s="2384"/>
      <c r="AK148" s="1402"/>
      <c r="AL148" s="954"/>
      <c r="AT148" s="1737"/>
      <c r="AU148" s="1737"/>
    </row>
    <row r="149" spans="1:47" ht="11.45" customHeight="1" x14ac:dyDescent="0.2">
      <c r="A149" s="2341"/>
      <c r="B149" s="2316"/>
      <c r="C149" s="1865"/>
      <c r="D149" s="3153"/>
      <c r="E149" s="3153"/>
      <c r="F149" s="3153"/>
      <c r="G149" s="3153"/>
      <c r="H149" s="3153"/>
      <c r="I149" s="3153"/>
      <c r="J149" s="3153"/>
      <c r="K149" s="3153"/>
      <c r="L149" s="3153"/>
      <c r="M149" s="3153"/>
      <c r="N149" s="3153"/>
      <c r="O149" s="3153"/>
      <c r="P149" s="3153"/>
      <c r="Q149" s="3153"/>
      <c r="R149" s="3153"/>
      <c r="S149" s="3153"/>
      <c r="T149" s="3153"/>
      <c r="U149" s="3153"/>
      <c r="V149" s="3153"/>
      <c r="W149" s="3153"/>
      <c r="X149" s="3153"/>
      <c r="Y149" s="3153"/>
      <c r="Z149" s="3153"/>
      <c r="AA149" s="3153"/>
      <c r="AB149" s="3153"/>
      <c r="AC149" s="3153"/>
      <c r="AD149" s="3153"/>
      <c r="AE149" s="3153"/>
      <c r="AF149" s="3153"/>
      <c r="AG149" s="3153"/>
      <c r="AH149" s="3153"/>
      <c r="AI149" s="3153"/>
      <c r="AJ149" s="2388"/>
      <c r="AK149" s="1848"/>
      <c r="AL149" s="2107"/>
      <c r="AT149" s="1737"/>
      <c r="AU149" s="1737"/>
    </row>
    <row r="150" spans="1:47" ht="11.45" customHeight="1" x14ac:dyDescent="0.2">
      <c r="A150" s="2341"/>
      <c r="B150" s="2316"/>
      <c r="C150" s="1865"/>
      <c r="D150" s="3153"/>
      <c r="E150" s="3153"/>
      <c r="F150" s="3153"/>
      <c r="G150" s="3153"/>
      <c r="H150" s="3153"/>
      <c r="I150" s="3153"/>
      <c r="J150" s="3153"/>
      <c r="K150" s="3153"/>
      <c r="L150" s="3153"/>
      <c r="M150" s="3153"/>
      <c r="N150" s="3153"/>
      <c r="O150" s="3153"/>
      <c r="P150" s="3153"/>
      <c r="Q150" s="3153"/>
      <c r="R150" s="3153"/>
      <c r="S150" s="3153"/>
      <c r="T150" s="3153"/>
      <c r="U150" s="3153"/>
      <c r="V150" s="3153"/>
      <c r="W150" s="3153"/>
      <c r="X150" s="3153"/>
      <c r="Y150" s="3153"/>
      <c r="Z150" s="3153"/>
      <c r="AA150" s="3153"/>
      <c r="AB150" s="3153"/>
      <c r="AC150" s="3153"/>
      <c r="AD150" s="3153"/>
      <c r="AE150" s="3153"/>
      <c r="AF150" s="3153"/>
      <c r="AG150" s="3153"/>
      <c r="AH150" s="3153"/>
      <c r="AI150" s="3153"/>
      <c r="AJ150" s="2388"/>
      <c r="AK150" s="1848"/>
      <c r="AL150" s="2107"/>
      <c r="AT150" s="1737"/>
      <c r="AU150" s="1737"/>
    </row>
    <row r="151" spans="1:47" ht="11.45" customHeight="1" x14ac:dyDescent="0.2">
      <c r="A151" s="2341"/>
      <c r="B151" s="2316"/>
      <c r="C151" s="1865"/>
      <c r="D151" s="3153"/>
      <c r="E151" s="3153"/>
      <c r="F151" s="3153"/>
      <c r="G151" s="3153"/>
      <c r="H151" s="3153"/>
      <c r="I151" s="3153"/>
      <c r="J151" s="3153"/>
      <c r="K151" s="3153"/>
      <c r="L151" s="3153"/>
      <c r="M151" s="3153"/>
      <c r="N151" s="3153"/>
      <c r="O151" s="3153"/>
      <c r="P151" s="3153"/>
      <c r="Q151" s="3153"/>
      <c r="R151" s="3153"/>
      <c r="S151" s="3153"/>
      <c r="T151" s="3153"/>
      <c r="U151" s="3153"/>
      <c r="V151" s="3153"/>
      <c r="W151" s="3153"/>
      <c r="X151" s="3153"/>
      <c r="Y151" s="3153"/>
      <c r="Z151" s="3153"/>
      <c r="AA151" s="3153"/>
      <c r="AB151" s="3153"/>
      <c r="AC151" s="3153"/>
      <c r="AD151" s="3153"/>
      <c r="AE151" s="3153"/>
      <c r="AF151" s="3153"/>
      <c r="AG151" s="3153"/>
      <c r="AH151" s="3153"/>
      <c r="AI151" s="3153"/>
      <c r="AJ151" s="2388"/>
      <c r="AK151" s="1848"/>
      <c r="AL151" s="2107"/>
      <c r="AT151" s="1737"/>
      <c r="AU151" s="1737"/>
    </row>
    <row r="152" spans="1:47" ht="11.45" customHeight="1" x14ac:dyDescent="0.2">
      <c r="A152" s="2341"/>
      <c r="B152" s="2316"/>
      <c r="C152" s="1865"/>
      <c r="D152" s="3153"/>
      <c r="E152" s="3153"/>
      <c r="F152" s="3153"/>
      <c r="G152" s="3153"/>
      <c r="H152" s="3153"/>
      <c r="I152" s="3153"/>
      <c r="J152" s="3153"/>
      <c r="K152" s="3153"/>
      <c r="L152" s="3153"/>
      <c r="M152" s="3153"/>
      <c r="N152" s="3153"/>
      <c r="O152" s="3153"/>
      <c r="P152" s="3153"/>
      <c r="Q152" s="3153"/>
      <c r="R152" s="3153"/>
      <c r="S152" s="3153"/>
      <c r="T152" s="3153"/>
      <c r="U152" s="3153"/>
      <c r="V152" s="3153"/>
      <c r="W152" s="3153"/>
      <c r="X152" s="3153"/>
      <c r="Y152" s="3153"/>
      <c r="Z152" s="3153"/>
      <c r="AA152" s="3153"/>
      <c r="AB152" s="3153"/>
      <c r="AC152" s="3153"/>
      <c r="AD152" s="3153"/>
      <c r="AE152" s="3153"/>
      <c r="AF152" s="3153"/>
      <c r="AG152" s="3153"/>
      <c r="AH152" s="3153"/>
      <c r="AI152" s="3153"/>
      <c r="AJ152" s="2388"/>
      <c r="AK152" s="1848"/>
      <c r="AL152" s="2107"/>
      <c r="AT152" s="1737"/>
      <c r="AU152" s="1737"/>
    </row>
    <row r="153" spans="1:47" ht="11.45" customHeight="1" x14ac:dyDescent="0.2">
      <c r="A153" s="2340"/>
      <c r="B153" s="2321"/>
      <c r="C153" s="2383"/>
      <c r="D153" s="3153"/>
      <c r="E153" s="3153"/>
      <c r="F153" s="3153"/>
      <c r="G153" s="3153"/>
      <c r="H153" s="3153"/>
      <c r="I153" s="3153"/>
      <c r="J153" s="3153"/>
      <c r="K153" s="3153"/>
      <c r="L153" s="3153"/>
      <c r="M153" s="3153"/>
      <c r="N153" s="3153"/>
      <c r="O153" s="3153"/>
      <c r="P153" s="3153"/>
      <c r="Q153" s="3153"/>
      <c r="R153" s="3153"/>
      <c r="S153" s="3153"/>
      <c r="T153" s="3153"/>
      <c r="U153" s="3153"/>
      <c r="V153" s="3153"/>
      <c r="W153" s="3153"/>
      <c r="X153" s="3153"/>
      <c r="Y153" s="3153"/>
      <c r="Z153" s="3153"/>
      <c r="AA153" s="3153"/>
      <c r="AB153" s="3153"/>
      <c r="AC153" s="3153"/>
      <c r="AD153" s="3153"/>
      <c r="AE153" s="3153"/>
      <c r="AF153" s="3153"/>
      <c r="AG153" s="3153"/>
      <c r="AH153" s="3153"/>
      <c r="AI153" s="3153"/>
      <c r="AJ153" s="2384"/>
      <c r="AK153" s="1402"/>
      <c r="AL153" s="954"/>
      <c r="AT153" s="1737"/>
      <c r="AU153" s="1737"/>
    </row>
    <row r="154" spans="1:47" ht="11.45" customHeight="1" x14ac:dyDescent="0.2">
      <c r="A154" s="2341"/>
      <c r="B154" s="2316"/>
      <c r="C154" s="1865"/>
      <c r="D154" s="3153"/>
      <c r="E154" s="3153"/>
      <c r="F154" s="3153"/>
      <c r="G154" s="3153"/>
      <c r="H154" s="3153"/>
      <c r="I154" s="3153"/>
      <c r="J154" s="3153"/>
      <c r="K154" s="3153"/>
      <c r="L154" s="3153"/>
      <c r="M154" s="3153"/>
      <c r="N154" s="3153"/>
      <c r="O154" s="3153"/>
      <c r="P154" s="3153"/>
      <c r="Q154" s="3153"/>
      <c r="R154" s="3153"/>
      <c r="S154" s="3153"/>
      <c r="T154" s="3153"/>
      <c r="U154" s="3153"/>
      <c r="V154" s="3153"/>
      <c r="W154" s="3153"/>
      <c r="X154" s="3153"/>
      <c r="Y154" s="3153"/>
      <c r="Z154" s="3153"/>
      <c r="AA154" s="3153"/>
      <c r="AB154" s="3153"/>
      <c r="AC154" s="3153"/>
      <c r="AD154" s="3153"/>
      <c r="AE154" s="3153"/>
      <c r="AF154" s="3153"/>
      <c r="AG154" s="3153"/>
      <c r="AH154" s="3153"/>
      <c r="AI154" s="3153"/>
      <c r="AJ154" s="2382"/>
      <c r="AK154" s="1848"/>
      <c r="AL154" s="2107"/>
      <c r="AT154" s="1737"/>
      <c r="AU154" s="1737"/>
    </row>
    <row r="155" spans="1:47" ht="11.45" customHeight="1" x14ac:dyDescent="0.2">
      <c r="A155" s="2340"/>
      <c r="B155" s="2321"/>
      <c r="C155" s="2383"/>
      <c r="D155" s="3153"/>
      <c r="E155" s="3153"/>
      <c r="F155" s="3153"/>
      <c r="G155" s="3153"/>
      <c r="H155" s="3153"/>
      <c r="I155" s="3153"/>
      <c r="J155" s="3153"/>
      <c r="K155" s="3153"/>
      <c r="L155" s="3153"/>
      <c r="M155" s="3153"/>
      <c r="N155" s="3153"/>
      <c r="O155" s="3153"/>
      <c r="P155" s="3153"/>
      <c r="Q155" s="3153"/>
      <c r="R155" s="3153"/>
      <c r="S155" s="3153"/>
      <c r="T155" s="3153"/>
      <c r="U155" s="3153"/>
      <c r="V155" s="3153"/>
      <c r="W155" s="3153"/>
      <c r="X155" s="3153"/>
      <c r="Y155" s="3153"/>
      <c r="Z155" s="3153"/>
      <c r="AA155" s="3153"/>
      <c r="AB155" s="3153"/>
      <c r="AC155" s="3153"/>
      <c r="AD155" s="3153"/>
      <c r="AE155" s="3153"/>
      <c r="AF155" s="3153"/>
      <c r="AG155" s="3153"/>
      <c r="AH155" s="3153"/>
      <c r="AI155" s="3153"/>
      <c r="AJ155" s="2384"/>
      <c r="AK155" s="1402"/>
      <c r="AL155" s="954"/>
      <c r="AT155" s="1737"/>
      <c r="AU155" s="1737"/>
    </row>
    <row r="156" spans="1:47" ht="11.45" customHeight="1" x14ac:dyDescent="0.2">
      <c r="A156" s="2341"/>
      <c r="B156" s="2316"/>
      <c r="C156" s="1867"/>
      <c r="D156" s="3153"/>
      <c r="E156" s="3153"/>
      <c r="F156" s="3153"/>
      <c r="G156" s="3153"/>
      <c r="H156" s="3153"/>
      <c r="I156" s="3153"/>
      <c r="J156" s="3153"/>
      <c r="K156" s="3153"/>
      <c r="L156" s="3153"/>
      <c r="M156" s="3153"/>
      <c r="N156" s="3153"/>
      <c r="O156" s="3153"/>
      <c r="P156" s="3153"/>
      <c r="Q156" s="3153"/>
      <c r="R156" s="3153"/>
      <c r="S156" s="3153"/>
      <c r="T156" s="3153"/>
      <c r="U156" s="3153"/>
      <c r="V156" s="3153"/>
      <c r="W156" s="3153"/>
      <c r="X156" s="3153"/>
      <c r="Y156" s="3153"/>
      <c r="Z156" s="3153"/>
      <c r="AA156" s="3153"/>
      <c r="AB156" s="3153"/>
      <c r="AC156" s="3153"/>
      <c r="AD156" s="3153"/>
      <c r="AE156" s="3153"/>
      <c r="AF156" s="3153"/>
      <c r="AG156" s="3153"/>
      <c r="AH156" s="3153"/>
      <c r="AI156" s="3153"/>
      <c r="AJ156" s="2382"/>
      <c r="AK156" s="1848"/>
      <c r="AL156" s="2107"/>
      <c r="AT156" s="1737"/>
      <c r="AU156" s="1737"/>
    </row>
    <row r="157" spans="1:47" ht="11.45" customHeight="1" x14ac:dyDescent="0.2">
      <c r="A157" s="2340"/>
      <c r="B157" s="2321"/>
      <c r="C157" s="2383"/>
      <c r="D157" s="3153"/>
      <c r="E157" s="3153"/>
      <c r="F157" s="3153"/>
      <c r="G157" s="3153"/>
      <c r="H157" s="3153"/>
      <c r="I157" s="3153"/>
      <c r="J157" s="3153"/>
      <c r="K157" s="3153"/>
      <c r="L157" s="3153"/>
      <c r="M157" s="3153"/>
      <c r="N157" s="3153"/>
      <c r="O157" s="3153"/>
      <c r="P157" s="3153"/>
      <c r="Q157" s="3153"/>
      <c r="R157" s="3153"/>
      <c r="S157" s="3153"/>
      <c r="T157" s="3153"/>
      <c r="U157" s="3153"/>
      <c r="V157" s="3153"/>
      <c r="W157" s="3153"/>
      <c r="X157" s="3153"/>
      <c r="Y157" s="3153"/>
      <c r="Z157" s="3153"/>
      <c r="AA157" s="3153"/>
      <c r="AB157" s="3153"/>
      <c r="AC157" s="3153"/>
      <c r="AD157" s="3153"/>
      <c r="AE157" s="3153"/>
      <c r="AF157" s="3153"/>
      <c r="AG157" s="3153"/>
      <c r="AH157" s="3153"/>
      <c r="AI157" s="3153"/>
      <c r="AJ157" s="2384"/>
      <c r="AK157" s="1402"/>
      <c r="AL157" s="954"/>
      <c r="AT157" s="1737"/>
      <c r="AU157" s="1737"/>
    </row>
    <row r="158" spans="1:47" ht="11.45" customHeight="1" x14ac:dyDescent="0.2">
      <c r="A158" s="2341"/>
      <c r="B158" s="2316"/>
      <c r="C158" s="1867"/>
      <c r="D158" s="3153"/>
      <c r="E158" s="3153"/>
      <c r="F158" s="3153"/>
      <c r="G158" s="3153"/>
      <c r="H158" s="3153"/>
      <c r="I158" s="3153"/>
      <c r="J158" s="3153"/>
      <c r="K158" s="3153"/>
      <c r="L158" s="3153"/>
      <c r="M158" s="3153"/>
      <c r="N158" s="3153"/>
      <c r="O158" s="3153"/>
      <c r="P158" s="3153"/>
      <c r="Q158" s="3153"/>
      <c r="R158" s="3153"/>
      <c r="S158" s="3153"/>
      <c r="T158" s="3153"/>
      <c r="U158" s="3153"/>
      <c r="V158" s="3153"/>
      <c r="W158" s="3153"/>
      <c r="X158" s="3153"/>
      <c r="Y158" s="3153"/>
      <c r="Z158" s="3153"/>
      <c r="AA158" s="3153"/>
      <c r="AB158" s="3153"/>
      <c r="AC158" s="3153"/>
      <c r="AD158" s="3153"/>
      <c r="AE158" s="3153"/>
      <c r="AF158" s="3153"/>
      <c r="AG158" s="3153"/>
      <c r="AH158" s="3153"/>
      <c r="AI158" s="3153"/>
      <c r="AJ158" s="2387"/>
      <c r="AK158" s="1848"/>
      <c r="AL158" s="2107"/>
      <c r="AT158" s="1737"/>
      <c r="AU158" s="1737"/>
    </row>
    <row r="159" spans="1:47" ht="11.45" customHeight="1" x14ac:dyDescent="0.2">
      <c r="A159" s="2340"/>
      <c r="B159" s="2321"/>
      <c r="C159" s="2383"/>
      <c r="D159" s="3153"/>
      <c r="E159" s="3153"/>
      <c r="F159" s="3153"/>
      <c r="G159" s="3153"/>
      <c r="H159" s="3153"/>
      <c r="I159" s="3153"/>
      <c r="J159" s="3153"/>
      <c r="K159" s="3153"/>
      <c r="L159" s="3153"/>
      <c r="M159" s="3153"/>
      <c r="N159" s="3153"/>
      <c r="O159" s="3153"/>
      <c r="P159" s="3153"/>
      <c r="Q159" s="3153"/>
      <c r="R159" s="3153"/>
      <c r="S159" s="3153"/>
      <c r="T159" s="3153"/>
      <c r="U159" s="3153"/>
      <c r="V159" s="3153"/>
      <c r="W159" s="3153"/>
      <c r="X159" s="3153"/>
      <c r="Y159" s="3153"/>
      <c r="Z159" s="3153"/>
      <c r="AA159" s="3153"/>
      <c r="AB159" s="3153"/>
      <c r="AC159" s="3153"/>
      <c r="AD159" s="3153"/>
      <c r="AE159" s="3153"/>
      <c r="AF159" s="3153"/>
      <c r="AG159" s="3153"/>
      <c r="AH159" s="3153"/>
      <c r="AI159" s="3153"/>
      <c r="AJ159" s="2384"/>
      <c r="AK159" s="1402"/>
      <c r="AL159" s="954"/>
      <c r="AT159" s="1737"/>
      <c r="AU159" s="1737"/>
    </row>
    <row r="160" spans="1:47" ht="11.45" customHeight="1" x14ac:dyDescent="0.2">
      <c r="A160" s="2341"/>
      <c r="B160" s="2316"/>
      <c r="C160" s="1867"/>
      <c r="D160" s="3153"/>
      <c r="E160" s="3153"/>
      <c r="F160" s="3153"/>
      <c r="G160" s="3153"/>
      <c r="H160" s="3153"/>
      <c r="I160" s="3153"/>
      <c r="J160" s="3153"/>
      <c r="K160" s="3153"/>
      <c r="L160" s="3153"/>
      <c r="M160" s="3153"/>
      <c r="N160" s="3153"/>
      <c r="O160" s="3153"/>
      <c r="P160" s="3153"/>
      <c r="Q160" s="3153"/>
      <c r="R160" s="3153"/>
      <c r="S160" s="3153"/>
      <c r="T160" s="3153"/>
      <c r="U160" s="3153"/>
      <c r="V160" s="3153"/>
      <c r="W160" s="3153"/>
      <c r="X160" s="3153"/>
      <c r="Y160" s="3153"/>
      <c r="Z160" s="3153"/>
      <c r="AA160" s="3153"/>
      <c r="AB160" s="3153"/>
      <c r="AC160" s="3153"/>
      <c r="AD160" s="3153"/>
      <c r="AE160" s="3153"/>
      <c r="AF160" s="3153"/>
      <c r="AG160" s="3153"/>
      <c r="AH160" s="3153"/>
      <c r="AI160" s="3153"/>
      <c r="AJ160" s="2388"/>
      <c r="AK160" s="1848"/>
      <c r="AL160" s="2107"/>
      <c r="AT160" s="1737"/>
      <c r="AU160" s="1737"/>
    </row>
    <row r="161" spans="1:47" ht="11.45" customHeight="1" x14ac:dyDescent="0.2">
      <c r="A161" s="2341"/>
      <c r="B161" s="2316"/>
      <c r="C161" s="1867"/>
      <c r="D161" s="3153"/>
      <c r="E161" s="3153"/>
      <c r="F161" s="3153"/>
      <c r="G161" s="3153"/>
      <c r="H161" s="3153"/>
      <c r="I161" s="3153"/>
      <c r="J161" s="3153"/>
      <c r="K161" s="3153"/>
      <c r="L161" s="3153"/>
      <c r="M161" s="3153"/>
      <c r="N161" s="3153"/>
      <c r="O161" s="3153"/>
      <c r="P161" s="3153"/>
      <c r="Q161" s="3153"/>
      <c r="R161" s="3153"/>
      <c r="S161" s="3153"/>
      <c r="T161" s="3153"/>
      <c r="U161" s="3153"/>
      <c r="V161" s="3153"/>
      <c r="W161" s="3153"/>
      <c r="X161" s="3153"/>
      <c r="Y161" s="3153"/>
      <c r="Z161" s="3153"/>
      <c r="AA161" s="3153"/>
      <c r="AB161" s="3153"/>
      <c r="AC161" s="3153"/>
      <c r="AD161" s="3153"/>
      <c r="AE161" s="3153"/>
      <c r="AF161" s="3153"/>
      <c r="AG161" s="3153"/>
      <c r="AH161" s="3153"/>
      <c r="AI161" s="3153"/>
      <c r="AJ161" s="2388"/>
      <c r="AK161" s="1848"/>
      <c r="AL161" s="2107"/>
      <c r="AT161" s="1737"/>
      <c r="AU161" s="1737"/>
    </row>
    <row r="162" spans="1:47" ht="11.45" customHeight="1" x14ac:dyDescent="0.2">
      <c r="A162" s="2341"/>
      <c r="B162" s="2316"/>
      <c r="C162" s="1864"/>
      <c r="D162" s="3153"/>
      <c r="E162" s="3153"/>
      <c r="F162" s="3153"/>
      <c r="G162" s="3153"/>
      <c r="H162" s="3153"/>
      <c r="I162" s="3153"/>
      <c r="J162" s="3153"/>
      <c r="K162" s="3153"/>
      <c r="L162" s="3153"/>
      <c r="M162" s="3153"/>
      <c r="N162" s="3153"/>
      <c r="O162" s="3153"/>
      <c r="P162" s="3153"/>
      <c r="Q162" s="3153"/>
      <c r="R162" s="3153"/>
      <c r="S162" s="3153"/>
      <c r="T162" s="3153"/>
      <c r="U162" s="3153"/>
      <c r="V162" s="3153"/>
      <c r="W162" s="3153"/>
      <c r="X162" s="3153"/>
      <c r="Y162" s="3153"/>
      <c r="Z162" s="3153"/>
      <c r="AA162" s="3153"/>
      <c r="AB162" s="3153"/>
      <c r="AC162" s="3153"/>
      <c r="AD162" s="3153"/>
      <c r="AE162" s="3153"/>
      <c r="AF162" s="3153"/>
      <c r="AG162" s="3153"/>
      <c r="AH162" s="3153"/>
      <c r="AI162" s="3153"/>
      <c r="AJ162" s="2388"/>
      <c r="AK162" s="1848"/>
      <c r="AL162" s="2107"/>
      <c r="AT162" s="1737"/>
      <c r="AU162" s="1737"/>
    </row>
    <row r="163" spans="1:47" ht="11.45" customHeight="1" x14ac:dyDescent="0.2">
      <c r="A163" s="2341"/>
      <c r="B163" s="2316"/>
      <c r="C163" s="1864"/>
      <c r="D163" s="3153"/>
      <c r="E163" s="3153"/>
      <c r="F163" s="3153"/>
      <c r="G163" s="3153"/>
      <c r="H163" s="3153"/>
      <c r="I163" s="3153"/>
      <c r="J163" s="3153"/>
      <c r="K163" s="3153"/>
      <c r="L163" s="3153"/>
      <c r="M163" s="3153"/>
      <c r="N163" s="3153"/>
      <c r="O163" s="3153"/>
      <c r="P163" s="3153"/>
      <c r="Q163" s="3153"/>
      <c r="R163" s="3153"/>
      <c r="S163" s="3153"/>
      <c r="T163" s="3153"/>
      <c r="U163" s="3153"/>
      <c r="V163" s="3153"/>
      <c r="W163" s="3153"/>
      <c r="X163" s="3153"/>
      <c r="Y163" s="3153"/>
      <c r="Z163" s="3153"/>
      <c r="AA163" s="3153"/>
      <c r="AB163" s="3153"/>
      <c r="AC163" s="3153"/>
      <c r="AD163" s="3153"/>
      <c r="AE163" s="3153"/>
      <c r="AF163" s="3153"/>
      <c r="AG163" s="3153"/>
      <c r="AH163" s="3153"/>
      <c r="AI163" s="3153"/>
      <c r="AJ163" s="2388"/>
      <c r="AK163" s="1848"/>
      <c r="AL163" s="2107"/>
      <c r="AT163" s="1737"/>
      <c r="AU163" s="1737"/>
    </row>
    <row r="164" spans="1:47" ht="11.45" customHeight="1" x14ac:dyDescent="0.2">
      <c r="A164" s="2341"/>
      <c r="B164" s="2316"/>
      <c r="C164" s="1864"/>
      <c r="D164" s="3153"/>
      <c r="E164" s="3153"/>
      <c r="F164" s="3153"/>
      <c r="G164" s="3153"/>
      <c r="H164" s="3153"/>
      <c r="I164" s="3153"/>
      <c r="J164" s="3153"/>
      <c r="K164" s="3153"/>
      <c r="L164" s="3153"/>
      <c r="M164" s="3153"/>
      <c r="N164" s="3153"/>
      <c r="O164" s="3153"/>
      <c r="P164" s="3153"/>
      <c r="Q164" s="3153"/>
      <c r="R164" s="3153"/>
      <c r="S164" s="3153"/>
      <c r="T164" s="3153"/>
      <c r="U164" s="3153"/>
      <c r="V164" s="3153"/>
      <c r="W164" s="3153"/>
      <c r="X164" s="3153"/>
      <c r="Y164" s="3153"/>
      <c r="Z164" s="3153"/>
      <c r="AA164" s="3153"/>
      <c r="AB164" s="3153"/>
      <c r="AC164" s="3153"/>
      <c r="AD164" s="3153"/>
      <c r="AE164" s="3153"/>
      <c r="AF164" s="3153"/>
      <c r="AG164" s="3153"/>
      <c r="AH164" s="3153"/>
      <c r="AI164" s="3153"/>
      <c r="AJ164" s="2388"/>
      <c r="AK164" s="1848"/>
      <c r="AL164" s="2107"/>
      <c r="AT164" s="1737"/>
      <c r="AU164" s="1737"/>
    </row>
    <row r="165" spans="1:47" ht="11.45" customHeight="1" x14ac:dyDescent="0.2">
      <c r="A165" s="2340"/>
      <c r="B165" s="2321"/>
      <c r="C165" s="2383"/>
      <c r="D165" s="3153"/>
      <c r="E165" s="3153"/>
      <c r="F165" s="3153"/>
      <c r="G165" s="3153"/>
      <c r="H165" s="3153"/>
      <c r="I165" s="3153"/>
      <c r="J165" s="3153"/>
      <c r="K165" s="3153"/>
      <c r="L165" s="3153"/>
      <c r="M165" s="3153"/>
      <c r="N165" s="3153"/>
      <c r="O165" s="3153"/>
      <c r="P165" s="3153"/>
      <c r="Q165" s="3153"/>
      <c r="R165" s="3153"/>
      <c r="S165" s="3153"/>
      <c r="T165" s="3153"/>
      <c r="U165" s="3153"/>
      <c r="V165" s="3153"/>
      <c r="W165" s="3153"/>
      <c r="X165" s="3153"/>
      <c r="Y165" s="3153"/>
      <c r="Z165" s="3153"/>
      <c r="AA165" s="3153"/>
      <c r="AB165" s="3153"/>
      <c r="AC165" s="3153"/>
      <c r="AD165" s="3153"/>
      <c r="AE165" s="3153"/>
      <c r="AF165" s="3153"/>
      <c r="AG165" s="3153"/>
      <c r="AH165" s="3153"/>
      <c r="AI165" s="3153"/>
      <c r="AJ165" s="2384"/>
      <c r="AK165" s="1402"/>
      <c r="AL165" s="954"/>
      <c r="AT165" s="1737"/>
      <c r="AU165" s="1737"/>
    </row>
    <row r="166" spans="1:47" ht="11.45" customHeight="1" x14ac:dyDescent="0.2">
      <c r="A166" s="2341"/>
      <c r="B166" s="2316"/>
      <c r="C166" s="1867"/>
      <c r="D166" s="3153"/>
      <c r="E166" s="3153"/>
      <c r="F166" s="3153"/>
      <c r="G166" s="3153"/>
      <c r="H166" s="3153"/>
      <c r="I166" s="3153"/>
      <c r="J166" s="3153"/>
      <c r="K166" s="3153"/>
      <c r="L166" s="3153"/>
      <c r="M166" s="3153"/>
      <c r="N166" s="3153"/>
      <c r="O166" s="3153"/>
      <c r="P166" s="3153"/>
      <c r="Q166" s="3153"/>
      <c r="R166" s="3153"/>
      <c r="S166" s="3153"/>
      <c r="T166" s="3153"/>
      <c r="U166" s="3153"/>
      <c r="V166" s="3153"/>
      <c r="W166" s="3153"/>
      <c r="X166" s="3153"/>
      <c r="Y166" s="3153"/>
      <c r="Z166" s="3153"/>
      <c r="AA166" s="3153"/>
      <c r="AB166" s="3153"/>
      <c r="AC166" s="3153"/>
      <c r="AD166" s="3153"/>
      <c r="AE166" s="3153"/>
      <c r="AF166" s="3153"/>
      <c r="AG166" s="3153"/>
      <c r="AH166" s="3153"/>
      <c r="AI166" s="3153"/>
      <c r="AJ166" s="2382"/>
      <c r="AK166" s="1848"/>
      <c r="AL166" s="2107"/>
      <c r="AT166" s="1737"/>
      <c r="AU166" s="1737"/>
    </row>
    <row r="167" spans="1:47" ht="11.45" customHeight="1" x14ac:dyDescent="0.2">
      <c r="A167" s="2340"/>
      <c r="B167" s="2321"/>
      <c r="C167" s="2383"/>
      <c r="D167" s="3153"/>
      <c r="E167" s="3153"/>
      <c r="F167" s="3153"/>
      <c r="G167" s="3153"/>
      <c r="H167" s="3153"/>
      <c r="I167" s="3153"/>
      <c r="J167" s="3153"/>
      <c r="K167" s="3153"/>
      <c r="L167" s="3153"/>
      <c r="M167" s="3153"/>
      <c r="N167" s="3153"/>
      <c r="O167" s="3153"/>
      <c r="P167" s="3153"/>
      <c r="Q167" s="3153"/>
      <c r="R167" s="3153"/>
      <c r="S167" s="3153"/>
      <c r="T167" s="3153"/>
      <c r="U167" s="3153"/>
      <c r="V167" s="3153"/>
      <c r="W167" s="3153"/>
      <c r="X167" s="3153"/>
      <c r="Y167" s="3153"/>
      <c r="Z167" s="3153"/>
      <c r="AA167" s="3153"/>
      <c r="AB167" s="3153"/>
      <c r="AC167" s="3153"/>
      <c r="AD167" s="3153"/>
      <c r="AE167" s="3153"/>
      <c r="AF167" s="3153"/>
      <c r="AG167" s="3153"/>
      <c r="AH167" s="3153"/>
      <c r="AI167" s="3153"/>
      <c r="AJ167" s="2384"/>
      <c r="AK167" s="1402"/>
      <c r="AL167" s="954"/>
      <c r="AT167" s="1737"/>
      <c r="AU167" s="1737"/>
    </row>
    <row r="168" spans="1:47" ht="11.45" customHeight="1" x14ac:dyDescent="0.2">
      <c r="A168" s="2341"/>
      <c r="B168" s="2316"/>
      <c r="C168" s="1867"/>
      <c r="D168" s="3153"/>
      <c r="E168" s="3153"/>
      <c r="F168" s="3153"/>
      <c r="G168" s="3153"/>
      <c r="H168" s="3153"/>
      <c r="I168" s="3153"/>
      <c r="J168" s="3153"/>
      <c r="K168" s="3153"/>
      <c r="L168" s="3153"/>
      <c r="M168" s="3153"/>
      <c r="N168" s="3153"/>
      <c r="O168" s="3153"/>
      <c r="P168" s="3153"/>
      <c r="Q168" s="3153"/>
      <c r="R168" s="3153"/>
      <c r="S168" s="3153"/>
      <c r="T168" s="3153"/>
      <c r="U168" s="3153"/>
      <c r="V168" s="3153"/>
      <c r="W168" s="3153"/>
      <c r="X168" s="3153"/>
      <c r="Y168" s="3153"/>
      <c r="Z168" s="3153"/>
      <c r="AA168" s="3153"/>
      <c r="AB168" s="3153"/>
      <c r="AC168" s="3153"/>
      <c r="AD168" s="3153"/>
      <c r="AE168" s="3153"/>
      <c r="AF168" s="3153"/>
      <c r="AG168" s="3153"/>
      <c r="AH168" s="3153"/>
      <c r="AI168" s="3153"/>
      <c r="AJ168" s="2382"/>
      <c r="AK168" s="1848"/>
      <c r="AL168" s="2107"/>
      <c r="AT168" s="1737"/>
      <c r="AU168" s="1737"/>
    </row>
    <row r="169" spans="1:47" ht="11.45" customHeight="1" x14ac:dyDescent="0.2">
      <c r="A169" s="2340"/>
      <c r="B169" s="2321"/>
      <c r="C169" s="2383"/>
      <c r="D169" s="3153"/>
      <c r="E169" s="3153"/>
      <c r="F169" s="3153"/>
      <c r="G169" s="3153"/>
      <c r="H169" s="3153"/>
      <c r="I169" s="3153"/>
      <c r="J169" s="3153"/>
      <c r="K169" s="3153"/>
      <c r="L169" s="3153"/>
      <c r="M169" s="3153"/>
      <c r="N169" s="3153"/>
      <c r="O169" s="3153"/>
      <c r="P169" s="3153"/>
      <c r="Q169" s="3153"/>
      <c r="R169" s="3153"/>
      <c r="S169" s="3153"/>
      <c r="T169" s="3153"/>
      <c r="U169" s="3153"/>
      <c r="V169" s="3153"/>
      <c r="W169" s="3153"/>
      <c r="X169" s="3153"/>
      <c r="Y169" s="3153"/>
      <c r="Z169" s="3153"/>
      <c r="AA169" s="3153"/>
      <c r="AB169" s="3153"/>
      <c r="AC169" s="3153"/>
      <c r="AD169" s="3153"/>
      <c r="AE169" s="3153"/>
      <c r="AF169" s="3153"/>
      <c r="AG169" s="3153"/>
      <c r="AH169" s="3153"/>
      <c r="AI169" s="3153"/>
      <c r="AJ169" s="2384"/>
      <c r="AK169" s="1402"/>
      <c r="AL169" s="954"/>
      <c r="AT169" s="1737"/>
      <c r="AU169" s="1737"/>
    </row>
    <row r="170" spans="1:47" ht="11.45" customHeight="1" x14ac:dyDescent="0.2">
      <c r="A170" s="2341"/>
      <c r="B170" s="2316"/>
      <c r="C170" s="1867"/>
      <c r="D170" s="3153"/>
      <c r="E170" s="3153"/>
      <c r="F170" s="3153"/>
      <c r="G170" s="3153"/>
      <c r="H170" s="3153"/>
      <c r="I170" s="3153"/>
      <c r="J170" s="3153"/>
      <c r="K170" s="3153"/>
      <c r="L170" s="3153"/>
      <c r="M170" s="3153"/>
      <c r="N170" s="3153"/>
      <c r="O170" s="3153"/>
      <c r="P170" s="3153"/>
      <c r="Q170" s="3153"/>
      <c r="R170" s="3153"/>
      <c r="S170" s="3153"/>
      <c r="T170" s="3153"/>
      <c r="U170" s="3153"/>
      <c r="V170" s="3153"/>
      <c r="W170" s="3153"/>
      <c r="X170" s="3153"/>
      <c r="Y170" s="3153"/>
      <c r="Z170" s="3153"/>
      <c r="AA170" s="3153"/>
      <c r="AB170" s="3153"/>
      <c r="AC170" s="3153"/>
      <c r="AD170" s="3153"/>
      <c r="AE170" s="3153"/>
      <c r="AF170" s="3153"/>
      <c r="AG170" s="3153"/>
      <c r="AH170" s="3153"/>
      <c r="AI170" s="3153"/>
      <c r="AJ170" s="2388"/>
      <c r="AK170" s="1848"/>
      <c r="AL170" s="2107"/>
      <c r="AT170" s="1737"/>
      <c r="AU170" s="1737"/>
    </row>
    <row r="171" spans="1:47" ht="11.45" customHeight="1" x14ac:dyDescent="0.2">
      <c r="A171" s="2340"/>
      <c r="B171" s="2321"/>
      <c r="C171" s="2383"/>
      <c r="D171" s="3153"/>
      <c r="E171" s="3153"/>
      <c r="F171" s="3153"/>
      <c r="G171" s="3153"/>
      <c r="H171" s="3153"/>
      <c r="I171" s="3153"/>
      <c r="J171" s="3153"/>
      <c r="K171" s="3153"/>
      <c r="L171" s="3153"/>
      <c r="M171" s="3153"/>
      <c r="N171" s="3153"/>
      <c r="O171" s="3153"/>
      <c r="P171" s="3153"/>
      <c r="Q171" s="3153"/>
      <c r="R171" s="3153"/>
      <c r="S171" s="3153"/>
      <c r="T171" s="3153"/>
      <c r="U171" s="3153"/>
      <c r="V171" s="3153"/>
      <c r="W171" s="3153"/>
      <c r="X171" s="3153"/>
      <c r="Y171" s="3153"/>
      <c r="Z171" s="3153"/>
      <c r="AA171" s="3153"/>
      <c r="AB171" s="3153"/>
      <c r="AC171" s="3153"/>
      <c r="AD171" s="3153"/>
      <c r="AE171" s="3153"/>
      <c r="AF171" s="3153"/>
      <c r="AG171" s="3153"/>
      <c r="AH171" s="3153"/>
      <c r="AI171" s="3153"/>
      <c r="AJ171" s="2384"/>
      <c r="AK171" s="1402"/>
      <c r="AL171" s="954"/>
      <c r="AT171" s="1737"/>
      <c r="AU171" s="1737"/>
    </row>
    <row r="172" spans="1:47" ht="11.45" customHeight="1" x14ac:dyDescent="0.2">
      <c r="A172" s="2341"/>
      <c r="B172" s="2316"/>
      <c r="C172" s="1867"/>
      <c r="D172" s="3153"/>
      <c r="E172" s="3153"/>
      <c r="F172" s="3153"/>
      <c r="G172" s="3153"/>
      <c r="H172" s="3153"/>
      <c r="I172" s="3153"/>
      <c r="J172" s="3153"/>
      <c r="K172" s="3153"/>
      <c r="L172" s="3153"/>
      <c r="M172" s="3153"/>
      <c r="N172" s="3153"/>
      <c r="O172" s="3153"/>
      <c r="P172" s="3153"/>
      <c r="Q172" s="3153"/>
      <c r="R172" s="3153"/>
      <c r="S172" s="3153"/>
      <c r="T172" s="3153"/>
      <c r="U172" s="3153"/>
      <c r="V172" s="3153"/>
      <c r="W172" s="3153"/>
      <c r="X172" s="3153"/>
      <c r="Y172" s="3153"/>
      <c r="Z172" s="3153"/>
      <c r="AA172" s="3153"/>
      <c r="AB172" s="3153"/>
      <c r="AC172" s="3153"/>
      <c r="AD172" s="3153"/>
      <c r="AE172" s="3153"/>
      <c r="AF172" s="3153"/>
      <c r="AG172" s="3153"/>
      <c r="AH172" s="3153"/>
      <c r="AI172" s="3153"/>
      <c r="AJ172" s="2388"/>
      <c r="AK172" s="1848"/>
      <c r="AL172" s="2107"/>
      <c r="AT172" s="1737"/>
      <c r="AU172" s="1737"/>
    </row>
    <row r="173" spans="1:47" ht="11.45" customHeight="1" x14ac:dyDescent="0.2">
      <c r="A173" s="2340"/>
      <c r="B173" s="2321"/>
      <c r="C173" s="2383"/>
      <c r="D173" s="3153"/>
      <c r="E173" s="3153"/>
      <c r="F173" s="3153"/>
      <c r="G173" s="3153"/>
      <c r="H173" s="3153"/>
      <c r="I173" s="3153"/>
      <c r="J173" s="3153"/>
      <c r="K173" s="3153"/>
      <c r="L173" s="3153"/>
      <c r="M173" s="3153"/>
      <c r="N173" s="3153"/>
      <c r="O173" s="3153"/>
      <c r="P173" s="3153"/>
      <c r="Q173" s="3153"/>
      <c r="R173" s="3153"/>
      <c r="S173" s="3153"/>
      <c r="T173" s="3153"/>
      <c r="U173" s="3153"/>
      <c r="V173" s="3153"/>
      <c r="W173" s="3153"/>
      <c r="X173" s="3153"/>
      <c r="Y173" s="3153"/>
      <c r="Z173" s="3153"/>
      <c r="AA173" s="3153"/>
      <c r="AB173" s="3153"/>
      <c r="AC173" s="3153"/>
      <c r="AD173" s="3153"/>
      <c r="AE173" s="3153"/>
      <c r="AF173" s="3153"/>
      <c r="AG173" s="3153"/>
      <c r="AH173" s="3153"/>
      <c r="AI173" s="3153"/>
      <c r="AJ173" s="2384"/>
      <c r="AK173" s="1402"/>
      <c r="AL173" s="954"/>
      <c r="AT173" s="1737"/>
      <c r="AU173" s="1737"/>
    </row>
    <row r="174" spans="1:47" ht="11.45" customHeight="1" x14ac:dyDescent="0.2">
      <c r="A174" s="2341"/>
      <c r="B174" s="2316"/>
      <c r="C174" s="1854"/>
      <c r="D174" s="3153"/>
      <c r="E174" s="3153"/>
      <c r="F174" s="3153"/>
      <c r="G174" s="3153"/>
      <c r="H174" s="3153"/>
      <c r="I174" s="3153"/>
      <c r="J174" s="3153"/>
      <c r="K174" s="3153"/>
      <c r="L174" s="3153"/>
      <c r="M174" s="3153"/>
      <c r="N174" s="3153"/>
      <c r="O174" s="3153"/>
      <c r="P174" s="3153"/>
      <c r="Q174" s="3153"/>
      <c r="R174" s="3153"/>
      <c r="S174" s="3153"/>
      <c r="T174" s="3153"/>
      <c r="U174" s="3153"/>
      <c r="V174" s="3153"/>
      <c r="W174" s="3153"/>
      <c r="X174" s="3153"/>
      <c r="Y174" s="3153"/>
      <c r="Z174" s="3153"/>
      <c r="AA174" s="3153"/>
      <c r="AB174" s="3153"/>
      <c r="AC174" s="3153"/>
      <c r="AD174" s="3153"/>
      <c r="AE174" s="3153"/>
      <c r="AF174" s="3153"/>
      <c r="AG174" s="3153"/>
      <c r="AH174" s="3153"/>
      <c r="AI174" s="3153"/>
      <c r="AJ174" s="2385"/>
      <c r="AK174" s="1848"/>
      <c r="AL174" s="2107"/>
      <c r="AT174" s="1737"/>
      <c r="AU174" s="1737"/>
    </row>
    <row r="175" spans="1:47" ht="11.45" customHeight="1" x14ac:dyDescent="0.2">
      <c r="A175" s="2341"/>
      <c r="B175" s="2316"/>
      <c r="C175" s="1854"/>
      <c r="D175" s="3153"/>
      <c r="E175" s="3153"/>
      <c r="F175" s="3153"/>
      <c r="G175" s="3153"/>
      <c r="H175" s="3153"/>
      <c r="I175" s="3153"/>
      <c r="J175" s="3153"/>
      <c r="K175" s="3153"/>
      <c r="L175" s="3153"/>
      <c r="M175" s="3153"/>
      <c r="N175" s="3153"/>
      <c r="O175" s="3153"/>
      <c r="P175" s="3153"/>
      <c r="Q175" s="3153"/>
      <c r="R175" s="3153"/>
      <c r="S175" s="3153"/>
      <c r="T175" s="3153"/>
      <c r="U175" s="3153"/>
      <c r="V175" s="3153"/>
      <c r="W175" s="3153"/>
      <c r="X175" s="3153"/>
      <c r="Y175" s="3153"/>
      <c r="Z175" s="3153"/>
      <c r="AA175" s="3153"/>
      <c r="AB175" s="3153"/>
      <c r="AC175" s="3153"/>
      <c r="AD175" s="3153"/>
      <c r="AE175" s="3153"/>
      <c r="AF175" s="3153"/>
      <c r="AG175" s="3153"/>
      <c r="AH175" s="3153"/>
      <c r="AI175" s="3153"/>
      <c r="AJ175" s="2388"/>
      <c r="AK175" s="1848"/>
      <c r="AL175" s="2107"/>
      <c r="AT175" s="1737"/>
      <c r="AU175" s="1737"/>
    </row>
    <row r="176" spans="1:47" ht="11.45" customHeight="1" x14ac:dyDescent="0.2">
      <c r="A176" s="2341"/>
      <c r="B176" s="2316"/>
      <c r="C176" s="1854"/>
      <c r="D176" s="3153"/>
      <c r="E176" s="3153"/>
      <c r="F176" s="3153"/>
      <c r="G176" s="3153"/>
      <c r="H176" s="3153"/>
      <c r="I176" s="3153"/>
      <c r="J176" s="3153"/>
      <c r="K176" s="3153"/>
      <c r="L176" s="3153"/>
      <c r="M176" s="3153"/>
      <c r="N176" s="3153"/>
      <c r="O176" s="3153"/>
      <c r="P176" s="3153"/>
      <c r="Q176" s="3153"/>
      <c r="R176" s="3153"/>
      <c r="S176" s="3153"/>
      <c r="T176" s="3153"/>
      <c r="U176" s="3153"/>
      <c r="V176" s="3153"/>
      <c r="W176" s="3153"/>
      <c r="X176" s="3153"/>
      <c r="Y176" s="3153"/>
      <c r="Z176" s="3153"/>
      <c r="AA176" s="3153"/>
      <c r="AB176" s="3153"/>
      <c r="AC176" s="3153"/>
      <c r="AD176" s="3153"/>
      <c r="AE176" s="3153"/>
      <c r="AF176" s="3153"/>
      <c r="AG176" s="3153"/>
      <c r="AH176" s="3153"/>
      <c r="AI176" s="3153"/>
      <c r="AJ176" s="2382"/>
      <c r="AK176" s="1848"/>
      <c r="AL176" s="2107"/>
      <c r="AT176" s="1737"/>
      <c r="AU176" s="1737"/>
    </row>
    <row r="177" spans="1:47" ht="11.45" customHeight="1" x14ac:dyDescent="0.2">
      <c r="A177" s="2341"/>
      <c r="B177" s="2316"/>
      <c r="C177" s="1854"/>
      <c r="D177" s="3153"/>
      <c r="E177" s="3153"/>
      <c r="F177" s="3153"/>
      <c r="G177" s="3153"/>
      <c r="H177" s="3153"/>
      <c r="I177" s="3153"/>
      <c r="J177" s="3153"/>
      <c r="K177" s="3153"/>
      <c r="L177" s="3153"/>
      <c r="M177" s="3153"/>
      <c r="N177" s="3153"/>
      <c r="O177" s="3153"/>
      <c r="P177" s="3153"/>
      <c r="Q177" s="3153"/>
      <c r="R177" s="3153"/>
      <c r="S177" s="3153"/>
      <c r="T177" s="3153"/>
      <c r="U177" s="3153"/>
      <c r="V177" s="3153"/>
      <c r="W177" s="3153"/>
      <c r="X177" s="3153"/>
      <c r="Y177" s="3153"/>
      <c r="Z177" s="3153"/>
      <c r="AA177" s="3153"/>
      <c r="AB177" s="3153"/>
      <c r="AC177" s="3153"/>
      <c r="AD177" s="3153"/>
      <c r="AE177" s="3153"/>
      <c r="AF177" s="3153"/>
      <c r="AG177" s="3153"/>
      <c r="AH177" s="3153"/>
      <c r="AI177" s="3153"/>
      <c r="AJ177" s="2382"/>
      <c r="AK177" s="1848"/>
      <c r="AL177" s="2107"/>
      <c r="AT177" s="1737"/>
      <c r="AU177" s="1737"/>
    </row>
    <row r="178" spans="1:47" ht="11.45" customHeight="1" x14ac:dyDescent="0.2">
      <c r="A178" s="2340"/>
      <c r="B178" s="2321"/>
      <c r="C178" s="2383"/>
      <c r="D178" s="3153"/>
      <c r="E178" s="3153"/>
      <c r="F178" s="3153"/>
      <c r="G178" s="3153"/>
      <c r="H178" s="3153"/>
      <c r="I178" s="3153"/>
      <c r="J178" s="3153"/>
      <c r="K178" s="3153"/>
      <c r="L178" s="3153"/>
      <c r="M178" s="3153"/>
      <c r="N178" s="3153"/>
      <c r="O178" s="3153"/>
      <c r="P178" s="3153"/>
      <c r="Q178" s="3153"/>
      <c r="R178" s="3153"/>
      <c r="S178" s="3153"/>
      <c r="T178" s="3153"/>
      <c r="U178" s="3153"/>
      <c r="V178" s="3153"/>
      <c r="W178" s="3153"/>
      <c r="X178" s="3153"/>
      <c r="Y178" s="3153"/>
      <c r="Z178" s="3153"/>
      <c r="AA178" s="3153"/>
      <c r="AB178" s="3153"/>
      <c r="AC178" s="3153"/>
      <c r="AD178" s="3153"/>
      <c r="AE178" s="3153"/>
      <c r="AF178" s="3153"/>
      <c r="AG178" s="3153"/>
      <c r="AH178" s="3153"/>
      <c r="AI178" s="3153"/>
      <c r="AJ178" s="2384"/>
      <c r="AK178" s="1402"/>
      <c r="AL178" s="954"/>
      <c r="AT178" s="1737"/>
      <c r="AU178" s="1737"/>
    </row>
    <row r="179" spans="1:47" ht="11.45" customHeight="1" x14ac:dyDescent="0.2">
      <c r="A179" s="2341"/>
      <c r="B179" s="2316"/>
      <c r="C179" s="1854"/>
      <c r="D179" s="3153"/>
      <c r="E179" s="3153"/>
      <c r="F179" s="3153"/>
      <c r="G179" s="3153"/>
      <c r="H179" s="3153"/>
      <c r="I179" s="3153"/>
      <c r="J179" s="3153"/>
      <c r="K179" s="3153"/>
      <c r="L179" s="3153"/>
      <c r="M179" s="3153"/>
      <c r="N179" s="3153"/>
      <c r="O179" s="3153"/>
      <c r="P179" s="3153"/>
      <c r="Q179" s="3153"/>
      <c r="R179" s="3153"/>
      <c r="S179" s="3153"/>
      <c r="T179" s="3153"/>
      <c r="U179" s="3153"/>
      <c r="V179" s="3153"/>
      <c r="W179" s="3153"/>
      <c r="X179" s="3153"/>
      <c r="Y179" s="3153"/>
      <c r="Z179" s="3153"/>
      <c r="AA179" s="3153"/>
      <c r="AB179" s="3153"/>
      <c r="AC179" s="3153"/>
      <c r="AD179" s="3153"/>
      <c r="AE179" s="3153"/>
      <c r="AF179" s="3153"/>
      <c r="AG179" s="3153"/>
      <c r="AH179" s="3153"/>
      <c r="AI179" s="3153"/>
      <c r="AJ179" s="2388"/>
      <c r="AK179" s="1848"/>
      <c r="AL179" s="2107"/>
      <c r="AT179" s="1737"/>
      <c r="AU179" s="1737"/>
    </row>
    <row r="180" spans="1:47" ht="11.45" customHeight="1" x14ac:dyDescent="0.2">
      <c r="A180" s="2341"/>
      <c r="B180" s="2316"/>
      <c r="C180" s="1854"/>
      <c r="D180" s="3153"/>
      <c r="E180" s="3153"/>
      <c r="F180" s="3153"/>
      <c r="G180" s="3153"/>
      <c r="H180" s="3153"/>
      <c r="I180" s="3153"/>
      <c r="J180" s="3153"/>
      <c r="K180" s="3153"/>
      <c r="L180" s="3153"/>
      <c r="M180" s="3153"/>
      <c r="N180" s="3153"/>
      <c r="O180" s="3153"/>
      <c r="P180" s="3153"/>
      <c r="Q180" s="3153"/>
      <c r="R180" s="3153"/>
      <c r="S180" s="3153"/>
      <c r="T180" s="3153"/>
      <c r="U180" s="3153"/>
      <c r="V180" s="3153"/>
      <c r="W180" s="3153"/>
      <c r="X180" s="3153"/>
      <c r="Y180" s="3153"/>
      <c r="Z180" s="3153"/>
      <c r="AA180" s="3153"/>
      <c r="AB180" s="3153"/>
      <c r="AC180" s="3153"/>
      <c r="AD180" s="3153"/>
      <c r="AE180" s="3153"/>
      <c r="AF180" s="3153"/>
      <c r="AG180" s="3153"/>
      <c r="AH180" s="3153"/>
      <c r="AI180" s="3153"/>
      <c r="AJ180" s="2388"/>
      <c r="AK180" s="1848"/>
      <c r="AL180" s="2107"/>
      <c r="AT180" s="1737"/>
      <c r="AU180" s="1737"/>
    </row>
    <row r="181" spans="1:47" ht="11.45" customHeight="1" x14ac:dyDescent="0.2">
      <c r="A181" s="2340"/>
      <c r="B181" s="2321"/>
      <c r="C181" s="2383"/>
      <c r="D181" s="3153"/>
      <c r="E181" s="3153"/>
      <c r="F181" s="3153"/>
      <c r="G181" s="3153"/>
      <c r="H181" s="3153"/>
      <c r="I181" s="3153"/>
      <c r="J181" s="3153"/>
      <c r="K181" s="3153"/>
      <c r="L181" s="3153"/>
      <c r="M181" s="3153"/>
      <c r="N181" s="3153"/>
      <c r="O181" s="3153"/>
      <c r="P181" s="3153"/>
      <c r="Q181" s="3153"/>
      <c r="R181" s="3153"/>
      <c r="S181" s="3153"/>
      <c r="T181" s="3153"/>
      <c r="U181" s="3153"/>
      <c r="V181" s="3153"/>
      <c r="W181" s="3153"/>
      <c r="X181" s="3153"/>
      <c r="Y181" s="3153"/>
      <c r="Z181" s="3153"/>
      <c r="AA181" s="3153"/>
      <c r="AB181" s="3153"/>
      <c r="AC181" s="3153"/>
      <c r="AD181" s="3153"/>
      <c r="AE181" s="3153"/>
      <c r="AF181" s="3153"/>
      <c r="AG181" s="3153"/>
      <c r="AH181" s="3153"/>
      <c r="AI181" s="3153"/>
      <c r="AJ181" s="2384"/>
      <c r="AK181" s="1402"/>
      <c r="AL181" s="954"/>
      <c r="AT181" s="1737"/>
      <c r="AU181" s="1737"/>
    </row>
    <row r="182" spans="1:47" ht="11.45" customHeight="1" x14ac:dyDescent="0.2">
      <c r="A182" s="2341"/>
      <c r="B182" s="2316"/>
      <c r="C182" s="1854"/>
      <c r="D182" s="3153"/>
      <c r="E182" s="3153"/>
      <c r="F182" s="3153"/>
      <c r="G182" s="3153"/>
      <c r="H182" s="3153"/>
      <c r="I182" s="3153"/>
      <c r="J182" s="3153"/>
      <c r="K182" s="3153"/>
      <c r="L182" s="3153"/>
      <c r="M182" s="3153"/>
      <c r="N182" s="3153"/>
      <c r="O182" s="3153"/>
      <c r="P182" s="3153"/>
      <c r="Q182" s="3153"/>
      <c r="R182" s="3153"/>
      <c r="S182" s="3153"/>
      <c r="T182" s="3153"/>
      <c r="U182" s="3153"/>
      <c r="V182" s="3153"/>
      <c r="W182" s="3153"/>
      <c r="X182" s="3153"/>
      <c r="Y182" s="3153"/>
      <c r="Z182" s="3153"/>
      <c r="AA182" s="3153"/>
      <c r="AB182" s="3153"/>
      <c r="AC182" s="3153"/>
      <c r="AD182" s="3153"/>
      <c r="AE182" s="3153"/>
      <c r="AF182" s="3153"/>
      <c r="AG182" s="3153"/>
      <c r="AH182" s="3153"/>
      <c r="AI182" s="3153"/>
      <c r="AJ182" s="2388"/>
      <c r="AK182" s="1848"/>
      <c r="AL182" s="2107"/>
      <c r="AT182" s="1737"/>
      <c r="AU182" s="1737"/>
    </row>
    <row r="183" spans="1:47" ht="11.45" customHeight="1" x14ac:dyDescent="0.2">
      <c r="A183" s="2340"/>
      <c r="B183" s="2321"/>
      <c r="C183" s="2383"/>
      <c r="D183" s="3153"/>
      <c r="E183" s="3153"/>
      <c r="F183" s="3153"/>
      <c r="G183" s="3153"/>
      <c r="H183" s="3153"/>
      <c r="I183" s="3153"/>
      <c r="J183" s="3153"/>
      <c r="K183" s="3153"/>
      <c r="L183" s="3153"/>
      <c r="M183" s="3153"/>
      <c r="N183" s="3153"/>
      <c r="O183" s="3153"/>
      <c r="P183" s="3153"/>
      <c r="Q183" s="3153"/>
      <c r="R183" s="3153"/>
      <c r="S183" s="3153"/>
      <c r="T183" s="3153"/>
      <c r="U183" s="3153"/>
      <c r="V183" s="3153"/>
      <c r="W183" s="3153"/>
      <c r="X183" s="3153"/>
      <c r="Y183" s="3153"/>
      <c r="Z183" s="3153"/>
      <c r="AA183" s="3153"/>
      <c r="AB183" s="3153"/>
      <c r="AC183" s="3153"/>
      <c r="AD183" s="3153"/>
      <c r="AE183" s="3153"/>
      <c r="AF183" s="3153"/>
      <c r="AG183" s="3153"/>
      <c r="AH183" s="3153"/>
      <c r="AI183" s="3153"/>
      <c r="AJ183" s="2384"/>
      <c r="AK183" s="1402"/>
      <c r="AL183" s="954"/>
      <c r="AT183" s="1737"/>
      <c r="AU183" s="1737"/>
    </row>
    <row r="184" spans="1:47" ht="4.5" customHeight="1" x14ac:dyDescent="0.2">
      <c r="A184" s="2341"/>
      <c r="B184" s="2316"/>
      <c r="C184" s="2389"/>
      <c r="D184" s="2390"/>
      <c r="E184" s="2390"/>
      <c r="F184" s="2390"/>
      <c r="G184" s="2390"/>
      <c r="H184" s="2390"/>
      <c r="I184" s="2390"/>
      <c r="J184" s="2390"/>
      <c r="K184" s="2390"/>
      <c r="L184" s="2390"/>
      <c r="M184" s="2390"/>
      <c r="N184" s="2390"/>
      <c r="O184" s="2390"/>
      <c r="P184" s="2390"/>
      <c r="Q184" s="2390"/>
      <c r="R184" s="2390"/>
      <c r="S184" s="2390"/>
      <c r="T184" s="2390"/>
      <c r="U184" s="2390"/>
      <c r="V184" s="2390"/>
      <c r="W184" s="2390"/>
      <c r="X184" s="2390"/>
      <c r="Y184" s="2390"/>
      <c r="Z184" s="2390"/>
      <c r="AA184" s="2390"/>
      <c r="AB184" s="2390"/>
      <c r="AC184" s="2390"/>
      <c r="AD184" s="2390"/>
      <c r="AE184" s="2390"/>
      <c r="AF184" s="2390"/>
      <c r="AG184" s="2390"/>
      <c r="AH184" s="2390"/>
      <c r="AI184" s="2390"/>
      <c r="AJ184" s="2391"/>
      <c r="AK184" s="1848"/>
      <c r="AL184" s="2107"/>
      <c r="AT184" s="1737"/>
      <c r="AU184" s="1737"/>
    </row>
    <row r="185" spans="1:47" ht="12.75" customHeight="1" thickBot="1" x14ac:dyDescent="0.25">
      <c r="A185" s="2341"/>
      <c r="B185" s="2317"/>
      <c r="C185" s="2184"/>
      <c r="D185" s="2184"/>
      <c r="E185" s="2184"/>
      <c r="F185" s="2184"/>
      <c r="G185" s="2184"/>
      <c r="H185" s="2184"/>
      <c r="I185" s="2184"/>
      <c r="J185" s="2184"/>
      <c r="K185" s="2184"/>
      <c r="L185" s="2184"/>
      <c r="M185" s="2184"/>
      <c r="N185" s="2184"/>
      <c r="O185" s="2184"/>
      <c r="P185" s="2184"/>
      <c r="Q185" s="2184"/>
      <c r="R185" s="2184"/>
      <c r="S185" s="2184"/>
      <c r="T185" s="2184"/>
      <c r="U185" s="2184"/>
      <c r="V185" s="2184"/>
      <c r="W185" s="2184"/>
      <c r="X185" s="2184"/>
      <c r="Y185" s="2184"/>
      <c r="Z185" s="2184"/>
      <c r="AA185" s="2184"/>
      <c r="AB185" s="2184"/>
      <c r="AC185" s="2184"/>
      <c r="AD185" s="2184"/>
      <c r="AE185" s="2184"/>
      <c r="AF185" s="2184"/>
      <c r="AG185" s="2184"/>
      <c r="AH185" s="2184"/>
      <c r="AI185" s="2196"/>
      <c r="AJ185" s="2196"/>
      <c r="AK185" s="2195"/>
      <c r="AL185" s="2342"/>
      <c r="AT185" s="1737"/>
      <c r="AU185" s="1737"/>
    </row>
    <row r="186" spans="1:47" ht="11.25" customHeight="1" x14ac:dyDescent="0.2">
      <c r="A186" s="94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54"/>
      <c r="AJ186" s="2054"/>
      <c r="AK186" s="2054" t="str">
        <f>Version</f>
        <v>Ficha Excel. Versión 8.6.2 Prerelease</v>
      </c>
      <c r="AL186" s="2107"/>
      <c r="AT186" s="1737"/>
      <c r="AU186" s="1737"/>
    </row>
    <row r="187" spans="1:47" ht="11.25" customHeight="1" x14ac:dyDescent="0.2">
      <c r="A187" s="94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54"/>
      <c r="AJ187" s="2054"/>
      <c r="AK187" s="2054"/>
      <c r="AL187" s="2107"/>
      <c r="AT187" s="1737"/>
      <c r="AU187" s="1737"/>
    </row>
  </sheetData>
  <sheetProtection formatRows="0" selectLockedCells="1"/>
  <mergeCells count="124">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AC35:AD35"/>
    <mergeCell ref="Y35:Z35"/>
    <mergeCell ref="M37:N37"/>
    <mergeCell ref="AC37:AD37"/>
    <mergeCell ref="Y37:Z37"/>
    <mergeCell ref="D35:G35"/>
    <mergeCell ref="AG37:AH37"/>
    <mergeCell ref="Q37:R37"/>
    <mergeCell ref="AH50:AI50"/>
    <mergeCell ref="AN97:AP98"/>
    <mergeCell ref="S93:AI93"/>
    <mergeCell ref="D98:AI103"/>
    <mergeCell ref="AN101:AP101"/>
    <mergeCell ref="J62:W62"/>
    <mergeCell ref="K64:W64"/>
    <mergeCell ref="J68:AI70"/>
    <mergeCell ref="D83:J84"/>
    <mergeCell ref="K84:AI85"/>
    <mergeCell ref="G79:AI81"/>
    <mergeCell ref="L92:R93"/>
    <mergeCell ref="D79:F79"/>
    <mergeCell ref="AB32:AC32"/>
    <mergeCell ref="AF32:AG32"/>
    <mergeCell ref="H25:AI27"/>
    <mergeCell ref="H28:AI30"/>
    <mergeCell ref="H32:I32"/>
    <mergeCell ref="L32:M32"/>
    <mergeCell ref="P32:Q32"/>
    <mergeCell ref="T32:U32"/>
    <mergeCell ref="X32:Y32"/>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s>
  <phoneticPr fontId="9" type="noConversion"/>
  <conditionalFormatting sqref="A107:AL111 A184:AL187 A112:D112 A113:C183 AJ112:AL183">
    <cfRule type="expression" dxfId="132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90"/>
    <col min="40" max="40" width="1.7109375" style="890" customWidth="1"/>
    <col min="41" max="41" width="12.7109375" style="134" bestFit="1" customWidth="1"/>
    <col min="42" max="16384" width="5.7109375" style="1"/>
  </cols>
  <sheetData>
    <row r="1" spans="1:41" ht="12" customHeight="1" thickBot="1" x14ac:dyDescent="0.25">
      <c r="A1" s="334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44" t="s">
        <v>8741</v>
      </c>
    </row>
    <row r="2" spans="1:41" s="641" customFormat="1" ht="12" customHeight="1" thickBot="1" x14ac:dyDescent="0.25">
      <c r="A2" s="3343"/>
      <c r="B2" s="638" t="s">
        <v>6574</v>
      </c>
      <c r="C2" s="639"/>
      <c r="D2" s="639"/>
      <c r="E2" s="639"/>
      <c r="F2" s="639"/>
      <c r="G2" s="639"/>
      <c r="H2" s="639"/>
      <c r="I2" s="639"/>
      <c r="J2" s="639"/>
      <c r="K2" s="639"/>
      <c r="L2" s="639"/>
      <c r="M2" s="639"/>
      <c r="N2" s="639"/>
      <c r="O2" s="639"/>
      <c r="P2" s="639"/>
      <c r="Q2" s="639"/>
      <c r="R2" s="639"/>
      <c r="S2" s="639"/>
      <c r="T2" s="640"/>
      <c r="U2" s="637"/>
      <c r="V2" s="580"/>
      <c r="W2" s="2735"/>
      <c r="X2" s="2736"/>
      <c r="Y2" s="2736"/>
      <c r="Z2" s="2736"/>
      <c r="AA2" s="2736"/>
      <c r="AB2" s="2736"/>
      <c r="AC2" s="2736"/>
      <c r="AD2" s="2736"/>
      <c r="AE2" s="2736"/>
      <c r="AF2" s="2736"/>
      <c r="AG2" s="2736"/>
      <c r="AH2" s="2736"/>
      <c r="AI2" s="2736"/>
      <c r="AJ2" s="2736"/>
      <c r="AK2" s="2736"/>
      <c r="AL2" s="2736"/>
      <c r="AM2" s="2737"/>
      <c r="AN2" s="4"/>
      <c r="AO2" s="1758"/>
    </row>
    <row r="3" spans="1:41" ht="12" customHeight="1" thickBot="1" x14ac:dyDescent="0.25">
      <c r="A3" s="3343"/>
      <c r="B3" s="633"/>
      <c r="C3" s="5"/>
      <c r="D3" s="5"/>
      <c r="E3" s="5"/>
      <c r="F3" s="1849"/>
      <c r="G3" s="5"/>
      <c r="H3" s="5"/>
      <c r="I3" s="5"/>
      <c r="J3" s="5"/>
      <c r="K3" s="5"/>
      <c r="L3" s="5"/>
      <c r="T3" s="634"/>
      <c r="U3" s="3"/>
      <c r="V3" s="4"/>
      <c r="W3" s="855"/>
      <c r="X3" s="3298" t="s">
        <v>10165</v>
      </c>
      <c r="Y3" s="3298"/>
      <c r="Z3" s="3298"/>
      <c r="AA3" s="3298"/>
      <c r="AB3" s="3298"/>
      <c r="AC3" s="3298"/>
      <c r="AD3" s="6"/>
      <c r="AE3" s="2260"/>
      <c r="AF3" s="2260"/>
      <c r="AG3" s="2260"/>
      <c r="AH3" s="2260"/>
      <c r="AI3" s="2260"/>
      <c r="AJ3" s="2260"/>
      <c r="AK3" s="2260"/>
      <c r="AL3" s="7"/>
      <c r="AM3" s="1160"/>
      <c r="AN3" s="4"/>
      <c r="AO3" s="3052"/>
    </row>
    <row r="4" spans="1:41" ht="12" customHeight="1" thickBot="1" x14ac:dyDescent="0.25">
      <c r="A4" s="3343"/>
      <c r="B4" s="633"/>
      <c r="L4" s="1637"/>
      <c r="M4" s="3375" t="s">
        <v>8720</v>
      </c>
      <c r="N4" s="3376"/>
      <c r="O4" s="3376"/>
      <c r="P4" s="3376"/>
      <c r="Q4" s="3376"/>
      <c r="R4" s="3376"/>
      <c r="S4" s="3377"/>
      <c r="T4" s="634"/>
      <c r="U4" s="3"/>
      <c r="V4" s="4"/>
      <c r="W4" s="855"/>
      <c r="X4" s="3298"/>
      <c r="Y4" s="3298"/>
      <c r="Z4" s="3298"/>
      <c r="AA4" s="3298"/>
      <c r="AB4" s="3298"/>
      <c r="AC4" s="3298"/>
      <c r="AD4" s="2738"/>
      <c r="AE4" s="3144" t="s">
        <v>1323</v>
      </c>
      <c r="AF4" s="3144"/>
      <c r="AG4" s="3299" t="str">
        <f>IF(OR(General!$F$22="",General!$F$22=0),"",General!$F$22)</f>
        <v/>
      </c>
      <c r="AH4" s="3299"/>
      <c r="AI4" s="3299"/>
      <c r="AJ4" s="3299"/>
      <c r="AK4" s="3299"/>
      <c r="AL4" s="10"/>
      <c r="AM4" s="1160"/>
      <c r="AN4" s="4"/>
      <c r="AO4" s="1758" t="s">
        <v>10237</v>
      </c>
    </row>
    <row r="5" spans="1:41" ht="12" customHeight="1" thickBot="1" x14ac:dyDescent="0.25">
      <c r="A5" s="3343"/>
      <c r="B5" s="633"/>
      <c r="L5" s="1637"/>
      <c r="M5" s="3378"/>
      <c r="N5" s="3379"/>
      <c r="O5" s="3379"/>
      <c r="P5" s="3379"/>
      <c r="Q5" s="3379"/>
      <c r="R5" s="3379"/>
      <c r="S5" s="3380"/>
      <c r="T5" s="634"/>
      <c r="U5" s="3"/>
      <c r="V5" s="4"/>
      <c r="W5" s="855"/>
      <c r="X5" s="3298"/>
      <c r="Y5" s="3298"/>
      <c r="Z5" s="3298"/>
      <c r="AA5" s="3298"/>
      <c r="AB5" s="3298"/>
      <c r="AC5" s="3298"/>
      <c r="AD5" s="2738"/>
      <c r="AE5" s="3292" t="s">
        <v>1324</v>
      </c>
      <c r="AF5" s="3292"/>
      <c r="AG5" s="3140" t="str">
        <f>IF(LEN(PDs!$E$11)&lt;=General!$AO$5,PDs!$E$11,"… /"&amp;RIGHT(PDs!$E$11,General!$AO$5-FIND("/",RIGHT(PDs!$E$11,General!$AO$5))))</f>
        <v/>
      </c>
      <c r="AH5" s="3140"/>
      <c r="AI5" s="3140"/>
      <c r="AJ5" s="2534" t="s">
        <v>1325</v>
      </c>
      <c r="AK5" s="2535" t="str">
        <f>Principal!$O$6</f>
        <v>0</v>
      </c>
      <c r="AL5" s="11"/>
      <c r="AM5" s="1160"/>
      <c r="AN5" s="4"/>
      <c r="AO5" s="3052">
        <v>25</v>
      </c>
    </row>
    <row r="6" spans="1:41" ht="12" customHeight="1" thickBot="1" x14ac:dyDescent="0.25">
      <c r="A6" s="3343"/>
      <c r="B6" s="633"/>
      <c r="C6" s="3406" t="s">
        <v>10165</v>
      </c>
      <c r="D6" s="3407"/>
      <c r="E6" s="3407"/>
      <c r="F6" s="3407"/>
      <c r="G6" s="3407"/>
      <c r="H6" s="3407"/>
      <c r="I6" s="3407"/>
      <c r="J6" s="3407"/>
      <c r="K6" s="3408"/>
      <c r="L6" s="1637"/>
      <c r="M6" s="3378"/>
      <c r="N6" s="3379"/>
      <c r="O6" s="3379"/>
      <c r="P6" s="3379"/>
      <c r="Q6" s="3379"/>
      <c r="R6" s="3379"/>
      <c r="S6" s="3380"/>
      <c r="T6" s="634"/>
      <c r="U6" s="3"/>
      <c r="V6" s="4"/>
      <c r="W6" s="855"/>
      <c r="X6" s="3298"/>
      <c r="Y6" s="3298"/>
      <c r="Z6" s="3298"/>
      <c r="AA6" s="3298"/>
      <c r="AB6" s="3298"/>
      <c r="AC6" s="3298"/>
      <c r="AD6" s="2738"/>
      <c r="AE6" s="3293" t="s">
        <v>1326</v>
      </c>
      <c r="AF6" s="3293"/>
      <c r="AG6" s="3293"/>
      <c r="AH6" s="3293"/>
      <c r="AI6" s="3293"/>
      <c r="AJ6" s="3293"/>
      <c r="AK6" s="3293"/>
      <c r="AL6" s="11"/>
      <c r="AM6" s="1160"/>
      <c r="AN6" s="4"/>
      <c r="AO6" s="3052"/>
    </row>
    <row r="7" spans="1:41" ht="12" customHeight="1" thickBot="1" x14ac:dyDescent="0.25">
      <c r="A7" s="3343"/>
      <c r="B7" s="633"/>
      <c r="C7" s="3409"/>
      <c r="D7" s="3410"/>
      <c r="E7" s="3410"/>
      <c r="F7" s="3410"/>
      <c r="G7" s="3410"/>
      <c r="H7" s="3410"/>
      <c r="I7" s="3410"/>
      <c r="J7" s="3410"/>
      <c r="K7" s="3411"/>
      <c r="L7" s="1637"/>
      <c r="M7" s="3378"/>
      <c r="N7" s="3379"/>
      <c r="O7" s="3379"/>
      <c r="P7" s="3379"/>
      <c r="Q7" s="3379"/>
      <c r="R7" s="3379"/>
      <c r="S7" s="3380"/>
      <c r="T7" s="634"/>
      <c r="U7" s="3"/>
      <c r="V7" s="4"/>
      <c r="W7" s="855"/>
      <c r="X7" s="3298"/>
      <c r="Y7" s="3298"/>
      <c r="Z7" s="3298"/>
      <c r="AA7" s="3298"/>
      <c r="AB7" s="3298"/>
      <c r="AC7" s="3298"/>
      <c r="AD7" s="2738"/>
      <c r="AE7" s="3293"/>
      <c r="AF7" s="3293"/>
      <c r="AG7" s="3293"/>
      <c r="AH7" s="3293"/>
      <c r="AI7" s="3293"/>
      <c r="AJ7" s="3293"/>
      <c r="AK7" s="3293"/>
      <c r="AL7" s="11"/>
      <c r="AM7" s="1160"/>
      <c r="AN7" s="4"/>
      <c r="AO7" s="3052"/>
    </row>
    <row r="8" spans="1:41" ht="12" customHeight="1" thickBot="1" x14ac:dyDescent="0.25">
      <c r="A8" s="3343"/>
      <c r="B8" s="633"/>
      <c r="C8" s="3409"/>
      <c r="D8" s="3410"/>
      <c r="E8" s="3410"/>
      <c r="F8" s="3410"/>
      <c r="G8" s="3410"/>
      <c r="H8" s="3410"/>
      <c r="I8" s="3410"/>
      <c r="J8" s="3410"/>
      <c r="K8" s="3411"/>
      <c r="L8" s="1637"/>
      <c r="M8" s="3378"/>
      <c r="N8" s="3379"/>
      <c r="O8" s="3379"/>
      <c r="P8" s="3379"/>
      <c r="Q8" s="3379"/>
      <c r="R8" s="3379"/>
      <c r="S8" s="3380"/>
      <c r="T8" s="634"/>
      <c r="U8" s="3"/>
      <c r="V8" s="4"/>
      <c r="W8" s="855"/>
      <c r="X8" s="3298"/>
      <c r="Y8" s="3298"/>
      <c r="Z8" s="3298"/>
      <c r="AA8" s="3298"/>
      <c r="AB8" s="3298"/>
      <c r="AC8" s="3298"/>
      <c r="AD8" s="12"/>
      <c r="AE8" s="12"/>
      <c r="AF8" s="12"/>
      <c r="AG8" s="12"/>
      <c r="AH8" s="12"/>
      <c r="AI8" s="12"/>
      <c r="AJ8" s="12"/>
      <c r="AK8" s="12"/>
      <c r="AL8" s="13"/>
      <c r="AM8" s="1160"/>
      <c r="AN8" s="4"/>
      <c r="AO8" s="3052"/>
    </row>
    <row r="9" spans="1:41" ht="12" customHeight="1" thickBot="1" x14ac:dyDescent="0.25">
      <c r="A9" s="3343"/>
      <c r="B9" s="633"/>
      <c r="C9" s="3409"/>
      <c r="D9" s="3410"/>
      <c r="E9" s="3410"/>
      <c r="F9" s="3410"/>
      <c r="G9" s="3410"/>
      <c r="H9" s="3410"/>
      <c r="I9" s="3410"/>
      <c r="J9" s="3410"/>
      <c r="K9" s="3411"/>
      <c r="L9" s="1637"/>
      <c r="M9" s="3378"/>
      <c r="N9" s="3379"/>
      <c r="O9" s="3379"/>
      <c r="P9" s="3379"/>
      <c r="Q9" s="3379"/>
      <c r="R9" s="3379"/>
      <c r="S9" s="3380"/>
      <c r="T9" s="634"/>
      <c r="U9" s="3"/>
      <c r="V9" s="4"/>
      <c r="W9" s="855"/>
      <c r="X9" s="824"/>
      <c r="Y9" s="2412"/>
      <c r="Z9" s="2412"/>
      <c r="AA9" s="2412"/>
      <c r="AB9" s="2412"/>
      <c r="AC9" s="2412"/>
      <c r="AD9" s="824"/>
      <c r="AE9" s="2412"/>
      <c r="AF9" s="2412"/>
      <c r="AG9" s="2412"/>
      <c r="AH9" s="2412"/>
      <c r="AI9" s="2412"/>
      <c r="AJ9" s="2412"/>
      <c r="AK9" s="2412"/>
      <c r="AL9" s="2412"/>
      <c r="AM9" s="1160"/>
      <c r="AN9" s="4"/>
      <c r="AO9" s="3052"/>
    </row>
    <row r="10" spans="1:41" ht="12" customHeight="1" thickBot="1" x14ac:dyDescent="0.25">
      <c r="A10" s="3343"/>
      <c r="B10" s="635"/>
      <c r="C10" s="3409"/>
      <c r="D10" s="3410"/>
      <c r="E10" s="3410"/>
      <c r="F10" s="3410"/>
      <c r="G10" s="3410"/>
      <c r="H10" s="3410"/>
      <c r="I10" s="3410"/>
      <c r="J10" s="3410"/>
      <c r="K10" s="3411"/>
      <c r="L10" s="1637"/>
      <c r="M10" s="3378"/>
      <c r="N10" s="3379"/>
      <c r="O10" s="3379"/>
      <c r="P10" s="3379"/>
      <c r="Q10" s="3379"/>
      <c r="R10" s="3379"/>
      <c r="S10" s="3380"/>
      <c r="T10" s="634"/>
      <c r="U10" s="3"/>
      <c r="V10" s="4"/>
      <c r="W10" s="855"/>
      <c r="X10" s="3307" t="s">
        <v>7071</v>
      </c>
      <c r="Y10" s="3308"/>
      <c r="Z10" s="3308"/>
      <c r="AA10" s="3309"/>
      <c r="AB10" s="3305" t="s">
        <v>10007</v>
      </c>
      <c r="AC10" s="3306"/>
      <c r="AD10" s="2428" t="s">
        <v>1381</v>
      </c>
      <c r="AE10" s="825"/>
      <c r="AF10" s="3260" t="s">
        <v>1330</v>
      </c>
      <c r="AG10" s="3260"/>
      <c r="AH10" s="3260"/>
      <c r="AI10" s="3260"/>
      <c r="AJ10" s="3294" t="s">
        <v>1328</v>
      </c>
      <c r="AK10" s="3294"/>
      <c r="AL10" s="2733" t="s">
        <v>1329</v>
      </c>
      <c r="AM10" s="1160"/>
      <c r="AN10" s="4"/>
      <c r="AO10" s="3052"/>
    </row>
    <row r="11" spans="1:41" ht="12" customHeight="1" x14ac:dyDescent="0.2">
      <c r="A11" s="3343"/>
      <c r="B11" s="635"/>
      <c r="C11" s="3409"/>
      <c r="D11" s="3410"/>
      <c r="E11" s="3410"/>
      <c r="F11" s="3410"/>
      <c r="G11" s="3410"/>
      <c r="H11" s="3410"/>
      <c r="I11" s="3410"/>
      <c r="J11" s="3410"/>
      <c r="K11" s="3411"/>
      <c r="L11" s="1637"/>
      <c r="M11" s="3378"/>
      <c r="N11" s="3379"/>
      <c r="O11" s="3379"/>
      <c r="P11" s="3379"/>
      <c r="Q11" s="3379"/>
      <c r="R11" s="3379"/>
      <c r="S11" s="3380"/>
      <c r="T11" s="634"/>
      <c r="U11" s="3"/>
      <c r="V11" s="4"/>
      <c r="W11" s="855"/>
      <c r="X11" s="3303" t="s">
        <v>10008</v>
      </c>
      <c r="Y11" s="3304"/>
      <c r="Z11" s="3304"/>
      <c r="AA11" s="3302" t="s">
        <v>10009</v>
      </c>
      <c r="AB11" s="3302"/>
      <c r="AC11" s="3300" t="s">
        <v>1349</v>
      </c>
      <c r="AD11" s="3301"/>
      <c r="AE11" s="2739"/>
      <c r="AF11" s="3295"/>
      <c r="AG11" s="3296"/>
      <c r="AH11" s="3296"/>
      <c r="AI11" s="3297"/>
      <c r="AJ11" s="3255"/>
      <c r="AK11" s="3257"/>
      <c r="AL11" s="1567"/>
      <c r="AM11" s="1160"/>
      <c r="AN11" s="4"/>
      <c r="AO11" s="3052"/>
    </row>
    <row r="12" spans="1:41" ht="12" customHeight="1" x14ac:dyDescent="0.2">
      <c r="A12" s="3343"/>
      <c r="B12" s="633"/>
      <c r="C12" s="3409"/>
      <c r="D12" s="3410"/>
      <c r="E12" s="3410"/>
      <c r="F12" s="3410"/>
      <c r="G12" s="3410"/>
      <c r="H12" s="3410"/>
      <c r="I12" s="3410"/>
      <c r="J12" s="3410"/>
      <c r="K12" s="3411"/>
      <c r="L12" s="1637"/>
      <c r="M12" s="3378"/>
      <c r="N12" s="3379"/>
      <c r="O12" s="3379"/>
      <c r="P12" s="3379"/>
      <c r="Q12" s="3379"/>
      <c r="R12" s="3379"/>
      <c r="S12" s="3380"/>
      <c r="T12" s="634"/>
      <c r="U12" s="3"/>
      <c r="V12" s="4"/>
      <c r="W12" s="855"/>
      <c r="X12" s="3315"/>
      <c r="Y12" s="3316"/>
      <c r="Z12" s="3317"/>
      <c r="AA12" s="3321">
        <f>IFERROR(IF(AD10="Sí",VLOOKUP(Nivel_Total,Tabla_ExpNecesaria,AjusteNivel+2,FALSE),VLOOKUP(Nivel_Total,Tabla_ExpTotal,AjusteNivel+2,FALSE)+VLOOKUP(Nivel_Total,Tabla_ExpNecesaria,AjusteNivel+2,FALSE)),"??")</f>
        <v>0</v>
      </c>
      <c r="AB12" s="3325"/>
      <c r="AC12" s="3321">
        <f>IFERROR(IF(AD10="Sí",0,VLOOKUP(Nivel_Total,Tabla_ExpTotal,AjusteNivel+2,FALSE))+X12,"??")</f>
        <v>0</v>
      </c>
      <c r="AD12" s="3322"/>
      <c r="AE12" s="2739"/>
      <c r="AF12" s="3218"/>
      <c r="AG12" s="3219"/>
      <c r="AH12" s="3219"/>
      <c r="AI12" s="3278"/>
      <c r="AJ12" s="3223"/>
      <c r="AK12" s="3225"/>
      <c r="AL12" s="1562"/>
      <c r="AM12" s="1160"/>
      <c r="AN12" s="4"/>
      <c r="AO12" s="3052"/>
    </row>
    <row r="13" spans="1:41" ht="12" customHeight="1" thickBot="1" x14ac:dyDescent="0.25">
      <c r="A13" s="3343"/>
      <c r="B13" s="633"/>
      <c r="C13" s="3409"/>
      <c r="D13" s="3410"/>
      <c r="E13" s="3410"/>
      <c r="F13" s="3410"/>
      <c r="G13" s="3410"/>
      <c r="H13" s="3410"/>
      <c r="I13" s="3410"/>
      <c r="J13" s="3410"/>
      <c r="K13" s="3411"/>
      <c r="L13" s="1637"/>
      <c r="M13" s="3378"/>
      <c r="N13" s="3379"/>
      <c r="O13" s="3379"/>
      <c r="P13" s="3379"/>
      <c r="Q13" s="3379"/>
      <c r="R13" s="3379"/>
      <c r="S13" s="3380"/>
      <c r="T13" s="634"/>
      <c r="U13" s="3"/>
      <c r="V13" s="4"/>
      <c r="W13" s="855"/>
      <c r="X13" s="3318"/>
      <c r="Y13" s="3319"/>
      <c r="Z13" s="3320"/>
      <c r="AA13" s="3323"/>
      <c r="AB13" s="3326"/>
      <c r="AC13" s="3323"/>
      <c r="AD13" s="3324"/>
      <c r="AE13" s="2740"/>
      <c r="AF13" s="3218"/>
      <c r="AG13" s="3219"/>
      <c r="AH13" s="3219"/>
      <c r="AI13" s="3278"/>
      <c r="AJ13" s="3223"/>
      <c r="AK13" s="3225"/>
      <c r="AL13" s="1562"/>
      <c r="AM13" s="1160"/>
      <c r="AN13" s="4"/>
      <c r="AO13" s="3052"/>
    </row>
    <row r="14" spans="1:41" ht="12" customHeight="1" thickBot="1" x14ac:dyDescent="0.25">
      <c r="A14" s="3343"/>
      <c r="B14" s="633"/>
      <c r="C14" s="3409"/>
      <c r="D14" s="3410"/>
      <c r="E14" s="3410"/>
      <c r="F14" s="3410"/>
      <c r="G14" s="3410"/>
      <c r="H14" s="3410"/>
      <c r="I14" s="3410"/>
      <c r="J14" s="3410"/>
      <c r="K14" s="3411"/>
      <c r="L14" s="1637"/>
      <c r="M14" s="3378"/>
      <c r="N14" s="3379"/>
      <c r="O14" s="3379"/>
      <c r="P14" s="3379"/>
      <c r="Q14" s="3379"/>
      <c r="R14" s="3379"/>
      <c r="S14" s="3380"/>
      <c r="T14" s="634"/>
      <c r="U14" s="3"/>
      <c r="V14" s="4"/>
      <c r="W14" s="855"/>
      <c r="X14" s="3327" t="str">
        <f>IF(AND(AC12&gt;=AA12,AA12&gt;0),"¡Subida de Nivel!",IF(AND(General!X12="",OR(Tablas!G479&gt;0,Tablas!G480&gt;0,Tablas!G481&gt;0)),"Suma experiencia de Curtido (50 por PC)",""))</f>
        <v/>
      </c>
      <c r="Y14" s="3327"/>
      <c r="Z14" s="3327"/>
      <c r="AA14" s="3327"/>
      <c r="AB14" s="3327"/>
      <c r="AC14" s="3327"/>
      <c r="AD14" s="3327"/>
      <c r="AE14" s="2739"/>
      <c r="AF14" s="3218"/>
      <c r="AG14" s="3219"/>
      <c r="AH14" s="3219"/>
      <c r="AI14" s="3278"/>
      <c r="AJ14" s="3223"/>
      <c r="AK14" s="3225"/>
      <c r="AL14" s="1562"/>
      <c r="AM14" s="1160"/>
      <c r="AN14" s="4"/>
      <c r="AO14" s="3052"/>
    </row>
    <row r="15" spans="1:41" ht="12" customHeight="1" thickBot="1" x14ac:dyDescent="0.25">
      <c r="A15" s="3343"/>
      <c r="B15" s="633"/>
      <c r="C15" s="3412"/>
      <c r="D15" s="3413"/>
      <c r="E15" s="3413"/>
      <c r="F15" s="3413"/>
      <c r="G15" s="3413"/>
      <c r="H15" s="3413"/>
      <c r="I15" s="3413"/>
      <c r="J15" s="3413"/>
      <c r="K15" s="3414"/>
      <c r="L15" s="1638"/>
      <c r="M15" s="3378"/>
      <c r="N15" s="3379"/>
      <c r="O15" s="3379"/>
      <c r="P15" s="3379"/>
      <c r="Q15" s="3379"/>
      <c r="R15" s="3379"/>
      <c r="S15" s="3380"/>
      <c r="T15" s="634"/>
      <c r="U15" s="3"/>
      <c r="V15" s="4"/>
      <c r="W15" s="855"/>
      <c r="X15" s="3259" t="s">
        <v>1327</v>
      </c>
      <c r="Y15" s="3260"/>
      <c r="Z15" s="3260"/>
      <c r="AA15" s="3260"/>
      <c r="AB15" s="3313" t="s">
        <v>1328</v>
      </c>
      <c r="AC15" s="3314"/>
      <c r="AD15" s="2732" t="s">
        <v>1329</v>
      </c>
      <c r="AE15" s="2739"/>
      <c r="AF15" s="3218"/>
      <c r="AG15" s="3219"/>
      <c r="AH15" s="3219"/>
      <c r="AI15" s="3278"/>
      <c r="AJ15" s="3223"/>
      <c r="AK15" s="3225"/>
      <c r="AL15" s="1562"/>
      <c r="AM15" s="1160"/>
      <c r="AN15" s="4"/>
      <c r="AO15" s="3052"/>
    </row>
    <row r="16" spans="1:41" ht="12" customHeight="1" thickBot="1" x14ac:dyDescent="0.25">
      <c r="A16" s="3343"/>
      <c r="B16" s="633"/>
      <c r="C16" s="1638"/>
      <c r="D16" s="1638"/>
      <c r="E16" s="1638"/>
      <c r="F16" s="1639"/>
      <c r="G16" s="1639"/>
      <c r="H16" s="1639"/>
      <c r="I16" s="1639"/>
      <c r="J16" s="1639"/>
      <c r="K16" s="1639"/>
      <c r="L16" s="1639"/>
      <c r="M16" s="3381"/>
      <c r="N16" s="3382"/>
      <c r="O16" s="3382"/>
      <c r="P16" s="3382"/>
      <c r="Q16" s="3382"/>
      <c r="R16" s="3382"/>
      <c r="S16" s="3383"/>
      <c r="T16" s="634"/>
      <c r="U16" s="3"/>
      <c r="V16" s="4"/>
      <c r="W16" s="855"/>
      <c r="X16" s="3275"/>
      <c r="Y16" s="3276"/>
      <c r="Z16" s="3276"/>
      <c r="AA16" s="3310"/>
      <c r="AB16" s="3311"/>
      <c r="AC16" s="3312"/>
      <c r="AD16" s="1561"/>
      <c r="AE16" s="2739"/>
      <c r="AF16" s="3218"/>
      <c r="AG16" s="3219"/>
      <c r="AH16" s="3219"/>
      <c r="AI16" s="3278"/>
      <c r="AJ16" s="3223"/>
      <c r="AK16" s="3225"/>
      <c r="AL16" s="1562"/>
      <c r="AM16" s="1160"/>
      <c r="AN16" s="4"/>
      <c r="AO16" s="3052"/>
    </row>
    <row r="17" spans="1:41" ht="12" customHeight="1" x14ac:dyDescent="0.2">
      <c r="A17" s="3343"/>
      <c r="B17" s="633"/>
      <c r="C17" s="1638"/>
      <c r="D17" s="1638"/>
      <c r="E17" s="1638"/>
      <c r="F17" s="1638"/>
      <c r="G17" s="1638"/>
      <c r="H17" s="1638"/>
      <c r="I17" s="1638"/>
      <c r="J17" s="1639"/>
      <c r="K17" s="1639"/>
      <c r="T17" s="634"/>
      <c r="U17" s="3"/>
      <c r="V17" s="4"/>
      <c r="W17" s="855"/>
      <c r="X17" s="3218"/>
      <c r="Y17" s="3219"/>
      <c r="Z17" s="3219"/>
      <c r="AA17" s="3278"/>
      <c r="AB17" s="3223"/>
      <c r="AC17" s="3225"/>
      <c r="AD17" s="1562"/>
      <c r="AE17" s="2739"/>
      <c r="AF17" s="3218"/>
      <c r="AG17" s="3219"/>
      <c r="AH17" s="3219"/>
      <c r="AI17" s="3278"/>
      <c r="AJ17" s="3223"/>
      <c r="AK17" s="3225"/>
      <c r="AL17" s="1562"/>
      <c r="AM17" s="1160"/>
      <c r="AN17" s="4"/>
      <c r="AO17" s="3052"/>
    </row>
    <row r="18" spans="1:41" ht="12" customHeight="1" thickBot="1" x14ac:dyDescent="0.25">
      <c r="A18" s="3343"/>
      <c r="B18" s="633"/>
      <c r="C18" s="5"/>
      <c r="S18" s="5"/>
      <c r="T18" s="634"/>
      <c r="U18" s="3"/>
      <c r="V18" s="4"/>
      <c r="W18" s="855"/>
      <c r="X18" s="3218"/>
      <c r="Y18" s="3219"/>
      <c r="Z18" s="3219"/>
      <c r="AA18" s="3278"/>
      <c r="AB18" s="3223"/>
      <c r="AC18" s="3225"/>
      <c r="AD18" s="1562"/>
      <c r="AE18" s="2412"/>
      <c r="AF18" s="3218"/>
      <c r="AG18" s="3219"/>
      <c r="AH18" s="3219"/>
      <c r="AI18" s="3278"/>
      <c r="AJ18" s="3223"/>
      <c r="AK18" s="3225"/>
      <c r="AL18" s="1562"/>
      <c r="AM18" s="1160"/>
      <c r="AN18" s="4"/>
      <c r="AO18" s="3052"/>
    </row>
    <row r="19" spans="1:41" ht="12" customHeight="1" x14ac:dyDescent="0.2">
      <c r="A19" s="3343"/>
      <c r="B19" s="633"/>
      <c r="C19" s="3364" t="s">
        <v>1331</v>
      </c>
      <c r="D19" s="3365"/>
      <c r="E19" s="3365"/>
      <c r="F19" s="3365"/>
      <c r="G19" s="3365"/>
      <c r="H19" s="3365"/>
      <c r="I19" s="3365"/>
      <c r="J19" s="3365"/>
      <c r="K19" s="3365"/>
      <c r="L19" s="3365"/>
      <c r="M19" s="3365"/>
      <c r="N19" s="3365"/>
      <c r="O19" s="3365"/>
      <c r="P19" s="3365"/>
      <c r="Q19" s="3365"/>
      <c r="R19" s="3365"/>
      <c r="S19" s="3366"/>
      <c r="T19" s="634"/>
      <c r="U19" s="3"/>
      <c r="V19" s="4"/>
      <c r="W19" s="855"/>
      <c r="X19" s="3218"/>
      <c r="Y19" s="3219"/>
      <c r="Z19" s="3219"/>
      <c r="AA19" s="3278"/>
      <c r="AB19" s="3223"/>
      <c r="AC19" s="3225"/>
      <c r="AD19" s="1562"/>
      <c r="AE19" s="2412"/>
      <c r="AF19" s="3218"/>
      <c r="AG19" s="3219"/>
      <c r="AH19" s="3219"/>
      <c r="AI19" s="3278"/>
      <c r="AJ19" s="3223"/>
      <c r="AK19" s="3225"/>
      <c r="AL19" s="1562"/>
      <c r="AM19" s="1160"/>
      <c r="AN19" s="4"/>
      <c r="AO19" s="3052"/>
    </row>
    <row r="20" spans="1:41" ht="12" customHeight="1" thickBot="1" x14ac:dyDescent="0.25">
      <c r="A20" s="3343"/>
      <c r="B20" s="633"/>
      <c r="C20" s="3367"/>
      <c r="D20" s="3368"/>
      <c r="E20" s="3368"/>
      <c r="F20" s="3368"/>
      <c r="G20" s="3368"/>
      <c r="H20" s="3368"/>
      <c r="I20" s="3368"/>
      <c r="J20" s="3368"/>
      <c r="K20" s="3368"/>
      <c r="L20" s="3368"/>
      <c r="M20" s="3368"/>
      <c r="N20" s="3368"/>
      <c r="O20" s="3368"/>
      <c r="P20" s="3368"/>
      <c r="Q20" s="3368"/>
      <c r="R20" s="3368"/>
      <c r="S20" s="3369"/>
      <c r="T20" s="634"/>
      <c r="U20" s="3"/>
      <c r="V20" s="4"/>
      <c r="W20" s="855"/>
      <c r="X20" s="3218"/>
      <c r="Y20" s="3219"/>
      <c r="Z20" s="3219"/>
      <c r="AA20" s="3278"/>
      <c r="AB20" s="3223"/>
      <c r="AC20" s="3225"/>
      <c r="AD20" s="1562"/>
      <c r="AE20" s="2412"/>
      <c r="AF20" s="3218"/>
      <c r="AG20" s="3219"/>
      <c r="AH20" s="3219"/>
      <c r="AI20" s="3278"/>
      <c r="AJ20" s="3223"/>
      <c r="AK20" s="3225"/>
      <c r="AL20" s="1562"/>
      <c r="AM20" s="1160"/>
      <c r="AN20" s="4"/>
      <c r="AO20" s="3052"/>
    </row>
    <row r="21" spans="1:41" ht="12" customHeight="1" x14ac:dyDescent="0.2">
      <c r="A21" s="3343"/>
      <c r="B21" s="633"/>
      <c r="C21" s="1555"/>
      <c r="D21" s="1543"/>
      <c r="E21" s="1543"/>
      <c r="F21" s="1543"/>
      <c r="G21" s="1543"/>
      <c r="H21" s="1543"/>
      <c r="I21" s="1543"/>
      <c r="J21" s="1543"/>
      <c r="K21" s="1543"/>
      <c r="L21" s="1543"/>
      <c r="M21" s="1543"/>
      <c r="N21" s="1543"/>
      <c r="O21" s="1543"/>
      <c r="P21" s="1543"/>
      <c r="Q21" s="1543"/>
      <c r="R21" s="1543"/>
      <c r="S21" s="1556"/>
      <c r="T21" s="634"/>
      <c r="U21" s="3"/>
      <c r="V21" s="4"/>
      <c r="W21" s="855"/>
      <c r="X21" s="3218"/>
      <c r="Y21" s="3219"/>
      <c r="Z21" s="3219"/>
      <c r="AA21" s="3278"/>
      <c r="AB21" s="3223"/>
      <c r="AC21" s="3225"/>
      <c r="AD21" s="1562"/>
      <c r="AE21" s="2412"/>
      <c r="AF21" s="3218"/>
      <c r="AG21" s="3219"/>
      <c r="AH21" s="3219"/>
      <c r="AI21" s="3278"/>
      <c r="AJ21" s="3223"/>
      <c r="AK21" s="3225"/>
      <c r="AL21" s="1562"/>
      <c r="AM21" s="1160"/>
      <c r="AN21" s="4"/>
      <c r="AO21" s="3052"/>
    </row>
    <row r="22" spans="1:41" ht="12" customHeight="1" x14ac:dyDescent="0.2">
      <c r="A22" s="3343"/>
      <c r="B22" s="633"/>
      <c r="C22" s="1555"/>
      <c r="D22" s="3372" t="s">
        <v>1323</v>
      </c>
      <c r="E22" s="3373"/>
      <c r="F22" s="3423"/>
      <c r="G22" s="3424"/>
      <c r="H22" s="3425"/>
      <c r="I22" s="3425"/>
      <c r="J22" s="3425"/>
      <c r="K22" s="3425"/>
      <c r="L22" s="3425"/>
      <c r="M22" s="3425"/>
      <c r="N22" s="3425"/>
      <c r="O22" s="3425"/>
      <c r="P22" s="3425"/>
      <c r="Q22" s="3425"/>
      <c r="R22" s="3426"/>
      <c r="S22" s="1556"/>
      <c r="T22" s="634"/>
      <c r="U22" s="3"/>
      <c r="V22" s="4"/>
      <c r="W22" s="855"/>
      <c r="X22" s="3218"/>
      <c r="Y22" s="3219"/>
      <c r="Z22" s="3219"/>
      <c r="AA22" s="3278"/>
      <c r="AB22" s="3223"/>
      <c r="AC22" s="3225"/>
      <c r="AD22" s="1562"/>
      <c r="AE22" s="2412"/>
      <c r="AF22" s="3218"/>
      <c r="AG22" s="3219"/>
      <c r="AH22" s="3219"/>
      <c r="AI22" s="3278"/>
      <c r="AJ22" s="3223"/>
      <c r="AK22" s="3225"/>
      <c r="AL22" s="1562"/>
      <c r="AM22" s="1160"/>
      <c r="AN22" s="4"/>
      <c r="AO22" s="3052"/>
    </row>
    <row r="23" spans="1:41" ht="12" customHeight="1" thickBot="1" x14ac:dyDescent="0.25">
      <c r="A23" s="3343"/>
      <c r="B23" s="633"/>
      <c r="C23" s="1555"/>
      <c r="D23" s="3374" t="s">
        <v>1332</v>
      </c>
      <c r="E23" s="3374"/>
      <c r="F23" s="3345"/>
      <c r="G23" s="3346"/>
      <c r="H23" s="1628"/>
      <c r="I23" s="1631" t="s">
        <v>7072</v>
      </c>
      <c r="J23" s="3385"/>
      <c r="K23" s="3386"/>
      <c r="L23" s="3386"/>
      <c r="M23" s="3387"/>
      <c r="N23" s="3415" t="s">
        <v>8717</v>
      </c>
      <c r="O23" s="3416"/>
      <c r="P23" s="3416"/>
      <c r="Q23" s="3384" t="s">
        <v>6926</v>
      </c>
      <c r="R23" s="3384"/>
      <c r="S23" s="1556"/>
      <c r="T23" s="634"/>
      <c r="U23" s="3"/>
      <c r="V23" s="4"/>
      <c r="W23" s="855"/>
      <c r="X23" s="3268"/>
      <c r="Y23" s="3269"/>
      <c r="Z23" s="3269"/>
      <c r="AA23" s="3291"/>
      <c r="AB23" s="3226"/>
      <c r="AC23" s="3228"/>
      <c r="AD23" s="1563"/>
      <c r="AE23" s="2412"/>
      <c r="AF23" s="3218"/>
      <c r="AG23" s="3219"/>
      <c r="AH23" s="3219"/>
      <c r="AI23" s="3278"/>
      <c r="AJ23" s="3223"/>
      <c r="AK23" s="3225"/>
      <c r="AL23" s="1562"/>
      <c r="AM23" s="1160"/>
      <c r="AN23" s="4"/>
      <c r="AO23" s="3052"/>
    </row>
    <row r="24" spans="1:41" ht="12" customHeight="1" thickBot="1" x14ac:dyDescent="0.25">
      <c r="A24" s="3343"/>
      <c r="B24" s="633"/>
      <c r="C24" s="1555"/>
      <c r="D24" s="3374" t="s">
        <v>1333</v>
      </c>
      <c r="E24" s="3374"/>
      <c r="F24" s="3427"/>
      <c r="G24" s="3428"/>
      <c r="H24" s="1631" t="s">
        <v>1335</v>
      </c>
      <c r="I24" s="1633"/>
      <c r="J24" s="1632" t="s">
        <v>8452</v>
      </c>
      <c r="K24" s="1634" t="s">
        <v>1339</v>
      </c>
      <c r="L24" s="1635"/>
      <c r="M24" s="1632" t="s">
        <v>8453</v>
      </c>
      <c r="N24" s="3344" t="s">
        <v>1338</v>
      </c>
      <c r="O24" s="3344"/>
      <c r="P24" s="3370"/>
      <c r="Q24" s="3371"/>
      <c r="R24" s="3421"/>
      <c r="S24" s="1556"/>
      <c r="T24" s="634"/>
      <c r="U24" s="3"/>
      <c r="V24" s="4"/>
      <c r="W24" s="855"/>
      <c r="X24" s="2741"/>
      <c r="Y24" s="2739"/>
      <c r="Z24" s="2739"/>
      <c r="AA24" s="2739"/>
      <c r="AB24" s="2739"/>
      <c r="AC24" s="2739"/>
      <c r="AD24" s="2739"/>
      <c r="AE24" s="2412"/>
      <c r="AF24" s="3218"/>
      <c r="AG24" s="3219"/>
      <c r="AH24" s="3219"/>
      <c r="AI24" s="3278"/>
      <c r="AJ24" s="3223"/>
      <c r="AK24" s="3225"/>
      <c r="AL24" s="1562"/>
      <c r="AM24" s="1160"/>
      <c r="AN24" s="4"/>
      <c r="AO24" s="3052"/>
    </row>
    <row r="25" spans="1:41" ht="12" customHeight="1" x14ac:dyDescent="0.2">
      <c r="A25" s="3343"/>
      <c r="B25" s="633"/>
      <c r="C25" s="1555"/>
      <c r="D25" s="3374" t="s">
        <v>8713</v>
      </c>
      <c r="E25" s="3374"/>
      <c r="F25" s="3417"/>
      <c r="G25" s="3417"/>
      <c r="H25" s="1634" t="s">
        <v>1336</v>
      </c>
      <c r="I25" s="3370"/>
      <c r="J25" s="3371"/>
      <c r="K25" s="3371"/>
      <c r="L25" s="1629"/>
      <c r="M25" s="1631" t="s">
        <v>1340</v>
      </c>
      <c r="N25" s="3417"/>
      <c r="O25" s="3417"/>
      <c r="P25" s="3422"/>
      <c r="Q25" s="3422"/>
      <c r="R25" s="3422"/>
      <c r="S25" s="1556"/>
      <c r="T25" s="634"/>
      <c r="U25" s="3"/>
      <c r="V25" s="4"/>
      <c r="W25" s="855"/>
      <c r="X25" s="3259" t="s">
        <v>1337</v>
      </c>
      <c r="Y25" s="3260"/>
      <c r="Z25" s="3260"/>
      <c r="AA25" s="3260"/>
      <c r="AB25" s="3260"/>
      <c r="AC25" s="3260"/>
      <c r="AD25" s="2731" t="s">
        <v>1329</v>
      </c>
      <c r="AE25" s="2412"/>
      <c r="AF25" s="3218"/>
      <c r="AG25" s="3219"/>
      <c r="AH25" s="3219"/>
      <c r="AI25" s="3278"/>
      <c r="AJ25" s="3223"/>
      <c r="AK25" s="3225"/>
      <c r="AL25" s="1562"/>
      <c r="AM25" s="1160"/>
      <c r="AN25" s="4"/>
      <c r="AO25" s="3052"/>
    </row>
    <row r="26" spans="1:41" ht="12" customHeight="1" x14ac:dyDescent="0.2">
      <c r="A26" s="3343"/>
      <c r="B26" s="633"/>
      <c r="C26" s="1555"/>
      <c r="D26" s="3374" t="s">
        <v>1334</v>
      </c>
      <c r="E26" s="3374"/>
      <c r="F26" s="3370"/>
      <c r="G26" s="3421"/>
      <c r="H26" s="1631" t="s">
        <v>6362</v>
      </c>
      <c r="I26" s="3418"/>
      <c r="J26" s="3419"/>
      <c r="K26" s="3420"/>
      <c r="L26" s="1630"/>
      <c r="M26" s="1631" t="str">
        <f>IF(I26="","","Clase social:")</f>
        <v/>
      </c>
      <c r="N26" s="3370"/>
      <c r="O26" s="3371"/>
      <c r="P26" s="3371"/>
      <c r="Q26" s="3371"/>
      <c r="R26" s="3421"/>
      <c r="S26" s="1556"/>
      <c r="T26" s="634"/>
      <c r="U26" s="3"/>
      <c r="V26" s="4"/>
      <c r="W26" s="855"/>
      <c r="X26" s="3275"/>
      <c r="Y26" s="3276"/>
      <c r="Z26" s="3276"/>
      <c r="AA26" s="3276"/>
      <c r="AB26" s="3276"/>
      <c r="AC26" s="3276"/>
      <c r="AD26" s="1564"/>
      <c r="AE26" s="2412"/>
      <c r="AF26" s="3218"/>
      <c r="AG26" s="3219"/>
      <c r="AH26" s="3219"/>
      <c r="AI26" s="3278"/>
      <c r="AJ26" s="3223"/>
      <c r="AK26" s="3225"/>
      <c r="AL26" s="1562"/>
      <c r="AM26" s="1160"/>
      <c r="AN26" s="4"/>
      <c r="AO26" s="3052"/>
    </row>
    <row r="27" spans="1:41" ht="12" customHeight="1" thickBot="1" x14ac:dyDescent="0.25">
      <c r="A27" s="3343"/>
      <c r="B27" s="633"/>
      <c r="C27" s="1557"/>
      <c r="D27" s="1558"/>
      <c r="E27" s="1558"/>
      <c r="F27" s="1558"/>
      <c r="G27" s="1558"/>
      <c r="H27" s="1558"/>
      <c r="I27" s="1558"/>
      <c r="J27" s="1558"/>
      <c r="K27" s="1558"/>
      <c r="L27" s="1558"/>
      <c r="M27" s="1558"/>
      <c r="N27" s="1558"/>
      <c r="O27" s="1558"/>
      <c r="P27" s="1558"/>
      <c r="Q27" s="1558"/>
      <c r="R27" s="1558"/>
      <c r="S27" s="1559"/>
      <c r="T27" s="634"/>
      <c r="U27" s="3"/>
      <c r="V27" s="4"/>
      <c r="W27" s="855"/>
      <c r="X27" s="3218"/>
      <c r="Y27" s="3219"/>
      <c r="Z27" s="3219"/>
      <c r="AA27" s="3219"/>
      <c r="AB27" s="3219"/>
      <c r="AC27" s="3219"/>
      <c r="AD27" s="1565"/>
      <c r="AE27" s="2412"/>
      <c r="AF27" s="3218"/>
      <c r="AG27" s="3219"/>
      <c r="AH27" s="3219"/>
      <c r="AI27" s="3278"/>
      <c r="AJ27" s="3223"/>
      <c r="AK27" s="3225"/>
      <c r="AL27" s="1562"/>
      <c r="AM27" s="1160"/>
      <c r="AN27" s="4"/>
      <c r="AO27" s="3052"/>
    </row>
    <row r="28" spans="1:41" ht="12" customHeight="1" x14ac:dyDescent="0.2">
      <c r="A28" s="3343"/>
      <c r="B28" s="633"/>
      <c r="C28" s="5"/>
      <c r="D28" s="5"/>
      <c r="S28" s="5"/>
      <c r="T28" s="634"/>
      <c r="U28" s="3"/>
      <c r="V28" s="4"/>
      <c r="W28" s="855"/>
      <c r="X28" s="3218"/>
      <c r="Y28" s="3219"/>
      <c r="Z28" s="3219"/>
      <c r="AA28" s="3219"/>
      <c r="AB28" s="3219"/>
      <c r="AC28" s="3219"/>
      <c r="AD28" s="1565"/>
      <c r="AE28" s="2412"/>
      <c r="AF28" s="3218"/>
      <c r="AG28" s="3219"/>
      <c r="AH28" s="3219"/>
      <c r="AI28" s="3278"/>
      <c r="AJ28" s="3223"/>
      <c r="AK28" s="3225"/>
      <c r="AL28" s="1562"/>
      <c r="AM28" s="1160"/>
      <c r="AN28" s="4"/>
      <c r="AO28" s="3052"/>
    </row>
    <row r="29" spans="1:41" ht="12" customHeight="1" thickBot="1" x14ac:dyDescent="0.25">
      <c r="A29" s="3343"/>
      <c r="B29" s="633"/>
      <c r="C29" s="5"/>
      <c r="D29" s="5"/>
      <c r="E29" s="5"/>
      <c r="F29" s="5"/>
      <c r="G29" s="5"/>
      <c r="H29" s="5"/>
      <c r="I29" s="5"/>
      <c r="J29" s="5"/>
      <c r="K29" s="5"/>
      <c r="L29" s="5"/>
      <c r="M29" s="5"/>
      <c r="N29" s="5"/>
      <c r="O29" s="5"/>
      <c r="P29" s="5"/>
      <c r="Q29" s="5"/>
      <c r="R29" s="5"/>
      <c r="S29" s="5"/>
      <c r="T29" s="634"/>
      <c r="U29" s="3"/>
      <c r="V29" s="4"/>
      <c r="W29" s="855"/>
      <c r="X29" s="3218"/>
      <c r="Y29" s="3219"/>
      <c r="Z29" s="3219"/>
      <c r="AA29" s="3219"/>
      <c r="AB29" s="3219"/>
      <c r="AC29" s="3219"/>
      <c r="AD29" s="1565"/>
      <c r="AE29" s="2412"/>
      <c r="AF29" s="3218"/>
      <c r="AG29" s="3219"/>
      <c r="AH29" s="3219"/>
      <c r="AI29" s="3278"/>
      <c r="AJ29" s="3223"/>
      <c r="AK29" s="3225"/>
      <c r="AL29" s="1562"/>
      <c r="AM29" s="1160"/>
      <c r="AN29" s="4"/>
      <c r="AO29" s="3052"/>
    </row>
    <row r="30" spans="1:41" ht="12" customHeight="1" thickBot="1" x14ac:dyDescent="0.25">
      <c r="A30" s="3343"/>
      <c r="B30" s="633"/>
      <c r="C30" s="3349" t="s">
        <v>8527</v>
      </c>
      <c r="D30" s="3350"/>
      <c r="E30" s="3350"/>
      <c r="F30" s="3350"/>
      <c r="G30" s="3350"/>
      <c r="H30" s="3350"/>
      <c r="I30" s="3350"/>
      <c r="J30" s="3350"/>
      <c r="K30" s="3351"/>
      <c r="M30" s="3349" t="s">
        <v>8719</v>
      </c>
      <c r="N30" s="3350"/>
      <c r="O30" s="3350"/>
      <c r="P30" s="3350"/>
      <c r="Q30" s="3350"/>
      <c r="R30" s="3350"/>
      <c r="S30" s="3351"/>
      <c r="T30" s="634"/>
      <c r="U30" s="3"/>
      <c r="V30" s="4"/>
      <c r="W30" s="855"/>
      <c r="X30" s="3218"/>
      <c r="Y30" s="3219"/>
      <c r="Z30" s="3219"/>
      <c r="AA30" s="3219"/>
      <c r="AB30" s="3219"/>
      <c r="AC30" s="3219"/>
      <c r="AD30" s="1565"/>
      <c r="AE30" s="2412"/>
      <c r="AF30" s="3285"/>
      <c r="AG30" s="3286"/>
      <c r="AH30" s="3286"/>
      <c r="AI30" s="3287"/>
      <c r="AJ30" s="3279"/>
      <c r="AK30" s="3280"/>
      <c r="AL30" s="2371"/>
      <c r="AM30" s="1160"/>
      <c r="AN30" s="4"/>
      <c r="AO30" s="3052"/>
    </row>
    <row r="31" spans="1:41" ht="12" customHeight="1" x14ac:dyDescent="0.2">
      <c r="A31" s="3343"/>
      <c r="B31" s="633"/>
      <c r="C31" s="3397"/>
      <c r="D31" s="3398"/>
      <c r="E31" s="3398"/>
      <c r="F31" s="3398"/>
      <c r="G31" s="3398"/>
      <c r="H31" s="3398"/>
      <c r="I31" s="3398"/>
      <c r="J31" s="3398"/>
      <c r="K31" s="3399"/>
      <c r="L31" s="1636"/>
      <c r="M31" s="3388"/>
      <c r="N31" s="3389"/>
      <c r="O31" s="3389"/>
      <c r="P31" s="3389"/>
      <c r="Q31" s="3389"/>
      <c r="R31" s="3389"/>
      <c r="S31" s="3390"/>
      <c r="T31" s="634"/>
      <c r="U31" s="3"/>
      <c r="V31" s="4"/>
      <c r="W31" s="855"/>
      <c r="X31" s="3218"/>
      <c r="Y31" s="3219"/>
      <c r="Z31" s="3219"/>
      <c r="AA31" s="3219"/>
      <c r="AB31" s="3219"/>
      <c r="AC31" s="3219"/>
      <c r="AD31" s="1565"/>
      <c r="AE31" s="2412"/>
      <c r="AF31" s="3288" t="s">
        <v>9936</v>
      </c>
      <c r="AG31" s="3289"/>
      <c r="AH31" s="3289"/>
      <c r="AI31" s="2742">
        <f>FUE+AO31</f>
        <v>0</v>
      </c>
      <c r="AJ31" s="3283" t="s">
        <v>1341</v>
      </c>
      <c r="AK31" s="3284"/>
      <c r="AL31" s="2377">
        <f>SUM(AD16:AD23,AD26:AD32,AL11:AL30)</f>
        <v>0</v>
      </c>
      <c r="AM31" s="2743"/>
      <c r="AN31" s="4"/>
      <c r="AO31" s="3053">
        <f>TRUNC((IF(Combate!AD14&lt;0,Combate!AD14,0)+IF(Combate!AF14&lt;0,Combate!AF14,0))/20)</f>
        <v>0</v>
      </c>
    </row>
    <row r="32" spans="1:41" ht="12" customHeight="1" thickBot="1" x14ac:dyDescent="0.25">
      <c r="A32" s="3343"/>
      <c r="B32" s="633"/>
      <c r="C32" s="3397"/>
      <c r="D32" s="3398"/>
      <c r="E32" s="3398"/>
      <c r="F32" s="3398"/>
      <c r="G32" s="3398"/>
      <c r="H32" s="3398"/>
      <c r="I32" s="3398"/>
      <c r="J32" s="3398"/>
      <c r="K32" s="3399"/>
      <c r="L32" s="1636"/>
      <c r="M32" s="3391"/>
      <c r="N32" s="3392"/>
      <c r="O32" s="3392"/>
      <c r="P32" s="3392"/>
      <c r="Q32" s="3392"/>
      <c r="R32" s="3392"/>
      <c r="S32" s="3393"/>
      <c r="T32" s="634"/>
      <c r="U32" s="3"/>
      <c r="V32" s="4"/>
      <c r="W32" s="855"/>
      <c r="X32" s="3268"/>
      <c r="Y32" s="3269"/>
      <c r="Z32" s="3269"/>
      <c r="AA32" s="3269"/>
      <c r="AB32" s="3269"/>
      <c r="AC32" s="3269"/>
      <c r="AD32" s="1566"/>
      <c r="AE32" s="2412"/>
      <c r="AF32" s="2370" t="s">
        <v>1339</v>
      </c>
      <c r="AG32" s="2689" t="s">
        <v>1972</v>
      </c>
      <c r="AH32" s="3281" t="str">
        <f>IF(Principal!E14=0,0&amp;" kg",IF(Zen_IP,VLOOKUP(MIN(20,AI31),Tabla_Fuerza,3)&amp;" kg",IF(Inhumanidad_IP,VLOOKUP(MIN(13,AI31),Tabla_Fuerza,3)&amp;" kg",VLOOKUP(MIN(10,AI31),Tabla_Fuerza,3)&amp;" kg")))</f>
        <v>0 kg</v>
      </c>
      <c r="AI32" s="3282"/>
      <c r="AJ32" s="2688" t="s">
        <v>9946</v>
      </c>
      <c r="AK32" s="3282" t="str">
        <f>IF(Principal!E14=0,0&amp;" kg",IF(Zen_IP,VLOOKUP(MIN(20,AI31),Tabla_Fuerza,4)&amp;" kg",IF(Inhumanidad_IP,VLOOKUP(MIN(13,AI31),Tabla_Fuerza,4)&amp;" kg",VLOOKUP(MIN(10,AI31),Tabla_Fuerza,4)&amp;" kg")))</f>
        <v>0 kg</v>
      </c>
      <c r="AL32" s="3290"/>
      <c r="AM32" s="2744"/>
      <c r="AN32" s="4"/>
      <c r="AO32" s="3052"/>
    </row>
    <row r="33" spans="1:41" ht="12" customHeight="1" thickBot="1" x14ac:dyDescent="0.25">
      <c r="A33" s="3343"/>
      <c r="B33" s="633"/>
      <c r="C33" s="3400"/>
      <c r="D33" s="3401"/>
      <c r="E33" s="3401"/>
      <c r="F33" s="3401"/>
      <c r="G33" s="3401"/>
      <c r="H33" s="3401"/>
      <c r="I33" s="3401"/>
      <c r="J33" s="3401"/>
      <c r="K33" s="3402"/>
      <c r="L33" s="1636"/>
      <c r="M33" s="3391"/>
      <c r="N33" s="3392"/>
      <c r="O33" s="3392"/>
      <c r="P33" s="3392"/>
      <c r="Q33" s="3392"/>
      <c r="R33" s="3392"/>
      <c r="S33" s="3393"/>
      <c r="T33" s="634"/>
      <c r="U33" s="3"/>
      <c r="V33" s="4"/>
      <c r="W33" s="855"/>
      <c r="X33" s="2741"/>
      <c r="Y33" s="2739"/>
      <c r="Z33" s="2739"/>
      <c r="AA33" s="2739"/>
      <c r="AB33" s="2739"/>
      <c r="AC33" s="2739"/>
      <c r="AD33" s="2739"/>
      <c r="AE33" s="2739"/>
      <c r="AF33" s="2739"/>
      <c r="AG33" s="2739"/>
      <c r="AH33" s="2739"/>
      <c r="AI33" s="2739"/>
      <c r="AJ33" s="2739"/>
      <c r="AK33" s="2739"/>
      <c r="AL33" s="2739"/>
      <c r="AM33" s="1160"/>
      <c r="AN33" s="4"/>
      <c r="AO33" s="3052"/>
    </row>
    <row r="34" spans="1:41" ht="12" customHeight="1" thickBot="1" x14ac:dyDescent="0.25">
      <c r="A34" s="3343"/>
      <c r="B34" s="633"/>
      <c r="C34" s="5"/>
      <c r="D34" s="5"/>
      <c r="E34" s="5"/>
      <c r="F34" s="5"/>
      <c r="G34" s="5"/>
      <c r="H34" s="5"/>
      <c r="I34" s="5"/>
      <c r="J34" s="5"/>
      <c r="K34" s="18"/>
      <c r="L34" s="1636"/>
      <c r="M34" s="3391"/>
      <c r="N34" s="3392"/>
      <c r="O34" s="3392"/>
      <c r="P34" s="3392"/>
      <c r="Q34" s="3392"/>
      <c r="R34" s="3392"/>
      <c r="S34" s="3393"/>
      <c r="T34" s="634"/>
      <c r="U34" s="3"/>
      <c r="V34" s="4"/>
      <c r="W34" s="855"/>
      <c r="X34" s="3259" t="s">
        <v>1342</v>
      </c>
      <c r="Y34" s="3260"/>
      <c r="Z34" s="3260"/>
      <c r="AA34" s="3260"/>
      <c r="AB34" s="3260"/>
      <c r="AC34" s="3260"/>
      <c r="AD34" s="3260"/>
      <c r="AE34" s="3260"/>
      <c r="AF34" s="3260"/>
      <c r="AG34" s="3260"/>
      <c r="AH34" s="3260"/>
      <c r="AI34" s="3260"/>
      <c r="AJ34" s="3260"/>
      <c r="AK34" s="3260"/>
      <c r="AL34" s="3261"/>
      <c r="AM34" s="1160"/>
      <c r="AN34" s="4"/>
      <c r="AO34" s="3052"/>
    </row>
    <row r="35" spans="1:41" ht="12" customHeight="1" thickBot="1" x14ac:dyDescent="0.25">
      <c r="A35" s="3343"/>
      <c r="B35" s="633"/>
      <c r="C35" s="3349" t="s">
        <v>8528</v>
      </c>
      <c r="D35" s="3350"/>
      <c r="E35" s="3350"/>
      <c r="F35" s="3350"/>
      <c r="G35" s="3350"/>
      <c r="H35" s="3350"/>
      <c r="I35" s="3350"/>
      <c r="J35" s="3350"/>
      <c r="K35" s="3351"/>
      <c r="L35" s="1636"/>
      <c r="M35" s="3391"/>
      <c r="N35" s="3392"/>
      <c r="O35" s="3392"/>
      <c r="P35" s="3392"/>
      <c r="Q35" s="3392"/>
      <c r="R35" s="3392"/>
      <c r="S35" s="3393"/>
      <c r="T35" s="634"/>
      <c r="U35" s="3"/>
      <c r="V35" s="4"/>
      <c r="W35" s="855"/>
      <c r="X35" s="3339"/>
      <c r="Y35" s="3340"/>
      <c r="Z35" s="3341"/>
      <c r="AA35" s="3342"/>
      <c r="AB35" s="3276"/>
      <c r="AC35" s="3276"/>
      <c r="AD35" s="3276"/>
      <c r="AE35" s="3276"/>
      <c r="AF35" s="3276"/>
      <c r="AG35" s="3276"/>
      <c r="AH35" s="3276"/>
      <c r="AI35" s="3276"/>
      <c r="AJ35" s="3276"/>
      <c r="AK35" s="3276"/>
      <c r="AL35" s="3277"/>
      <c r="AM35" s="1160"/>
      <c r="AN35" s="4"/>
      <c r="AO35" s="3052"/>
    </row>
    <row r="36" spans="1:41" ht="12" customHeight="1" x14ac:dyDescent="0.2">
      <c r="A36" s="3343"/>
      <c r="B36" s="633"/>
      <c r="C36" s="3397"/>
      <c r="D36" s="3398"/>
      <c r="E36" s="3398"/>
      <c r="F36" s="3398"/>
      <c r="G36" s="3398"/>
      <c r="H36" s="3398"/>
      <c r="I36" s="3398"/>
      <c r="J36" s="3398"/>
      <c r="K36" s="3399"/>
      <c r="L36" s="1636"/>
      <c r="M36" s="3391"/>
      <c r="N36" s="3392"/>
      <c r="O36" s="3392"/>
      <c r="P36" s="3392"/>
      <c r="Q36" s="3392"/>
      <c r="R36" s="3392"/>
      <c r="S36" s="3393"/>
      <c r="T36" s="634"/>
      <c r="U36" s="3"/>
      <c r="V36" s="4"/>
      <c r="W36" s="855"/>
      <c r="X36" s="3331"/>
      <c r="Y36" s="3332"/>
      <c r="Z36" s="3333"/>
      <c r="AA36" s="3337"/>
      <c r="AB36" s="3219"/>
      <c r="AC36" s="3219"/>
      <c r="AD36" s="3219"/>
      <c r="AE36" s="3219"/>
      <c r="AF36" s="3219"/>
      <c r="AG36" s="3219"/>
      <c r="AH36" s="3219"/>
      <c r="AI36" s="3219"/>
      <c r="AJ36" s="3219"/>
      <c r="AK36" s="3219"/>
      <c r="AL36" s="3220"/>
      <c r="AM36" s="1160"/>
      <c r="AN36" s="4"/>
      <c r="AO36" s="3052"/>
    </row>
    <row r="37" spans="1:41" ht="12" customHeight="1" x14ac:dyDescent="0.2">
      <c r="A37" s="3343"/>
      <c r="B37" s="633"/>
      <c r="C37" s="3397"/>
      <c r="D37" s="3398"/>
      <c r="E37" s="3398"/>
      <c r="F37" s="3398"/>
      <c r="G37" s="3398"/>
      <c r="H37" s="3398"/>
      <c r="I37" s="3398"/>
      <c r="J37" s="3398"/>
      <c r="K37" s="3399"/>
      <c r="L37" s="1636"/>
      <c r="M37" s="3391"/>
      <c r="N37" s="3392"/>
      <c r="O37" s="3392"/>
      <c r="P37" s="3392"/>
      <c r="Q37" s="3392"/>
      <c r="R37" s="3392"/>
      <c r="S37" s="3393"/>
      <c r="T37" s="634"/>
      <c r="U37" s="3"/>
      <c r="V37" s="4"/>
      <c r="W37" s="855"/>
      <c r="X37" s="3331"/>
      <c r="Y37" s="3332"/>
      <c r="Z37" s="3333"/>
      <c r="AA37" s="3337"/>
      <c r="AB37" s="3219"/>
      <c r="AC37" s="3219"/>
      <c r="AD37" s="3219"/>
      <c r="AE37" s="3219"/>
      <c r="AF37" s="3219"/>
      <c r="AG37" s="3219"/>
      <c r="AH37" s="3219"/>
      <c r="AI37" s="3219"/>
      <c r="AJ37" s="3219"/>
      <c r="AK37" s="3219"/>
      <c r="AL37" s="3220"/>
      <c r="AM37" s="1160"/>
      <c r="AN37" s="4"/>
      <c r="AO37" s="3052"/>
    </row>
    <row r="38" spans="1:41" ht="12" customHeight="1" x14ac:dyDescent="0.2">
      <c r="A38" s="3343"/>
      <c r="B38" s="633"/>
      <c r="C38" s="3397"/>
      <c r="D38" s="3398"/>
      <c r="E38" s="3398"/>
      <c r="F38" s="3398"/>
      <c r="G38" s="3398"/>
      <c r="H38" s="3398"/>
      <c r="I38" s="3398"/>
      <c r="J38" s="3398"/>
      <c r="K38" s="3399"/>
      <c r="L38" s="1636"/>
      <c r="M38" s="3391"/>
      <c r="N38" s="3392"/>
      <c r="O38" s="3392"/>
      <c r="P38" s="3392"/>
      <c r="Q38" s="3392"/>
      <c r="R38" s="3392"/>
      <c r="S38" s="3393"/>
      <c r="T38" s="634"/>
      <c r="U38" s="3"/>
      <c r="V38" s="4"/>
      <c r="W38" s="855"/>
      <c r="X38" s="3331"/>
      <c r="Y38" s="3332"/>
      <c r="Z38" s="3333"/>
      <c r="AA38" s="3337"/>
      <c r="AB38" s="3219"/>
      <c r="AC38" s="3219"/>
      <c r="AD38" s="3219"/>
      <c r="AE38" s="3219"/>
      <c r="AF38" s="3219"/>
      <c r="AG38" s="3219"/>
      <c r="AH38" s="3219"/>
      <c r="AI38" s="3219"/>
      <c r="AJ38" s="3219"/>
      <c r="AK38" s="3219"/>
      <c r="AL38" s="3220"/>
      <c r="AM38" s="1160"/>
      <c r="AN38" s="4"/>
      <c r="AO38" s="3052"/>
    </row>
    <row r="39" spans="1:41" ht="12" customHeight="1" x14ac:dyDescent="0.2">
      <c r="A39" s="3343"/>
      <c r="B39" s="633"/>
      <c r="C39" s="3397"/>
      <c r="D39" s="3398"/>
      <c r="E39" s="3398"/>
      <c r="F39" s="3398"/>
      <c r="G39" s="3398"/>
      <c r="H39" s="3398"/>
      <c r="I39" s="3398"/>
      <c r="J39" s="3398"/>
      <c r="K39" s="3399"/>
      <c r="L39" s="1636"/>
      <c r="M39" s="3391"/>
      <c r="N39" s="3392"/>
      <c r="O39" s="3392"/>
      <c r="P39" s="3392"/>
      <c r="Q39" s="3392"/>
      <c r="R39" s="3392"/>
      <c r="S39" s="3393"/>
      <c r="T39" s="634"/>
      <c r="U39" s="3"/>
      <c r="V39" s="4"/>
      <c r="W39" s="855"/>
      <c r="X39" s="3331"/>
      <c r="Y39" s="3332"/>
      <c r="Z39" s="3333"/>
      <c r="AA39" s="3337"/>
      <c r="AB39" s="3219"/>
      <c r="AC39" s="3219"/>
      <c r="AD39" s="3219"/>
      <c r="AE39" s="3219"/>
      <c r="AF39" s="3219"/>
      <c r="AG39" s="3219"/>
      <c r="AH39" s="3219"/>
      <c r="AI39" s="3219"/>
      <c r="AJ39" s="3219"/>
      <c r="AK39" s="3219"/>
      <c r="AL39" s="3220"/>
      <c r="AM39" s="1160"/>
      <c r="AN39" s="4"/>
      <c r="AO39" s="3052"/>
    </row>
    <row r="40" spans="1:41" ht="12" customHeight="1" x14ac:dyDescent="0.2">
      <c r="A40" s="3343"/>
      <c r="B40" s="633"/>
      <c r="C40" s="3397"/>
      <c r="D40" s="3398"/>
      <c r="E40" s="3398"/>
      <c r="F40" s="3398"/>
      <c r="G40" s="3398"/>
      <c r="H40" s="3398"/>
      <c r="I40" s="3398"/>
      <c r="J40" s="3398"/>
      <c r="K40" s="3399"/>
      <c r="L40" s="1636"/>
      <c r="M40" s="3391"/>
      <c r="N40" s="3392"/>
      <c r="O40" s="3392"/>
      <c r="P40" s="3392"/>
      <c r="Q40" s="3392"/>
      <c r="R40" s="3392"/>
      <c r="S40" s="3393"/>
      <c r="T40" s="634"/>
      <c r="U40" s="3"/>
      <c r="V40" s="4"/>
      <c r="W40" s="855"/>
      <c r="X40" s="3331"/>
      <c r="Y40" s="3332"/>
      <c r="Z40" s="3333"/>
      <c r="AA40" s="3337"/>
      <c r="AB40" s="3219"/>
      <c r="AC40" s="3219"/>
      <c r="AD40" s="3219"/>
      <c r="AE40" s="3219"/>
      <c r="AF40" s="3219"/>
      <c r="AG40" s="3219"/>
      <c r="AH40" s="3219"/>
      <c r="AI40" s="3219"/>
      <c r="AJ40" s="3219"/>
      <c r="AK40" s="3219"/>
      <c r="AL40" s="3220"/>
      <c r="AM40" s="1160"/>
      <c r="AN40" s="4"/>
      <c r="AO40" s="3052"/>
    </row>
    <row r="41" spans="1:41" ht="12" customHeight="1" x14ac:dyDescent="0.2">
      <c r="A41" s="3343"/>
      <c r="B41" s="633"/>
      <c r="C41" s="3397"/>
      <c r="D41" s="3398"/>
      <c r="E41" s="3398"/>
      <c r="F41" s="3398"/>
      <c r="G41" s="3398"/>
      <c r="H41" s="3398"/>
      <c r="I41" s="3398"/>
      <c r="J41" s="3398"/>
      <c r="K41" s="3399"/>
      <c r="L41" s="1636"/>
      <c r="M41" s="3391"/>
      <c r="N41" s="3392"/>
      <c r="O41" s="3392"/>
      <c r="P41" s="3392"/>
      <c r="Q41" s="3392"/>
      <c r="R41" s="3392"/>
      <c r="S41" s="3393"/>
      <c r="T41" s="634"/>
      <c r="U41" s="3"/>
      <c r="V41" s="4"/>
      <c r="W41" s="855"/>
      <c r="X41" s="3331"/>
      <c r="Y41" s="3332"/>
      <c r="Z41" s="3333"/>
      <c r="AA41" s="3328"/>
      <c r="AB41" s="3329"/>
      <c r="AC41" s="3329"/>
      <c r="AD41" s="3329"/>
      <c r="AE41" s="3329"/>
      <c r="AF41" s="3329"/>
      <c r="AG41" s="3329"/>
      <c r="AH41" s="3329"/>
      <c r="AI41" s="3329"/>
      <c r="AJ41" s="3329"/>
      <c r="AK41" s="3329"/>
      <c r="AL41" s="3330"/>
      <c r="AM41" s="1160"/>
      <c r="AN41" s="4"/>
      <c r="AO41" s="3052"/>
    </row>
    <row r="42" spans="1:41" ht="12" customHeight="1" x14ac:dyDescent="0.2">
      <c r="A42" s="3343"/>
      <c r="B42" s="633"/>
      <c r="C42" s="3397"/>
      <c r="D42" s="3398"/>
      <c r="E42" s="3398"/>
      <c r="F42" s="3398"/>
      <c r="G42" s="3398"/>
      <c r="H42" s="3398"/>
      <c r="I42" s="3398"/>
      <c r="J42" s="3398"/>
      <c r="K42" s="3399"/>
      <c r="L42" s="1636"/>
      <c r="M42" s="3391"/>
      <c r="N42" s="3392"/>
      <c r="O42" s="3392"/>
      <c r="P42" s="3392"/>
      <c r="Q42" s="3392"/>
      <c r="R42" s="3392"/>
      <c r="S42" s="3393"/>
      <c r="T42" s="634"/>
      <c r="U42" s="3"/>
      <c r="V42" s="4"/>
      <c r="W42" s="855"/>
      <c r="X42" s="3331"/>
      <c r="Y42" s="3332"/>
      <c r="Z42" s="3333"/>
      <c r="AA42" s="3328"/>
      <c r="AB42" s="3329"/>
      <c r="AC42" s="3329"/>
      <c r="AD42" s="3329"/>
      <c r="AE42" s="3329"/>
      <c r="AF42" s="3329"/>
      <c r="AG42" s="3329"/>
      <c r="AH42" s="3329"/>
      <c r="AI42" s="3329"/>
      <c r="AJ42" s="3329"/>
      <c r="AK42" s="3329"/>
      <c r="AL42" s="3330"/>
      <c r="AM42" s="1160"/>
      <c r="AN42" s="4"/>
      <c r="AO42" s="3052"/>
    </row>
    <row r="43" spans="1:41" ht="12" customHeight="1" thickBot="1" x14ac:dyDescent="0.25">
      <c r="A43" s="3343"/>
      <c r="B43" s="633"/>
      <c r="C43" s="3400"/>
      <c r="D43" s="3401"/>
      <c r="E43" s="3401"/>
      <c r="F43" s="3401"/>
      <c r="G43" s="3401"/>
      <c r="H43" s="3401"/>
      <c r="I43" s="3401"/>
      <c r="J43" s="3401"/>
      <c r="K43" s="3402"/>
      <c r="L43" s="1636"/>
      <c r="M43" s="3391"/>
      <c r="N43" s="3392"/>
      <c r="O43" s="3392"/>
      <c r="P43" s="3392"/>
      <c r="Q43" s="3392"/>
      <c r="R43" s="3392"/>
      <c r="S43" s="3393"/>
      <c r="T43" s="634"/>
      <c r="U43" s="3"/>
      <c r="V43" s="4"/>
      <c r="W43" s="855"/>
      <c r="X43" s="3331"/>
      <c r="Y43" s="3332"/>
      <c r="Z43" s="3333"/>
      <c r="AA43" s="3337"/>
      <c r="AB43" s="3219"/>
      <c r="AC43" s="3219"/>
      <c r="AD43" s="3219"/>
      <c r="AE43" s="3219"/>
      <c r="AF43" s="3219"/>
      <c r="AG43" s="3219"/>
      <c r="AH43" s="3219"/>
      <c r="AI43" s="3219"/>
      <c r="AJ43" s="3219"/>
      <c r="AK43" s="3219"/>
      <c r="AL43" s="3220"/>
      <c r="AM43" s="1160"/>
      <c r="AN43" s="4"/>
      <c r="AO43" s="3052"/>
    </row>
    <row r="44" spans="1:41" ht="12" customHeight="1" thickBot="1" x14ac:dyDescent="0.25">
      <c r="A44" s="3343"/>
      <c r="B44" s="633"/>
      <c r="C44" s="5"/>
      <c r="D44" s="5"/>
      <c r="E44" s="5"/>
      <c r="F44" s="5"/>
      <c r="G44" s="5"/>
      <c r="H44" s="5"/>
      <c r="I44" s="5"/>
      <c r="J44" s="5"/>
      <c r="K44" s="5"/>
      <c r="L44" s="1636"/>
      <c r="M44" s="3391"/>
      <c r="N44" s="3392"/>
      <c r="O44" s="3392"/>
      <c r="P44" s="3392"/>
      <c r="Q44" s="3392"/>
      <c r="R44" s="3392"/>
      <c r="S44" s="3393"/>
      <c r="T44" s="634"/>
      <c r="U44" s="3"/>
      <c r="V44" s="4"/>
      <c r="W44" s="855"/>
      <c r="X44" s="3334"/>
      <c r="Y44" s="3335"/>
      <c r="Z44" s="3336"/>
      <c r="AA44" s="3338"/>
      <c r="AB44" s="3269"/>
      <c r="AC44" s="3269"/>
      <c r="AD44" s="3269"/>
      <c r="AE44" s="3269"/>
      <c r="AF44" s="3269"/>
      <c r="AG44" s="3269"/>
      <c r="AH44" s="3269"/>
      <c r="AI44" s="3269"/>
      <c r="AJ44" s="3269"/>
      <c r="AK44" s="3269"/>
      <c r="AL44" s="3270"/>
      <c r="AM44" s="1160"/>
      <c r="AN44" s="4"/>
      <c r="AO44" s="3052"/>
    </row>
    <row r="45" spans="1:41" ht="12" customHeight="1" thickBot="1" x14ac:dyDescent="0.25">
      <c r="A45" s="3343"/>
      <c r="B45" s="633"/>
      <c r="C45" s="3349" t="s">
        <v>8529</v>
      </c>
      <c r="D45" s="3350"/>
      <c r="E45" s="3350"/>
      <c r="F45" s="3350"/>
      <c r="G45" s="3350"/>
      <c r="H45" s="3350"/>
      <c r="I45" s="3350"/>
      <c r="J45" s="3350"/>
      <c r="K45" s="3351"/>
      <c r="L45" s="1636"/>
      <c r="M45" s="3391"/>
      <c r="N45" s="3392"/>
      <c r="O45" s="3392"/>
      <c r="P45" s="3392"/>
      <c r="Q45" s="3392"/>
      <c r="R45" s="3392"/>
      <c r="S45" s="3393"/>
      <c r="T45" s="634"/>
      <c r="U45" s="3"/>
      <c r="V45" s="4"/>
      <c r="W45" s="855"/>
      <c r="X45" s="2741"/>
      <c r="Y45" s="2739"/>
      <c r="Z45" s="2739"/>
      <c r="AA45" s="2739"/>
      <c r="AB45" s="2739"/>
      <c r="AC45" s="2739"/>
      <c r="AD45" s="2739"/>
      <c r="AE45" s="2739"/>
      <c r="AF45" s="2739"/>
      <c r="AG45" s="2739"/>
      <c r="AH45" s="2739"/>
      <c r="AI45" s="2739"/>
      <c r="AJ45" s="2739"/>
      <c r="AK45" s="2739"/>
      <c r="AL45" s="2739"/>
      <c r="AM45" s="1160"/>
      <c r="AN45" s="4"/>
      <c r="AO45" s="3052"/>
    </row>
    <row r="46" spans="1:41" ht="12" customHeight="1" x14ac:dyDescent="0.2">
      <c r="A46" s="3343"/>
      <c r="B46" s="633"/>
      <c r="C46" s="3403"/>
      <c r="D46" s="3404"/>
      <c r="E46" s="3404"/>
      <c r="F46" s="3404"/>
      <c r="G46" s="3404"/>
      <c r="H46" s="3404"/>
      <c r="I46" s="3404"/>
      <c r="J46" s="3404"/>
      <c r="K46" s="3405"/>
      <c r="L46" s="1636"/>
      <c r="M46" s="3391"/>
      <c r="N46" s="3392"/>
      <c r="O46" s="3392"/>
      <c r="P46" s="3392"/>
      <c r="Q46" s="3392"/>
      <c r="R46" s="3392"/>
      <c r="S46" s="3393"/>
      <c r="T46" s="634"/>
      <c r="U46" s="3"/>
      <c r="V46" s="4"/>
      <c r="W46" s="855"/>
      <c r="X46" s="3259" t="s">
        <v>1343</v>
      </c>
      <c r="Y46" s="3260"/>
      <c r="Z46" s="3260"/>
      <c r="AA46" s="3260"/>
      <c r="AB46" s="3260"/>
      <c r="AC46" s="3260"/>
      <c r="AD46" s="3261"/>
      <c r="AE46" s="2739"/>
      <c r="AF46" s="3259" t="s">
        <v>1344</v>
      </c>
      <c r="AG46" s="3260"/>
      <c r="AH46" s="3260"/>
      <c r="AI46" s="3260"/>
      <c r="AJ46" s="3260"/>
      <c r="AK46" s="3260"/>
      <c r="AL46" s="3261"/>
      <c r="AM46" s="1160"/>
      <c r="AN46" s="4"/>
      <c r="AO46" s="3052"/>
    </row>
    <row r="47" spans="1:41" ht="12" customHeight="1" x14ac:dyDescent="0.2">
      <c r="A47" s="3343"/>
      <c r="B47" s="633"/>
      <c r="C47" s="3397"/>
      <c r="D47" s="3398"/>
      <c r="E47" s="3398"/>
      <c r="F47" s="3398"/>
      <c r="G47" s="3398"/>
      <c r="H47" s="3398"/>
      <c r="I47" s="3398"/>
      <c r="J47" s="3398"/>
      <c r="K47" s="3399"/>
      <c r="L47" s="1636"/>
      <c r="M47" s="3391"/>
      <c r="N47" s="3392"/>
      <c r="O47" s="3392"/>
      <c r="P47" s="3392"/>
      <c r="Q47" s="3392"/>
      <c r="R47" s="3392"/>
      <c r="S47" s="3393"/>
      <c r="T47" s="634"/>
      <c r="U47" s="3"/>
      <c r="V47" s="4"/>
      <c r="W47" s="855"/>
      <c r="X47" s="3275"/>
      <c r="Y47" s="3276"/>
      <c r="Z47" s="3276"/>
      <c r="AA47" s="3276"/>
      <c r="AB47" s="3276"/>
      <c r="AC47" s="3276"/>
      <c r="AD47" s="3277"/>
      <c r="AE47" s="2739"/>
      <c r="AF47" s="3275"/>
      <c r="AG47" s="3276"/>
      <c r="AH47" s="3276"/>
      <c r="AI47" s="3276"/>
      <c r="AJ47" s="3276"/>
      <c r="AK47" s="3276"/>
      <c r="AL47" s="3277"/>
      <c r="AM47" s="1160"/>
      <c r="AN47" s="4"/>
      <c r="AO47" s="3052"/>
    </row>
    <row r="48" spans="1:41" ht="12" customHeight="1" x14ac:dyDescent="0.2">
      <c r="A48" s="3343"/>
      <c r="B48" s="633"/>
      <c r="C48" s="3397"/>
      <c r="D48" s="3398"/>
      <c r="E48" s="3398"/>
      <c r="F48" s="3398"/>
      <c r="G48" s="3398"/>
      <c r="H48" s="3398"/>
      <c r="I48" s="3398"/>
      <c r="J48" s="3398"/>
      <c r="K48" s="3399"/>
      <c r="L48" s="1636"/>
      <c r="M48" s="3391"/>
      <c r="N48" s="3392"/>
      <c r="O48" s="3392"/>
      <c r="P48" s="3392"/>
      <c r="Q48" s="3392"/>
      <c r="R48" s="3392"/>
      <c r="S48" s="3393"/>
      <c r="T48" s="634"/>
      <c r="U48" s="3"/>
      <c r="V48" s="4"/>
      <c r="W48" s="855"/>
      <c r="X48" s="3218"/>
      <c r="Y48" s="3219"/>
      <c r="Z48" s="3219"/>
      <c r="AA48" s="3219"/>
      <c r="AB48" s="3219"/>
      <c r="AC48" s="3219"/>
      <c r="AD48" s="3220"/>
      <c r="AE48" s="2739"/>
      <c r="AF48" s="3218"/>
      <c r="AG48" s="3219"/>
      <c r="AH48" s="3219"/>
      <c r="AI48" s="3219"/>
      <c r="AJ48" s="3219"/>
      <c r="AK48" s="3219"/>
      <c r="AL48" s="3220"/>
      <c r="AM48" s="1160"/>
      <c r="AN48" s="4"/>
      <c r="AO48" s="3052"/>
    </row>
    <row r="49" spans="1:41" ht="12" customHeight="1" x14ac:dyDescent="0.2">
      <c r="A49" s="3343"/>
      <c r="B49" s="633"/>
      <c r="C49" s="3397"/>
      <c r="D49" s="3398"/>
      <c r="E49" s="3398"/>
      <c r="F49" s="3398"/>
      <c r="G49" s="3398"/>
      <c r="H49" s="3398"/>
      <c r="I49" s="3398"/>
      <c r="J49" s="3398"/>
      <c r="K49" s="3399"/>
      <c r="L49" s="1636"/>
      <c r="M49" s="3391"/>
      <c r="N49" s="3392"/>
      <c r="O49" s="3392"/>
      <c r="P49" s="3392"/>
      <c r="Q49" s="3392"/>
      <c r="R49" s="3392"/>
      <c r="S49" s="3393"/>
      <c r="T49" s="634"/>
      <c r="U49" s="3"/>
      <c r="V49" s="4"/>
      <c r="W49" s="855"/>
      <c r="X49" s="3218"/>
      <c r="Y49" s="3219"/>
      <c r="Z49" s="3219"/>
      <c r="AA49" s="3219"/>
      <c r="AB49" s="3219"/>
      <c r="AC49" s="3219"/>
      <c r="AD49" s="3220"/>
      <c r="AE49" s="2739"/>
      <c r="AF49" s="3218"/>
      <c r="AG49" s="3219"/>
      <c r="AH49" s="3219"/>
      <c r="AI49" s="3219"/>
      <c r="AJ49" s="3219"/>
      <c r="AK49" s="3219"/>
      <c r="AL49" s="3220"/>
      <c r="AM49" s="1160"/>
      <c r="AN49" s="4"/>
      <c r="AO49" s="3052"/>
    </row>
    <row r="50" spans="1:41" ht="12" customHeight="1" x14ac:dyDescent="0.2">
      <c r="A50" s="3343"/>
      <c r="B50" s="633"/>
      <c r="C50" s="3397"/>
      <c r="D50" s="3398"/>
      <c r="E50" s="3398"/>
      <c r="F50" s="3398"/>
      <c r="G50" s="3398"/>
      <c r="H50" s="3398"/>
      <c r="I50" s="3398"/>
      <c r="J50" s="3398"/>
      <c r="K50" s="3399"/>
      <c r="L50" s="1636"/>
      <c r="M50" s="3391"/>
      <c r="N50" s="3392"/>
      <c r="O50" s="3392"/>
      <c r="P50" s="3392"/>
      <c r="Q50" s="3392"/>
      <c r="R50" s="3392"/>
      <c r="S50" s="3393"/>
      <c r="T50" s="634"/>
      <c r="U50" s="3"/>
      <c r="V50" s="4"/>
      <c r="W50" s="855"/>
      <c r="X50" s="3218"/>
      <c r="Y50" s="3219"/>
      <c r="Z50" s="3219"/>
      <c r="AA50" s="3219"/>
      <c r="AB50" s="3219"/>
      <c r="AC50" s="3219"/>
      <c r="AD50" s="3220"/>
      <c r="AE50" s="2739"/>
      <c r="AF50" s="3218"/>
      <c r="AG50" s="3219"/>
      <c r="AH50" s="3219"/>
      <c r="AI50" s="3219"/>
      <c r="AJ50" s="3219"/>
      <c r="AK50" s="3219"/>
      <c r="AL50" s="3220"/>
      <c r="AM50" s="1160"/>
      <c r="AN50" s="4"/>
      <c r="AO50" s="3052"/>
    </row>
    <row r="51" spans="1:41" ht="12" customHeight="1" x14ac:dyDescent="0.2">
      <c r="A51" s="3343"/>
      <c r="B51" s="633"/>
      <c r="C51" s="3397"/>
      <c r="D51" s="3398"/>
      <c r="E51" s="3398"/>
      <c r="F51" s="3398"/>
      <c r="G51" s="3398"/>
      <c r="H51" s="3398"/>
      <c r="I51" s="3398"/>
      <c r="J51" s="3398"/>
      <c r="K51" s="3399"/>
      <c r="L51" s="1636"/>
      <c r="M51" s="3391"/>
      <c r="N51" s="3392"/>
      <c r="O51" s="3392"/>
      <c r="P51" s="3392"/>
      <c r="Q51" s="3392"/>
      <c r="R51" s="3392"/>
      <c r="S51" s="3393"/>
      <c r="T51" s="634"/>
      <c r="U51" s="3"/>
      <c r="V51" s="4"/>
      <c r="W51" s="855"/>
      <c r="X51" s="3218"/>
      <c r="Y51" s="3219"/>
      <c r="Z51" s="3219"/>
      <c r="AA51" s="3219"/>
      <c r="AB51" s="3219"/>
      <c r="AC51" s="3219"/>
      <c r="AD51" s="3220"/>
      <c r="AE51" s="2739"/>
      <c r="AF51" s="3218"/>
      <c r="AG51" s="3219"/>
      <c r="AH51" s="3219"/>
      <c r="AI51" s="3219"/>
      <c r="AJ51" s="3219"/>
      <c r="AK51" s="3219"/>
      <c r="AL51" s="3220"/>
      <c r="AM51" s="1160"/>
      <c r="AN51" s="4"/>
      <c r="AO51" s="3052"/>
    </row>
    <row r="52" spans="1:41" ht="12" customHeight="1" x14ac:dyDescent="0.2">
      <c r="A52" s="3343"/>
      <c r="B52" s="633"/>
      <c r="C52" s="3397"/>
      <c r="D52" s="3398"/>
      <c r="E52" s="3398"/>
      <c r="F52" s="3398"/>
      <c r="G52" s="3398"/>
      <c r="H52" s="3398"/>
      <c r="I52" s="3398"/>
      <c r="J52" s="3398"/>
      <c r="K52" s="3399"/>
      <c r="L52" s="1636"/>
      <c r="M52" s="3391"/>
      <c r="N52" s="3392"/>
      <c r="O52" s="3392"/>
      <c r="P52" s="3392"/>
      <c r="Q52" s="3392"/>
      <c r="R52" s="3392"/>
      <c r="S52" s="3393"/>
      <c r="T52" s="634"/>
      <c r="U52" s="3"/>
      <c r="V52" s="4"/>
      <c r="W52" s="855"/>
      <c r="X52" s="3218"/>
      <c r="Y52" s="3219"/>
      <c r="Z52" s="3219"/>
      <c r="AA52" s="3219"/>
      <c r="AB52" s="3219"/>
      <c r="AC52" s="3219"/>
      <c r="AD52" s="3220"/>
      <c r="AE52" s="2739"/>
      <c r="AF52" s="3218"/>
      <c r="AG52" s="3219"/>
      <c r="AH52" s="3219"/>
      <c r="AI52" s="3219"/>
      <c r="AJ52" s="3219"/>
      <c r="AK52" s="3219"/>
      <c r="AL52" s="3220"/>
      <c r="AM52" s="1160"/>
      <c r="AN52" s="4"/>
      <c r="AO52" s="3052"/>
    </row>
    <row r="53" spans="1:41" ht="12" customHeight="1" thickBot="1" x14ac:dyDescent="0.25">
      <c r="A53" s="3343"/>
      <c r="B53" s="633"/>
      <c r="C53" s="3400"/>
      <c r="D53" s="3401"/>
      <c r="E53" s="3401"/>
      <c r="F53" s="3401"/>
      <c r="G53" s="3401"/>
      <c r="H53" s="3401"/>
      <c r="I53" s="3401"/>
      <c r="J53" s="3401"/>
      <c r="K53" s="3402"/>
      <c r="L53" s="1636"/>
      <c r="M53" s="3394"/>
      <c r="N53" s="3395"/>
      <c r="O53" s="3395"/>
      <c r="P53" s="3395"/>
      <c r="Q53" s="3395"/>
      <c r="R53" s="3395"/>
      <c r="S53" s="3396"/>
      <c r="T53" s="634"/>
      <c r="U53" s="3"/>
      <c r="V53" s="4"/>
      <c r="W53" s="855"/>
      <c r="X53" s="3218"/>
      <c r="Y53" s="3219"/>
      <c r="Z53" s="3219"/>
      <c r="AA53" s="3219"/>
      <c r="AB53" s="3219"/>
      <c r="AC53" s="3219"/>
      <c r="AD53" s="3220"/>
      <c r="AE53" s="2739"/>
      <c r="AF53" s="3218"/>
      <c r="AG53" s="3219"/>
      <c r="AH53" s="3219"/>
      <c r="AI53" s="3219"/>
      <c r="AJ53" s="3219"/>
      <c r="AK53" s="3219"/>
      <c r="AL53" s="3220"/>
      <c r="AM53" s="1160"/>
      <c r="AN53" s="4"/>
      <c r="AO53" s="3052"/>
    </row>
    <row r="54" spans="1:41" ht="12" customHeight="1" thickBot="1" x14ac:dyDescent="0.25">
      <c r="A54" s="3343"/>
      <c r="B54" s="633"/>
      <c r="C54" s="5"/>
      <c r="D54" s="5"/>
      <c r="E54" s="5"/>
      <c r="F54" s="5"/>
      <c r="G54" s="5"/>
      <c r="H54" s="5"/>
      <c r="I54" s="5"/>
      <c r="J54" s="5"/>
      <c r="K54" s="5"/>
      <c r="L54" s="5"/>
      <c r="M54" s="5"/>
      <c r="N54" s="5"/>
      <c r="O54" s="5"/>
      <c r="P54" s="5"/>
      <c r="Q54" s="5"/>
      <c r="R54" s="5"/>
      <c r="S54" s="5"/>
      <c r="T54" s="634"/>
      <c r="U54" s="3"/>
      <c r="V54" s="4"/>
      <c r="W54" s="855"/>
      <c r="X54" s="3218"/>
      <c r="Y54" s="3219"/>
      <c r="Z54" s="3219"/>
      <c r="AA54" s="3219"/>
      <c r="AB54" s="3219"/>
      <c r="AC54" s="3219"/>
      <c r="AD54" s="3220"/>
      <c r="AE54" s="2739"/>
      <c r="AF54" s="3218"/>
      <c r="AG54" s="3219"/>
      <c r="AH54" s="3219"/>
      <c r="AI54" s="3219"/>
      <c r="AJ54" s="3219"/>
      <c r="AK54" s="3219"/>
      <c r="AL54" s="3220"/>
      <c r="AM54" s="1160"/>
      <c r="AN54" s="4"/>
      <c r="AO54" s="3052"/>
    </row>
    <row r="55" spans="1:41" ht="12" customHeight="1" thickBot="1" x14ac:dyDescent="0.25">
      <c r="A55" s="3343"/>
      <c r="B55" s="633"/>
      <c r="C55" s="3349" t="s">
        <v>8718</v>
      </c>
      <c r="D55" s="3350"/>
      <c r="E55" s="3350"/>
      <c r="F55" s="3350"/>
      <c r="G55" s="3350"/>
      <c r="H55" s="3350"/>
      <c r="I55" s="3350"/>
      <c r="J55" s="3350"/>
      <c r="K55" s="3350"/>
      <c r="L55" s="3350"/>
      <c r="M55" s="3350"/>
      <c r="N55" s="3350"/>
      <c r="O55" s="3350"/>
      <c r="P55" s="3350"/>
      <c r="Q55" s="3350"/>
      <c r="R55" s="3350"/>
      <c r="S55" s="3351"/>
      <c r="T55" s="634"/>
      <c r="U55" s="3"/>
      <c r="V55" s="4"/>
      <c r="W55" s="855"/>
      <c r="X55" s="3268"/>
      <c r="Y55" s="3269"/>
      <c r="Z55" s="3269"/>
      <c r="AA55" s="3269"/>
      <c r="AB55" s="3269"/>
      <c r="AC55" s="3269"/>
      <c r="AD55" s="3270"/>
      <c r="AE55" s="2739"/>
      <c r="AF55" s="3268"/>
      <c r="AG55" s="3269"/>
      <c r="AH55" s="3269"/>
      <c r="AI55" s="3269"/>
      <c r="AJ55" s="3269"/>
      <c r="AK55" s="3269"/>
      <c r="AL55" s="3270"/>
      <c r="AM55" s="1160"/>
      <c r="AN55" s="4"/>
      <c r="AO55" s="3052"/>
    </row>
    <row r="56" spans="1:41" ht="12" customHeight="1" thickBot="1" x14ac:dyDescent="0.25">
      <c r="A56" s="3343"/>
      <c r="B56" s="633"/>
      <c r="C56" s="3352"/>
      <c r="D56" s="3353"/>
      <c r="E56" s="3354"/>
      <c r="F56" s="3354"/>
      <c r="G56" s="3354"/>
      <c r="H56" s="3354"/>
      <c r="I56" s="3354"/>
      <c r="J56" s="3354"/>
      <c r="K56" s="3354"/>
      <c r="L56" s="3354"/>
      <c r="M56" s="3354"/>
      <c r="N56" s="3354"/>
      <c r="O56" s="3354"/>
      <c r="P56" s="3354"/>
      <c r="Q56" s="3354"/>
      <c r="R56" s="3354"/>
      <c r="S56" s="3355"/>
      <c r="T56" s="634"/>
      <c r="U56" s="3"/>
      <c r="V56" s="4"/>
      <c r="W56" s="855"/>
      <c r="X56" s="2741"/>
      <c r="Y56" s="2739"/>
      <c r="Z56" s="2739"/>
      <c r="AA56" s="2739"/>
      <c r="AB56" s="2739"/>
      <c r="AC56" s="2739"/>
      <c r="AD56" s="2739"/>
      <c r="AE56" s="2739"/>
      <c r="AF56" s="2739"/>
      <c r="AG56" s="2739"/>
      <c r="AH56" s="2739"/>
      <c r="AI56" s="2739"/>
      <c r="AJ56" s="2739"/>
      <c r="AK56" s="2739"/>
      <c r="AL56" s="2739"/>
      <c r="AM56" s="1160"/>
      <c r="AN56" s="4"/>
      <c r="AO56" s="3052"/>
    </row>
    <row r="57" spans="1:41" ht="12" customHeight="1" x14ac:dyDescent="0.2">
      <c r="A57" s="3343"/>
      <c r="B57" s="633"/>
      <c r="C57" s="3356"/>
      <c r="D57" s="3357"/>
      <c r="E57" s="3358"/>
      <c r="F57" s="3358"/>
      <c r="G57" s="3358"/>
      <c r="H57" s="3358"/>
      <c r="I57" s="3358"/>
      <c r="J57" s="3358"/>
      <c r="K57" s="3358"/>
      <c r="L57" s="3358"/>
      <c r="M57" s="3358"/>
      <c r="N57" s="3358"/>
      <c r="O57" s="3358"/>
      <c r="P57" s="3358"/>
      <c r="Q57" s="3358"/>
      <c r="R57" s="3358"/>
      <c r="S57" s="3359"/>
      <c r="T57" s="634"/>
      <c r="U57" s="3"/>
      <c r="V57" s="4"/>
      <c r="W57" s="855"/>
      <c r="X57" s="3259" t="s">
        <v>1345</v>
      </c>
      <c r="Y57" s="3260"/>
      <c r="Z57" s="3260"/>
      <c r="AA57" s="3260"/>
      <c r="AB57" s="3260"/>
      <c r="AC57" s="3260"/>
      <c r="AD57" s="3261"/>
      <c r="AE57" s="2739"/>
      <c r="AF57" s="3271" t="s">
        <v>1346</v>
      </c>
      <c r="AG57" s="3272"/>
      <c r="AH57" s="3272"/>
      <c r="AI57" s="3272"/>
      <c r="AJ57" s="3272"/>
      <c r="AK57" s="3273" t="str">
        <f>VLOOKUP(AF59,Tabla_Fama,2)</f>
        <v>Desconocido</v>
      </c>
      <c r="AL57" s="3274"/>
      <c r="AM57" s="1160"/>
      <c r="AN57" s="4"/>
      <c r="AO57" s="3052"/>
    </row>
    <row r="58" spans="1:41" ht="12" customHeight="1" x14ac:dyDescent="0.2">
      <c r="A58" s="3343"/>
      <c r="B58" s="633"/>
      <c r="C58" s="3356"/>
      <c r="D58" s="3357"/>
      <c r="E58" s="3358"/>
      <c r="F58" s="3358"/>
      <c r="G58" s="3358"/>
      <c r="H58" s="3358"/>
      <c r="I58" s="3358"/>
      <c r="J58" s="3358"/>
      <c r="K58" s="3358"/>
      <c r="L58" s="3358"/>
      <c r="M58" s="3358"/>
      <c r="N58" s="3358"/>
      <c r="O58" s="3358"/>
      <c r="P58" s="3358"/>
      <c r="Q58" s="3358"/>
      <c r="R58" s="3358"/>
      <c r="S58" s="3359"/>
      <c r="T58" s="634"/>
      <c r="U58" s="3"/>
      <c r="V58" s="4"/>
      <c r="W58" s="855"/>
      <c r="X58" s="3262" t="s">
        <v>1347</v>
      </c>
      <c r="Y58" s="3263"/>
      <c r="Z58" s="3263"/>
      <c r="AA58" s="3264"/>
      <c r="AB58" s="3265" t="s">
        <v>1348</v>
      </c>
      <c r="AC58" s="3266"/>
      <c r="AD58" s="3267"/>
      <c r="AE58" s="2739"/>
      <c r="AF58" s="2745" t="s">
        <v>1349</v>
      </c>
      <c r="AG58" s="3250" t="s">
        <v>1350</v>
      </c>
      <c r="AH58" s="3250"/>
      <c r="AI58" s="1560"/>
      <c r="AJ58" s="3250" t="s">
        <v>1351</v>
      </c>
      <c r="AK58" s="3250"/>
      <c r="AL58" s="1568"/>
      <c r="AM58" s="1160"/>
      <c r="AN58" s="4"/>
      <c r="AO58" s="3052"/>
    </row>
    <row r="59" spans="1:41" ht="12" customHeight="1" thickBot="1" x14ac:dyDescent="0.25">
      <c r="A59" s="3343"/>
      <c r="B59" s="633"/>
      <c r="C59" s="3356"/>
      <c r="D59" s="3357"/>
      <c r="E59" s="3358"/>
      <c r="F59" s="3358"/>
      <c r="G59" s="3358"/>
      <c r="H59" s="3358"/>
      <c r="I59" s="3358"/>
      <c r="J59" s="3358"/>
      <c r="K59" s="3358"/>
      <c r="L59" s="3358"/>
      <c r="M59" s="3358"/>
      <c r="N59" s="3358"/>
      <c r="O59" s="3358"/>
      <c r="P59" s="3358"/>
      <c r="Q59" s="3358"/>
      <c r="R59" s="3358"/>
      <c r="S59" s="3359"/>
      <c r="T59" s="634"/>
      <c r="U59" s="3"/>
      <c r="V59" s="4"/>
      <c r="W59" s="855"/>
      <c r="X59" s="3258" t="s">
        <v>1352</v>
      </c>
      <c r="Y59" s="3255"/>
      <c r="Z59" s="3256"/>
      <c r="AA59" s="3257"/>
      <c r="AB59" s="3239"/>
      <c r="AC59" s="3240"/>
      <c r="AD59" s="3241"/>
      <c r="AE59" s="2739"/>
      <c r="AF59" s="3248">
        <f>MAX(AI58+AI60+AL59+AL58+AI59,IF(Tablas!$G$485&gt;0,40,IF(Tablas!$G$486&gt;0,65)))</f>
        <v>0</v>
      </c>
      <c r="AG59" s="3250" t="s">
        <v>1353</v>
      </c>
      <c r="AH59" s="3250"/>
      <c r="AI59" s="2686"/>
      <c r="AJ59" s="3250" t="s">
        <v>1354</v>
      </c>
      <c r="AK59" s="3251"/>
      <c r="AL59" s="1569"/>
      <c r="AM59" s="1160"/>
      <c r="AN59" s="4"/>
      <c r="AO59" s="3052"/>
    </row>
    <row r="60" spans="1:41" ht="12" customHeight="1" thickBot="1" x14ac:dyDescent="0.25">
      <c r="A60" s="3343"/>
      <c r="B60" s="633"/>
      <c r="C60" s="3356"/>
      <c r="D60" s="3357"/>
      <c r="E60" s="3358"/>
      <c r="F60" s="3358"/>
      <c r="G60" s="3358"/>
      <c r="H60" s="3358"/>
      <c r="I60" s="3358"/>
      <c r="J60" s="3358"/>
      <c r="K60" s="3358"/>
      <c r="L60" s="3358"/>
      <c r="M60" s="3358"/>
      <c r="N60" s="3358"/>
      <c r="O60" s="3358"/>
      <c r="P60" s="3358"/>
      <c r="Q60" s="3358"/>
      <c r="R60" s="3358"/>
      <c r="S60" s="3359"/>
      <c r="T60" s="634"/>
      <c r="U60" s="3"/>
      <c r="V60" s="4"/>
      <c r="W60" s="855"/>
      <c r="X60" s="3258"/>
      <c r="Y60" s="3223"/>
      <c r="Z60" s="3224"/>
      <c r="AA60" s="3225"/>
      <c r="AB60" s="3242"/>
      <c r="AC60" s="3243"/>
      <c r="AD60" s="3244"/>
      <c r="AE60" s="2739"/>
      <c r="AF60" s="3249"/>
      <c r="AG60" s="3252" t="s">
        <v>1355</v>
      </c>
      <c r="AH60" s="3252"/>
      <c r="AI60" s="1570"/>
      <c r="AJ60" s="3253" t="s">
        <v>1356</v>
      </c>
      <c r="AK60" s="3254"/>
      <c r="AL60" s="1571">
        <f>VLOOKUP(AF59,Tabla_Fama,3)</f>
        <v>0</v>
      </c>
      <c r="AM60" s="1160"/>
      <c r="AN60" s="4"/>
      <c r="AO60" s="3052"/>
    </row>
    <row r="61" spans="1:41" ht="12" customHeight="1" thickBot="1" x14ac:dyDescent="0.25">
      <c r="A61" s="3343"/>
      <c r="B61" s="633"/>
      <c r="C61" s="3356"/>
      <c r="D61" s="3357"/>
      <c r="E61" s="3358"/>
      <c r="F61" s="3358"/>
      <c r="G61" s="3358"/>
      <c r="H61" s="3358"/>
      <c r="I61" s="3358"/>
      <c r="J61" s="3358"/>
      <c r="K61" s="3358"/>
      <c r="L61" s="3358"/>
      <c r="M61" s="3358"/>
      <c r="N61" s="3358"/>
      <c r="O61" s="3358"/>
      <c r="P61" s="3358"/>
      <c r="Q61" s="3358"/>
      <c r="R61" s="3358"/>
      <c r="S61" s="3359"/>
      <c r="T61" s="634"/>
      <c r="U61" s="3"/>
      <c r="V61" s="4"/>
      <c r="W61" s="855"/>
      <c r="X61" s="3258" t="s">
        <v>1357</v>
      </c>
      <c r="Y61" s="3223"/>
      <c r="Z61" s="3224"/>
      <c r="AA61" s="3225"/>
      <c r="AB61" s="3242"/>
      <c r="AC61" s="3243"/>
      <c r="AD61" s="3244"/>
      <c r="AE61" s="2739"/>
      <c r="AF61" s="2739"/>
      <c r="AG61" s="2739"/>
      <c r="AH61" s="2739"/>
      <c r="AI61" s="2739"/>
      <c r="AJ61" s="2739"/>
      <c r="AK61" s="2739"/>
      <c r="AL61" s="2739"/>
      <c r="AM61" s="1160"/>
      <c r="AN61" s="4"/>
      <c r="AO61" s="3052"/>
    </row>
    <row r="62" spans="1:41" ht="12" customHeight="1" x14ac:dyDescent="0.2">
      <c r="A62" s="3343"/>
      <c r="B62" s="633"/>
      <c r="C62" s="3356"/>
      <c r="D62" s="3357"/>
      <c r="E62" s="3358"/>
      <c r="F62" s="3358"/>
      <c r="G62" s="3358"/>
      <c r="H62" s="3358"/>
      <c r="I62" s="3358"/>
      <c r="J62" s="3358"/>
      <c r="K62" s="3358"/>
      <c r="L62" s="3358"/>
      <c r="M62" s="3358"/>
      <c r="N62" s="3358"/>
      <c r="O62" s="3358"/>
      <c r="P62" s="3358"/>
      <c r="Q62" s="3358"/>
      <c r="R62" s="3358"/>
      <c r="S62" s="3359"/>
      <c r="T62" s="634"/>
      <c r="U62" s="3"/>
      <c r="V62" s="4"/>
      <c r="W62" s="855"/>
      <c r="X62" s="3258"/>
      <c r="Y62" s="3223"/>
      <c r="Z62" s="3224"/>
      <c r="AA62" s="3225"/>
      <c r="AB62" s="3242"/>
      <c r="AC62" s="3243"/>
      <c r="AD62" s="3244"/>
      <c r="AE62" s="2739"/>
      <c r="AF62" s="3259" t="s">
        <v>1358</v>
      </c>
      <c r="AG62" s="3260"/>
      <c r="AH62" s="3260"/>
      <c r="AI62" s="3260"/>
      <c r="AJ62" s="3260"/>
      <c r="AK62" s="3260"/>
      <c r="AL62" s="3261"/>
      <c r="AM62" s="1160"/>
      <c r="AN62" s="4"/>
      <c r="AO62" s="3052"/>
    </row>
    <row r="63" spans="1:41" ht="12" customHeight="1" thickBot="1" x14ac:dyDescent="0.25">
      <c r="A63" s="3343"/>
      <c r="B63" s="633"/>
      <c r="C63" s="3356"/>
      <c r="D63" s="3357"/>
      <c r="E63" s="3358"/>
      <c r="F63" s="3358"/>
      <c r="G63" s="3358"/>
      <c r="H63" s="3358"/>
      <c r="I63" s="3358"/>
      <c r="J63" s="3358"/>
      <c r="K63" s="3358"/>
      <c r="L63" s="3358"/>
      <c r="M63" s="3358"/>
      <c r="N63" s="3358"/>
      <c r="O63" s="3358"/>
      <c r="P63" s="3358"/>
      <c r="Q63" s="3358"/>
      <c r="R63" s="3358"/>
      <c r="S63" s="3359"/>
      <c r="T63" s="634"/>
      <c r="U63" s="3"/>
      <c r="V63" s="4"/>
      <c r="W63" s="855"/>
      <c r="X63" s="3221" t="s">
        <v>1359</v>
      </c>
      <c r="Y63" s="3223"/>
      <c r="Z63" s="3224"/>
      <c r="AA63" s="3225"/>
      <c r="AB63" s="3242"/>
      <c r="AC63" s="3243"/>
      <c r="AD63" s="3244"/>
      <c r="AE63" s="2739"/>
      <c r="AF63" s="3229" t="s">
        <v>1360</v>
      </c>
      <c r="AG63" s="3230"/>
      <c r="AH63" s="3230"/>
      <c r="AI63" s="2734">
        <f>IF(INT+POD+VOL=0,0,VLOOKUP(INT+POD+VOL,Tabla_Cordura,3))</f>
        <v>0</v>
      </c>
      <c r="AJ63" s="3231">
        <f>IF(INT+POD+VOL=0,0,VLOOKUP(INT+POD+VOL,Tabla_Cordura,2))</f>
        <v>0</v>
      </c>
      <c r="AK63" s="3233"/>
      <c r="AL63" s="3234"/>
      <c r="AM63" s="1160"/>
      <c r="AN63" s="4"/>
      <c r="AO63" s="3052"/>
    </row>
    <row r="64" spans="1:41" ht="12" customHeight="1" thickBot="1" x14ac:dyDescent="0.25">
      <c r="A64" s="3343"/>
      <c r="B64" s="633"/>
      <c r="C64" s="3360"/>
      <c r="D64" s="3361"/>
      <c r="E64" s="3362"/>
      <c r="F64" s="3362"/>
      <c r="G64" s="3362"/>
      <c r="H64" s="3362"/>
      <c r="I64" s="3362"/>
      <c r="J64" s="3362"/>
      <c r="K64" s="3362"/>
      <c r="L64" s="3362"/>
      <c r="M64" s="3362"/>
      <c r="N64" s="3362"/>
      <c r="O64" s="3362"/>
      <c r="P64" s="3362"/>
      <c r="Q64" s="3362"/>
      <c r="R64" s="3362"/>
      <c r="S64" s="3363"/>
      <c r="T64" s="634"/>
      <c r="U64" s="3"/>
      <c r="V64" s="4"/>
      <c r="W64" s="855"/>
      <c r="X64" s="3222"/>
      <c r="Y64" s="3226"/>
      <c r="Z64" s="3227"/>
      <c r="AA64" s="3228"/>
      <c r="AB64" s="3245"/>
      <c r="AC64" s="3246"/>
      <c r="AD64" s="3247"/>
      <c r="AE64" s="2739"/>
      <c r="AF64" s="3237"/>
      <c r="AG64" s="3238"/>
      <c r="AH64" s="3238"/>
      <c r="AI64" s="3238"/>
      <c r="AJ64" s="3232"/>
      <c r="AK64" s="3235"/>
      <c r="AL64" s="3236"/>
      <c r="AM64" s="1160"/>
      <c r="AN64" s="4"/>
      <c r="AO64" s="3052"/>
    </row>
    <row r="65" spans="1:41" ht="12" customHeight="1" thickBot="1" x14ac:dyDescent="0.25">
      <c r="A65" s="3343"/>
      <c r="B65" s="3347"/>
      <c r="C65" s="3348"/>
      <c r="D65" s="3348"/>
      <c r="E65" s="3348"/>
      <c r="F65" s="3348"/>
      <c r="G65" s="3348"/>
      <c r="H65" s="3348"/>
      <c r="I65" s="3348"/>
      <c r="J65" s="3348"/>
      <c r="K65" s="3348"/>
      <c r="L65" s="3348"/>
      <c r="M65" s="3348"/>
      <c r="N65" s="636"/>
      <c r="O65" s="636"/>
      <c r="P65" s="636"/>
      <c r="Q65" s="636"/>
      <c r="R65" s="636"/>
      <c r="S65" s="636"/>
      <c r="T65" s="20"/>
      <c r="U65" s="3"/>
      <c r="V65" s="4"/>
      <c r="W65" s="2746"/>
      <c r="X65" s="1358"/>
      <c r="Y65" s="1358"/>
      <c r="Z65" s="1358"/>
      <c r="AA65" s="1358"/>
      <c r="AB65" s="1358"/>
      <c r="AC65" s="1358"/>
      <c r="AD65" s="1358"/>
      <c r="AE65" s="1358"/>
      <c r="AF65" s="1358"/>
      <c r="AG65" s="1358"/>
      <c r="AH65" s="1358"/>
      <c r="AI65" s="1358"/>
      <c r="AJ65" s="1358"/>
      <c r="AK65" s="1358"/>
      <c r="AL65" s="1358"/>
      <c r="AM65" s="2156"/>
      <c r="AN65" s="4"/>
      <c r="AO65" s="3052"/>
    </row>
    <row r="66" spans="1:41" ht="12" customHeight="1" x14ac:dyDescent="0.2">
      <c r="A66" s="334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054"/>
    </row>
  </sheetData>
  <sheetProtection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1315" priority="25" stopIfTrue="1" operator="equal">
      <formula>0</formula>
    </cfRule>
  </conditionalFormatting>
  <conditionalFormatting sqref="J23">
    <cfRule type="expression" dxfId="1314" priority="17" stopIfTrue="1">
      <formula>ISNUMBER(SEARCH(Raza,Nephilim))</formula>
    </cfRule>
  </conditionalFormatting>
  <conditionalFormatting sqref="X12">
    <cfRule type="expression" dxfId="1313" priority="2287">
      <formula>$AC$12&gt;=$AA$12</formula>
    </cfRule>
  </conditionalFormatting>
  <conditionalFormatting sqref="X14:AD14">
    <cfRule type="expression" dxfId="1312" priority="1" stopIfTrue="1">
      <formula>AND($AC$12&gt;=$AA$12,$AA$12&gt;0)</formula>
    </cfRule>
    <cfRule type="expression" dxfId="1311" priority="12">
      <formula>$X$14&lt;&gt;""</formula>
    </cfRule>
  </conditionalFormatting>
  <conditionalFormatting sqref="N26:R26">
    <cfRule type="expression" dxfId="1310" priority="7" stopIfTrue="1">
      <formula>$M$26&lt;&gt;"Clase social:"</formula>
    </cfRule>
  </conditionalFormatting>
  <conditionalFormatting sqref="Q23:R23">
    <cfRule type="expression" dxfId="1309" priority="6">
      <formula>$F$23="Humano"</formula>
    </cfRule>
  </conditionalFormatting>
  <conditionalFormatting sqref="N23:P23">
    <cfRule type="expression" dxfId="1308" priority="5">
      <formula>$F$23&lt;&gt;"Humano"</formula>
    </cfRule>
  </conditionalFormatting>
  <conditionalFormatting sqref="AL31">
    <cfRule type="expression" dxfId="1307" priority="3" stopIfTrue="1">
      <formula>$AL$31&gt;VALUE(LEFT($AK$32,LEN($AK$32)-3))</formula>
    </cfRule>
    <cfRule type="expression" dxfId="130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9"/>
    <col min="12" max="16" width="5.7109375" style="21"/>
    <col min="17" max="17" width="9" style="21" bestFit="1" customWidth="1"/>
    <col min="18" max="18" width="3.7109375" style="21" customWidth="1"/>
    <col min="19" max="19" width="1.7109375" style="1051" customWidth="1"/>
    <col min="20" max="20" width="1.7109375" style="1052" customWidth="1"/>
    <col min="21" max="21" width="3.7109375" style="1072"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26" customWidth="1"/>
    <col min="38" max="38" width="1.7109375" style="579" customWidth="1"/>
    <col min="39" max="39" width="5.85546875" style="2663" customWidth="1"/>
    <col min="40" max="40" width="4.5703125" style="682" customWidth="1"/>
    <col min="41" max="43" width="11.140625" style="682" customWidth="1"/>
    <col min="44" max="46" width="11.140625" style="579" customWidth="1"/>
    <col min="47" max="47" width="7.140625" style="579" bestFit="1" customWidth="1"/>
    <col min="48" max="16384" width="5.7109375" style="21"/>
  </cols>
  <sheetData>
    <row r="1" spans="1:47" ht="12" customHeight="1" thickBot="1" x14ac:dyDescent="0.25">
      <c r="A1" s="9"/>
      <c r="B1" s="22"/>
      <c r="C1" s="22"/>
      <c r="D1" s="22"/>
      <c r="E1" s="22"/>
      <c r="F1" s="22"/>
      <c r="G1" s="22"/>
      <c r="H1" s="22"/>
      <c r="I1" s="22"/>
      <c r="J1" s="22"/>
      <c r="K1" s="623"/>
      <c r="L1" s="22"/>
      <c r="M1" s="22"/>
      <c r="N1" s="22"/>
      <c r="O1" s="22"/>
      <c r="P1" s="22"/>
      <c r="Q1" s="22"/>
      <c r="R1" s="23"/>
      <c r="S1" s="1053"/>
      <c r="T1" s="1066"/>
      <c r="U1" s="3"/>
      <c r="V1" s="3"/>
      <c r="W1" s="3"/>
      <c r="X1" s="3"/>
      <c r="Y1" s="3"/>
      <c r="Z1" s="3"/>
      <c r="AA1" s="3"/>
      <c r="AB1" s="3"/>
      <c r="AC1" s="3"/>
      <c r="AD1" s="3"/>
      <c r="AE1" s="3"/>
      <c r="AF1" s="3"/>
      <c r="AG1" s="3"/>
      <c r="AH1" s="3"/>
      <c r="AI1" s="3"/>
      <c r="AJ1" s="3"/>
      <c r="AK1" s="1427"/>
      <c r="AL1" s="637"/>
      <c r="AM1" s="3044" t="s">
        <v>8741</v>
      </c>
      <c r="AN1" s="3055"/>
      <c r="AO1" s="3055"/>
      <c r="AP1" s="3055"/>
      <c r="AQ1" s="3055"/>
      <c r="AR1" s="1737"/>
      <c r="AS1" s="1737"/>
      <c r="AT1" s="1737"/>
      <c r="AU1" s="1737"/>
    </row>
    <row r="2" spans="1:47" ht="12" customHeight="1" thickBot="1" x14ac:dyDescent="0.25">
      <c r="A2" s="9"/>
      <c r="B2" s="672"/>
      <c r="C2" s="673"/>
      <c r="D2" s="626"/>
      <c r="E2" s="626"/>
      <c r="F2" s="626"/>
      <c r="G2" s="626"/>
      <c r="H2" s="626"/>
      <c r="I2" s="626"/>
      <c r="J2" s="626"/>
      <c r="K2" s="627"/>
      <c r="L2" s="626"/>
      <c r="M2" s="626"/>
      <c r="N2" s="626"/>
      <c r="O2" s="626"/>
      <c r="P2" s="626"/>
      <c r="Q2" s="626"/>
      <c r="R2" s="628"/>
      <c r="S2" s="1055" t="s">
        <v>8294</v>
      </c>
      <c r="T2" s="1054">
        <f>Tablas!J1260</f>
        <v>10</v>
      </c>
      <c r="U2" s="1068"/>
      <c r="V2" s="1056"/>
      <c r="W2" s="1056"/>
      <c r="X2" s="1056"/>
      <c r="Y2" s="1056"/>
      <c r="Z2" s="1056"/>
      <c r="AA2" s="1056"/>
      <c r="AB2" s="1056"/>
      <c r="AC2" s="1056"/>
      <c r="AD2" s="1056"/>
      <c r="AE2" s="1056"/>
      <c r="AF2" s="1056"/>
      <c r="AG2" s="1056"/>
      <c r="AH2" s="1056"/>
      <c r="AI2" s="1056"/>
      <c r="AJ2" s="1056"/>
      <c r="AK2" s="1428"/>
      <c r="AL2" s="637"/>
      <c r="AM2" s="3044"/>
      <c r="AN2" s="3055"/>
      <c r="AO2" s="3055"/>
      <c r="AP2" s="3055"/>
      <c r="AQ2" s="3055"/>
      <c r="AR2" s="1737"/>
      <c r="AS2" s="1737"/>
      <c r="AT2" s="1737"/>
      <c r="AU2" s="1737"/>
    </row>
    <row r="3" spans="1:47" ht="12" customHeight="1" thickBot="1" x14ac:dyDescent="0.25">
      <c r="A3" s="9"/>
      <c r="B3" s="489"/>
      <c r="C3" s="3707" t="s">
        <v>10165</v>
      </c>
      <c r="D3" s="3707"/>
      <c r="E3" s="3707"/>
      <c r="F3" s="3707"/>
      <c r="G3" s="3707"/>
      <c r="H3" s="3707"/>
      <c r="I3" s="24"/>
      <c r="J3" s="24"/>
      <c r="K3" s="624"/>
      <c r="L3" s="24"/>
      <c r="M3" s="24"/>
      <c r="N3" s="24"/>
      <c r="O3" s="24"/>
      <c r="P3" s="24"/>
      <c r="Q3" s="25"/>
      <c r="R3" s="629"/>
      <c r="S3" s="1055" t="s">
        <v>8295</v>
      </c>
      <c r="T3" s="1054">
        <f>Tablas!J1261</f>
        <v>10</v>
      </c>
      <c r="U3" s="1069"/>
      <c r="V3" s="3298" t="s">
        <v>10165</v>
      </c>
      <c r="W3" s="3298"/>
      <c r="X3" s="3298"/>
      <c r="Y3" s="3298"/>
      <c r="Z3" s="3298"/>
      <c r="AA3" s="3298"/>
      <c r="AB3" s="6"/>
      <c r="AC3" s="6"/>
      <c r="AD3" s="6"/>
      <c r="AE3" s="6"/>
      <c r="AF3" s="6"/>
      <c r="AG3" s="6"/>
      <c r="AH3" s="6"/>
      <c r="AI3" s="6"/>
      <c r="AJ3" s="7"/>
      <c r="AK3" s="1429"/>
      <c r="AL3" s="637"/>
      <c r="AM3" s="3044" t="s">
        <v>10238</v>
      </c>
      <c r="AN3" s="3055"/>
      <c r="AO3" s="3055"/>
      <c r="AP3" s="3055"/>
      <c r="AQ3" s="3055"/>
      <c r="AR3" s="1737"/>
      <c r="AS3" s="1737"/>
      <c r="AT3" s="1737"/>
      <c r="AU3" s="1737"/>
    </row>
    <row r="4" spans="1:47" ht="12" customHeight="1" thickBot="1" x14ac:dyDescent="0.25">
      <c r="A4" s="9"/>
      <c r="B4" s="816"/>
      <c r="C4" s="3707"/>
      <c r="D4" s="3707"/>
      <c r="E4" s="3707"/>
      <c r="F4" s="3707"/>
      <c r="G4" s="3707"/>
      <c r="H4" s="3707"/>
      <c r="I4" s="2344"/>
      <c r="J4" s="2701" t="s">
        <v>1323</v>
      </c>
      <c r="K4" s="3299" t="str">
        <f>IF(OR(General!$F$22="",General!$F$22=0),"",General!$F$22)</f>
        <v/>
      </c>
      <c r="L4" s="3299"/>
      <c r="M4" s="3299"/>
      <c r="N4" s="3299"/>
      <c r="O4" s="3299"/>
      <c r="P4" s="3299"/>
      <c r="Q4" s="2258"/>
      <c r="R4" s="910"/>
      <c r="S4" s="1049"/>
      <c r="T4" s="1050"/>
      <c r="U4" s="1069"/>
      <c r="V4" s="3298"/>
      <c r="W4" s="3298"/>
      <c r="X4" s="3298"/>
      <c r="Y4" s="3298"/>
      <c r="Z4" s="3298"/>
      <c r="AA4" s="3298"/>
      <c r="AB4" s="3704" t="s">
        <v>1323</v>
      </c>
      <c r="AC4" s="3704"/>
      <c r="AD4" s="3299" t="str">
        <f>IF(OR(General!$F$22="",General!$F$22=0),"",General!$F$22)</f>
        <v/>
      </c>
      <c r="AE4" s="3299"/>
      <c r="AF4" s="3299"/>
      <c r="AG4" s="3299"/>
      <c r="AH4" s="3299"/>
      <c r="AI4" s="3299"/>
      <c r="AJ4" s="10"/>
      <c r="AK4" s="1429"/>
      <c r="AL4" s="637"/>
      <c r="AM4" s="3056">
        <v>60</v>
      </c>
      <c r="AN4" s="3055"/>
      <c r="AO4" s="3055"/>
      <c r="AP4" s="3055"/>
      <c r="AQ4" s="3055"/>
      <c r="AR4" s="1737"/>
      <c r="AS4" s="1737"/>
      <c r="AT4" s="1737"/>
      <c r="AU4" s="1737"/>
    </row>
    <row r="5" spans="1:47" ht="12" customHeight="1" thickBot="1" x14ac:dyDescent="0.25">
      <c r="A5" s="9"/>
      <c r="B5" s="816"/>
      <c r="C5" s="3707"/>
      <c r="D5" s="3707"/>
      <c r="E5" s="3707"/>
      <c r="F5" s="3707"/>
      <c r="G5" s="3707"/>
      <c r="H5" s="3707"/>
      <c r="I5" s="2828"/>
      <c r="J5" s="2829" t="s">
        <v>1324</v>
      </c>
      <c r="K5" s="3159" t="str">
        <f>IF(LEN(PDs!E11)&lt;=AM4,PDs!E11,"… /"&amp;RIGHT(PDs!E11,AM4-FIND("/",RIGHT(PDs!E11,AM4))))</f>
        <v/>
      </c>
      <c r="L5" s="3159"/>
      <c r="M5" s="3159"/>
      <c r="N5" s="3159"/>
      <c r="O5" s="3159"/>
      <c r="P5" s="3159"/>
      <c r="Q5" s="3706"/>
      <c r="R5" s="581"/>
      <c r="S5" s="1049"/>
      <c r="T5" s="1050"/>
      <c r="U5" s="1070"/>
      <c r="V5" s="3298"/>
      <c r="W5" s="3298"/>
      <c r="X5" s="3298"/>
      <c r="Y5" s="3298"/>
      <c r="Z5" s="3298"/>
      <c r="AA5" s="3298"/>
      <c r="AB5" s="3705" t="s">
        <v>1324</v>
      </c>
      <c r="AC5" s="3705"/>
      <c r="AD5" s="3136" t="str">
        <f>IF(LEN(PDs!E11)&lt;=AM6,PDs!E11,"… /"&amp;RIGHT(PDs!E11,AM6-FIND("/",RIGHT(PDs!E11,AM6))))</f>
        <v/>
      </c>
      <c r="AE5" s="3136"/>
      <c r="AF5" s="3136"/>
      <c r="AG5" s="3136"/>
      <c r="AH5" s="2534" t="s">
        <v>1325</v>
      </c>
      <c r="AI5" s="2535" t="str">
        <f>$O$6</f>
        <v>0</v>
      </c>
      <c r="AJ5" s="11"/>
      <c r="AK5" s="1429"/>
      <c r="AL5" s="637"/>
      <c r="AM5" s="3057" t="s">
        <v>10239</v>
      </c>
      <c r="AN5" s="3055"/>
      <c r="AO5" s="3055"/>
      <c r="AP5" s="3055"/>
      <c r="AQ5" s="3055"/>
      <c r="AR5" s="1737"/>
      <c r="AS5" s="1737"/>
      <c r="AT5" s="1737"/>
      <c r="AU5" s="1737"/>
    </row>
    <row r="6" spans="1:47" ht="12" customHeight="1" thickBot="1" x14ac:dyDescent="0.25">
      <c r="A6" s="9"/>
      <c r="B6" s="816"/>
      <c r="C6" s="3707"/>
      <c r="D6" s="3707"/>
      <c r="E6" s="3707"/>
      <c r="F6" s="3707"/>
      <c r="G6" s="3707"/>
      <c r="H6" s="3707"/>
      <c r="I6" s="2344"/>
      <c r="J6" s="2829" t="s">
        <v>1361</v>
      </c>
      <c r="K6" s="2781">
        <f>MIN(IF(Raza="Criatura",45,IF(OR(Raza="Jayán",AND(Raza="Turak",COUNTIF(Cercanía_Dragón,"Descomunales"))),24,22)),AS21)</f>
        <v>1</v>
      </c>
      <c r="L6" s="3136" t="str">
        <f>IF(Raza="Criatura",VLOOKUP(Tamaño,Tabla_CreaciónSeres,2),IF(AND(OR(Raza="Jayán",AND(Raza="Turak",COUNTIF(Cercanía_Dragón,"Descomunales"))),Tamaño&gt;22),"Grande","Medio"))</f>
        <v>Medio</v>
      </c>
      <c r="M6" s="3136"/>
      <c r="N6" s="2830" t="s">
        <v>1325</v>
      </c>
      <c r="O6" s="2535" t="str">
        <f>PDs!R17&amp;IF(Principal!AA27=0,""," + "&amp;Principal!AA27)</f>
        <v>0</v>
      </c>
      <c r="P6" s="2578"/>
      <c r="Q6" s="28"/>
      <c r="R6" s="629"/>
      <c r="S6" s="1049"/>
      <c r="T6" s="1050"/>
      <c r="U6" s="1069"/>
      <c r="V6" s="3298"/>
      <c r="W6" s="3298"/>
      <c r="X6" s="3298"/>
      <c r="Y6" s="3298"/>
      <c r="Z6" s="3298"/>
      <c r="AA6" s="3298"/>
      <c r="AB6" s="2738"/>
      <c r="AC6" s="3293" t="s">
        <v>1362</v>
      </c>
      <c r="AD6" s="3293"/>
      <c r="AE6" s="3293"/>
      <c r="AF6" s="3293"/>
      <c r="AG6" s="3293"/>
      <c r="AH6" s="3293"/>
      <c r="AI6" s="3293"/>
      <c r="AJ6" s="11"/>
      <c r="AK6" s="1429"/>
      <c r="AL6" s="637"/>
      <c r="AM6" s="3056">
        <v>48</v>
      </c>
      <c r="AN6" s="3055"/>
      <c r="AO6" s="3055"/>
      <c r="AP6" s="3058"/>
      <c r="AQ6" s="3058"/>
      <c r="AR6" s="1737"/>
      <c r="AS6" s="1737"/>
      <c r="AT6" s="1737"/>
      <c r="AU6" s="1737"/>
    </row>
    <row r="7" spans="1:47" ht="12" customHeight="1" thickBot="1" x14ac:dyDescent="0.25">
      <c r="A7" s="9"/>
      <c r="B7" s="816"/>
      <c r="C7" s="3707"/>
      <c r="D7" s="3707"/>
      <c r="E7" s="3707"/>
      <c r="F7" s="3707"/>
      <c r="G7" s="3707"/>
      <c r="H7" s="3707"/>
      <c r="I7" s="2344"/>
      <c r="J7" s="2831" t="s">
        <v>1363</v>
      </c>
      <c r="K7" s="3136" t="str">
        <f>TipoDeCriatura&amp;IF(AND(TipoDeCriatura="Natural",NOT(Raza=0)),", "&amp;Raza&amp;" ","")&amp;IF(Nephilim="",""," ("&amp;Nephilim&amp;")")&amp;" "&amp;Principal!AB13</f>
        <v>Natural 10</v>
      </c>
      <c r="L7" s="3136"/>
      <c r="M7" s="3136"/>
      <c r="N7" s="3136"/>
      <c r="O7" s="3136"/>
      <c r="P7" s="3136"/>
      <c r="Q7" s="28"/>
      <c r="R7" s="629"/>
      <c r="S7" s="1049"/>
      <c r="T7" s="1050"/>
      <c r="U7" s="1069"/>
      <c r="V7" s="3298"/>
      <c r="W7" s="3298"/>
      <c r="X7" s="3298"/>
      <c r="Y7" s="3298"/>
      <c r="Z7" s="3298"/>
      <c r="AA7" s="3298"/>
      <c r="AB7" s="2738"/>
      <c r="AC7" s="3293"/>
      <c r="AD7" s="3293"/>
      <c r="AE7" s="3293"/>
      <c r="AF7" s="3293"/>
      <c r="AG7" s="3293"/>
      <c r="AH7" s="3293"/>
      <c r="AI7" s="3293"/>
      <c r="AJ7" s="11"/>
      <c r="AK7" s="1429"/>
      <c r="AL7" s="637"/>
      <c r="AM7" s="3044"/>
      <c r="AN7" s="3055"/>
      <c r="AO7" s="3055"/>
      <c r="AP7" s="3055"/>
      <c r="AQ7" s="3055"/>
      <c r="AR7" s="1737"/>
      <c r="AS7" s="1737"/>
      <c r="AT7" s="1737"/>
      <c r="AU7" s="1737"/>
    </row>
    <row r="8" spans="1:47" ht="12" customHeight="1" thickBot="1" x14ac:dyDescent="0.25">
      <c r="A8" s="9"/>
      <c r="B8" s="816"/>
      <c r="C8" s="3707"/>
      <c r="D8" s="3707"/>
      <c r="E8" s="3707"/>
      <c r="F8" s="3707"/>
      <c r="G8" s="3707"/>
      <c r="H8" s="3707"/>
      <c r="I8" s="30"/>
      <c r="J8" s="30"/>
      <c r="K8" s="625"/>
      <c r="L8" s="30"/>
      <c r="M8" s="30"/>
      <c r="N8" s="30"/>
      <c r="O8" s="30"/>
      <c r="P8" s="30"/>
      <c r="Q8" s="31"/>
      <c r="R8" s="629"/>
      <c r="S8" s="1049"/>
      <c r="T8" s="1050"/>
      <c r="U8" s="1069"/>
      <c r="V8" s="3298"/>
      <c r="W8" s="3298"/>
      <c r="X8" s="3298"/>
      <c r="Y8" s="3298"/>
      <c r="Z8" s="3298"/>
      <c r="AA8" s="3298"/>
      <c r="AB8" s="12"/>
      <c r="AC8" s="32"/>
      <c r="AD8" s="32"/>
      <c r="AE8" s="32"/>
      <c r="AF8" s="32"/>
      <c r="AG8" s="32"/>
      <c r="AH8" s="32"/>
      <c r="AI8" s="32"/>
      <c r="AJ8" s="33"/>
      <c r="AK8" s="1429"/>
      <c r="AL8" s="637"/>
      <c r="AM8" s="3044"/>
      <c r="AN8" s="3055"/>
      <c r="AO8" s="3057"/>
      <c r="AP8" s="3055"/>
      <c r="AQ8" s="3059" t="s">
        <v>8454</v>
      </c>
      <c r="AR8" s="3055"/>
      <c r="AS8" s="3055"/>
      <c r="AT8" s="1737"/>
      <c r="AU8" s="1737"/>
    </row>
    <row r="9" spans="1:47" ht="12" customHeight="1" thickBot="1" x14ac:dyDescent="0.25">
      <c r="A9" s="9"/>
      <c r="B9" s="908"/>
      <c r="C9" s="2832"/>
      <c r="D9" s="2832"/>
      <c r="E9" s="2832"/>
      <c r="F9" s="2832"/>
      <c r="G9" s="2832"/>
      <c r="H9" s="2832"/>
      <c r="I9" s="2832"/>
      <c r="J9" s="2832"/>
      <c r="K9" s="2833"/>
      <c r="L9" s="2832"/>
      <c r="M9" s="2832"/>
      <c r="N9" s="2832"/>
      <c r="O9" s="2832"/>
      <c r="P9" s="2832"/>
      <c r="Q9" s="2832"/>
      <c r="R9" s="629"/>
      <c r="S9" s="1049"/>
      <c r="T9" s="1050"/>
      <c r="U9" s="1069"/>
      <c r="V9" s="2814"/>
      <c r="W9" s="2814"/>
      <c r="X9" s="2814"/>
      <c r="Y9" s="2815"/>
      <c r="Z9" s="2815"/>
      <c r="AA9" s="2815"/>
      <c r="AB9" s="2815"/>
      <c r="AC9" s="2815"/>
      <c r="AD9" s="2815"/>
      <c r="AE9" s="2815"/>
      <c r="AF9" s="2815"/>
      <c r="AG9" s="2815"/>
      <c r="AH9" s="2814"/>
      <c r="AI9" s="2814"/>
      <c r="AJ9" s="2814"/>
      <c r="AK9" s="1429"/>
      <c r="AL9" s="637"/>
      <c r="AM9" s="3044"/>
      <c r="AN9" s="3060"/>
      <c r="AO9" s="3055" t="s">
        <v>1365</v>
      </c>
      <c r="AP9" s="3055"/>
      <c r="AQ9" s="3059" t="s">
        <v>7198</v>
      </c>
      <c r="AR9" s="3055" t="s">
        <v>7203</v>
      </c>
      <c r="AS9" s="3055" t="s">
        <v>7204</v>
      </c>
      <c r="AT9" s="1737"/>
      <c r="AU9" s="1737"/>
    </row>
    <row r="10" spans="1:47" ht="12" customHeight="1" thickBot="1" x14ac:dyDescent="0.25">
      <c r="A10" s="9"/>
      <c r="B10" s="909"/>
      <c r="C10" s="3716" t="s">
        <v>1364</v>
      </c>
      <c r="D10" s="2834" t="str">
        <f>SUM(E11:E18)+COUNTIF(E11:E18,10)&amp;" pts"</f>
        <v>0 pts</v>
      </c>
      <c r="E10" s="2835" t="s">
        <v>1365</v>
      </c>
      <c r="F10" s="1585" t="s">
        <v>1366</v>
      </c>
      <c r="G10" s="2836" t="s">
        <v>1349</v>
      </c>
      <c r="H10" s="2837" t="s">
        <v>1367</v>
      </c>
      <c r="I10" s="2409"/>
      <c r="J10" s="3639" t="s">
        <v>1368</v>
      </c>
      <c r="K10" s="3460"/>
      <c r="L10" s="3703"/>
      <c r="M10" s="2409"/>
      <c r="N10" s="3631" t="s">
        <v>1369</v>
      </c>
      <c r="O10" s="3631"/>
      <c r="P10" s="3631"/>
      <c r="Q10" s="3631"/>
      <c r="R10" s="911"/>
      <c r="S10" s="1049"/>
      <c r="T10" s="1050"/>
      <c r="U10" s="1070"/>
      <c r="V10" s="3375" t="s">
        <v>1370</v>
      </c>
      <c r="W10" s="3376"/>
      <c r="X10" s="3376"/>
      <c r="Y10" s="3376"/>
      <c r="Z10" s="3376"/>
      <c r="AA10" s="3376"/>
      <c r="AB10" s="3377"/>
      <c r="AC10" s="2409"/>
      <c r="AD10" s="3700" t="s">
        <v>1371</v>
      </c>
      <c r="AE10" s="3460"/>
      <c r="AF10" s="3460"/>
      <c r="AG10" s="3460"/>
      <c r="AH10" s="3701" t="s">
        <v>1372</v>
      </c>
      <c r="AI10" s="3702"/>
      <c r="AJ10" s="2816">
        <f>SUM(AJ12:AJ23)+IF(OR(TipoDeCriatura="Ánima",TipoDeCriatura="Ánima, Elemental",TipoDeCriatura="No muerto, Espectro"),100,0)+AJ27</f>
        <v>0</v>
      </c>
      <c r="AK10" s="1430"/>
      <c r="AL10" s="637"/>
      <c r="AM10" s="3044"/>
      <c r="AN10" s="3055"/>
      <c r="AO10" s="3059" t="s">
        <v>7199</v>
      </c>
      <c r="AP10" s="3055" t="s">
        <v>10042</v>
      </c>
      <c r="AQ10" s="3059" t="s">
        <v>7201</v>
      </c>
      <c r="AR10" s="3059" t="s">
        <v>10247</v>
      </c>
      <c r="AS10" s="3059" t="s">
        <v>10246</v>
      </c>
      <c r="AT10" s="3055" t="s">
        <v>7214</v>
      </c>
      <c r="AU10" s="3055" t="s">
        <v>10043</v>
      </c>
    </row>
    <row r="11" spans="1:47" ht="12" customHeight="1" thickBot="1" x14ac:dyDescent="0.25">
      <c r="A11" s="9"/>
      <c r="B11" s="909"/>
      <c r="C11" s="3717"/>
      <c r="D11" s="1572" t="s">
        <v>1373</v>
      </c>
      <c r="E11" s="2785"/>
      <c r="F11" s="1724"/>
      <c r="G11" s="2838">
        <f>MIN(20,MAX(0,AS11+F11))</f>
        <v>0</v>
      </c>
      <c r="H11" s="546">
        <f>IF(G11&lt;1,0,VLOOKUP(G11,Tablas!$C$14:$D$33,2))</f>
        <v>0</v>
      </c>
      <c r="I11" s="2409"/>
      <c r="J11" s="3708">
        <f>MIN(20,IF(COUNTIF(AB42:AE69,"Degeneración")&gt;0,0,AS19+L13))</f>
        <v>0</v>
      </c>
      <c r="K11" s="3681" t="str">
        <f>INDEX(Tabla_Regen,M11,3)&amp;INDEX(Tabla_Regen,M11,4)</f>
        <v>Ninguna</v>
      </c>
      <c r="L11" s="3682"/>
      <c r="M11" s="2825">
        <f>MATCH(J11,INDEX(Tabla_Regen,,2),0)</f>
        <v>1</v>
      </c>
      <c r="N11" s="3683">
        <f>PDs!Z188</f>
        <v>20</v>
      </c>
      <c r="O11" s="3683"/>
      <c r="P11" s="3638"/>
      <c r="Q11" s="3638"/>
      <c r="R11" s="911"/>
      <c r="S11" s="1049"/>
      <c r="T11" s="1050"/>
      <c r="U11" s="1070"/>
      <c r="V11" s="3692" t="s">
        <v>1374</v>
      </c>
      <c r="W11" s="3693"/>
      <c r="X11" s="3694"/>
      <c r="Y11" s="3698" t="s">
        <v>1972</v>
      </c>
      <c r="Z11" s="3698"/>
      <c r="AA11" s="3698"/>
      <c r="AB11" s="3699"/>
      <c r="AC11" s="2409"/>
      <c r="AD11" s="3478" t="s">
        <v>9298</v>
      </c>
      <c r="AE11" s="3479"/>
      <c r="AF11" s="3479"/>
      <c r="AG11" s="3479" t="s">
        <v>7330</v>
      </c>
      <c r="AH11" s="3470"/>
      <c r="AI11" s="1582" t="s">
        <v>1376</v>
      </c>
      <c r="AJ11" s="2817" t="s">
        <v>1377</v>
      </c>
      <c r="AK11" s="1430"/>
      <c r="AL11" s="637"/>
      <c r="AM11" s="3044" t="s">
        <v>8291</v>
      </c>
      <c r="AN11" s="3055" t="s">
        <v>1373</v>
      </c>
      <c r="AO11" s="3061">
        <f t="shared" ref="AO11:AO18" si="0">E11+HLOOKUP(D11,Bonos_Raza_Base,2,FALSE)</f>
        <v>0</v>
      </c>
      <c r="AP11" s="3055">
        <f>Tablas!G242</f>
        <v>0</v>
      </c>
      <c r="AQ11" s="3061">
        <f>AO11+Tablas!F242+AP11+Tablas!J1266</f>
        <v>0</v>
      </c>
      <c r="AR11" s="3061">
        <f>Bono_IncremTotal+IF(ISNUMBER(FIND(D11,PodPsi_IncremHab)),'Tablas psiquica'!$AH$57,FALSE)</f>
        <v>0</v>
      </c>
      <c r="AS11" s="3061">
        <f>IF(AQ11&lt;10,MIN(10,AR11+AQ11)+TRUNC(MAX(0,(AR11+AQ11-10)/2,0)),AQ11+TRUNC(AR11/2,0))</f>
        <v>0</v>
      </c>
      <c r="AT11" s="3061">
        <f>IF(AQ11&lt;10,MIN(10,(AR11-IF(ISNUMBER(FIND(D11,PodPsi_IncremHab)),'Tablas psiquica'!$AH$57,FALSE))+AQ11)+TRUNC(MAX(0,((AR11-IF(ISNUMBER(FIND(D11,PodPsi_IncremHab)),'Tablas psiquica'!$AH$57,FALSE))+AQ11-10)/2,0)),AQ11+TRUNC((AR11-IF(ISNUMBER(FIND(D11,PodPsi_IncremHab)),'Tablas psiquica'!$AH$57,FALSE))/2,0))</f>
        <v>0</v>
      </c>
      <c r="AU11" s="1737" t="b">
        <f>E11+AP11&gt;IF(Raza="Criatura",Tablas!$J$1260,11)</f>
        <v>0</v>
      </c>
    </row>
    <row r="12" spans="1:47" ht="12" customHeight="1" thickBot="1" x14ac:dyDescent="0.25">
      <c r="A12" s="9"/>
      <c r="B12" s="909"/>
      <c r="C12" s="3717"/>
      <c r="D12" s="1573" t="str">
        <f>IF(OR($Y$11="Ánima",$Y$11="Ánima, Elemental",$Y$11="No muerto, Espectro"),"-","CON")</f>
        <v>CON</v>
      </c>
      <c r="E12" s="2782"/>
      <c r="F12" s="1725"/>
      <c r="G12" s="2838">
        <f>MIN(20,MAX(0,IF(OR(TipoDeCriatura="Ánima",TipoDeCriatura="Ánima, Elemental",TipoDeCriatura="No muerto, Espectro"),POD,AS12+F12)))</f>
        <v>0</v>
      </c>
      <c r="H12" s="546">
        <f>IF(G12&lt;1,0,VLOOKUP(G12,Tablas!$C$14:$D$33,2))</f>
        <v>0</v>
      </c>
      <c r="I12" s="2839"/>
      <c r="J12" s="3708"/>
      <c r="K12" s="3679" t="str">
        <f>IF(Tablas!$S$1467=0,INDEX(Tabla_Regen,MATCH(J11,INDEX(Tabla_Regen,,2),0),5),Tablas!$S$1467&amp;" PV al día")</f>
        <v>Ninguna</v>
      </c>
      <c r="L12" s="3680"/>
      <c r="M12" s="2409"/>
      <c r="N12" s="3683"/>
      <c r="O12" s="3683"/>
      <c r="P12" s="3638"/>
      <c r="Q12" s="3638"/>
      <c r="R12" s="911"/>
      <c r="S12" s="1049"/>
      <c r="T12" s="1050"/>
      <c r="U12" s="1070"/>
      <c r="V12" s="3692"/>
      <c r="W12" s="3693"/>
      <c r="X12" s="3694"/>
      <c r="Y12" s="3698"/>
      <c r="Z12" s="3698"/>
      <c r="AA12" s="3698"/>
      <c r="AB12" s="3699"/>
      <c r="AC12" s="2409"/>
      <c r="AD12" s="3480"/>
      <c r="AE12" s="3481"/>
      <c r="AF12" s="3481"/>
      <c r="AG12" s="3482"/>
      <c r="AH12" s="3483"/>
      <c r="AI12" s="959" t="str">
        <f t="shared" ref="AI12:AI23" si="1">IF(AD12="","",VLOOKUP(AD12&amp;IF(AG12="",""," "&amp;AG12),Tabla_HabEsenciales,2,FALSE))</f>
        <v/>
      </c>
      <c r="AJ12" s="518" t="str">
        <f t="shared" ref="AJ12:AJ23" si="2">IF(AD12="","",VLOOKUP(AD12&amp;IF(AG12="",""," "&amp;AG12),Tabla_HabEsenciales,3,FALSE))</f>
        <v/>
      </c>
      <c r="AK12" s="1429" t="str">
        <f t="shared" ref="AK12:AK23" si="3">SUBSTITUTE(IF(AD12="","",VLOOKUP(AD12,Tabla_Listas_PodHabMonstruo,3,FALSE)),".","")</f>
        <v/>
      </c>
      <c r="AL12" s="637"/>
      <c r="AM12" s="3044" t="str">
        <f t="shared" ref="AM12:AM23" si="4">AD12&amp;IF(AG12="",""," "&amp;AG12)</f>
        <v/>
      </c>
      <c r="AN12" s="3055" t="str">
        <f>IF(OR($Y$11="Ánima",$Y$11="Ánima, Elemental",$Y$11="No muerto, Espectro"),"-","CON")</f>
        <v>CON</v>
      </c>
      <c r="AO12" s="3061">
        <f>IF(OR(TipoDeCriatura="Ánima",TipoDeCriatura="Ánima, Elemental",TipoDeCriatura="No muerto, Espectro"),E17+HLOOKUP(D17,Bonos_Raza_Base,2,FALSE),E12+HLOOKUP(D12,Bonos_Raza_Base,2,FALSE))</f>
        <v>0</v>
      </c>
      <c r="AP12" s="3055">
        <f>Tablas!G243</f>
        <v>0</v>
      </c>
      <c r="AQ12" s="3061">
        <f>AO12+Tablas!F243+AP12+Tablas!J1267</f>
        <v>0</v>
      </c>
      <c r="AR12" s="3061">
        <f>Bono_IncremTotal</f>
        <v>0</v>
      </c>
      <c r="AS12" s="3061">
        <f>IF(AQ12&lt;10,MIN(10,AR12+AQ12)+TRUNC(MAX(0,(AR12+AQ12-10)/2,0)),AQ12+TRUNC(AR12/2,0))</f>
        <v>0</v>
      </c>
      <c r="AT12" s="3061"/>
      <c r="AU12" s="1737" t="b">
        <f>E12+AP12&gt;IF(Raza="Criatura",Tablas!$J$1260,11)</f>
        <v>0</v>
      </c>
    </row>
    <row r="13" spans="1:47" ht="12" customHeight="1" thickBot="1" x14ac:dyDescent="0.25">
      <c r="A13" s="9"/>
      <c r="B13" s="909"/>
      <c r="C13" s="3717"/>
      <c r="D13" s="1573" t="s">
        <v>1378</v>
      </c>
      <c r="E13" s="2782"/>
      <c r="F13" s="1725"/>
      <c r="G13" s="2838">
        <f t="shared" ref="G13:G18" si="5">MIN(20,MAX(0,AS13+F13))</f>
        <v>0</v>
      </c>
      <c r="H13" s="546">
        <f>IF(G13&lt;1,0,VLOOKUP(G13,Tablas!$C$14:$D$33,2))</f>
        <v>0</v>
      </c>
      <c r="I13" s="2839"/>
      <c r="J13" s="3684" t="s">
        <v>1379</v>
      </c>
      <c r="K13" s="3492"/>
      <c r="L13" s="2282"/>
      <c r="M13" s="2409"/>
      <c r="N13" s="3683"/>
      <c r="O13" s="3683"/>
      <c r="P13" s="3638"/>
      <c r="Q13" s="3638"/>
      <c r="R13" s="911"/>
      <c r="S13" s="1049"/>
      <c r="T13" s="1050"/>
      <c r="U13" s="1070"/>
      <c r="V13" s="3685" t="s">
        <v>1380</v>
      </c>
      <c r="W13" s="3686"/>
      <c r="X13" s="3686"/>
      <c r="Y13" s="1578" t="s">
        <v>1381</v>
      </c>
      <c r="Z13" s="1579"/>
      <c r="AA13" s="1580" t="s">
        <v>1382</v>
      </c>
      <c r="AB13" s="1599">
        <v>10</v>
      </c>
      <c r="AC13" s="2409"/>
      <c r="AD13" s="3484"/>
      <c r="AE13" s="3485"/>
      <c r="AF13" s="3485"/>
      <c r="AG13" s="3486"/>
      <c r="AH13" s="3487"/>
      <c r="AI13" s="1026" t="str">
        <f t="shared" si="1"/>
        <v/>
      </c>
      <c r="AJ13" s="518" t="str">
        <f t="shared" si="2"/>
        <v/>
      </c>
      <c r="AK13" s="1429" t="str">
        <f t="shared" si="3"/>
        <v/>
      </c>
      <c r="AL13" s="637"/>
      <c r="AM13" s="3044" t="str">
        <f t="shared" si="4"/>
        <v/>
      </c>
      <c r="AN13" s="3055" t="s">
        <v>1378</v>
      </c>
      <c r="AO13" s="3061">
        <f t="shared" si="0"/>
        <v>0</v>
      </c>
      <c r="AP13" s="3055">
        <f>Tablas!G244</f>
        <v>0</v>
      </c>
      <c r="AQ13" s="3061">
        <f>AO13+Tablas!F244+AP13+Tablas!J1268+Tablas!K1807+Tablas!$K$1887</f>
        <v>0</v>
      </c>
      <c r="AR13" s="3061">
        <f>Bono_IncremTotal+IF(ISNUMBER(FIND(D13,PodPsi_IncremHab)),'Tablas psiquica'!$AH$57,FALSE)</f>
        <v>0</v>
      </c>
      <c r="AS13" s="3061">
        <f>IF(AQ13&lt;10,MIN(10,AR13+AQ13)+TRUNC(MAX(0,(AR13+AQ13-10)/2,0)),AQ13+TRUNC(AR13/2,0))</f>
        <v>0</v>
      </c>
      <c r="AT13" s="3061"/>
      <c r="AU13" s="1737" t="b">
        <f>E13+AP13&gt;IF(Raza="Criatura",Tablas!$J$1260,11)</f>
        <v>0</v>
      </c>
    </row>
    <row r="14" spans="1:47" ht="12" customHeight="1" thickBot="1" x14ac:dyDescent="0.25">
      <c r="A14" s="9"/>
      <c r="B14" s="909"/>
      <c r="C14" s="3717"/>
      <c r="D14" s="1573" t="s">
        <v>1383</v>
      </c>
      <c r="E14" s="2782"/>
      <c r="F14" s="1725"/>
      <c r="G14" s="2838">
        <f t="shared" si="5"/>
        <v>0</v>
      </c>
      <c r="H14" s="546">
        <f>IF(G14&lt;1,0,VLOOKUP(G14,Tablas!$C$14:$D$33,2))</f>
        <v>0</v>
      </c>
      <c r="I14" s="2839"/>
      <c r="J14" s="2839"/>
      <c r="K14" s="2825"/>
      <c r="L14" s="2409"/>
      <c r="M14" s="2409"/>
      <c r="N14" s="6542" t="str">
        <f>IF(Tablas!$G$535&gt;0," Endeble con: "&amp;TRUNC(N11/3)&amp;" PVs ","")&amp;IF(Tablas!$G$359&gt;0," Al límite con: "&amp;TRUNC(N11/4)&amp;" PVs ","")</f>
        <v/>
      </c>
      <c r="O14" s="6542"/>
      <c r="P14" s="6542"/>
      <c r="Q14" s="6542"/>
      <c r="R14" s="912"/>
      <c r="S14" s="1049"/>
      <c r="T14" s="1050"/>
      <c r="U14" s="1070"/>
      <c r="V14" s="3687" t="s">
        <v>1384</v>
      </c>
      <c r="W14" s="3688"/>
      <c r="X14" s="3688"/>
      <c r="Y14" s="1581" t="s">
        <v>1381</v>
      </c>
      <c r="Z14" s="2818"/>
      <c r="AA14" s="2819" t="s">
        <v>1385</v>
      </c>
      <c r="AB14" s="2820">
        <f>IF(TipoDeCriatura="Natural",MAX(Principal!AB13-HLOOKUP("Natura",Bonos_Raza_Base,2,FALSE),0),"-")</f>
        <v>10</v>
      </c>
      <c r="AC14" s="2409"/>
      <c r="AD14" s="3484"/>
      <c r="AE14" s="3485"/>
      <c r="AF14" s="3485"/>
      <c r="AG14" s="3486"/>
      <c r="AH14" s="3487"/>
      <c r="AI14" s="1026" t="str">
        <f t="shared" si="1"/>
        <v/>
      </c>
      <c r="AJ14" s="518" t="str">
        <f t="shared" si="2"/>
        <v/>
      </c>
      <c r="AK14" s="1429" t="str">
        <f t="shared" si="3"/>
        <v/>
      </c>
      <c r="AL14" s="637"/>
      <c r="AM14" s="3044" t="str">
        <f t="shared" si="4"/>
        <v/>
      </c>
      <c r="AN14" s="3055" t="s">
        <v>1383</v>
      </c>
      <c r="AO14" s="3061">
        <f>E14+HLOOKUP(D14,Bonos_Raza_Base,2,FALSE)</f>
        <v>0</v>
      </c>
      <c r="AP14" s="3055">
        <f>Tablas!G245</f>
        <v>0</v>
      </c>
      <c r="AQ14" s="3061">
        <f>AO14+Tablas!F245+AP14+Tablas!J1269+Tablas!$K$1887</f>
        <v>0</v>
      </c>
      <c r="AR14" s="3062">
        <f>Bono_IncremTotal+'Tablas psiquica'!$AH$54</f>
        <v>0</v>
      </c>
      <c r="AS14" s="3061">
        <f>IF(AQ14&lt;10,MIN(10,AR14+AQ14)+TRUNC(MAX(0,(AR14+AQ14-10)/2,0)),AQ14+TRUNC(AR14/2,0))</f>
        <v>0</v>
      </c>
      <c r="AT14" s="3061"/>
      <c r="AU14" s="1737" t="b">
        <f>E14+AP14&gt;IF(Raza="Criatura",Tablas!$J$1260,11)</f>
        <v>0</v>
      </c>
    </row>
    <row r="15" spans="1:47" ht="12" customHeight="1" thickBot="1" x14ac:dyDescent="0.25">
      <c r="A15" s="9"/>
      <c r="B15" s="909"/>
      <c r="C15" s="3717"/>
      <c r="D15" s="1573" t="s">
        <v>1386</v>
      </c>
      <c r="E15" s="2782"/>
      <c r="F15" s="1725"/>
      <c r="G15" s="2838">
        <f t="shared" si="5"/>
        <v>0</v>
      </c>
      <c r="H15" s="546">
        <f>IF(G15&lt;1,0,VLOOKUP(G15,Tablas!$C$14:$D$33,2))</f>
        <v>0</v>
      </c>
      <c r="I15" s="2419"/>
      <c r="J15" s="3689" t="s">
        <v>1387</v>
      </c>
      <c r="K15" s="3690"/>
      <c r="L15" s="3691"/>
      <c r="M15" s="2409"/>
      <c r="N15" s="3631" t="s">
        <v>1388</v>
      </c>
      <c r="O15" s="3631"/>
      <c r="P15" s="3631"/>
      <c r="Q15" s="3631"/>
      <c r="R15" s="911"/>
      <c r="S15" s="1049"/>
      <c r="T15" s="1050"/>
      <c r="U15" s="1070"/>
      <c r="V15" s="3695" t="str">
        <f>IF(TipoDeCriatura="Natural",IF(AB14=0,"Sin tirada abierta",IF(AB14&gt;14,"Tirada abierta adicional","")),"")&amp;IF(TipoDeCriatura="Natural",IF(AB14&gt;19,", Núcleo trascendental",""),"")</f>
        <v/>
      </c>
      <c r="W15" s="3696"/>
      <c r="X15" s="3696"/>
      <c r="Y15" s="3696"/>
      <c r="Z15" s="3696"/>
      <c r="AA15" s="3696"/>
      <c r="AB15" s="3697"/>
      <c r="AC15" s="2412"/>
      <c r="AD15" s="3484"/>
      <c r="AE15" s="3485"/>
      <c r="AF15" s="3485"/>
      <c r="AG15" s="3486"/>
      <c r="AH15" s="3487"/>
      <c r="AI15" s="1026" t="str">
        <f t="shared" si="1"/>
        <v/>
      </c>
      <c r="AJ15" s="518" t="str">
        <f t="shared" si="2"/>
        <v/>
      </c>
      <c r="AK15" s="1429" t="str">
        <f t="shared" si="3"/>
        <v/>
      </c>
      <c r="AL15" s="637"/>
      <c r="AM15" s="3044" t="str">
        <f t="shared" si="4"/>
        <v/>
      </c>
      <c r="AN15" s="3055" t="s">
        <v>1386</v>
      </c>
      <c r="AO15" s="3061">
        <f t="shared" si="0"/>
        <v>0</v>
      </c>
      <c r="AP15" s="3055">
        <f>Tablas!G246</f>
        <v>0</v>
      </c>
      <c r="AQ15" s="3061">
        <f>AO15+Tablas!F246+AP15+Tablas!J1270</f>
        <v>0</v>
      </c>
      <c r="AR15" s="3061"/>
      <c r="AS15" s="3061">
        <f>AQ15+Tablas!$K$1820+Personalización!$N$91</f>
        <v>0</v>
      </c>
      <c r="AT15" s="3061"/>
      <c r="AU15" s="1737" t="b">
        <f>E15+AP15&gt;IF(Raza="Criatura",Tablas!$J$1261,12)</f>
        <v>0</v>
      </c>
    </row>
    <row r="16" spans="1:47" ht="12" customHeight="1" thickBot="1" x14ac:dyDescent="0.25">
      <c r="A16" s="9"/>
      <c r="B16" s="909"/>
      <c r="C16" s="3717"/>
      <c r="D16" s="1573" t="s">
        <v>1389</v>
      </c>
      <c r="E16" s="2782"/>
      <c r="F16" s="1725"/>
      <c r="G16" s="2838">
        <f t="shared" si="5"/>
        <v>0</v>
      </c>
      <c r="H16" s="546">
        <f>IF(G16&lt;1,0,VLOOKUP(G16,Tablas!$C$14:$D$33,2))</f>
        <v>0</v>
      </c>
      <c r="I16" s="2419"/>
      <c r="J16" s="3708">
        <f>MIN(20,IF(J18="",VLOOKUP("Suelo",Tablas!$S$58:$U$64,3,FALSE),VLOOKUP(J18,Tablas!$S$58:$U$64,3,FALSE)))</f>
        <v>1</v>
      </c>
      <c r="K16" s="1583" t="s">
        <v>1390</v>
      </c>
      <c r="L16" s="1587">
        <f>Combate!E16+IF(General!AL31&gt;VALUE(LEFT(General!AH32,LEN(General!AH32)-3)),2,0)+IF(General!AL31&gt;VALUE(LEFT(General!AK32,LEN(General!AK32)-3)),3,0)-TRUNC((IF(Combate!AD14&lt;0,Combate!AD14,0)+IF(Combate!AF14&lt;0,Combate!AF14,0))/20)</f>
        <v>0</v>
      </c>
      <c r="M16" s="2409"/>
      <c r="N16" s="3734">
        <f>IF(Incansable,0,AS22)+O18</f>
        <v>0</v>
      </c>
      <c r="O16" s="3734"/>
      <c r="P16" s="3638"/>
      <c r="Q16" s="3638"/>
      <c r="R16" s="911"/>
      <c r="S16" s="1049"/>
      <c r="T16" s="1050"/>
      <c r="U16" s="1070"/>
      <c r="V16" s="364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47"/>
      <c r="X16" s="3647"/>
      <c r="Y16" s="3647"/>
      <c r="Z16" s="3647"/>
      <c r="AA16" s="3647"/>
      <c r="AB16" s="3648"/>
      <c r="AC16" s="2409"/>
      <c r="AD16" s="3484"/>
      <c r="AE16" s="3485"/>
      <c r="AF16" s="3485"/>
      <c r="AG16" s="3486"/>
      <c r="AH16" s="3487"/>
      <c r="AI16" s="1026" t="str">
        <f t="shared" si="1"/>
        <v/>
      </c>
      <c r="AJ16" s="518" t="str">
        <f t="shared" si="2"/>
        <v/>
      </c>
      <c r="AK16" s="1429" t="str">
        <f t="shared" si="3"/>
        <v/>
      </c>
      <c r="AL16" s="637"/>
      <c r="AM16" s="3044" t="str">
        <f t="shared" si="4"/>
        <v/>
      </c>
      <c r="AN16" s="3055" t="s">
        <v>1389</v>
      </c>
      <c r="AO16" s="3061">
        <f t="shared" si="0"/>
        <v>0</v>
      </c>
      <c r="AP16" s="3055">
        <f>Tablas!G247</f>
        <v>0</v>
      </c>
      <c r="AQ16" s="3061">
        <f>AO16+Tablas!F247+AP16+Tablas!J1271</f>
        <v>0</v>
      </c>
      <c r="AR16" s="3062">
        <f>Bono_IncremTotal+'Tablas psiquica'!$AH$59</f>
        <v>0</v>
      </c>
      <c r="AS16" s="3061">
        <f>IF(AQ16&lt;10,MIN(10,AR16+AQ16)+TRUNC(MAX(0,(AR16+AQ16-10)/2,0)),AQ16+TRUNC(AR16/2,0))</f>
        <v>0</v>
      </c>
      <c r="AT16" s="3061"/>
      <c r="AU16" s="1737" t="b">
        <f>E16+AP16&gt;IF(Raza="Criatura",Tablas!$J$1261,12)</f>
        <v>0</v>
      </c>
    </row>
    <row r="17" spans="1:47" ht="12" customHeight="1" thickBot="1" x14ac:dyDescent="0.25">
      <c r="A17" s="9"/>
      <c r="B17" s="855"/>
      <c r="C17" s="3717"/>
      <c r="D17" s="1573" t="s">
        <v>1391</v>
      </c>
      <c r="E17" s="2782"/>
      <c r="F17" s="1725"/>
      <c r="G17" s="2838">
        <f t="shared" si="5"/>
        <v>0</v>
      </c>
      <c r="H17" s="546">
        <f>IF(G17&lt;1,0,VLOOKUP(G17,Tablas!$C$14:$D$33,2))</f>
        <v>0</v>
      </c>
      <c r="I17" s="2419"/>
      <c r="J17" s="3708"/>
      <c r="K17" s="3721" t="str">
        <f>IF(J16&lt;1,"",VLOOKUP(J16,Tabla_TipoMovimiento,2))</f>
        <v>&lt; 1 m / asalto</v>
      </c>
      <c r="L17" s="3722"/>
      <c r="M17" s="2840"/>
      <c r="N17" s="3734"/>
      <c r="O17" s="3734"/>
      <c r="P17" s="3638"/>
      <c r="Q17" s="3638"/>
      <c r="R17" s="911"/>
      <c r="S17" s="1049"/>
      <c r="T17" s="1050"/>
      <c r="U17" s="1070"/>
      <c r="V17" s="3646"/>
      <c r="W17" s="3647"/>
      <c r="X17" s="3647"/>
      <c r="Y17" s="3647"/>
      <c r="Z17" s="3647"/>
      <c r="AA17" s="3647"/>
      <c r="AB17" s="3648"/>
      <c r="AC17" s="2409"/>
      <c r="AD17" s="3484"/>
      <c r="AE17" s="3485"/>
      <c r="AF17" s="3485"/>
      <c r="AG17" s="3486"/>
      <c r="AH17" s="3487"/>
      <c r="AI17" s="1026" t="str">
        <f t="shared" si="1"/>
        <v/>
      </c>
      <c r="AJ17" s="518" t="str">
        <f t="shared" si="2"/>
        <v/>
      </c>
      <c r="AK17" s="1429" t="str">
        <f t="shared" si="3"/>
        <v/>
      </c>
      <c r="AL17" s="637"/>
      <c r="AM17" s="3044" t="str">
        <f t="shared" si="4"/>
        <v/>
      </c>
      <c r="AN17" s="3055" t="s">
        <v>1391</v>
      </c>
      <c r="AO17" s="3061">
        <f t="shared" si="0"/>
        <v>0</v>
      </c>
      <c r="AP17" s="3055">
        <f>Tablas!G248</f>
        <v>0</v>
      </c>
      <c r="AQ17" s="3061">
        <f>AO17+Tablas!$F$248+AP17+IF(OR(Sheele!F5="",Sheele!F5="No"),0,-1)+Tablas!$J$1272+Tablas!$K$1807+Tablas!$K$1820+Personalización!$O$91+Personalización!$AO$59</f>
        <v>0</v>
      </c>
      <c r="AR17" s="3061"/>
      <c r="AS17" s="3061">
        <f>IF(AQ17&lt;10,MIN(10,AR17+AQ17)+TRUNC(MAX(0,(AR17+AQ17-10)/2,0)),AQ17+TRUNC(AR17/2,0))</f>
        <v>0</v>
      </c>
      <c r="AT17" s="1737"/>
      <c r="AU17" s="1737" t="b">
        <f>E17+AP17&gt;IF(Raza="Criatura",Tablas!$J$1261,12)</f>
        <v>0</v>
      </c>
    </row>
    <row r="18" spans="1:47" ht="12" customHeight="1" thickBot="1" x14ac:dyDescent="0.25">
      <c r="A18" s="9"/>
      <c r="B18" s="489"/>
      <c r="C18" s="3718"/>
      <c r="D18" s="2841" t="s">
        <v>1392</v>
      </c>
      <c r="E18" s="2783"/>
      <c r="F18" s="1726"/>
      <c r="G18" s="1586">
        <f t="shared" si="5"/>
        <v>0</v>
      </c>
      <c r="H18" s="2789">
        <f>IF(G18&lt;1,0,VLOOKUP(G18,Tablas!$C$14:$D$33,2))</f>
        <v>0</v>
      </c>
      <c r="I18" s="2409"/>
      <c r="J18" s="2394"/>
      <c r="K18" s="2786" t="s">
        <v>1379</v>
      </c>
      <c r="L18" s="2282"/>
      <c r="M18" s="2419"/>
      <c r="N18" s="1482" t="s">
        <v>1379</v>
      </c>
      <c r="O18" s="2283"/>
      <c r="P18" s="3638"/>
      <c r="Q18" s="3638"/>
      <c r="R18" s="911"/>
      <c r="S18" s="1049"/>
      <c r="T18" s="1050"/>
      <c r="U18" s="1070"/>
      <c r="V18" s="3649"/>
      <c r="W18" s="3650"/>
      <c r="X18" s="3650"/>
      <c r="Y18" s="3650"/>
      <c r="Z18" s="3650"/>
      <c r="AA18" s="3650"/>
      <c r="AB18" s="3651"/>
      <c r="AC18" s="2409"/>
      <c r="AD18" s="3484"/>
      <c r="AE18" s="3485"/>
      <c r="AF18" s="3485"/>
      <c r="AG18" s="3486"/>
      <c r="AH18" s="3487"/>
      <c r="AI18" s="1026" t="str">
        <f t="shared" si="1"/>
        <v/>
      </c>
      <c r="AJ18" s="518" t="str">
        <f t="shared" si="2"/>
        <v/>
      </c>
      <c r="AK18" s="1429" t="str">
        <f t="shared" si="3"/>
        <v/>
      </c>
      <c r="AL18" s="637"/>
      <c r="AM18" s="3044" t="str">
        <f t="shared" si="4"/>
        <v/>
      </c>
      <c r="AN18" s="3055" t="s">
        <v>1392</v>
      </c>
      <c r="AO18" s="3061">
        <f t="shared" si="0"/>
        <v>0</v>
      </c>
      <c r="AP18" s="3055">
        <f>Tablas!G249</f>
        <v>0</v>
      </c>
      <c r="AQ18" s="3061">
        <f>AO18+Tablas!F249+AP18+Tablas!J1273+Tablas!$K$1807+Tablas!$K$1820+Personalización!$P$91</f>
        <v>0</v>
      </c>
      <c r="AR18" s="3061"/>
      <c r="AS18" s="3061">
        <f>IF(AQ18&lt;10,MIN(10,AR18+AQ18)+TRUNC(MAX(0,(AR18+AQ18-10)/2,0)),AQ18+TRUNC(AR18/2,0))</f>
        <v>0</v>
      </c>
      <c r="AT18" s="3044"/>
      <c r="AU18" s="1737" t="b">
        <f>E18+AP18&gt;IF(Raza="Criatura",Tablas!$J$1261,12)</f>
        <v>0</v>
      </c>
    </row>
    <row r="19" spans="1:47" ht="12" customHeight="1" thickBot="1" x14ac:dyDescent="0.25">
      <c r="A19" s="9"/>
      <c r="B19" s="816"/>
      <c r="C19" s="3429" t="str">
        <f>IF(COUNTIF($AU$11:$AU$18,TRUE),"Exceso de "&amp;INDEX($AN$11:$AN$18,MATCH(TRUE,$AU$11:$AU$18,0))&amp;" inicial","")</f>
        <v/>
      </c>
      <c r="D19" s="3429"/>
      <c r="E19" s="3429"/>
      <c r="F19" s="3429"/>
      <c r="G19" s="3429"/>
      <c r="H19" s="3429"/>
      <c r="I19" s="2842" t="str">
        <f>IF(Combate!AD15=0,"",TRUNC(Combate!AD15/20,0))</f>
        <v/>
      </c>
      <c r="J19" s="2409"/>
      <c r="K19" s="2833"/>
      <c r="L19" s="2409"/>
      <c r="M19" s="2843"/>
      <c r="N19" s="516"/>
      <c r="O19" s="516"/>
      <c r="P19" s="516"/>
      <c r="Q19" s="516"/>
      <c r="R19" s="629"/>
      <c r="S19" s="1049"/>
      <c r="T19" s="1050"/>
      <c r="U19" s="1070"/>
      <c r="V19" s="2409"/>
      <c r="W19" s="2409"/>
      <c r="X19" s="2409"/>
      <c r="Y19" s="2409"/>
      <c r="Z19" s="2409"/>
      <c r="AA19" s="2409"/>
      <c r="AB19" s="2409"/>
      <c r="AC19" s="2409"/>
      <c r="AD19" s="3484"/>
      <c r="AE19" s="3485"/>
      <c r="AF19" s="3485"/>
      <c r="AG19" s="3486"/>
      <c r="AH19" s="3487"/>
      <c r="AI19" s="1026" t="str">
        <f t="shared" si="1"/>
        <v/>
      </c>
      <c r="AJ19" s="518" t="str">
        <f t="shared" si="2"/>
        <v/>
      </c>
      <c r="AK19" s="1429" t="str">
        <f t="shared" si="3"/>
        <v/>
      </c>
      <c r="AL19" s="637"/>
      <c r="AM19" s="3044" t="str">
        <f t="shared" si="4"/>
        <v/>
      </c>
      <c r="AN19" s="3055" t="s">
        <v>7205</v>
      </c>
      <c r="AO19" s="3061">
        <f>IF(OR(TipoDeCriatura="Entre mundos, Creación",TipoDeCriatura="No muerto",TipoDeCriatura="No muerto, Creación"),0,IF(G12=0,0,VLOOKUP(G12,Tabla_Regen,2))+HLOOKUP("Regeneración",Bonos_Raza_Base,2,FALSE))</f>
        <v>0</v>
      </c>
      <c r="AP19" s="3055"/>
      <c r="AQ19" s="3061">
        <f>AO19+Tablas!G276*2+Tablas!G277*4+Tablas!G278*6+Tablas!P241</f>
        <v>0</v>
      </c>
      <c r="AR19" s="3062">
        <f>'Tablas psiquica'!AH61</f>
        <v>0</v>
      </c>
      <c r="AS19" s="3061">
        <f>MAX(IF(AQ19+AR19&gt;18,MAX(18,AQ19),AQ19+AR19),Tablas!S1453)</f>
        <v>0</v>
      </c>
      <c r="AT19" s="3044" t="s">
        <v>8308</v>
      </c>
      <c r="AU19" s="1737"/>
    </row>
    <row r="20" spans="1:47" ht="12" customHeight="1" thickBot="1" x14ac:dyDescent="0.25">
      <c r="A20" s="9"/>
      <c r="B20" s="816"/>
      <c r="C20" s="3115" t="s">
        <v>8400</v>
      </c>
      <c r="D20" s="3117"/>
      <c r="E20" s="3728" t="str">
        <f>INDEX(Tabla_Regen,MATCH(Regeneración_final,INDEX(Tabla_Regen,,2),0),6)</f>
        <v/>
      </c>
      <c r="F20" s="3729"/>
      <c r="G20" s="3729"/>
      <c r="H20" s="3729"/>
      <c r="I20" s="3729"/>
      <c r="J20" s="3730"/>
      <c r="K20" s="2833"/>
      <c r="L20" s="3639" t="s">
        <v>1395</v>
      </c>
      <c r="M20" s="3640"/>
      <c r="N20" s="3640"/>
      <c r="O20" s="3640"/>
      <c r="P20" s="3640"/>
      <c r="Q20" s="3641"/>
      <c r="R20" s="629"/>
      <c r="S20" s="1049"/>
      <c r="T20" s="1050"/>
      <c r="U20" s="1070"/>
      <c r="V20" s="3639" t="s">
        <v>1396</v>
      </c>
      <c r="W20" s="3640"/>
      <c r="X20" s="3640"/>
      <c r="Y20" s="3640"/>
      <c r="Z20" s="3640"/>
      <c r="AA20" s="3640"/>
      <c r="AB20" s="3641"/>
      <c r="AC20" s="2409"/>
      <c r="AD20" s="3484"/>
      <c r="AE20" s="3485"/>
      <c r="AF20" s="3485"/>
      <c r="AG20" s="3486"/>
      <c r="AH20" s="3487"/>
      <c r="AI20" s="1026" t="str">
        <f t="shared" si="1"/>
        <v/>
      </c>
      <c r="AJ20" s="518" t="str">
        <f t="shared" si="2"/>
        <v/>
      </c>
      <c r="AK20" s="1429" t="str">
        <f t="shared" si="3"/>
        <v/>
      </c>
      <c r="AL20" s="637"/>
      <c r="AM20" s="3044" t="str">
        <f t="shared" si="4"/>
        <v/>
      </c>
      <c r="AN20" s="3044" t="s">
        <v>7206</v>
      </c>
      <c r="AO20" s="3061">
        <f>IF(MovimientodeVacío,MAX(AT11+IF(Raza="Criatura",VLOOKUP(Tamaño,Tabla_CreaciónSeres,4),0)),AT11+IF(Raza="Criatura",VLOOKUP(Tamaño,Tabla_CreaciónSeres,4),0))</f>
        <v>0</v>
      </c>
      <c r="AP20" s="3055"/>
      <c r="AQ20" s="3061">
        <f>AO20+Tablas!$S$1408+Tablas!$G$342*2-L16</f>
        <v>0</v>
      </c>
      <c r="AR20" s="3063">
        <f>'Tablas psiquica'!AH56</f>
        <v>0</v>
      </c>
      <c r="AS20" s="3061">
        <f>IF(AQ20&lt;10,MIN(10,AR20+AQ20)+TRUNC(MAX(0,(AR20+AQ20-10)/2,0)),AQ20+TRUNC(AR20/2,0))</f>
        <v>0</v>
      </c>
      <c r="AT20" s="3064"/>
      <c r="AU20" s="1737"/>
    </row>
    <row r="21" spans="1:47" ht="12" customHeight="1" thickBot="1" x14ac:dyDescent="0.25">
      <c r="A21" s="9"/>
      <c r="B21" s="816"/>
      <c r="C21" s="3209"/>
      <c r="D21" s="3727"/>
      <c r="E21" s="3731"/>
      <c r="F21" s="3732"/>
      <c r="G21" s="3732"/>
      <c r="H21" s="3732"/>
      <c r="I21" s="3732"/>
      <c r="J21" s="3733"/>
      <c r="K21" s="2833"/>
      <c r="L21" s="2790" t="s">
        <v>1399</v>
      </c>
      <c r="M21" s="3715" t="s">
        <v>1375</v>
      </c>
      <c r="N21" s="3715"/>
      <c r="O21" s="3642" t="s">
        <v>1400</v>
      </c>
      <c r="P21" s="3642"/>
      <c r="Q21" s="517" t="s">
        <v>1349</v>
      </c>
      <c r="R21" s="629"/>
      <c r="S21" s="1049"/>
      <c r="T21" s="1050"/>
      <c r="U21" s="1070"/>
      <c r="V21" s="3643" t="s">
        <v>1401</v>
      </c>
      <c r="W21" s="3644"/>
      <c r="X21" s="3644"/>
      <c r="Y21" s="3645" t="s">
        <v>1402</v>
      </c>
      <c r="Z21" s="3645"/>
      <c r="AA21" s="40" t="s">
        <v>1403</v>
      </c>
      <c r="AB21" s="665" t="s">
        <v>1377</v>
      </c>
      <c r="AC21" s="2409"/>
      <c r="AD21" s="3484"/>
      <c r="AE21" s="3485"/>
      <c r="AF21" s="3485"/>
      <c r="AG21" s="3486"/>
      <c r="AH21" s="3487"/>
      <c r="AI21" s="1026" t="str">
        <f t="shared" si="1"/>
        <v/>
      </c>
      <c r="AJ21" s="518" t="str">
        <f t="shared" si="2"/>
        <v/>
      </c>
      <c r="AK21" s="1429" t="str">
        <f t="shared" si="3"/>
        <v/>
      </c>
      <c r="AL21" s="637"/>
      <c r="AM21" s="3044" t="str">
        <f t="shared" si="4"/>
        <v/>
      </c>
      <c r="AN21" s="3055" t="s">
        <v>1901</v>
      </c>
      <c r="AO21" s="3061">
        <f>MAX(1,IF(OR(TipoDeCriatura="Ánima", TipoDeCriatura="Ánima, Elemental", TipoDeCriatura="No muerto, Espectro"),E17+AP17,E12+AP12)+E14+AP14-IF(Sexo="Mujer",1,0))+HLOOKUP(AN21,Bonos_Raza_Base,2,FALSE)</f>
        <v>1</v>
      </c>
      <c r="AP21" s="3055"/>
      <c r="AQ21" s="3061">
        <f>IF(Bono_Tamaño_Criatura+Bono_Tamaño_PCs&gt;0,MIN(Bono_Tamaño_Criatura+Bono_Tamaño_PCs,5),MAX(Bono_Tamaño_Criatura+Bono_Tamaño_PCs,-5))</f>
        <v>0</v>
      </c>
      <c r="AR21" s="1737"/>
      <c r="AS21" s="3061">
        <f>AO21+AQ21</f>
        <v>1</v>
      </c>
      <c r="AT21" s="1737"/>
      <c r="AU21" s="1737"/>
    </row>
    <row r="22" spans="1:47" ht="12" customHeight="1" thickBot="1" x14ac:dyDescent="0.25">
      <c r="A22" s="9"/>
      <c r="B22" s="816"/>
      <c r="C22" s="2409"/>
      <c r="D22" s="2409"/>
      <c r="E22" s="2409"/>
      <c r="F22" s="2409"/>
      <c r="G22" s="2409"/>
      <c r="H22" s="2409"/>
      <c r="I22" s="2409"/>
      <c r="J22" s="2409"/>
      <c r="K22" s="2833"/>
      <c r="L22" s="3446" t="s">
        <v>1404</v>
      </c>
      <c r="M22" s="3450" t="s">
        <v>1405</v>
      </c>
      <c r="N22" s="3450"/>
      <c r="O22" s="3452">
        <f>PenNatural</f>
        <v>0</v>
      </c>
      <c r="P22" s="3452"/>
      <c r="Q22" s="2844">
        <f>IF(Acrobacias_final="-","-",Acrobacias_final+O22)</f>
        <v>-30</v>
      </c>
      <c r="R22" s="629"/>
      <c r="S22" s="1049"/>
      <c r="T22" s="1050"/>
      <c r="U22" s="1070"/>
      <c r="V22" s="3652" t="s">
        <v>8669</v>
      </c>
      <c r="W22" s="3653"/>
      <c r="X22" s="3654"/>
      <c r="Y22" s="3662" t="str">
        <f>IF(AA22=0,"",Raza)</f>
        <v/>
      </c>
      <c r="Z22" s="3663"/>
      <c r="AA22" s="2788">
        <f>IF(Personalización!$L$6="Sin ajuste por Raza",0,IF(Raza=0,0,VLOOKUP(Raza,Tabla_Razas,7,FALSE)))</f>
        <v>0</v>
      </c>
      <c r="AB22" s="666">
        <v>0</v>
      </c>
      <c r="AC22" s="2409"/>
      <c r="AD22" s="3484"/>
      <c r="AE22" s="3485"/>
      <c r="AF22" s="3485"/>
      <c r="AG22" s="3486"/>
      <c r="AH22" s="3487"/>
      <c r="AI22" s="1026" t="str">
        <f t="shared" si="1"/>
        <v/>
      </c>
      <c r="AJ22" s="518" t="str">
        <f t="shared" si="2"/>
        <v/>
      </c>
      <c r="AK22" s="1429" t="str">
        <f t="shared" si="3"/>
        <v/>
      </c>
      <c r="AL22" s="637"/>
      <c r="AM22" s="3044" t="str">
        <f t="shared" si="4"/>
        <v/>
      </c>
      <c r="AN22" s="3055" t="s">
        <v>1388</v>
      </c>
      <c r="AO22" s="3061">
        <f>CON+HLOOKUP(AN22,Bonos_Raza_Base,2,FALSE)</f>
        <v>0</v>
      </c>
      <c r="AP22" s="3055"/>
      <c r="AQ22" s="3061">
        <f>AO22+3*Tablas!G339+6*Tablas!G340+9*Tablas!G341-Tablas!G533</f>
        <v>0</v>
      </c>
      <c r="AR22" s="3061"/>
      <c r="AS22" s="3061">
        <f>AQ22+2*Tablas!H1250</f>
        <v>0</v>
      </c>
      <c r="AT22" s="1737"/>
      <c r="AU22" s="1737"/>
    </row>
    <row r="23" spans="1:47" ht="12" customHeight="1" thickBot="1" x14ac:dyDescent="0.25">
      <c r="A23" s="9"/>
      <c r="B23" s="816"/>
      <c r="C23" s="3639" t="s">
        <v>1393</v>
      </c>
      <c r="D23" s="3641"/>
      <c r="E23" s="2409"/>
      <c r="F23" s="3639" t="s">
        <v>1394</v>
      </c>
      <c r="G23" s="3640"/>
      <c r="H23" s="3640"/>
      <c r="I23" s="3640"/>
      <c r="J23" s="3641"/>
      <c r="K23" s="2833"/>
      <c r="L23" s="3447"/>
      <c r="M23" s="3453" t="s">
        <v>1406</v>
      </c>
      <c r="N23" s="3453"/>
      <c r="O23" s="3451">
        <f>PenNatural</f>
        <v>0</v>
      </c>
      <c r="P23" s="3451"/>
      <c r="Q23" s="518">
        <f>IF(Atletismo_final="-","-",Atletismo_final+O23)</f>
        <v>-30</v>
      </c>
      <c r="R23" s="629"/>
      <c r="S23" s="1049"/>
      <c r="T23" s="1050"/>
      <c r="U23" s="1070"/>
      <c r="V23" s="3652" t="s">
        <v>1407</v>
      </c>
      <c r="W23" s="3653"/>
      <c r="X23" s="3654"/>
      <c r="Y23" s="3664"/>
      <c r="Z23" s="3665"/>
      <c r="AA23" s="2788">
        <v>0</v>
      </c>
      <c r="AB23" s="666">
        <f>IF(Y23="PDs",VLOOKUP(Principal!$AB$13,Tablas!W27:X37,2),0)</f>
        <v>0</v>
      </c>
      <c r="AC23" s="2409"/>
      <c r="AD23" s="3675"/>
      <c r="AE23" s="3676"/>
      <c r="AF23" s="3676"/>
      <c r="AG23" s="3677"/>
      <c r="AH23" s="3678"/>
      <c r="AI23" s="1600" t="str">
        <f t="shared" si="1"/>
        <v/>
      </c>
      <c r="AJ23" s="1601" t="str">
        <f t="shared" si="2"/>
        <v/>
      </c>
      <c r="AK23" s="1429" t="str">
        <f t="shared" si="3"/>
        <v/>
      </c>
      <c r="AL23" s="637"/>
      <c r="AM23" s="3044" t="str">
        <f t="shared" si="4"/>
        <v/>
      </c>
      <c r="AN23" s="3055"/>
      <c r="AO23" s="3061"/>
      <c r="AP23" s="3055"/>
      <c r="AQ23" s="3055"/>
      <c r="AR23" s="1737"/>
      <c r="AS23" s="1737"/>
      <c r="AT23" s="1737"/>
      <c r="AU23" s="1737"/>
    </row>
    <row r="24" spans="1:47" ht="12" customHeight="1" thickBot="1" x14ac:dyDescent="0.25">
      <c r="A24" s="9"/>
      <c r="B24" s="816"/>
      <c r="C24" s="1588" t="s">
        <v>1365</v>
      </c>
      <c r="D24" s="1589">
        <f>IF(Raza="Criatura",VLOOKUP(Tamaño,Tabla_CreaciónSeres,3),20)+IF(Raza="Nephilim Turak",-10)+IF(Raza="Turak",-20)+IF(AND(L6="Grande",OR(Raza="Turak",Raza="Jayán")),-10,0)+25*Tablas!G315+45*Tablas!G316+60*Tablas!G317-30*Tablas!G527-60*Tablas!G528</f>
        <v>20</v>
      </c>
      <c r="E24" s="2409"/>
      <c r="F24" s="3709" t="s">
        <v>1397</v>
      </c>
      <c r="G24" s="3710"/>
      <c r="H24" s="3711">
        <f>MAX(HA_final,HA_SinArmas_final)</f>
        <v>0</v>
      </c>
      <c r="I24" s="3719" t="s">
        <v>1398</v>
      </c>
      <c r="J24" s="3720"/>
      <c r="K24" s="2833"/>
      <c r="L24" s="3447"/>
      <c r="M24" s="3453" t="s">
        <v>1409</v>
      </c>
      <c r="N24" s="3453"/>
      <c r="O24" s="3451"/>
      <c r="P24" s="3451"/>
      <c r="Q24" s="518">
        <f>IF(Montar_final="-","-",Montar_final+O24)</f>
        <v>-30</v>
      </c>
      <c r="R24" s="629"/>
      <c r="S24" s="1049"/>
      <c r="T24" s="1050"/>
      <c r="U24" s="1069"/>
      <c r="V24" s="3652" t="s">
        <v>1410</v>
      </c>
      <c r="W24" s="3653"/>
      <c r="X24" s="3654"/>
      <c r="Y24" s="3660" t="s">
        <v>2584</v>
      </c>
      <c r="Z24" s="3661"/>
      <c r="AA24" s="2788">
        <f>IF(Personalización!$L$7="Sin ajuste por Legados",0,IF(Principal!Y24="No",0,IF(SUM(Tablas!$P$236:$P$266)&gt;0,1,0)))</f>
        <v>0</v>
      </c>
      <c r="AB24" s="1440">
        <f>40*Tablas!P248+80*Tablas!P249+120*Tablas!P250</f>
        <v>0</v>
      </c>
      <c r="AC24" s="2409"/>
      <c r="AD24" s="366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67"/>
      <c r="AF24" s="3667"/>
      <c r="AG24" s="3667"/>
      <c r="AH24" s="3667"/>
      <c r="AI24" s="3667"/>
      <c r="AJ24" s="3668"/>
      <c r="AK24" s="1429"/>
      <c r="AL24" s="637"/>
      <c r="AM24" s="3044" t="s">
        <v>8473</v>
      </c>
      <c r="AN24" s="3055"/>
      <c r="AO24" s="3055"/>
      <c r="AP24" s="3055"/>
      <c r="AQ24" s="3055"/>
      <c r="AR24" s="1737"/>
      <c r="AS24" s="1737"/>
      <c r="AT24" s="1737"/>
      <c r="AU24" s="1737"/>
    </row>
    <row r="25" spans="1:47" ht="12" customHeight="1" x14ac:dyDescent="0.2">
      <c r="A25" s="9"/>
      <c r="B25" s="816"/>
      <c r="C25" s="2660" t="s">
        <v>10100</v>
      </c>
      <c r="D25" s="546">
        <f>Bono_Agi+Bono_Des</f>
        <v>0</v>
      </c>
      <c r="E25" s="2825">
        <f>SUM(D24:D28)</f>
        <v>40</v>
      </c>
      <c r="F25" s="3709"/>
      <c r="G25" s="3710"/>
      <c r="H25" s="3711"/>
      <c r="I25" s="3723">
        <f>Combate!AD15+Combate!AF15</f>
        <v>0</v>
      </c>
      <c r="J25" s="3724"/>
      <c r="K25" s="2833"/>
      <c r="L25" s="3447"/>
      <c r="M25" s="3453" t="s">
        <v>1413</v>
      </c>
      <c r="N25" s="3453"/>
      <c r="O25" s="3451">
        <f>PenNatural-MIN(MAX(LlevarArmadura_final-Combate!H16,0)+Combate!H17,0)+Combate!H17</f>
        <v>0</v>
      </c>
      <c r="P25" s="3451"/>
      <c r="Q25" s="518">
        <f>IF(Nadar_final="-","-",Nadar_final+O25)</f>
        <v>-30</v>
      </c>
      <c r="R25" s="629"/>
      <c r="S25" s="1049"/>
      <c r="T25" s="1050"/>
      <c r="U25" s="1069"/>
      <c r="V25" s="3672" t="s">
        <v>1414</v>
      </c>
      <c r="W25" s="3673"/>
      <c r="X25" s="3674"/>
      <c r="Y25" s="3660"/>
      <c r="Z25" s="3661"/>
      <c r="AA25" s="2788">
        <f>IF(Personalización!$O$6="Sin ajuste por Artefactos",0,IF(Y25="Sí",1,0))</f>
        <v>0</v>
      </c>
      <c r="AB25" s="769">
        <v>0</v>
      </c>
      <c r="AC25" s="2409"/>
      <c r="AD25" s="3669"/>
      <c r="AE25" s="3670"/>
      <c r="AF25" s="3670"/>
      <c r="AG25" s="3670"/>
      <c r="AH25" s="3670"/>
      <c r="AI25" s="3670"/>
      <c r="AJ25" s="3671"/>
      <c r="AK25" s="1429"/>
      <c r="AL25" s="637"/>
      <c r="AM25" s="3044" t="s">
        <v>1836</v>
      </c>
      <c r="AN25" s="3065" t="b">
        <f>AND(Personalización!AN15,TipoDeCriatura="Natural")</f>
        <v>0</v>
      </c>
      <c r="AO25" s="3055"/>
      <c r="AP25" s="3055"/>
      <c r="AQ25" s="3055"/>
      <c r="AR25" s="1737"/>
      <c r="AS25" s="1737"/>
      <c r="AT25" s="1737"/>
      <c r="AU25" s="1737"/>
    </row>
    <row r="26" spans="1:47" ht="12" customHeight="1" x14ac:dyDescent="0.2">
      <c r="A26" s="9"/>
      <c r="B26" s="816"/>
      <c r="C26" s="1590" t="s">
        <v>1408</v>
      </c>
      <c r="D26" s="546">
        <f>HLOOKUP("Turno",Bonos_Cat_Base,2,FALSE)</f>
        <v>0</v>
      </c>
      <c r="E26" s="2845">
        <f>$D$29+$D$30</f>
        <v>0</v>
      </c>
      <c r="F26" s="3712" t="str">
        <f>IF(HP_final&gt;HE_final,"H. Parada:","H. Esquiva:")</f>
        <v>H. Esquiva:</v>
      </c>
      <c r="G26" s="3713"/>
      <c r="H26" s="3714">
        <f>MAX(HP_final,HE_final,HD_SinArmas_final)</f>
        <v>0</v>
      </c>
      <c r="I26" s="3723"/>
      <c r="J26" s="3724"/>
      <c r="K26" s="2833"/>
      <c r="L26" s="3447"/>
      <c r="M26" s="3453" t="s">
        <v>1416</v>
      </c>
      <c r="N26" s="3453"/>
      <c r="O26" s="3451">
        <f>PenNatural</f>
        <v>0</v>
      </c>
      <c r="P26" s="3451"/>
      <c r="Q26" s="518">
        <f>IF(Trepar_final="-","-",Trepar_final+O26)</f>
        <v>-30</v>
      </c>
      <c r="R26" s="629"/>
      <c r="S26" s="1049"/>
      <c r="T26" s="1050"/>
      <c r="U26" s="1069"/>
      <c r="V26" s="3655" t="s">
        <v>1417</v>
      </c>
      <c r="W26" s="3656"/>
      <c r="X26" s="3657"/>
      <c r="Y26" s="3658"/>
      <c r="Z26" s="3659"/>
      <c r="AA26" s="41">
        <f>IF(Personalización!$O$7="Sin ajuste por PDs",0,ROUNDUP((AB27-AB22-AB23-AB24-AB25)/100,0))</f>
        <v>0</v>
      </c>
      <c r="AB26" s="1602"/>
      <c r="AC26" s="2409"/>
      <c r="AD26" s="3669"/>
      <c r="AE26" s="3670"/>
      <c r="AF26" s="3670"/>
      <c r="AG26" s="3670"/>
      <c r="AH26" s="3670"/>
      <c r="AI26" s="3670"/>
      <c r="AJ26" s="3671"/>
      <c r="AK26" s="1429"/>
      <c r="AL26" s="637"/>
      <c r="AM26" s="3044" t="s">
        <v>1382</v>
      </c>
      <c r="AN26" s="3065" t="b">
        <f>AB13&lt;AP26</f>
        <v>0</v>
      </c>
      <c r="AO26" s="3055" t="s">
        <v>8474</v>
      </c>
      <c r="AP26" s="3055">
        <f>IF(OR(Tablas!J1808&gt;0,Tablas!J1822&gt;0,(AND(Raza="Ebudan",SueAman="Cumplido",Personalización!E52="Sí"))),30,0)</f>
        <v>0</v>
      </c>
      <c r="AQ26" s="3055" t="s">
        <v>8475</v>
      </c>
      <c r="AR26" s="1737"/>
      <c r="AS26" s="1737"/>
      <c r="AT26" s="1737"/>
      <c r="AU26" s="1737"/>
    </row>
    <row r="27" spans="1:47" ht="12" customHeight="1" thickBot="1" x14ac:dyDescent="0.25">
      <c r="A27" s="9"/>
      <c r="B27" s="816"/>
      <c r="C27" s="1590" t="s">
        <v>1411</v>
      </c>
      <c r="D27" s="546">
        <f>PenNatural</f>
        <v>0</v>
      </c>
      <c r="E27" s="2825"/>
      <c r="F27" s="3712"/>
      <c r="G27" s="3713"/>
      <c r="H27" s="3714"/>
      <c r="I27" s="3723"/>
      <c r="J27" s="3724"/>
      <c r="K27" s="2833"/>
      <c r="L27" s="3447"/>
      <c r="M27" s="3453" t="s">
        <v>1419</v>
      </c>
      <c r="N27" s="3453"/>
      <c r="O27" s="3451">
        <f>PenNatural</f>
        <v>0</v>
      </c>
      <c r="P27" s="3451"/>
      <c r="Q27" s="518">
        <f>IF(Saltar_final="-","-",Saltar_final+O27)</f>
        <v>-30</v>
      </c>
      <c r="R27" s="629"/>
      <c r="S27" s="1049"/>
      <c r="T27" s="1050"/>
      <c r="U27" s="1069"/>
      <c r="V27" s="3634" t="str">
        <f>IF(COUNTA(Personalización!$L$6:$Q$7)&gt;0,"Sin ajuste(s)","")</f>
        <v/>
      </c>
      <c r="W27" s="3635"/>
      <c r="X27" s="3635"/>
      <c r="Y27" s="3632" t="s">
        <v>1420</v>
      </c>
      <c r="Z27" s="3633"/>
      <c r="AA27" s="2821">
        <f>SUM(AA22:AA26)</f>
        <v>0</v>
      </c>
      <c r="AB27" s="1603">
        <f>SUM(AB22:AB26)+50*Tablas!G352+100*Tablas!G353+150*Tablas!G354+Tablas!K1896</f>
        <v>0</v>
      </c>
      <c r="AC27" s="2409"/>
      <c r="AD27" s="1016"/>
      <c r="AE27" s="3636" t="s">
        <v>1421</v>
      </c>
      <c r="AF27" s="3636"/>
      <c r="AG27" s="3636"/>
      <c r="AH27" s="3636"/>
      <c r="AI27" s="3636"/>
      <c r="AJ27" s="101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29"/>
      <c r="AL27" s="637"/>
      <c r="AM27" s="3044"/>
      <c r="AN27" s="3055"/>
      <c r="AO27" s="3055"/>
      <c r="AP27" s="3055"/>
      <c r="AQ27" s="3055"/>
      <c r="AR27" s="1737"/>
      <c r="AS27" s="1737"/>
      <c r="AT27" s="1737"/>
      <c r="AU27" s="1737"/>
    </row>
    <row r="28" spans="1:47" ht="12" customHeight="1" thickBot="1" x14ac:dyDescent="0.25">
      <c r="A28" s="9"/>
      <c r="B28" s="816"/>
      <c r="C28" s="1590" t="s">
        <v>7226</v>
      </c>
      <c r="D28" s="546">
        <f>20+Tablas!$S$1268</f>
        <v>20</v>
      </c>
      <c r="E28" s="2409"/>
      <c r="F28" s="3607" t="s">
        <v>1412</v>
      </c>
      <c r="G28" s="3608"/>
      <c r="H28" s="3611">
        <f>LlevarArmadura_final</f>
        <v>0</v>
      </c>
      <c r="I28" s="3723"/>
      <c r="J28" s="3724"/>
      <c r="K28" s="2842"/>
      <c r="L28" s="3448"/>
      <c r="M28" s="3449" t="s">
        <v>6278</v>
      </c>
      <c r="N28" s="3449"/>
      <c r="O28" s="3445"/>
      <c r="P28" s="3445"/>
      <c r="Q28" s="1601">
        <f>IF(Pilotar_final="-","-",Pilotar_final+O28)</f>
        <v>-30</v>
      </c>
      <c r="R28" s="629"/>
      <c r="S28" s="1049"/>
      <c r="T28" s="1050"/>
      <c r="U28" s="1069"/>
      <c r="V28" s="2409"/>
      <c r="W28" s="2822"/>
      <c r="X28" s="2822"/>
      <c r="Y28" s="2822"/>
      <c r="Z28" s="2822"/>
      <c r="AA28" s="2822"/>
      <c r="AB28" s="2822"/>
      <c r="AC28" s="2822"/>
      <c r="AD28" s="2822"/>
      <c r="AE28" s="2822"/>
      <c r="AF28" s="2409"/>
      <c r="AG28" s="2409"/>
      <c r="AH28" s="2409"/>
      <c r="AI28" s="2409"/>
      <c r="AJ28" s="2409"/>
      <c r="AK28" s="1429"/>
      <c r="AL28" s="637"/>
      <c r="AM28" s="3044"/>
      <c r="AN28" s="3055"/>
      <c r="AO28" s="3055"/>
      <c r="AP28" s="3055"/>
      <c r="AQ28" s="3055"/>
      <c r="AR28" s="1737"/>
      <c r="AS28" s="1737"/>
      <c r="AT28" s="1737"/>
      <c r="AU28" s="1737"/>
    </row>
    <row r="29" spans="1:47" ht="12" customHeight="1" thickBot="1" x14ac:dyDescent="0.25">
      <c r="A29" s="9"/>
      <c r="B29" s="816"/>
      <c r="C29" s="2661" t="s">
        <v>10101</v>
      </c>
      <c r="D29" s="2662">
        <f>IF(Ki!P40="-",10,0)+'Tablas psiquica'!$AH$58</f>
        <v>0</v>
      </c>
      <c r="E29" s="2409"/>
      <c r="F29" s="3609"/>
      <c r="G29" s="3610"/>
      <c r="H29" s="3612"/>
      <c r="I29" s="3725"/>
      <c r="J29" s="3726"/>
      <c r="K29" s="2833"/>
      <c r="L29" s="3447" t="s">
        <v>1422</v>
      </c>
      <c r="M29" s="3453" t="s">
        <v>1423</v>
      </c>
      <c r="N29" s="3453"/>
      <c r="O29" s="3451"/>
      <c r="P29" s="3451"/>
      <c r="Q29" s="518">
        <f>IF(Estilo_final="-","-",Estilo_final+O29)</f>
        <v>-30</v>
      </c>
      <c r="R29" s="629"/>
      <c r="S29" s="1049"/>
      <c r="T29" s="1050"/>
      <c r="U29" s="1069"/>
      <c r="V29" s="3631" t="s">
        <v>1426</v>
      </c>
      <c r="W29" s="3631"/>
      <c r="X29" s="3631"/>
      <c r="Y29" s="3631"/>
      <c r="Z29" s="3631"/>
      <c r="AA29" s="3631"/>
      <c r="AB29" s="3631"/>
      <c r="AC29" s="3631"/>
      <c r="AD29" s="3631"/>
      <c r="AE29" s="3631"/>
      <c r="AF29" s="3630" t="s">
        <v>1427</v>
      </c>
      <c r="AG29" s="3630"/>
      <c r="AH29" s="3630"/>
      <c r="AI29" s="3630"/>
      <c r="AJ29" s="3630"/>
      <c r="AK29" s="1429"/>
      <c r="AL29" s="637"/>
      <c r="AM29" s="3057"/>
      <c r="AN29" s="3055"/>
      <c r="AO29" s="3055"/>
      <c r="AP29" s="3055"/>
      <c r="AQ29" s="3055"/>
      <c r="AR29" s="1737"/>
      <c r="AS29" s="1737"/>
      <c r="AT29" s="1737"/>
      <c r="AU29" s="1737"/>
    </row>
    <row r="30" spans="1:47" ht="12" customHeight="1" x14ac:dyDescent="0.2">
      <c r="A30" s="9"/>
      <c r="B30" s="816"/>
      <c r="C30" s="1591" t="s">
        <v>1418</v>
      </c>
      <c r="D30" s="2281"/>
      <c r="E30" s="2409"/>
      <c r="F30" s="3735" t="str">
        <f>IF(Tablas!G526&gt;0,"Arma exclusiva:","Arma desarrollada:")</f>
        <v>Arma desarrollada:</v>
      </c>
      <c r="G30" s="3736"/>
      <c r="H30" s="3737"/>
      <c r="I30" s="3738" t="str">
        <f>IF(Tablas!H1446&gt;0,"Sin Pen. por Dolor",IF(Tablas!$G$532&gt;0,IF(OR(Tablas!$G$334&gt;0,Ki!$P$57="-"),"x1/2 Pen. por Cansancio","x2 Pen. por Dolor"),IF(Tablas!$G$533&gt;0,IF(OR(Tablas!$G$334&gt;0,Ki!$P$57="-"),"x1/2 Pen. por Dolor","x2 Pen. por Cansancio"),IF(AND(Tablas!$G$334&gt;0,Ki!$P$57="-"),"x1/4 Penalizadores",IF(OR(Tablas!$G$334&gt;0,Ki!$P$57="-"),"x1/2 Penalizadores","")))))</f>
        <v/>
      </c>
      <c r="J30" s="3739"/>
      <c r="K30" s="2833"/>
      <c r="L30" s="3447"/>
      <c r="M30" s="3453" t="s">
        <v>1425</v>
      </c>
      <c r="N30" s="3453"/>
      <c r="O30" s="3451"/>
      <c r="P30" s="3451"/>
      <c r="Q30" s="518">
        <f>IF(Intimidar_final="-","-",Intimidar_final+O30)</f>
        <v>-30</v>
      </c>
      <c r="R30" s="629"/>
      <c r="S30" s="1049"/>
      <c r="T30" s="1050"/>
      <c r="U30" s="1069"/>
      <c r="V30" s="3622" t="str">
        <f>IF(Raza="","",VLOOKUP(Raza,Tabla_Razas,20,FALSE))</f>
        <v/>
      </c>
      <c r="W30" s="3599"/>
      <c r="X30" s="3599"/>
      <c r="Y30" s="3599"/>
      <c r="Z30" s="3599"/>
      <c r="AA30" s="3599"/>
      <c r="AB30" s="3599"/>
      <c r="AC30" s="3599"/>
      <c r="AD30" s="3599"/>
      <c r="AE30" s="3623"/>
      <c r="AF30" s="3598" t="str">
        <f>Tablas!R267</f>
        <v/>
      </c>
      <c r="AG30" s="3599"/>
      <c r="AH30" s="3599"/>
      <c r="AI30" s="3599"/>
      <c r="AJ30" s="3600"/>
      <c r="AK30" s="1431"/>
      <c r="AL30" s="637"/>
      <c r="AM30" s="3066"/>
      <c r="AN30" s="3055"/>
      <c r="AO30" s="3055"/>
      <c r="AP30" s="3055"/>
      <c r="AQ30" s="3055"/>
      <c r="AR30" s="1737"/>
      <c r="AS30" s="1737"/>
      <c r="AT30" s="1737"/>
      <c r="AU30" s="1737"/>
    </row>
    <row r="31" spans="1:47" ht="12" customHeight="1" thickBot="1" x14ac:dyDescent="0.25">
      <c r="A31" s="9"/>
      <c r="B31" s="816"/>
      <c r="C31" s="3743" t="s">
        <v>1349</v>
      </c>
      <c r="D31" s="3745">
        <f>$E$25+IF(AND(FALSE,$E$25+$E$26&gt;200),(200+$E$26-$E$25)/2,$E$26)+IF(Mod_ATA&lt;0,TRUNC(Mod_ATA/2,0),0)</f>
        <v>40</v>
      </c>
      <c r="E31" s="2409"/>
      <c r="F31" s="3593" t="s">
        <v>2114</v>
      </c>
      <c r="G31" s="3594"/>
      <c r="H31" s="3595"/>
      <c r="I31" s="3738"/>
      <c r="J31" s="3739"/>
      <c r="K31" s="2833"/>
      <c r="L31" s="3447"/>
      <c r="M31" s="3453" t="s">
        <v>1428</v>
      </c>
      <c r="N31" s="3453"/>
      <c r="O31" s="3451"/>
      <c r="P31" s="3451"/>
      <c r="Q31" s="518">
        <f>IF(Liderazgo_final="-","-",Liderazgo_final+O31)</f>
        <v>-30</v>
      </c>
      <c r="R31" s="629"/>
      <c r="S31" s="1049"/>
      <c r="T31" s="1050"/>
      <c r="U31" s="1069"/>
      <c r="V31" s="3624"/>
      <c r="W31" s="3602"/>
      <c r="X31" s="3602"/>
      <c r="Y31" s="3602"/>
      <c r="Z31" s="3602"/>
      <c r="AA31" s="3602"/>
      <c r="AB31" s="3602"/>
      <c r="AC31" s="3602"/>
      <c r="AD31" s="3602"/>
      <c r="AE31" s="3625"/>
      <c r="AF31" s="3601"/>
      <c r="AG31" s="3602"/>
      <c r="AH31" s="3602"/>
      <c r="AI31" s="3602"/>
      <c r="AJ31" s="3603"/>
      <c r="AK31" s="1431"/>
      <c r="AL31" s="637"/>
      <c r="AM31" s="3044" t="s">
        <v>7197</v>
      </c>
      <c r="AN31" s="3055"/>
      <c r="AO31" s="3055"/>
      <c r="AP31" s="3055"/>
      <c r="AQ31" s="3055"/>
      <c r="AR31" s="1737"/>
      <c r="AS31" s="1737"/>
      <c r="AT31" s="3044" t="s">
        <v>10466</v>
      </c>
      <c r="AU31" s="1737"/>
    </row>
    <row r="32" spans="1:47" ht="12" customHeight="1" thickBot="1" x14ac:dyDescent="0.25">
      <c r="A32" s="9"/>
      <c r="B32" s="816"/>
      <c r="C32" s="3744"/>
      <c r="D32" s="3746"/>
      <c r="E32" s="2409"/>
      <c r="F32" s="3596" t="s">
        <v>1424</v>
      </c>
      <c r="G32" s="3597"/>
      <c r="H32" s="3597"/>
      <c r="I32" s="3597"/>
      <c r="J32" s="1319">
        <f>VLOOKUP(G13+G11,Tabla_NumAcciones,2)</f>
        <v>1</v>
      </c>
      <c r="K32" s="2833"/>
      <c r="L32" s="3447"/>
      <c r="M32" s="3453" t="s">
        <v>1430</v>
      </c>
      <c r="N32" s="3453"/>
      <c r="O32" s="3451"/>
      <c r="P32" s="3451"/>
      <c r="Q32" s="518">
        <f>IF(Persuasión_final="-","-",Persuasión_final+O32)</f>
        <v>-30</v>
      </c>
      <c r="R32" s="629"/>
      <c r="S32" s="1049"/>
      <c r="T32" s="1050"/>
      <c r="U32" s="1069"/>
      <c r="V32" s="3624"/>
      <c r="W32" s="3602"/>
      <c r="X32" s="3602"/>
      <c r="Y32" s="3602"/>
      <c r="Z32" s="3602"/>
      <c r="AA32" s="3602"/>
      <c r="AB32" s="3602"/>
      <c r="AC32" s="3602"/>
      <c r="AD32" s="3602"/>
      <c r="AE32" s="3625"/>
      <c r="AF32" s="3601"/>
      <c r="AG32" s="3602"/>
      <c r="AH32" s="3602"/>
      <c r="AI32" s="3602"/>
      <c r="AJ32" s="3603"/>
      <c r="AK32" s="1431"/>
      <c r="AL32" s="637"/>
      <c r="AM32" s="3044" t="s">
        <v>6587</v>
      </c>
      <c r="AN32" s="3055" t="str">
        <f>IF(AND(Raza="Criatura",AN39,AB13&lt;30),"$AO$36",Lista_VentajasComun)</f>
        <v>Tablas!$C$257:$C$397</v>
      </c>
      <c r="AO32" s="3055"/>
      <c r="AP32" s="3055"/>
      <c r="AQ32" s="3055"/>
      <c r="AR32" s="1737"/>
      <c r="AS32" s="1737"/>
      <c r="AT32" s="3044" t="str">
        <f>IF(SUM(Tablas!$I$1104:$I$1115)&gt;0,"+20 RM afín y -20 RM opuesta: Des. elemental","")</f>
        <v/>
      </c>
      <c r="AU32" s="1737"/>
    </row>
    <row r="33" spans="1:47" ht="12" customHeight="1" thickBot="1" x14ac:dyDescent="0.25">
      <c r="A33" s="9"/>
      <c r="B33" s="816"/>
      <c r="C33" s="2409"/>
      <c r="D33" s="2409"/>
      <c r="E33" s="2409"/>
      <c r="F33" s="2409"/>
      <c r="G33" s="2409"/>
      <c r="H33" s="2409"/>
      <c r="I33" s="2409"/>
      <c r="J33" s="2409"/>
      <c r="K33" s="2833"/>
      <c r="L33" s="3447"/>
      <c r="M33" s="3453" t="s">
        <v>816</v>
      </c>
      <c r="N33" s="3453"/>
      <c r="O33" s="3451"/>
      <c r="P33" s="3451"/>
      <c r="Q33" s="518">
        <f>IF(Comercio_final="-","-",Comercio_final+O33)</f>
        <v>-30</v>
      </c>
      <c r="R33" s="629"/>
      <c r="S33" s="1049"/>
      <c r="T33" s="1050"/>
      <c r="U33" s="1069"/>
      <c r="V33" s="3624"/>
      <c r="W33" s="3602"/>
      <c r="X33" s="3602"/>
      <c r="Y33" s="3602"/>
      <c r="Z33" s="3602"/>
      <c r="AA33" s="3602"/>
      <c r="AB33" s="3602"/>
      <c r="AC33" s="3602"/>
      <c r="AD33" s="3602"/>
      <c r="AE33" s="3625"/>
      <c r="AF33" s="3601"/>
      <c r="AG33" s="3602"/>
      <c r="AH33" s="3602"/>
      <c r="AI33" s="3602"/>
      <c r="AJ33" s="3603"/>
      <c r="AK33" s="1431"/>
      <c r="AL33" s="637"/>
      <c r="AM33" s="3044" t="s">
        <v>6588</v>
      </c>
      <c r="AN33" s="3055" t="str">
        <f>IF(AND(Raza="Criatura",AN39,AB13&lt;30),"$AO$36",IF(AND(Don,Psíquico),"Lista_VentajasDonYPsi",IF(Don,"Lista_VentajasDon",IF(Psíquico,"Lista_VentajasPsi","$AO$37"))))</f>
        <v>$AO$37</v>
      </c>
      <c r="AO33" s="3055"/>
      <c r="AP33" s="3055"/>
      <c r="AQ33" s="3055"/>
      <c r="AR33" s="1737"/>
      <c r="AS33" s="1737"/>
      <c r="AT33" s="3044" t="str">
        <f>IF(OR(TipoDeCriatura="Entre mundos, Elemental",TipoDeCriatura="Ánima, Elemental"),"+20 Resistencias afines y -20 opuestas: Elemental","")</f>
        <v/>
      </c>
      <c r="AU33" s="1737"/>
    </row>
    <row r="34" spans="1:47" ht="12" customHeight="1" x14ac:dyDescent="0.2">
      <c r="A34" s="9"/>
      <c r="B34" s="816"/>
      <c r="C34" s="3741" t="s">
        <v>1429</v>
      </c>
      <c r="D34" s="3742"/>
      <c r="E34" s="3742"/>
      <c r="F34" s="3742"/>
      <c r="G34" s="3116"/>
      <c r="H34" s="3116"/>
      <c r="I34" s="3117"/>
      <c r="J34" s="1542">
        <f>IF(AND(Raza="Criatura",AN39),0,3)+J49-Tablas!C234+IF(Y23="PDs",0,IF($AB$13=0,0,VLOOKUP($AB$13,Tabla_Gnosis,3,FALSE)))</f>
        <v>3</v>
      </c>
      <c r="K34" s="2824"/>
      <c r="L34" s="3447"/>
      <c r="M34" s="3453" t="s">
        <v>817</v>
      </c>
      <c r="N34" s="3453"/>
      <c r="O34" s="3637"/>
      <c r="P34" s="3637"/>
      <c r="Q34" s="518">
        <f>IF(Callejeo_final="-","-",Callejeo_final+O34)</f>
        <v>-30</v>
      </c>
      <c r="R34" s="629"/>
      <c r="S34" s="1049"/>
      <c r="T34" s="1050"/>
      <c r="U34" s="1069"/>
      <c r="V34" s="3624"/>
      <c r="W34" s="3602"/>
      <c r="X34" s="3602"/>
      <c r="Y34" s="3602"/>
      <c r="Z34" s="3602"/>
      <c r="AA34" s="3602"/>
      <c r="AB34" s="3602"/>
      <c r="AC34" s="3602"/>
      <c r="AD34" s="3602"/>
      <c r="AE34" s="3625"/>
      <c r="AF34" s="3604"/>
      <c r="AG34" s="3605"/>
      <c r="AH34" s="3605"/>
      <c r="AI34" s="3605"/>
      <c r="AJ34" s="3606"/>
      <c r="AK34" s="1431"/>
      <c r="AL34" s="637"/>
      <c r="AM34" s="3044" t="s">
        <v>6589</v>
      </c>
      <c r="AN34" s="3067" t="str">
        <f>IF(AND(Raza="Criatura",AN39,AB13&lt;30),"$AO$36","Lista_VentajasTrasfondo")</f>
        <v>Lista_VentajasTrasfondo</v>
      </c>
      <c r="AO34" s="3055"/>
      <c r="AP34" s="3055"/>
      <c r="AQ34" s="3055"/>
      <c r="AR34" s="1737"/>
      <c r="AS34" s="1737"/>
      <c r="AT34" s="3044" t="str">
        <f>IF(ISNUMBER(SEARCH("Afinidad Elemental",AF30)),"+20 Resistencias afines: Legado","")</f>
        <v/>
      </c>
      <c r="AU34" s="1737"/>
    </row>
    <row r="35" spans="1:47" ht="12" customHeight="1" thickBot="1" x14ac:dyDescent="0.25">
      <c r="A35" s="9"/>
      <c r="B35" s="816"/>
      <c r="C35" s="3740"/>
      <c r="D35" s="3440"/>
      <c r="E35" s="3440"/>
      <c r="F35" s="3441"/>
      <c r="G35" s="3588"/>
      <c r="H35" s="3482"/>
      <c r="I35" s="3482"/>
      <c r="J35" s="3589"/>
      <c r="K35" s="2824"/>
      <c r="L35" s="3447"/>
      <c r="M35" s="3453" t="s">
        <v>818</v>
      </c>
      <c r="N35" s="3453"/>
      <c r="O35" s="3637"/>
      <c r="P35" s="3637"/>
      <c r="Q35" s="518">
        <f>IF(Etiqueta_final="-","-",Etiqueta_final+O35)</f>
        <v>-30</v>
      </c>
      <c r="R35" s="629"/>
      <c r="S35" s="1049"/>
      <c r="T35" s="1050"/>
      <c r="U35" s="1069"/>
      <c r="V35" s="3626"/>
      <c r="W35" s="3627"/>
      <c r="X35" s="3627"/>
      <c r="Y35" s="3627"/>
      <c r="Z35" s="3627"/>
      <c r="AA35" s="3627"/>
      <c r="AB35" s="3627"/>
      <c r="AC35" s="3627"/>
      <c r="AD35" s="3627"/>
      <c r="AE35" s="3628"/>
      <c r="AF35" s="3629" t="str">
        <f>IF(ISNUMBER(SEARCH("Afinidad Elemental",AF30)),"+10 Daño base ataques elemento afín","")</f>
        <v/>
      </c>
      <c r="AG35" s="3629"/>
      <c r="AH35" s="3629"/>
      <c r="AI35" s="3629"/>
      <c r="AJ35" s="3629"/>
      <c r="AK35" s="1431"/>
      <c r="AL35" s="637"/>
      <c r="AM35" s="3044" t="s">
        <v>6590</v>
      </c>
      <c r="AN35" s="3055" t="str">
        <f>IF(AND(Raza="Criatura",AN39,AB13&lt;30),"$AO$36","Lista_LegadosSangre")</f>
        <v>Lista_LegadosSangre</v>
      </c>
      <c r="AO35" s="3055"/>
      <c r="AP35" s="3055"/>
      <c r="AQ35" s="3055"/>
      <c r="AR35" s="1737"/>
      <c r="AS35" s="1737"/>
      <c r="AT35" s="3044" t="str">
        <f>IF(Tablas!$P$241&gt;0,"+10 RF ante críticos: Toa","")</f>
        <v/>
      </c>
      <c r="AU35" s="1737"/>
    </row>
    <row r="36" spans="1:47" ht="12" customHeight="1" thickBot="1" x14ac:dyDescent="0.25">
      <c r="A36" s="9"/>
      <c r="B36" s="816"/>
      <c r="C36" s="3541"/>
      <c r="D36" s="3542"/>
      <c r="E36" s="3542"/>
      <c r="F36" s="3559"/>
      <c r="G36" s="3430"/>
      <c r="H36" s="3431"/>
      <c r="I36" s="3431"/>
      <c r="J36" s="3432"/>
      <c r="K36" s="2824"/>
      <c r="L36" s="3446" t="s">
        <v>1431</v>
      </c>
      <c r="M36" s="3450" t="s">
        <v>1432</v>
      </c>
      <c r="N36" s="3450"/>
      <c r="O36" s="3452">
        <f>IF(Combate!$C$15=0,0,VLOOKUP(Combate!$C$15,Tabla_Yelmos,3,FALSE))</f>
        <v>0</v>
      </c>
      <c r="P36" s="3452"/>
      <c r="Q36" s="2844">
        <f>IF(Advertir_final="-","-",Advertir_final+O36)</f>
        <v>-30</v>
      </c>
      <c r="R36" s="629"/>
      <c r="S36" s="1049"/>
      <c r="T36" s="1050"/>
      <c r="U36" s="1069"/>
      <c r="V36" s="3307" t="s">
        <v>7073</v>
      </c>
      <c r="W36" s="3308"/>
      <c r="X36" s="3308"/>
      <c r="Y36" s="3308"/>
      <c r="Z36" s="3308"/>
      <c r="AA36" s="3308"/>
      <c r="AB36" s="3308"/>
      <c r="AC36" s="3308"/>
      <c r="AD36" s="3308"/>
      <c r="AE36" s="3308"/>
      <c r="AF36" s="3308"/>
      <c r="AG36" s="3308"/>
      <c r="AH36" s="3308"/>
      <c r="AI36" s="3308"/>
      <c r="AJ36" s="3309"/>
      <c r="AK36" s="1431"/>
      <c r="AL36" s="637"/>
      <c r="AM36" s="3044" t="s">
        <v>6591</v>
      </c>
      <c r="AN36" s="3055" t="b">
        <f>OR(ISNUMBER(SEARCH("Don",$C35&amp;$C36&amp;$C37&amp;$C38&amp;$C39&amp;$C40&amp;$C41&amp;$C42)),Tablas!H1251&gt;0)</f>
        <v>0</v>
      </c>
      <c r="AO36" s="3055" t="s">
        <v>8314</v>
      </c>
      <c r="AP36" s="3055"/>
      <c r="AQ36" s="3055"/>
      <c r="AR36" s="1737"/>
      <c r="AS36" s="1737"/>
      <c r="AT36" s="3044" t="str">
        <f>IF(AT32&lt;&gt;"",AT32&amp;", ","")&amp;IF(AT33&lt;&gt;"",AT33&amp;", ","")&amp;IF(AT34&lt;&gt;"",AT34&amp;", ","")&amp;IF(AT35&lt;&gt;"",AT35&amp;", ","")</f>
        <v/>
      </c>
      <c r="AU36" s="1737"/>
    </row>
    <row r="37" spans="1:47" ht="12" customHeight="1" x14ac:dyDescent="0.2">
      <c r="A37" s="9"/>
      <c r="B37" s="816"/>
      <c r="C37" s="3541"/>
      <c r="D37" s="3542"/>
      <c r="E37" s="3542"/>
      <c r="F37" s="3559"/>
      <c r="G37" s="3430"/>
      <c r="H37" s="3431"/>
      <c r="I37" s="3431"/>
      <c r="J37" s="3432"/>
      <c r="K37" s="2824"/>
      <c r="L37" s="3447"/>
      <c r="M37" s="3453" t="s">
        <v>1433</v>
      </c>
      <c r="N37" s="3453"/>
      <c r="O37" s="3451">
        <f>IF(Combate!$C$15=0,0,VLOOKUP(Combate!$C$15,Tabla_Yelmos,3,FALSE))</f>
        <v>0</v>
      </c>
      <c r="P37" s="3451"/>
      <c r="Q37" s="518">
        <f>IF(Buscar_final="-","-",Buscar_final+O37)</f>
        <v>-30</v>
      </c>
      <c r="R37" s="629"/>
      <c r="S37" s="1049"/>
      <c r="T37" s="1050"/>
      <c r="U37" s="1069"/>
      <c r="V37" s="3454" t="str">
        <f>IF(Nephilim="","",VLOOKUP(Nephilim,Tabla_Razas,20,FALSE))</f>
        <v/>
      </c>
      <c r="W37" s="3455"/>
      <c r="X37" s="3455"/>
      <c r="Y37" s="3455"/>
      <c r="Z37" s="3455"/>
      <c r="AA37" s="3455"/>
      <c r="AB37" s="3455"/>
      <c r="AC37" s="3455"/>
      <c r="AD37" s="3455"/>
      <c r="AE37" s="3455"/>
      <c r="AF37" s="3455"/>
      <c r="AG37" s="3455"/>
      <c r="AH37" s="3455"/>
      <c r="AI37" s="3455"/>
      <c r="AJ37" s="3456"/>
      <c r="AK37" s="1431"/>
      <c r="AL37" s="637"/>
      <c r="AM37" s="3044" t="s">
        <v>6592</v>
      </c>
      <c r="AN37" s="3055" t="b">
        <f>OR(ISNUMBER(SEARCH("psiquica",$C35&amp;$C36&amp;$C37&amp;$C38&amp;$C39&amp;$C40&amp;$C41&amp;$C42)),Tablas!H1252&gt;0,Tablas!H1253&gt;0)</f>
        <v>0</v>
      </c>
      <c r="AO37" s="3055" t="s">
        <v>7196</v>
      </c>
      <c r="AP37" s="3055"/>
      <c r="AQ37" s="3055"/>
      <c r="AR37" s="1737"/>
      <c r="AS37" s="1737"/>
      <c r="AT37" s="3044"/>
      <c r="AU37" s="1737"/>
    </row>
    <row r="38" spans="1:47" ht="12" customHeight="1" thickBot="1" x14ac:dyDescent="0.25">
      <c r="A38" s="9"/>
      <c r="B38" s="489"/>
      <c r="C38" s="3541"/>
      <c r="D38" s="3542"/>
      <c r="E38" s="3542"/>
      <c r="F38" s="3559"/>
      <c r="G38" s="3430"/>
      <c r="H38" s="3431"/>
      <c r="I38" s="3431"/>
      <c r="J38" s="3432"/>
      <c r="K38" s="2824"/>
      <c r="L38" s="3448"/>
      <c r="M38" s="3449" t="s">
        <v>1434</v>
      </c>
      <c r="N38" s="3449"/>
      <c r="O38" s="3445"/>
      <c r="P38" s="3445"/>
      <c r="Q38" s="1601">
        <f>IF(Rastrear_final="-","-",Rastrear_final+O38)</f>
        <v>-30</v>
      </c>
      <c r="R38" s="629"/>
      <c r="S38" s="1049"/>
      <c r="T38" s="1050"/>
      <c r="U38" s="1069"/>
      <c r="V38" s="3457"/>
      <c r="W38" s="3458"/>
      <c r="X38" s="3458"/>
      <c r="Y38" s="3458"/>
      <c r="Z38" s="3458"/>
      <c r="AA38" s="3458"/>
      <c r="AB38" s="3458"/>
      <c r="AC38" s="3458"/>
      <c r="AD38" s="3458"/>
      <c r="AE38" s="3458"/>
      <c r="AF38" s="3458"/>
      <c r="AG38" s="3458"/>
      <c r="AH38" s="3458"/>
      <c r="AI38" s="3458"/>
      <c r="AJ38" s="3459"/>
      <c r="AK38" s="1430"/>
      <c r="AL38" s="637"/>
      <c r="AM38" s="3044" t="s">
        <v>8796</v>
      </c>
      <c r="AN38" s="3055" t="str">
        <f>IF(AND(Raza="Criatura",AN39,AB13&lt;30),"$AO$36",Lista_Desventajas)</f>
        <v>Tablas!$C$499:$C$555</v>
      </c>
      <c r="AO38" s="3055"/>
      <c r="AP38" s="3055"/>
      <c r="AQ38" s="3055"/>
      <c r="AR38" s="1737"/>
      <c r="AS38" s="1737"/>
      <c r="AT38" s="1737"/>
      <c r="AU38" s="1737"/>
    </row>
    <row r="39" spans="1:47" ht="12" customHeight="1" thickBot="1" x14ac:dyDescent="0.25">
      <c r="A39" s="9"/>
      <c r="B39" s="489"/>
      <c r="C39" s="3541"/>
      <c r="D39" s="3542"/>
      <c r="E39" s="3542"/>
      <c r="F39" s="3559"/>
      <c r="G39" s="3430"/>
      <c r="H39" s="3431"/>
      <c r="I39" s="3431"/>
      <c r="J39" s="3432"/>
      <c r="K39" s="2824"/>
      <c r="L39" s="3447" t="s">
        <v>1435</v>
      </c>
      <c r="M39" s="3453" t="s">
        <v>1436</v>
      </c>
      <c r="N39" s="3453"/>
      <c r="O39" s="3451"/>
      <c r="P39" s="3451"/>
      <c r="Q39" s="518">
        <f>IF(Animales_final="-","-",Animales_final+O39)</f>
        <v>-30</v>
      </c>
      <c r="R39" s="629"/>
      <c r="S39" s="1049"/>
      <c r="T39" s="1050"/>
      <c r="U39" s="1069"/>
      <c r="V39" s="2823">
        <f>IF(Raza=0,0,VLOOKUP(Raza,Tabla_Razas,22,FALSE))</f>
        <v>0</v>
      </c>
      <c r="W39" s="2823">
        <f>IF(Raza=0,0,VLOOKUP(Raza,Tabla_Razas,25,FALSE))</f>
        <v>0</v>
      </c>
      <c r="X39" s="2824">
        <f>IF(Raza=0,0,VLOOKUP(Raza,Tabla_Razas,28,FALSE))</f>
        <v>0</v>
      </c>
      <c r="Y39" s="2824">
        <f>IF(Raza=0,0,VLOOKUP(Raza,Tabla_Razas,31,FALSE))</f>
        <v>0</v>
      </c>
      <c r="Z39" s="2824">
        <f>IF(Raza=0,0,VLOOKUP(Raza,Tabla_Razas,34,FALSE))</f>
        <v>0</v>
      </c>
      <c r="AA39" s="2824">
        <f>IF(Raza=0,0,VLOOKUP(Raza,Tabla_Razas,37,FALSE))</f>
        <v>0</v>
      </c>
      <c r="AB39" s="2824">
        <f>IF(Raza=0,0,VLOOKUP(Raza,Tabla_Razas,40,FALSE))</f>
        <v>0</v>
      </c>
      <c r="AC39" s="2824">
        <f>IF(Raza=0,0,VLOOKUP(Raza,Tabla_Razas,43,FALSE))</f>
        <v>0</v>
      </c>
      <c r="AD39" s="2824">
        <f>IF(Raza=0,0,VLOOKUP(Raza,Tabla_Razas,46,FALSE))</f>
        <v>0</v>
      </c>
      <c r="AE39" s="2824">
        <f>IF(Raza=0,0,VLOOKUP(Raza,Tabla_Razas,49,FALSE))</f>
        <v>0</v>
      </c>
      <c r="AF39" s="2824">
        <f>IF(Raza=0,0,VLOOKUP(Raza,Tabla_Razas,52,FALSE))</f>
        <v>0</v>
      </c>
      <c r="AG39" s="2824">
        <f>IF(Raza=0,0,VLOOKUP(Raza,Tabla_Razas,55,FALSE))</f>
        <v>0</v>
      </c>
      <c r="AH39" s="2825"/>
      <c r="AI39" s="2825"/>
      <c r="AJ39" s="2826"/>
      <c r="AK39" s="1430"/>
      <c r="AL39" s="637"/>
      <c r="AM39" s="3044" t="s">
        <v>9330</v>
      </c>
      <c r="AN39" s="3055" t="b">
        <f>Personalización!F9&lt;&gt;"Si (No oficial)"</f>
        <v>1</v>
      </c>
      <c r="AO39" s="3055"/>
      <c r="AP39" s="3055"/>
      <c r="AQ39" s="3055"/>
      <c r="AR39" s="1737"/>
      <c r="AS39" s="1737"/>
      <c r="AT39" s="1737"/>
      <c r="AU39" s="1737"/>
    </row>
    <row r="40" spans="1:47" ht="12" customHeight="1" thickBot="1" x14ac:dyDescent="0.25">
      <c r="A40" s="9"/>
      <c r="B40" s="489"/>
      <c r="C40" s="3541"/>
      <c r="D40" s="3542"/>
      <c r="E40" s="3542"/>
      <c r="F40" s="3559"/>
      <c r="G40" s="3433"/>
      <c r="H40" s="3434"/>
      <c r="I40" s="3434"/>
      <c r="J40" s="3435"/>
      <c r="K40" s="2824"/>
      <c r="L40" s="3447"/>
      <c r="M40" s="3453" t="s">
        <v>1437</v>
      </c>
      <c r="N40" s="3453"/>
      <c r="O40" s="3451"/>
      <c r="P40" s="3451"/>
      <c r="Q40" s="518" t="str">
        <f>IF(Ciencia_final="-","-",Ciencia_final+O40)</f>
        <v>-</v>
      </c>
      <c r="R40" s="629"/>
      <c r="S40" s="1049"/>
      <c r="T40" s="1050"/>
      <c r="U40" s="1069"/>
      <c r="V40" s="3375" t="s">
        <v>1439</v>
      </c>
      <c r="W40" s="3376"/>
      <c r="X40" s="3376"/>
      <c r="Y40" s="3376"/>
      <c r="Z40" s="3376"/>
      <c r="AA40" s="3376"/>
      <c r="AB40" s="3460"/>
      <c r="AC40" s="3460"/>
      <c r="AD40" s="3460"/>
      <c r="AE40" s="3460"/>
      <c r="AF40" s="3376"/>
      <c r="AG40" s="3377"/>
      <c r="AH40" s="3461" t="s">
        <v>1372</v>
      </c>
      <c r="AI40" s="3462"/>
      <c r="AJ40" s="2816">
        <f>IF(ISNUMBER(SUM(AJ42:AJ69)+AJ70),SUM(AJ42:AJ69)+AJ70,0)</f>
        <v>0</v>
      </c>
      <c r="AK40" s="1429"/>
      <c r="AL40" s="637"/>
      <c r="AM40" s="3044"/>
      <c r="AN40" s="3055"/>
      <c r="AO40" s="3055"/>
      <c r="AP40" s="3068"/>
      <c r="AQ40" s="3055"/>
      <c r="AR40" s="1737"/>
      <c r="AS40" s="1737"/>
      <c r="AT40" s="1737"/>
      <c r="AU40" s="1737"/>
    </row>
    <row r="41" spans="1:47" ht="12" customHeight="1" x14ac:dyDescent="0.2">
      <c r="A41" s="9"/>
      <c r="B41" s="489"/>
      <c r="C41" s="3541"/>
      <c r="D41" s="3542"/>
      <c r="E41" s="3542"/>
      <c r="F41" s="3559"/>
      <c r="G41" s="3616"/>
      <c r="H41" s="3617"/>
      <c r="I41" s="3617"/>
      <c r="J41" s="3618"/>
      <c r="K41" s="2824"/>
      <c r="L41" s="3447"/>
      <c r="M41" s="3453" t="s">
        <v>2567</v>
      </c>
      <c r="N41" s="3453"/>
      <c r="O41" s="3451"/>
      <c r="P41" s="3451"/>
      <c r="Q41" s="518">
        <f>IF(Ley_final="-","-",Ley_final+O41)</f>
        <v>-30</v>
      </c>
      <c r="R41" s="629"/>
      <c r="S41" s="1049"/>
      <c r="T41" s="1050"/>
      <c r="U41" s="1069"/>
      <c r="V41" s="3466" t="s">
        <v>8306</v>
      </c>
      <c r="W41" s="3263"/>
      <c r="X41" s="3263"/>
      <c r="Y41" s="3263"/>
      <c r="Z41" s="3263"/>
      <c r="AA41" s="3264"/>
      <c r="AB41" s="3470" t="s">
        <v>9299</v>
      </c>
      <c r="AC41" s="3471"/>
      <c r="AD41" s="3471"/>
      <c r="AE41" s="3472"/>
      <c r="AF41" s="3473" t="s">
        <v>7330</v>
      </c>
      <c r="AG41" s="3473"/>
      <c r="AH41" s="3474"/>
      <c r="AI41" s="1604" t="s">
        <v>1376</v>
      </c>
      <c r="AJ41" s="2827" t="s">
        <v>1377</v>
      </c>
      <c r="AK41" s="1429"/>
      <c r="AL41" s="637"/>
      <c r="AM41" s="3044" t="s">
        <v>10299</v>
      </c>
      <c r="AN41" s="3055" t="s">
        <v>10306</v>
      </c>
      <c r="AO41" s="3044" t="s">
        <v>8305</v>
      </c>
      <c r="AP41" s="3055" t="s">
        <v>10307</v>
      </c>
      <c r="AQ41" s="3055"/>
      <c r="AR41" s="1737"/>
      <c r="AS41" s="1737" t="str">
        <f>AK44</f>
        <v/>
      </c>
      <c r="AT41" s="3044" t="s">
        <v>1371</v>
      </c>
      <c r="AU41" s="1737"/>
    </row>
    <row r="42" spans="1:47" ht="12" customHeight="1" x14ac:dyDescent="0.2">
      <c r="A42" s="9"/>
      <c r="B42" s="489"/>
      <c r="C42" s="3550"/>
      <c r="D42" s="3551"/>
      <c r="E42" s="3551"/>
      <c r="F42" s="3552"/>
      <c r="G42" s="3488"/>
      <c r="H42" s="3489"/>
      <c r="I42" s="3489"/>
      <c r="J42" s="3490"/>
      <c r="K42" s="2824"/>
      <c r="L42" s="3447"/>
      <c r="M42" s="3453" t="s">
        <v>1438</v>
      </c>
      <c r="N42" s="3453"/>
      <c r="O42" s="3451"/>
      <c r="P42" s="3451"/>
      <c r="Q42" s="518">
        <f>IF(Herbolaria_final="-","-",Herbolaria_final+O42)</f>
        <v>-30</v>
      </c>
      <c r="R42" s="629"/>
      <c r="S42" s="1049">
        <f>IF(V42="",MAX($S$41:S41)+1,0)</f>
        <v>1</v>
      </c>
      <c r="T42" s="1050">
        <f>IF(V42="",0,MAX($T$41:T41)+1)</f>
        <v>0</v>
      </c>
      <c r="U42" s="1070">
        <f>IF(V42="",Tablas!A1,V42&amp;1)</f>
        <v>1</v>
      </c>
      <c r="V42" s="3463"/>
      <c r="W42" s="3464"/>
      <c r="X42" s="3464"/>
      <c r="Y42" s="3464"/>
      <c r="Z42" s="3464"/>
      <c r="AA42" s="3465"/>
      <c r="AB42" s="3467"/>
      <c r="AC42" s="3468"/>
      <c r="AD42" s="3468"/>
      <c r="AE42" s="3469"/>
      <c r="AF42" s="3439"/>
      <c r="AG42" s="3440"/>
      <c r="AH42" s="3441"/>
      <c r="AI42" s="1584" t="str">
        <f t="shared" ref="AI42:AI69" si="6">IF(AB42="","",VLOOKUP(AO42,Tabla_PodCriatura,2,FALSE))</f>
        <v/>
      </c>
      <c r="AJ42" s="1440" t="str">
        <f t="shared" ref="AJ42:AJ69" si="7">IF(AB42=0,"",IF(OR(TipoDeCriatura="Entre mundos, Elemental",TipoDeCriatura="Ánima, Elemental"),IF(VLOOKUP(AO42,Tabla_PodCriatura,3,FALSE)&lt;0,VLOOKUP(AO42,Tabla_PodCriatura,3,FALSE),MAX(VLOOKUP(AO42,Tabla_PodCriatura,3,FALSE)-10,VLOOKUP(AO42,Tabla_PodCriatura,3,FALSE)/2)),VLOOKUP(AO42,Tabla_PodCriatura,3,FALSE)))</f>
        <v/>
      </c>
      <c r="AK42" s="1429" t="str">
        <f t="shared" ref="AK42:AK69" si="8">SUBSTITUTE(IF(AB42="","",VLOOKUP(AB42,Tabla_Listas_PodHabMonstruo,3,FALSE)),".","")</f>
        <v/>
      </c>
      <c r="AL42" s="637"/>
      <c r="AM42" s="3044" t="str">
        <f>IF(AB42="","",AB42)</f>
        <v/>
      </c>
      <c r="AN42" s="3055" t="str">
        <f>V42&amp;AM42</f>
        <v/>
      </c>
      <c r="AO42" s="3044" t="str">
        <f t="shared" ref="AO42:AO69" si="9">AB42&amp;IF(AF42="",""," "&amp;AF42)</f>
        <v/>
      </c>
      <c r="AP42" s="1737">
        <f>COUNTIF($AN$41:AN41,V42&amp;AB42&amp;"*")</f>
        <v>1</v>
      </c>
      <c r="AQ42" s="3044" t="s">
        <v>6586</v>
      </c>
      <c r="AR42" s="1737"/>
      <c r="AS42" s="3044" t="s">
        <v>6586</v>
      </c>
      <c r="AT42" s="3044" t="str">
        <f>IF(AD12="","",AD12&amp;IF(AG12="",""," ("&amp;AG12&amp;")"))</f>
        <v/>
      </c>
      <c r="AU42" s="1737"/>
    </row>
    <row r="43" spans="1:47" ht="12" customHeight="1" x14ac:dyDescent="0.2">
      <c r="A43" s="9"/>
      <c r="B43" s="489"/>
      <c r="C43" s="3553"/>
      <c r="D43" s="3554"/>
      <c r="E43" s="3554"/>
      <c r="F43" s="3555"/>
      <c r="G43" s="3488"/>
      <c r="H43" s="3489"/>
      <c r="I43" s="3489"/>
      <c r="J43" s="3490"/>
      <c r="K43" s="2824"/>
      <c r="L43" s="3447"/>
      <c r="M43" s="3453" t="s">
        <v>1440</v>
      </c>
      <c r="N43" s="3453"/>
      <c r="O43" s="3451"/>
      <c r="P43" s="3451"/>
      <c r="Q43" s="518" t="str">
        <f>IF(Historia_final="-","-",Historia_final+O43)</f>
        <v>-</v>
      </c>
      <c r="R43" s="629"/>
      <c r="S43" s="1049">
        <f>IF(V43="",MAX($S$41:S42)+1,0)</f>
        <v>2</v>
      </c>
      <c r="T43" s="1050">
        <f>IF(V43="",0,MAX($T$41:T42)+1)</f>
        <v>0</v>
      </c>
      <c r="U43" s="1070">
        <f>IF(V43="",Tablas!A2,IF(COUNTIF(V$42:V42,V43)&gt;0,V43&amp;COUNTIF(V$42:V42,V43)+1,V43&amp;1))</f>
        <v>2</v>
      </c>
      <c r="V43" s="3475"/>
      <c r="W43" s="3476"/>
      <c r="X43" s="3476"/>
      <c r="Y43" s="3476"/>
      <c r="Z43" s="3476"/>
      <c r="AA43" s="3477"/>
      <c r="AB43" s="3436"/>
      <c r="AC43" s="3437"/>
      <c r="AD43" s="3437"/>
      <c r="AE43" s="3438"/>
      <c r="AF43" s="3442"/>
      <c r="AG43" s="3443"/>
      <c r="AH43" s="3444"/>
      <c r="AI43" s="1144" t="str">
        <f t="shared" si="6"/>
        <v/>
      </c>
      <c r="AJ43" s="1440" t="str">
        <f t="shared" si="7"/>
        <v/>
      </c>
      <c r="AK43" s="1429" t="str">
        <f t="shared" si="8"/>
        <v/>
      </c>
      <c r="AL43" s="637"/>
      <c r="AM43" s="3044" t="str">
        <f t="shared" ref="AM43:AM69" si="10">IF(AB43="","",AB43)</f>
        <v/>
      </c>
      <c r="AN43" s="3055" t="str">
        <f t="shared" ref="AN43:AN69" si="11">V43&amp;AM43</f>
        <v/>
      </c>
      <c r="AO43" s="3044" t="str">
        <f t="shared" si="9"/>
        <v/>
      </c>
      <c r="AP43" s="1737">
        <f>COUNTIF($AN$41:AN42,V43&amp;AB43&amp;"*")</f>
        <v>2</v>
      </c>
      <c r="AQ43" s="3057" t="str">
        <f>IF(A48="","",VLOOKUP(A48,Tablas!$E$498:$J$564,6,FALSE))</f>
        <v/>
      </c>
      <c r="AR43" s="1737"/>
      <c r="AS43" s="3057" t="str">
        <f>IF(C51="","",VLOOKUP(C51,Tablas!$E$498:$J$564,6,FALSE))</f>
        <v/>
      </c>
      <c r="AT43" s="3044" t="str">
        <f t="shared" ref="AT43:AT53" si="12">IF(AD13="","",AD13&amp;IF(AG13="",""," ("&amp;AG13&amp;")"))</f>
        <v/>
      </c>
      <c r="AU43" s="1737"/>
    </row>
    <row r="44" spans="1:47" ht="12" customHeight="1" x14ac:dyDescent="0.2">
      <c r="A44" s="9"/>
      <c r="B44" s="489"/>
      <c r="C44" s="3541"/>
      <c r="D44" s="3542"/>
      <c r="E44" s="3542"/>
      <c r="F44" s="3543"/>
      <c r="G44" s="3488"/>
      <c r="H44" s="3489"/>
      <c r="I44" s="3489"/>
      <c r="J44" s="3490"/>
      <c r="K44" s="2846"/>
      <c r="L44" s="3447"/>
      <c r="M44" s="3453" t="s">
        <v>819</v>
      </c>
      <c r="N44" s="3453"/>
      <c r="O44" s="3451"/>
      <c r="P44" s="3451"/>
      <c r="Q44" s="518">
        <f>IF(Tactica_final="-","-",Tactica_final+O44)</f>
        <v>-30</v>
      </c>
      <c r="R44" s="629"/>
      <c r="S44" s="1049">
        <f>IF(V44="",MAX($S$41:S43)+1,0)</f>
        <v>3</v>
      </c>
      <c r="T44" s="1050">
        <f>IF(V44="",0,MAX($T$41:T43)+1)</f>
        <v>0</v>
      </c>
      <c r="U44" s="1070">
        <f>IF(V44="",Tablas!A3,IF(COUNTIF(V$42:V43,V44)&gt;0,V44&amp;COUNTIF(V$42:V43,V44)+1,V44&amp;1))</f>
        <v>3</v>
      </c>
      <c r="V44" s="3475"/>
      <c r="W44" s="3476"/>
      <c r="X44" s="3476"/>
      <c r="Y44" s="3476"/>
      <c r="Z44" s="3476"/>
      <c r="AA44" s="3477"/>
      <c r="AB44" s="3436"/>
      <c r="AC44" s="3437"/>
      <c r="AD44" s="3437"/>
      <c r="AE44" s="3438"/>
      <c r="AF44" s="3442"/>
      <c r="AG44" s="3443"/>
      <c r="AH44" s="3444"/>
      <c r="AI44" s="1144" t="str">
        <f t="shared" si="6"/>
        <v/>
      </c>
      <c r="AJ44" s="1440" t="str">
        <f t="shared" si="7"/>
        <v/>
      </c>
      <c r="AK44" s="1429" t="str">
        <f t="shared" si="8"/>
        <v/>
      </c>
      <c r="AL44" s="637"/>
      <c r="AM44" s="3044" t="str">
        <f t="shared" si="10"/>
        <v/>
      </c>
      <c r="AN44" s="3055" t="str">
        <f t="shared" si="11"/>
        <v/>
      </c>
      <c r="AO44" s="3044" t="str">
        <f t="shared" si="9"/>
        <v/>
      </c>
      <c r="AP44" s="1737">
        <f>COUNTIF($AN$41:AN43,V44&amp;AB44&amp;"*")</f>
        <v>3</v>
      </c>
      <c r="AQ44" s="3057" t="str">
        <f>IF(A49="","",VLOOKUP(A49,Tablas!$E$498:$J$564,6,FALSE))</f>
        <v/>
      </c>
      <c r="AR44" s="1737"/>
      <c r="AS44" s="3057" t="str">
        <f>IF(C52="","",VLOOKUP(C52,Tablas!$E$498:$J$564,6,FALSE))</f>
        <v/>
      </c>
      <c r="AT44" s="3044" t="str">
        <f t="shared" si="12"/>
        <v/>
      </c>
      <c r="AU44" s="1737"/>
    </row>
    <row r="45" spans="1:47" ht="12" customHeight="1" x14ac:dyDescent="0.2">
      <c r="A45" s="9"/>
      <c r="B45" s="816"/>
      <c r="C45" s="3541"/>
      <c r="D45" s="3542"/>
      <c r="E45" s="3542"/>
      <c r="F45" s="3543"/>
      <c r="G45" s="3488"/>
      <c r="H45" s="3489"/>
      <c r="I45" s="3489"/>
      <c r="J45" s="3490"/>
      <c r="K45" s="2846"/>
      <c r="L45" s="3447"/>
      <c r="M45" s="3453" t="s">
        <v>1443</v>
      </c>
      <c r="N45" s="3453"/>
      <c r="O45" s="3451"/>
      <c r="P45" s="3451"/>
      <c r="Q45" s="518" t="str">
        <f>IF(Medicina_final="-","-",Medicina_final+O45)</f>
        <v>-</v>
      </c>
      <c r="R45" s="629"/>
      <c r="S45" s="1049">
        <f>IF(V45="",MAX($S$41:S44)+1,0)</f>
        <v>4</v>
      </c>
      <c r="T45" s="1050">
        <f>IF(V45="",0,MAX($T$41:T44)+1)</f>
        <v>0</v>
      </c>
      <c r="U45" s="1070">
        <f>IF(V45="",Tablas!A4,IF(COUNTIF(V$42:V44,V45)&gt;0,V45&amp;COUNTIF(V$42:V44,V45)+1,V45&amp;1))</f>
        <v>4</v>
      </c>
      <c r="V45" s="3475"/>
      <c r="W45" s="3476"/>
      <c r="X45" s="3476"/>
      <c r="Y45" s="3476"/>
      <c r="Z45" s="3476"/>
      <c r="AA45" s="3477"/>
      <c r="AB45" s="3436"/>
      <c r="AC45" s="3437"/>
      <c r="AD45" s="3437"/>
      <c r="AE45" s="3438"/>
      <c r="AF45" s="3442"/>
      <c r="AG45" s="3443"/>
      <c r="AH45" s="3444"/>
      <c r="AI45" s="1144" t="str">
        <f t="shared" si="6"/>
        <v/>
      </c>
      <c r="AJ45" s="1440" t="str">
        <f t="shared" si="7"/>
        <v/>
      </c>
      <c r="AK45" s="1429" t="str">
        <f t="shared" si="8"/>
        <v/>
      </c>
      <c r="AL45" s="637"/>
      <c r="AM45" s="3044" t="str">
        <f t="shared" si="10"/>
        <v/>
      </c>
      <c r="AN45" s="3055" t="str">
        <f t="shared" si="11"/>
        <v/>
      </c>
      <c r="AO45" s="3044" t="str">
        <f t="shared" si="9"/>
        <v/>
      </c>
      <c r="AP45" s="1737">
        <f>COUNTIF($AN$41:AN44,V45&amp;AB45&amp;"*")</f>
        <v>4</v>
      </c>
      <c r="AQ45" s="3055"/>
      <c r="AR45" s="1737"/>
      <c r="AS45" s="3057" t="str">
        <f>IF(C53="","",VLOOKUP(C53,Tablas!$E$498:$J$564,6,FALSE))</f>
        <v/>
      </c>
      <c r="AT45" s="3044" t="str">
        <f t="shared" si="12"/>
        <v/>
      </c>
      <c r="AU45" s="1737"/>
    </row>
    <row r="46" spans="1:47" ht="12" customHeight="1" x14ac:dyDescent="0.2">
      <c r="A46" s="9"/>
      <c r="B46" s="816"/>
      <c r="C46" s="3541"/>
      <c r="D46" s="3542"/>
      <c r="E46" s="3542"/>
      <c r="F46" s="3543"/>
      <c r="G46" s="3488"/>
      <c r="H46" s="3489"/>
      <c r="I46" s="3489"/>
      <c r="J46" s="3490"/>
      <c r="K46" s="2846"/>
      <c r="L46" s="3447"/>
      <c r="M46" s="3453" t="s">
        <v>1444</v>
      </c>
      <c r="N46" s="3453"/>
      <c r="O46" s="3451"/>
      <c r="P46" s="3451"/>
      <c r="Q46" s="518">
        <f>IF(Memorizar_final="-","-",Memorizar_final+O46)</f>
        <v>-30</v>
      </c>
      <c r="R46" s="629"/>
      <c r="S46" s="1049">
        <f>IF(V46="",MAX($S$41:S45)+1,0)</f>
        <v>5</v>
      </c>
      <c r="T46" s="1050">
        <f>IF(V46="",0,MAX($T$41:T45)+1)</f>
        <v>0</v>
      </c>
      <c r="U46" s="1070">
        <f>IF(V46="",Tablas!A5,IF(COUNTIF(V$42:V45,V46)&gt;0,V46&amp;COUNTIF(V$42:V45,V46)+1,V46&amp;1))</f>
        <v>5</v>
      </c>
      <c r="V46" s="3475"/>
      <c r="W46" s="3476"/>
      <c r="X46" s="3476"/>
      <c r="Y46" s="3476"/>
      <c r="Z46" s="3476"/>
      <c r="AA46" s="3477"/>
      <c r="AB46" s="3436"/>
      <c r="AC46" s="3437"/>
      <c r="AD46" s="3437"/>
      <c r="AE46" s="3438"/>
      <c r="AF46" s="3442"/>
      <c r="AG46" s="3443"/>
      <c r="AH46" s="3444"/>
      <c r="AI46" s="1144" t="str">
        <f t="shared" si="6"/>
        <v/>
      </c>
      <c r="AJ46" s="1440" t="str">
        <f t="shared" si="7"/>
        <v/>
      </c>
      <c r="AK46" s="1429" t="str">
        <f t="shared" si="8"/>
        <v/>
      </c>
      <c r="AL46" s="637"/>
      <c r="AM46" s="3044" t="str">
        <f t="shared" si="10"/>
        <v/>
      </c>
      <c r="AN46" s="3055" t="str">
        <f t="shared" si="11"/>
        <v/>
      </c>
      <c r="AO46" s="3044" t="str">
        <f t="shared" si="9"/>
        <v/>
      </c>
      <c r="AP46" s="1737">
        <f>COUNTIF($AN$41:AN45,V46&amp;AB46&amp;"*")</f>
        <v>5</v>
      </c>
      <c r="AQ46" s="3055"/>
      <c r="AR46" s="1737"/>
      <c r="AS46" s="1737"/>
      <c r="AT46" s="3044" t="str">
        <f t="shared" si="12"/>
        <v/>
      </c>
      <c r="AU46" s="1737"/>
    </row>
    <row r="47" spans="1:47" ht="12" customHeight="1" x14ac:dyDescent="0.2">
      <c r="A47" s="9"/>
      <c r="B47" s="816"/>
      <c r="C47" s="3541"/>
      <c r="D47" s="3542"/>
      <c r="E47" s="3542"/>
      <c r="F47" s="3543"/>
      <c r="G47" s="3538"/>
      <c r="H47" s="3539"/>
      <c r="I47" s="3539"/>
      <c r="J47" s="3540"/>
      <c r="K47" s="2825"/>
      <c r="L47" s="3447"/>
      <c r="M47" s="3453" t="s">
        <v>1445</v>
      </c>
      <c r="N47" s="3453"/>
      <c r="O47" s="3451"/>
      <c r="P47" s="3451"/>
      <c r="Q47" s="518">
        <f>IF(Navegación_final="-","-",Navegación_final+O47)</f>
        <v>-30</v>
      </c>
      <c r="R47" s="629"/>
      <c r="S47" s="1049">
        <f>IF(V47="",MAX($S$41:S46)+1,0)</f>
        <v>6</v>
      </c>
      <c r="T47" s="1050">
        <f>IF(V47="",0,MAX($T$41:T46)+1)</f>
        <v>0</v>
      </c>
      <c r="U47" s="1070">
        <f>IF(V47="",Tablas!A6,IF(COUNTIF(V$42:V46,V47)&gt;0,V47&amp;COUNTIF(V$42:V46,V47)+1,V47&amp;1))</f>
        <v>6</v>
      </c>
      <c r="V47" s="3475"/>
      <c r="W47" s="3476"/>
      <c r="X47" s="3476"/>
      <c r="Y47" s="3476"/>
      <c r="Z47" s="3476"/>
      <c r="AA47" s="3477"/>
      <c r="AB47" s="3436"/>
      <c r="AC47" s="3437"/>
      <c r="AD47" s="3437"/>
      <c r="AE47" s="3438"/>
      <c r="AF47" s="3442"/>
      <c r="AG47" s="3443"/>
      <c r="AH47" s="3444"/>
      <c r="AI47" s="1144" t="str">
        <f t="shared" si="6"/>
        <v/>
      </c>
      <c r="AJ47" s="1440" t="str">
        <f t="shared" si="7"/>
        <v/>
      </c>
      <c r="AK47" s="1429" t="str">
        <f t="shared" si="8"/>
        <v/>
      </c>
      <c r="AL47" s="637"/>
      <c r="AM47" s="3044" t="str">
        <f t="shared" si="10"/>
        <v/>
      </c>
      <c r="AN47" s="3055" t="str">
        <f t="shared" si="11"/>
        <v/>
      </c>
      <c r="AO47" s="3044" t="str">
        <f t="shared" si="9"/>
        <v/>
      </c>
      <c r="AP47" s="1737">
        <f>COUNTIF($AN$41:AN46,V47&amp;AB47&amp;"*")</f>
        <v>6</v>
      </c>
      <c r="AQ47" s="3055"/>
      <c r="AR47" s="1737"/>
      <c r="AS47" s="1737"/>
      <c r="AT47" s="3044" t="str">
        <f t="shared" si="12"/>
        <v/>
      </c>
      <c r="AU47" s="1737"/>
    </row>
    <row r="48" spans="1:47" ht="12" customHeight="1" x14ac:dyDescent="0.2">
      <c r="A48" s="9"/>
      <c r="B48" s="816"/>
      <c r="C48" s="3541"/>
      <c r="D48" s="3542"/>
      <c r="E48" s="3542"/>
      <c r="F48" s="3543"/>
      <c r="G48" s="3545" t="s">
        <v>10041</v>
      </c>
      <c r="H48" s="3546"/>
      <c r="I48" s="3546"/>
      <c r="J48" s="2493">
        <f>TRUNC(Nivel_Total/2)+IF(Nivel_Total&gt;=16,(TRUNC((Nivel_Total-14)/2)^2+TRUNC((Nivel_Total-14)/2))/2)-SUM($H$50:$H$53,$J$50:$J$53)-$J$49</f>
        <v>0</v>
      </c>
      <c r="K48" s="2846"/>
      <c r="L48" s="3447"/>
      <c r="M48" s="3453" t="s">
        <v>1446</v>
      </c>
      <c r="N48" s="3453"/>
      <c r="O48" s="3451"/>
      <c r="P48" s="3451"/>
      <c r="Q48" s="518">
        <f>IF(Ocultismo_final="-","-",Ocultismo_final+O48)</f>
        <v>-30</v>
      </c>
      <c r="R48" s="629"/>
      <c r="S48" s="1049">
        <f>IF(V48="",MAX($S$41:S47)+1,0)</f>
        <v>7</v>
      </c>
      <c r="T48" s="1050">
        <f>IF(V48="",0,MAX($T$41:T47)+1)</f>
        <v>0</v>
      </c>
      <c r="U48" s="1070">
        <f>IF(V48="",Tablas!A7,IF(COUNTIF(V$42:V47,V48)&gt;0,V48&amp;COUNTIF(V$42:V47,V48)+1,V48&amp;1))</f>
        <v>7</v>
      </c>
      <c r="V48" s="3475"/>
      <c r="W48" s="3476"/>
      <c r="X48" s="3476"/>
      <c r="Y48" s="3476"/>
      <c r="Z48" s="3476"/>
      <c r="AA48" s="3477"/>
      <c r="AB48" s="3436"/>
      <c r="AC48" s="3437"/>
      <c r="AD48" s="3437"/>
      <c r="AE48" s="3438"/>
      <c r="AF48" s="3442"/>
      <c r="AG48" s="3443"/>
      <c r="AH48" s="3444"/>
      <c r="AI48" s="1144" t="str">
        <f t="shared" si="6"/>
        <v/>
      </c>
      <c r="AJ48" s="1440" t="str">
        <f t="shared" si="7"/>
        <v/>
      </c>
      <c r="AK48" s="1429" t="str">
        <f t="shared" si="8"/>
        <v/>
      </c>
      <c r="AL48" s="637"/>
      <c r="AM48" s="3044" t="str">
        <f t="shared" si="10"/>
        <v/>
      </c>
      <c r="AN48" s="3055" t="str">
        <f t="shared" si="11"/>
        <v/>
      </c>
      <c r="AO48" s="3044" t="str">
        <f t="shared" si="9"/>
        <v/>
      </c>
      <c r="AP48" s="1737">
        <f>COUNTIF($AN$41:AN47,V48&amp;AB48&amp;"*")</f>
        <v>7</v>
      </c>
      <c r="AQ48" s="3055"/>
      <c r="AR48" s="1737"/>
      <c r="AS48" s="1737"/>
      <c r="AT48" s="3044" t="str">
        <f t="shared" si="12"/>
        <v/>
      </c>
      <c r="AU48" s="1737"/>
    </row>
    <row r="49" spans="1:47" ht="12" customHeight="1" x14ac:dyDescent="0.2">
      <c r="A49" s="9"/>
      <c r="B49" s="816"/>
      <c r="C49" s="3619"/>
      <c r="D49" s="3620"/>
      <c r="E49" s="3620"/>
      <c r="F49" s="3621"/>
      <c r="G49" s="3545" t="s">
        <v>10050</v>
      </c>
      <c r="H49" s="3546"/>
      <c r="I49" s="3546"/>
      <c r="J49" s="2617"/>
      <c r="K49" s="2833"/>
      <c r="L49" s="3447"/>
      <c r="M49" s="3453" t="s">
        <v>1447</v>
      </c>
      <c r="N49" s="3453"/>
      <c r="O49" s="3451"/>
      <c r="P49" s="3451"/>
      <c r="Q49" s="518" t="str">
        <f>IF(Tasación_final="-","-",Tasación_final+O49)</f>
        <v>-</v>
      </c>
      <c r="R49" s="629"/>
      <c r="S49" s="1049">
        <f>IF(V49="",MAX($S$41:S48)+1,0)</f>
        <v>8</v>
      </c>
      <c r="T49" s="1050">
        <f>IF(V49="",0,MAX($T$41:T48)+1)</f>
        <v>0</v>
      </c>
      <c r="U49" s="1070">
        <f>IF(V49="",Tablas!A8,IF(COUNTIF(V$42:V48,V49)&gt;0,V49&amp;COUNTIF(V$42:V48,V49)+1,V49&amp;1))</f>
        <v>8</v>
      </c>
      <c r="V49" s="3475"/>
      <c r="W49" s="3476"/>
      <c r="X49" s="3476"/>
      <c r="Y49" s="3476"/>
      <c r="Z49" s="3476"/>
      <c r="AA49" s="3477"/>
      <c r="AB49" s="3436"/>
      <c r="AC49" s="3437"/>
      <c r="AD49" s="3437"/>
      <c r="AE49" s="3438"/>
      <c r="AF49" s="3442"/>
      <c r="AG49" s="3443"/>
      <c r="AH49" s="3444"/>
      <c r="AI49" s="1144" t="str">
        <f t="shared" si="6"/>
        <v/>
      </c>
      <c r="AJ49" s="1440" t="str">
        <f t="shared" si="7"/>
        <v/>
      </c>
      <c r="AK49" s="1429" t="str">
        <f t="shared" si="8"/>
        <v/>
      </c>
      <c r="AL49" s="637"/>
      <c r="AM49" s="3044" t="str">
        <f t="shared" si="10"/>
        <v/>
      </c>
      <c r="AN49" s="3055" t="str">
        <f t="shared" si="11"/>
        <v/>
      </c>
      <c r="AO49" s="3044" t="str">
        <f t="shared" si="9"/>
        <v/>
      </c>
      <c r="AP49" s="1737">
        <f>COUNTIF($AN$41:AN48,V49&amp;AB49&amp;"*")</f>
        <v>8</v>
      </c>
      <c r="AQ49" s="3055"/>
      <c r="AR49" s="1737"/>
      <c r="AS49" s="1737"/>
      <c r="AT49" s="3044" t="str">
        <f t="shared" si="12"/>
        <v/>
      </c>
      <c r="AU49" s="1737"/>
    </row>
    <row r="50" spans="1:47" ht="12" customHeight="1" x14ac:dyDescent="0.2">
      <c r="A50" s="9"/>
      <c r="B50" s="816"/>
      <c r="C50" s="3556" t="s">
        <v>2819</v>
      </c>
      <c r="D50" s="3557"/>
      <c r="E50" s="3557"/>
      <c r="F50" s="3558"/>
      <c r="G50" s="1573" t="s">
        <v>1373</v>
      </c>
      <c r="H50" s="2478"/>
      <c r="I50" s="1573" t="s">
        <v>1386</v>
      </c>
      <c r="J50" s="2479"/>
      <c r="K50" s="2833"/>
      <c r="L50" s="3447"/>
      <c r="M50" s="3453" t="s">
        <v>1448</v>
      </c>
      <c r="N50" s="3453"/>
      <c r="O50" s="3451"/>
      <c r="P50" s="3451"/>
      <c r="Q50" s="518" t="str">
        <f>IF(V.Mágica_final="-","-",V.Mágica_final+O50)</f>
        <v>-</v>
      </c>
      <c r="R50" s="629"/>
      <c r="S50" s="1049">
        <f>IF(V50="",MAX($S$41:S49)+1,0)</f>
        <v>9</v>
      </c>
      <c r="T50" s="1050">
        <f>IF(V50="",0,MAX($T$41:T49)+1)</f>
        <v>0</v>
      </c>
      <c r="U50" s="1070">
        <f>IF(V50="",Tablas!A9,IF(COUNTIF(V$42:V49,V50)&gt;0,V50&amp;COUNTIF(V$42:V49,V50)+1,V50&amp;1))</f>
        <v>9</v>
      </c>
      <c r="V50" s="3475"/>
      <c r="W50" s="3476"/>
      <c r="X50" s="3476"/>
      <c r="Y50" s="3476"/>
      <c r="Z50" s="3476"/>
      <c r="AA50" s="3477"/>
      <c r="AB50" s="3436"/>
      <c r="AC50" s="3437"/>
      <c r="AD50" s="3437"/>
      <c r="AE50" s="3438"/>
      <c r="AF50" s="3442"/>
      <c r="AG50" s="3443"/>
      <c r="AH50" s="3444"/>
      <c r="AI50" s="1144" t="str">
        <f t="shared" si="6"/>
        <v/>
      </c>
      <c r="AJ50" s="1440" t="str">
        <f t="shared" si="7"/>
        <v/>
      </c>
      <c r="AK50" s="1429" t="str">
        <f t="shared" si="8"/>
        <v/>
      </c>
      <c r="AL50" s="637"/>
      <c r="AM50" s="3044" t="str">
        <f t="shared" si="10"/>
        <v/>
      </c>
      <c r="AN50" s="3055" t="str">
        <f t="shared" si="11"/>
        <v/>
      </c>
      <c r="AO50" s="3044" t="str">
        <f t="shared" si="9"/>
        <v/>
      </c>
      <c r="AP50" s="1737">
        <f>COUNTIF($AN$41:AN49,V50&amp;AB50&amp;"*")</f>
        <v>9</v>
      </c>
      <c r="AQ50" s="3055"/>
      <c r="AR50" s="1737"/>
      <c r="AS50" s="1737"/>
      <c r="AT50" s="3044" t="str">
        <f t="shared" si="12"/>
        <v/>
      </c>
      <c r="AU50" s="1737"/>
    </row>
    <row r="51" spans="1:47" ht="12" customHeight="1" x14ac:dyDescent="0.2">
      <c r="A51" s="9"/>
      <c r="B51" s="816"/>
      <c r="C51" s="3613"/>
      <c r="D51" s="3614"/>
      <c r="E51" s="3614"/>
      <c r="F51" s="3615"/>
      <c r="G51" s="1573" t="s">
        <v>1498</v>
      </c>
      <c r="H51" s="2784"/>
      <c r="I51" s="1573" t="s">
        <v>1389</v>
      </c>
      <c r="J51" s="2791"/>
      <c r="K51" s="2833"/>
      <c r="L51" s="3446" t="s">
        <v>1449</v>
      </c>
      <c r="M51" s="3450" t="s">
        <v>1450</v>
      </c>
      <c r="N51" s="3450"/>
      <c r="O51" s="3452"/>
      <c r="P51" s="3452"/>
      <c r="Q51" s="2844">
        <f>IF(Frialdad_final="-","-",Frialdad_final+O51)</f>
        <v>-30</v>
      </c>
      <c r="R51" s="629"/>
      <c r="S51" s="1049">
        <f>IF(V51="",MAX($S$41:S50)+1,0)</f>
        <v>10</v>
      </c>
      <c r="T51" s="1050">
        <f>IF(V51="",0,MAX($T$41:T50)+1)</f>
        <v>0</v>
      </c>
      <c r="U51" s="1070">
        <f>IF(V51="",Tablas!A10,IF(COUNTIF(V$42:V50,V51)&gt;0,V51&amp;COUNTIF(V$42:V50,V51)+1,V51&amp;1))</f>
        <v>10</v>
      </c>
      <c r="V51" s="3475"/>
      <c r="W51" s="3476"/>
      <c r="X51" s="3476"/>
      <c r="Y51" s="3476"/>
      <c r="Z51" s="3476"/>
      <c r="AA51" s="3477"/>
      <c r="AB51" s="3436"/>
      <c r="AC51" s="3437"/>
      <c r="AD51" s="3437"/>
      <c r="AE51" s="3438"/>
      <c r="AF51" s="3442"/>
      <c r="AG51" s="3443"/>
      <c r="AH51" s="3444"/>
      <c r="AI51" s="1144" t="str">
        <f t="shared" si="6"/>
        <v/>
      </c>
      <c r="AJ51" s="1440" t="str">
        <f t="shared" si="7"/>
        <v/>
      </c>
      <c r="AK51" s="1429" t="str">
        <f t="shared" si="8"/>
        <v/>
      </c>
      <c r="AL51" s="637"/>
      <c r="AM51" s="3044" t="str">
        <f t="shared" si="10"/>
        <v/>
      </c>
      <c r="AN51" s="3055" t="str">
        <f t="shared" si="11"/>
        <v/>
      </c>
      <c r="AO51" s="3044" t="str">
        <f t="shared" si="9"/>
        <v/>
      </c>
      <c r="AP51" s="1737">
        <f>COUNTIF($AN$41:AN50,V51&amp;AB51&amp;"*")</f>
        <v>10</v>
      </c>
      <c r="AQ51" s="3055"/>
      <c r="AR51" s="1737"/>
      <c r="AS51" s="1737"/>
      <c r="AT51" s="3044" t="str">
        <f t="shared" si="12"/>
        <v/>
      </c>
      <c r="AU51" s="1737"/>
    </row>
    <row r="52" spans="1:47" ht="12" customHeight="1" x14ac:dyDescent="0.2">
      <c r="A52" s="9"/>
      <c r="B52" s="816"/>
      <c r="C52" s="3547"/>
      <c r="D52" s="3548"/>
      <c r="E52" s="3548"/>
      <c r="F52" s="3549"/>
      <c r="G52" s="1573" t="s">
        <v>1378</v>
      </c>
      <c r="H52" s="2784"/>
      <c r="I52" s="1573" t="s">
        <v>1391</v>
      </c>
      <c r="J52" s="2791"/>
      <c r="K52" s="2847"/>
      <c r="L52" s="3447"/>
      <c r="M52" s="3453" t="s">
        <v>1451</v>
      </c>
      <c r="N52" s="3453"/>
      <c r="O52" s="3451">
        <f>PenNatural</f>
        <v>0</v>
      </c>
      <c r="P52" s="3451"/>
      <c r="Q52" s="518">
        <f>IF(P.Fuerza_final="-","-",P.Fuerza_final+O52)</f>
        <v>-30</v>
      </c>
      <c r="R52" s="629"/>
      <c r="S52" s="1049">
        <f>IF(V52="",MAX($S$41:S51)+1,0)</f>
        <v>11</v>
      </c>
      <c r="T52" s="1050">
        <f>IF(V52="",0,MAX($T$41:T51)+1)</f>
        <v>0</v>
      </c>
      <c r="U52" s="1070">
        <f>IF(V52="",Tablas!A11,IF(COUNTIF(V$42:V51,V52)&gt;0,V52&amp;COUNTIF(V$42:V51,V52)+1,V52&amp;1))</f>
        <v>11</v>
      </c>
      <c r="V52" s="3475"/>
      <c r="W52" s="3476"/>
      <c r="X52" s="3476"/>
      <c r="Y52" s="3476"/>
      <c r="Z52" s="3476"/>
      <c r="AA52" s="3477"/>
      <c r="AB52" s="3436"/>
      <c r="AC52" s="3437"/>
      <c r="AD52" s="3437"/>
      <c r="AE52" s="3438"/>
      <c r="AF52" s="3442"/>
      <c r="AG52" s="3443"/>
      <c r="AH52" s="3444"/>
      <c r="AI52" s="1144" t="str">
        <f t="shared" si="6"/>
        <v/>
      </c>
      <c r="AJ52" s="1440" t="str">
        <f t="shared" si="7"/>
        <v/>
      </c>
      <c r="AK52" s="1429" t="str">
        <f t="shared" si="8"/>
        <v/>
      </c>
      <c r="AL52" s="637"/>
      <c r="AM52" s="3044" t="str">
        <f t="shared" si="10"/>
        <v/>
      </c>
      <c r="AN52" s="3055" t="str">
        <f t="shared" si="11"/>
        <v/>
      </c>
      <c r="AO52" s="3044" t="str">
        <f t="shared" si="9"/>
        <v/>
      </c>
      <c r="AP52" s="1737">
        <f>COUNTIF($AN$41:AN51,V52&amp;AB52&amp;"*")</f>
        <v>11</v>
      </c>
      <c r="AQ52" s="3055"/>
      <c r="AR52" s="1737"/>
      <c r="AS52" s="1737"/>
      <c r="AT52" s="3044" t="str">
        <f t="shared" si="12"/>
        <v/>
      </c>
      <c r="AU52" s="1737"/>
    </row>
    <row r="53" spans="1:47" ht="12" customHeight="1" thickBot="1" x14ac:dyDescent="0.25">
      <c r="A53" s="9"/>
      <c r="B53" s="816"/>
      <c r="C53" s="3590"/>
      <c r="D53" s="3591"/>
      <c r="E53" s="3591"/>
      <c r="F53" s="3592"/>
      <c r="G53" s="2841" t="s">
        <v>1383</v>
      </c>
      <c r="H53" s="2787"/>
      <c r="I53" s="2841" t="s">
        <v>1392</v>
      </c>
      <c r="J53" s="2494"/>
      <c r="K53" s="2847"/>
      <c r="L53" s="3448"/>
      <c r="M53" s="3449" t="s">
        <v>1454</v>
      </c>
      <c r="N53" s="3449"/>
      <c r="O53" s="3445"/>
      <c r="P53" s="3445"/>
      <c r="Q53" s="1601">
        <f>IF(Res.Dolor_final="-","-",Res.Dolor_final+O53)</f>
        <v>-30</v>
      </c>
      <c r="R53" s="629"/>
      <c r="S53" s="1049">
        <f>IF(V53="",MAX($S$41:S52)+1,0)</f>
        <v>12</v>
      </c>
      <c r="T53" s="1050">
        <f>IF(V53="",0,MAX($T$41:T52)+1)</f>
        <v>0</v>
      </c>
      <c r="U53" s="1070">
        <f>IF(V53="",Tablas!A12,IF(COUNTIF(V$42:V52,V53)&gt;0,V53&amp;COUNTIF(V$42:V52,V53)+1,V53&amp;1))</f>
        <v>12</v>
      </c>
      <c r="V53" s="3475"/>
      <c r="W53" s="3476"/>
      <c r="X53" s="3476"/>
      <c r="Y53" s="3476"/>
      <c r="Z53" s="3476"/>
      <c r="AA53" s="3477"/>
      <c r="AB53" s="3436"/>
      <c r="AC53" s="3437"/>
      <c r="AD53" s="3437"/>
      <c r="AE53" s="3438"/>
      <c r="AF53" s="3442"/>
      <c r="AG53" s="3443"/>
      <c r="AH53" s="3444"/>
      <c r="AI53" s="1144" t="str">
        <f t="shared" si="6"/>
        <v/>
      </c>
      <c r="AJ53" s="1440" t="str">
        <f t="shared" si="7"/>
        <v/>
      </c>
      <c r="AK53" s="1429" t="str">
        <f t="shared" si="8"/>
        <v/>
      </c>
      <c r="AL53" s="637"/>
      <c r="AM53" s="3044" t="str">
        <f t="shared" si="10"/>
        <v/>
      </c>
      <c r="AN53" s="3055" t="str">
        <f t="shared" si="11"/>
        <v/>
      </c>
      <c r="AO53" s="3044" t="str">
        <f t="shared" si="9"/>
        <v/>
      </c>
      <c r="AP53" s="1737">
        <f>COUNTIF($AN$41:AN52,V53&amp;AB53&amp;"*")</f>
        <v>12</v>
      </c>
      <c r="AQ53" s="3055"/>
      <c r="AR53" s="1737"/>
      <c r="AS53" s="1737"/>
      <c r="AT53" s="3044" t="str">
        <f t="shared" si="12"/>
        <v/>
      </c>
      <c r="AU53" s="1737"/>
    </row>
    <row r="54" spans="1:47" ht="12" customHeight="1" x14ac:dyDescent="0.2">
      <c r="A54" s="9"/>
      <c r="B54" s="816"/>
      <c r="C54" s="3501" t="str">
        <f>IF(F54&lt;=0,"",IF(COUNTIF(Principal!$AS$43:$AS$45,"Trasfondo")&gt;0,"PC exclusivos trasfondo",""))</f>
        <v/>
      </c>
      <c r="D54" s="3501"/>
      <c r="E54" s="3501"/>
      <c r="F54" s="2848">
        <f>-Tablas!$F$234</f>
        <v>0</v>
      </c>
      <c r="G54" s="3501" t="str">
        <f>IF(J54&lt;=0,"",IF(AND(COUNTIF(Principal!$AS$43:$AS$45,"Don")&gt;0,COUNTIF(Principal!$AS$43:$AS$45,"Psiquicos")&gt;0),"PC exclusivos Don/Psíquicos",IF(COUNTIF(Principal!$AS$43:$AS$45,"Don")&gt;0,"PC exclusivos Don",IF(COUNTIF(Principal!$AS$43:$AS$45,"Psiquicos")&gt;0,"PC exclusivos Psíquica",""))))</f>
        <v/>
      </c>
      <c r="H54" s="3501"/>
      <c r="I54" s="3501"/>
      <c r="J54" s="2848">
        <f>-Tablas!E234</f>
        <v>0</v>
      </c>
      <c r="K54" s="2833"/>
      <c r="L54" s="3447" t="s">
        <v>1457</v>
      </c>
      <c r="M54" s="3453" t="s">
        <v>1458</v>
      </c>
      <c r="N54" s="3453"/>
      <c r="O54" s="3451"/>
      <c r="P54" s="3451"/>
      <c r="Q54" s="518">
        <f>IF(Cerrajería_final="-","-",Cerrajería_final+O54)</f>
        <v>-30</v>
      </c>
      <c r="R54" s="629"/>
      <c r="S54" s="1049">
        <f>IF(V54="",MAX($S$41:S53)+1,0)</f>
        <v>13</v>
      </c>
      <c r="T54" s="1050">
        <f>IF(V54="",0,MAX($T$41:T53)+1)</f>
        <v>0</v>
      </c>
      <c r="U54" s="1070">
        <f>IF(V54="",Tablas!A13,IF(COUNTIF(V$42:V53,V54)&gt;0,V54&amp;COUNTIF(V$42:V53,V54)+1,V54&amp;1))</f>
        <v>13</v>
      </c>
      <c r="V54" s="3475"/>
      <c r="W54" s="3476"/>
      <c r="X54" s="3476"/>
      <c r="Y54" s="3476"/>
      <c r="Z54" s="3476"/>
      <c r="AA54" s="3477"/>
      <c r="AB54" s="3436"/>
      <c r="AC54" s="3437"/>
      <c r="AD54" s="3437"/>
      <c r="AE54" s="3438"/>
      <c r="AF54" s="3442"/>
      <c r="AG54" s="3443"/>
      <c r="AH54" s="3444"/>
      <c r="AI54" s="1144" t="str">
        <f t="shared" si="6"/>
        <v/>
      </c>
      <c r="AJ54" s="1440" t="str">
        <f t="shared" si="7"/>
        <v/>
      </c>
      <c r="AK54" s="1429" t="str">
        <f t="shared" si="8"/>
        <v/>
      </c>
      <c r="AL54" s="637"/>
      <c r="AM54" s="3044" t="str">
        <f t="shared" si="10"/>
        <v/>
      </c>
      <c r="AN54" s="3055" t="str">
        <f t="shared" si="11"/>
        <v/>
      </c>
      <c r="AO54" s="3044" t="str">
        <f t="shared" si="9"/>
        <v/>
      </c>
      <c r="AP54" s="1737">
        <f>COUNTIF($AN$41:AN53,V54&amp;AB54&amp;"*")</f>
        <v>13</v>
      </c>
      <c r="AQ54" s="3055"/>
      <c r="AR54" s="1737"/>
      <c r="AS54" s="1737"/>
      <c r="AT54" s="3044"/>
      <c r="AU54" s="1737"/>
    </row>
    <row r="55" spans="1:47" ht="12" customHeight="1" thickBot="1" x14ac:dyDescent="0.25">
      <c r="A55" s="9"/>
      <c r="B55" s="816"/>
      <c r="C55" s="2409"/>
      <c r="D55" s="2409"/>
      <c r="E55" s="2409"/>
      <c r="F55" s="2409"/>
      <c r="G55" s="2409"/>
      <c r="H55" s="2409"/>
      <c r="I55" s="2409"/>
      <c r="J55" s="2409"/>
      <c r="K55" s="2833"/>
      <c r="L55" s="3447"/>
      <c r="M55" s="3453" t="s">
        <v>1460</v>
      </c>
      <c r="N55" s="3453"/>
      <c r="O55" s="3451"/>
      <c r="P55" s="3451"/>
      <c r="Q55" s="518">
        <f>IF(Disfraz_final="-","-",Disfraz_final+O55)</f>
        <v>-30</v>
      </c>
      <c r="R55" s="629"/>
      <c r="S55" s="1049">
        <f>IF(V55="",MAX($S$41:S54)+1,0)</f>
        <v>14</v>
      </c>
      <c r="T55" s="1050">
        <f>IF(V55="",0,MAX($T$41:T54)+1)</f>
        <v>0</v>
      </c>
      <c r="U55" s="1070">
        <f>IF(V55="",Tablas!A14,IF(COUNTIF(V$42:V54,V55)&gt;0,V55&amp;COUNTIF(V$42:V54,V55)+1,V55&amp;1))</f>
        <v>14</v>
      </c>
      <c r="V55" s="3475"/>
      <c r="W55" s="3476"/>
      <c r="X55" s="3476"/>
      <c r="Y55" s="3476"/>
      <c r="Z55" s="3476"/>
      <c r="AA55" s="3477"/>
      <c r="AB55" s="3436"/>
      <c r="AC55" s="3437"/>
      <c r="AD55" s="3437"/>
      <c r="AE55" s="3438"/>
      <c r="AF55" s="3442"/>
      <c r="AG55" s="3443"/>
      <c r="AH55" s="3444"/>
      <c r="AI55" s="1144" t="str">
        <f t="shared" si="6"/>
        <v/>
      </c>
      <c r="AJ55" s="1440" t="str">
        <f t="shared" si="7"/>
        <v/>
      </c>
      <c r="AK55" s="1429" t="str">
        <f t="shared" si="8"/>
        <v/>
      </c>
      <c r="AL55" s="637"/>
      <c r="AM55" s="3044" t="str">
        <f t="shared" si="10"/>
        <v/>
      </c>
      <c r="AN55" s="3055" t="str">
        <f t="shared" si="11"/>
        <v/>
      </c>
      <c r="AO55" s="3044" t="str">
        <f t="shared" si="9"/>
        <v/>
      </c>
      <c r="AP55" s="1737">
        <f>COUNTIF($AN$41:AN54,V55&amp;AB55&amp;"*")</f>
        <v>14</v>
      </c>
      <c r="AQ55" s="3055"/>
      <c r="AR55" s="1737"/>
      <c r="AS55" s="1737"/>
      <c r="AT55" s="3044" t="s">
        <v>10298</v>
      </c>
      <c r="AU55" s="1737"/>
    </row>
    <row r="56" spans="1:47" ht="12" customHeight="1" x14ac:dyDescent="0.2">
      <c r="A56" s="9"/>
      <c r="B56" s="816"/>
      <c r="C56" s="3580" t="s">
        <v>1452</v>
      </c>
      <c r="D56" s="3502"/>
      <c r="E56" s="3503"/>
      <c r="F56" s="2849" t="s">
        <v>1365</v>
      </c>
      <c r="G56" s="2792" t="s">
        <v>1367</v>
      </c>
      <c r="H56" s="2792" t="s">
        <v>1453</v>
      </c>
      <c r="I56" s="2850" t="s">
        <v>1418</v>
      </c>
      <c r="J56" s="1592" t="s">
        <v>1349</v>
      </c>
      <c r="K56" s="2833"/>
      <c r="L56" s="3447"/>
      <c r="M56" s="3453" t="s">
        <v>1462</v>
      </c>
      <c r="N56" s="3453"/>
      <c r="O56" s="3451">
        <f>PenNatural</f>
        <v>0</v>
      </c>
      <c r="P56" s="3451"/>
      <c r="Q56" s="518">
        <f>IF(Ocultarse_final="-","-",Ocultarse_final+O56)</f>
        <v>-30</v>
      </c>
      <c r="R56" s="629"/>
      <c r="S56" s="1049">
        <f>IF(V56="",MAX($S$41:S55)+1,0)</f>
        <v>15</v>
      </c>
      <c r="T56" s="1050">
        <f>IF(V56="",0,MAX($T$41:T55)+1)</f>
        <v>0</v>
      </c>
      <c r="U56" s="1070">
        <f>IF(V56="",Tablas!A15,IF(COUNTIF(V$42:V55,V56)&gt;0,V56&amp;COUNTIF(V$42:V55,V56)+1,V56&amp;1))</f>
        <v>15</v>
      </c>
      <c r="V56" s="3475"/>
      <c r="W56" s="3476"/>
      <c r="X56" s="3476"/>
      <c r="Y56" s="3476"/>
      <c r="Z56" s="3476"/>
      <c r="AA56" s="3477"/>
      <c r="AB56" s="3436"/>
      <c r="AC56" s="3437"/>
      <c r="AD56" s="3437"/>
      <c r="AE56" s="3438"/>
      <c r="AF56" s="3442"/>
      <c r="AG56" s="3443"/>
      <c r="AH56" s="3444"/>
      <c r="AI56" s="1144" t="str">
        <f t="shared" si="6"/>
        <v/>
      </c>
      <c r="AJ56" s="1440" t="str">
        <f t="shared" si="7"/>
        <v/>
      </c>
      <c r="AK56" s="1429" t="str">
        <f t="shared" si="8"/>
        <v/>
      </c>
      <c r="AL56" s="637"/>
      <c r="AM56" s="3044" t="str">
        <f t="shared" si="10"/>
        <v/>
      </c>
      <c r="AN56" s="3055" t="str">
        <f t="shared" si="11"/>
        <v/>
      </c>
      <c r="AO56" s="3044" t="str">
        <f t="shared" si="9"/>
        <v/>
      </c>
      <c r="AP56" s="1737">
        <f>COUNTIF($AN$41:AN55,V56&amp;AB56&amp;"*")</f>
        <v>15</v>
      </c>
      <c r="AQ56" s="3055"/>
      <c r="AR56" s="1737"/>
      <c r="AS56" s="1737"/>
      <c r="AT56" s="3044" t="str">
        <f>Tablas!$L$2074</f>
        <v/>
      </c>
      <c r="AU56" s="1737"/>
    </row>
    <row r="57" spans="1:47" ht="12" customHeight="1" x14ac:dyDescent="0.2">
      <c r="A57" s="9"/>
      <c r="B57" s="816"/>
      <c r="C57" s="3581"/>
      <c r="D57" s="3504" t="s">
        <v>1455</v>
      </c>
      <c r="E57" s="3505"/>
      <c r="F57" s="1574">
        <f>IF(SUM(PDs!$S$7:$S$16)=0,20,25+(SUM(PDs!$S$7:$S$16)*5))</f>
        <v>20</v>
      </c>
      <c r="G57" s="1575" t="s">
        <v>1456</v>
      </c>
      <c r="H57" s="1575" t="s">
        <v>1456</v>
      </c>
      <c r="I57" s="2248"/>
      <c r="J57" s="1593">
        <f>F57+I57</f>
        <v>20</v>
      </c>
      <c r="K57" s="2847"/>
      <c r="L57" s="3447"/>
      <c r="M57" s="3453" t="s">
        <v>1464</v>
      </c>
      <c r="N57" s="3453"/>
      <c r="O57" s="3451"/>
      <c r="P57" s="3451"/>
      <c r="Q57" s="518">
        <f>IF(Robo_final="-","-",Robo_final+O57)</f>
        <v>-30</v>
      </c>
      <c r="R57" s="629"/>
      <c r="S57" s="1049">
        <f>IF(V57="",MAX($S$41:S56)+1,0)</f>
        <v>16</v>
      </c>
      <c r="T57" s="1050">
        <f>IF(V57="",0,MAX($T$41:T56)+1)</f>
        <v>0</v>
      </c>
      <c r="U57" s="1070">
        <f>IF(V57="",Tablas!A16,IF(COUNTIF(V$42:V56,V57)&gt;0,V57&amp;COUNTIF(V$42:V56,V57)+1,V57&amp;1))</f>
        <v>16</v>
      </c>
      <c r="V57" s="3475"/>
      <c r="W57" s="3476"/>
      <c r="X57" s="3476"/>
      <c r="Y57" s="3476"/>
      <c r="Z57" s="3476"/>
      <c r="AA57" s="3477"/>
      <c r="AB57" s="3436"/>
      <c r="AC57" s="3437"/>
      <c r="AD57" s="3437"/>
      <c r="AE57" s="3438"/>
      <c r="AF57" s="3442"/>
      <c r="AG57" s="3443"/>
      <c r="AH57" s="3444"/>
      <c r="AI57" s="1144" t="str">
        <f t="shared" si="6"/>
        <v/>
      </c>
      <c r="AJ57" s="1440" t="str">
        <f t="shared" si="7"/>
        <v/>
      </c>
      <c r="AK57" s="1429" t="str">
        <f t="shared" si="8"/>
        <v/>
      </c>
      <c r="AL57" s="637"/>
      <c r="AM57" s="3044" t="str">
        <f t="shared" si="10"/>
        <v/>
      </c>
      <c r="AN57" s="3055" t="str">
        <f t="shared" si="11"/>
        <v/>
      </c>
      <c r="AO57" s="3044" t="str">
        <f t="shared" si="9"/>
        <v/>
      </c>
      <c r="AP57" s="1737">
        <f>COUNTIF($AN$41:AN56,V57&amp;AB57&amp;"*")</f>
        <v>16</v>
      </c>
      <c r="AQ57" s="3055"/>
      <c r="AR57" s="1737"/>
      <c r="AS57" s="1737"/>
      <c r="AT57" s="3044" t="str">
        <f>Tablas!$O$2074</f>
        <v/>
      </c>
      <c r="AU57" s="1737"/>
    </row>
    <row r="58" spans="1:47" ht="12" customHeight="1" x14ac:dyDescent="0.2">
      <c r="A58" s="9"/>
      <c r="B58" s="816"/>
      <c r="C58" s="3581"/>
      <c r="D58" s="3506" t="s">
        <v>1459</v>
      </c>
      <c r="E58" s="3507"/>
      <c r="F58" s="1576">
        <f>$F$57</f>
        <v>20</v>
      </c>
      <c r="G58" s="2734">
        <f>$H$12</f>
        <v>0</v>
      </c>
      <c r="H58" s="273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49"/>
      <c r="J58" s="1440">
        <f>TRUNC((SUM(F58:I58)+IF(Dominiofísico,10,0)+IF(CuerpodeVacío,20,0)+Tablas!$G$267*25+Tablas!$G$268*50+Tablas!$K$1775+Tablas!$K$1841+Tablas!$S$1425+'Tablas psiquica'!$AH$60)*IF(Tablas!$G$514&gt;0,0.5,1),0)</f>
        <v>20</v>
      </c>
      <c r="K58" s="2833"/>
      <c r="L58" s="3447"/>
      <c r="M58" s="3453" t="s">
        <v>1466</v>
      </c>
      <c r="N58" s="3453"/>
      <c r="O58" s="3451">
        <f>PenNatural-MIN(MAX(LlevarArmadura_final-Combate!H16,0)+Combate!H17,0)+MIN(Combate!H17+MAX(LlevarArmadura_final-Combate!H16,0),ROUNDDOWN(Combate!H17/2,0))</f>
        <v>0</v>
      </c>
      <c r="P58" s="3451"/>
      <c r="Q58" s="518">
        <f>IF(Sigilo_final="-","-",Sigilo_final+O58)</f>
        <v>-30</v>
      </c>
      <c r="R58" s="629"/>
      <c r="S58" s="1049">
        <f>IF(V58="",MAX($S$41:S57)+1,0)</f>
        <v>17</v>
      </c>
      <c r="T58" s="1050">
        <f>IF(V58="",0,MAX($T$41:T57)+1)</f>
        <v>0</v>
      </c>
      <c r="U58" s="1070">
        <f>IF(V58="",Tablas!A17,IF(COUNTIF(V$42:V57,V58)&gt;0,V58&amp;COUNTIF(V$42:V57,V58)+1,V58&amp;1))</f>
        <v>17</v>
      </c>
      <c r="V58" s="3475"/>
      <c r="W58" s="3476"/>
      <c r="X58" s="3476"/>
      <c r="Y58" s="3476"/>
      <c r="Z58" s="3476"/>
      <c r="AA58" s="3477"/>
      <c r="AB58" s="3436"/>
      <c r="AC58" s="3437"/>
      <c r="AD58" s="3437"/>
      <c r="AE58" s="3438"/>
      <c r="AF58" s="3442"/>
      <c r="AG58" s="3443"/>
      <c r="AH58" s="3444"/>
      <c r="AI58" s="1144" t="str">
        <f t="shared" si="6"/>
        <v/>
      </c>
      <c r="AJ58" s="1440" t="str">
        <f t="shared" si="7"/>
        <v/>
      </c>
      <c r="AK58" s="1429" t="str">
        <f t="shared" si="8"/>
        <v/>
      </c>
      <c r="AL58" s="637"/>
      <c r="AM58" s="3044" t="str">
        <f t="shared" si="10"/>
        <v/>
      </c>
      <c r="AN58" s="3055" t="str">
        <f t="shared" si="11"/>
        <v/>
      </c>
      <c r="AO58" s="3044" t="str">
        <f t="shared" si="9"/>
        <v/>
      </c>
      <c r="AP58" s="1737">
        <f>COUNTIF($AN$41:AN57,V58&amp;AB58&amp;"*")</f>
        <v>17</v>
      </c>
      <c r="AQ58" s="3055"/>
      <c r="AR58" s="1737"/>
      <c r="AS58" s="1737"/>
      <c r="AT58" s="3044" t="str">
        <f>Tablas!$R$2074</f>
        <v/>
      </c>
      <c r="AU58" s="1737"/>
    </row>
    <row r="59" spans="1:47" ht="12" customHeight="1" x14ac:dyDescent="0.2">
      <c r="A59" s="9"/>
      <c r="B59" s="816"/>
      <c r="C59" s="3581"/>
      <c r="D59" s="3506" t="s">
        <v>1461</v>
      </c>
      <c r="E59" s="3507"/>
      <c r="F59" s="1576">
        <f>$F$57</f>
        <v>20</v>
      </c>
      <c r="G59" s="2734">
        <f>$H$12</f>
        <v>0</v>
      </c>
      <c r="H59" s="273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49"/>
      <c r="J59" s="1440">
        <f>TRUNC((SUM(F59:I59)+IF(CuerpodeVacío,20,0)+Tablas!$G$267*25+Tablas!$G$268*50+Tablas!$K$1775+Tablas!S1426)*IF(Tablas!$G$508&gt;0,0.5,1),0)</f>
        <v>20</v>
      </c>
      <c r="K59" s="2833"/>
      <c r="L59" s="3447"/>
      <c r="M59" s="3453" t="s">
        <v>1468</v>
      </c>
      <c r="N59" s="3453"/>
      <c r="O59" s="3451"/>
      <c r="P59" s="3451"/>
      <c r="Q59" s="518">
        <f>IF(Trampería_final="-","-",Trampería_final+O59)</f>
        <v>-30</v>
      </c>
      <c r="R59" s="629"/>
      <c r="S59" s="1049">
        <f>IF(V59="",MAX($S$41:S58)+1,0)</f>
        <v>18</v>
      </c>
      <c r="T59" s="1050">
        <f>IF(V59="",0,MAX($T$41:T58)+1)</f>
        <v>0</v>
      </c>
      <c r="U59" s="1070">
        <f>IF(V59="",Tablas!A18,IF(COUNTIF(V$42:V58,V59)&gt;0,V59&amp;COUNTIF(V$42:V58,V59)+1,V59&amp;1))</f>
        <v>18</v>
      </c>
      <c r="V59" s="3475"/>
      <c r="W59" s="3476"/>
      <c r="X59" s="3476"/>
      <c r="Y59" s="3476"/>
      <c r="Z59" s="3476"/>
      <c r="AA59" s="3477"/>
      <c r="AB59" s="3436"/>
      <c r="AC59" s="3437"/>
      <c r="AD59" s="3437"/>
      <c r="AE59" s="3438"/>
      <c r="AF59" s="3442"/>
      <c r="AG59" s="3443"/>
      <c r="AH59" s="3444"/>
      <c r="AI59" s="1144" t="str">
        <f t="shared" si="6"/>
        <v/>
      </c>
      <c r="AJ59" s="1440" t="str">
        <f t="shared" si="7"/>
        <v/>
      </c>
      <c r="AK59" s="1429" t="str">
        <f t="shared" si="8"/>
        <v/>
      </c>
      <c r="AL59" s="637"/>
      <c r="AM59" s="3044" t="str">
        <f t="shared" si="10"/>
        <v/>
      </c>
      <c r="AN59" s="3055" t="str">
        <f t="shared" si="11"/>
        <v/>
      </c>
      <c r="AO59" s="3044" t="str">
        <f t="shared" si="9"/>
        <v/>
      </c>
      <c r="AP59" s="1737">
        <f>COUNTIF($AN$41:AN58,V59&amp;AB59&amp;"*")</f>
        <v>18</v>
      </c>
      <c r="AQ59" s="3055"/>
      <c r="AR59" s="1737"/>
      <c r="AS59" s="1737"/>
      <c r="AT59" s="3044" t="str">
        <f>Tablas!$U$2074</f>
        <v/>
      </c>
      <c r="AU59" s="1737"/>
    </row>
    <row r="60" spans="1:47" ht="12" customHeight="1" x14ac:dyDescent="0.2">
      <c r="A60" s="9"/>
      <c r="B60" s="816"/>
      <c r="C60" s="3581"/>
      <c r="D60" s="3506" t="s">
        <v>1463</v>
      </c>
      <c r="E60" s="3507"/>
      <c r="F60" s="1576">
        <f>$F$57</f>
        <v>20</v>
      </c>
      <c r="G60" s="2734">
        <f>$H$12</f>
        <v>0</v>
      </c>
      <c r="H60" s="273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49"/>
      <c r="J60" s="1440">
        <f>TRUNC((SUM(F60:I60)+IF(CuerpodeVacío,20,0)+Tablas!$G$267*25+Tablas!$G$268*50+20*Tablas!$P$255+Tablas!$K$1775+Tablas!$S$1427)*IF(Tablas!$G$509&gt;0,0.5,1),0)</f>
        <v>20</v>
      </c>
      <c r="K60" s="2833"/>
      <c r="L60" s="3447"/>
      <c r="M60" s="3453" t="s">
        <v>1469</v>
      </c>
      <c r="N60" s="3453"/>
      <c r="O60" s="3451"/>
      <c r="P60" s="3451"/>
      <c r="Q60" s="518" t="str">
        <f>IF(Venenos_final="-","-",Venenos_final+O60)</f>
        <v>-</v>
      </c>
      <c r="R60" s="629"/>
      <c r="S60" s="1049">
        <f>IF(V60="",MAX($S$41:S59)+1,0)</f>
        <v>19</v>
      </c>
      <c r="T60" s="1050">
        <f>IF(V60="",0,MAX($T$41:T59)+1)</f>
        <v>0</v>
      </c>
      <c r="U60" s="1070">
        <f>IF(V60="",Tablas!A19,IF(COUNTIF(V$42:V59,V60)&gt;0,V60&amp;COUNTIF(V$42:V59,V60)+1,V60&amp;1))</f>
        <v>19</v>
      </c>
      <c r="V60" s="3475"/>
      <c r="W60" s="3476"/>
      <c r="X60" s="3476"/>
      <c r="Y60" s="3476"/>
      <c r="Z60" s="3476"/>
      <c r="AA60" s="3477"/>
      <c r="AB60" s="3436"/>
      <c r="AC60" s="3437"/>
      <c r="AD60" s="3437"/>
      <c r="AE60" s="3438"/>
      <c r="AF60" s="3442"/>
      <c r="AG60" s="3443"/>
      <c r="AH60" s="3444"/>
      <c r="AI60" s="1144" t="str">
        <f t="shared" si="6"/>
        <v/>
      </c>
      <c r="AJ60" s="1440" t="str">
        <f t="shared" si="7"/>
        <v/>
      </c>
      <c r="AK60" s="1429" t="str">
        <f t="shared" si="8"/>
        <v/>
      </c>
      <c r="AL60" s="637"/>
      <c r="AM60" s="3044" t="str">
        <f t="shared" si="10"/>
        <v/>
      </c>
      <c r="AN60" s="3055" t="str">
        <f t="shared" si="11"/>
        <v/>
      </c>
      <c r="AO60" s="3044" t="str">
        <f t="shared" si="9"/>
        <v/>
      </c>
      <c r="AP60" s="1737">
        <f>COUNTIF($AN$41:AN59,V60&amp;AB60&amp;"*")</f>
        <v>19</v>
      </c>
      <c r="AQ60" s="3055"/>
      <c r="AR60" s="1737"/>
      <c r="AS60" s="1737"/>
      <c r="AT60" s="3044" t="str">
        <f>Tablas!$X$2074</f>
        <v/>
      </c>
      <c r="AU60" s="1737"/>
    </row>
    <row r="61" spans="1:47" ht="12" customHeight="1" x14ac:dyDescent="0.2">
      <c r="A61" s="9"/>
      <c r="B61" s="816"/>
      <c r="C61" s="3581"/>
      <c r="D61" s="3506" t="s">
        <v>1465</v>
      </c>
      <c r="E61" s="3507"/>
      <c r="F61" s="1576">
        <f>$F$57</f>
        <v>20</v>
      </c>
      <c r="G61" s="2734">
        <f>H17</f>
        <v>0</v>
      </c>
      <c r="H61" s="273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49"/>
      <c r="J61" s="1440">
        <f>TRUNC((SUM(F61:I61)+IF(CuerpodeVacío,20,0)+Tablas!$G$281*10+Tablas!$G$269*25+Tablas!$G$270*50+Tablas!$K$1775+Tablas!S1443)*IF(Tablas!G511&gt;0,0.5,1),0)</f>
        <v>20</v>
      </c>
      <c r="K61" s="2833"/>
      <c r="L61" s="3446" t="s">
        <v>1470</v>
      </c>
      <c r="M61" s="3450" t="s">
        <v>1471</v>
      </c>
      <c r="N61" s="3450"/>
      <c r="O61" s="3452"/>
      <c r="P61" s="3452"/>
      <c r="Q61" s="2844">
        <f>IF(Arte_final="-","-",Arte_final+O61)</f>
        <v>-30</v>
      </c>
      <c r="R61" s="629"/>
      <c r="S61" s="1049">
        <f>IF(V61="",MAX($S$41:S60)+1,0)</f>
        <v>20</v>
      </c>
      <c r="T61" s="1050">
        <f>IF(V61="",0,MAX($T$41:T60)+1)</f>
        <v>0</v>
      </c>
      <c r="U61" s="1070">
        <f>IF(V61="",Tablas!A20,IF(COUNTIF(V$42:V60,V61)&gt;0,V61&amp;COUNTIF(V$42:V60,V61)+1,V61&amp;1))</f>
        <v>20</v>
      </c>
      <c r="V61" s="3475"/>
      <c r="W61" s="3476"/>
      <c r="X61" s="3476"/>
      <c r="Y61" s="3476"/>
      <c r="Z61" s="3476"/>
      <c r="AA61" s="3477"/>
      <c r="AB61" s="3436"/>
      <c r="AC61" s="3437"/>
      <c r="AD61" s="3437"/>
      <c r="AE61" s="3438"/>
      <c r="AF61" s="3442"/>
      <c r="AG61" s="3443"/>
      <c r="AH61" s="3444"/>
      <c r="AI61" s="1144" t="str">
        <f t="shared" si="6"/>
        <v/>
      </c>
      <c r="AJ61" s="1440" t="str">
        <f t="shared" si="7"/>
        <v/>
      </c>
      <c r="AK61" s="1429" t="str">
        <f t="shared" si="8"/>
        <v/>
      </c>
      <c r="AL61" s="637"/>
      <c r="AM61" s="3044" t="str">
        <f t="shared" si="10"/>
        <v/>
      </c>
      <c r="AN61" s="3055" t="str">
        <f t="shared" si="11"/>
        <v/>
      </c>
      <c r="AO61" s="3044" t="str">
        <f t="shared" si="9"/>
        <v/>
      </c>
      <c r="AP61" s="1737">
        <f>COUNTIF($AN$41:AN60,V61&amp;AB61&amp;"*")</f>
        <v>20</v>
      </c>
      <c r="AQ61" s="3055"/>
      <c r="AR61" s="1737"/>
      <c r="AS61" s="1737"/>
      <c r="AT61" s="3044" t="str">
        <f>Tablas!$AA$2074</f>
        <v/>
      </c>
      <c r="AU61" s="1737"/>
    </row>
    <row r="62" spans="1:47" ht="12" customHeight="1" x14ac:dyDescent="0.2">
      <c r="A62" s="9"/>
      <c r="B62" s="816"/>
      <c r="C62" s="3581"/>
      <c r="D62" s="3544" t="s">
        <v>1467</v>
      </c>
      <c r="E62" s="3300"/>
      <c r="F62" s="1577">
        <f>$F$57</f>
        <v>20</v>
      </c>
      <c r="G62" s="2851">
        <f>H18</f>
        <v>0</v>
      </c>
      <c r="H62" s="285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50"/>
      <c r="J62" s="2852">
        <f>SUM(F62:I62)+IF(CuerpodeVacío,20,0)+Tablas!$G$271*25+Tablas!$G$272*50+Tablas!$K$1775+Tablas!$S$1433+'Tablas psiquica'!$AH$8</f>
        <v>20</v>
      </c>
      <c r="K62" s="2833"/>
      <c r="L62" s="3447"/>
      <c r="M62" s="3453" t="s">
        <v>1472</v>
      </c>
      <c r="N62" s="3453"/>
      <c r="O62" s="3451">
        <f>PenNatural</f>
        <v>0</v>
      </c>
      <c r="P62" s="3451"/>
      <c r="Q62" s="518" t="str">
        <f>IF(Baile_final="-","-",Baile_final+O62)</f>
        <v>-</v>
      </c>
      <c r="R62" s="629"/>
      <c r="S62" s="1049">
        <f>IF(V62="",MAX($S$41:S61)+1,0)</f>
        <v>21</v>
      </c>
      <c r="T62" s="1050">
        <f>IF(V62="",0,MAX($T$41:T61)+1)</f>
        <v>0</v>
      </c>
      <c r="U62" s="1070">
        <f>IF(V62="",Tablas!A21,IF(COUNTIF(V$42:V61,V62)&gt;0,V62&amp;COUNTIF(V$42:V61,V62)+1,V62&amp;1))</f>
        <v>21</v>
      </c>
      <c r="V62" s="3475"/>
      <c r="W62" s="3476"/>
      <c r="X62" s="3476"/>
      <c r="Y62" s="3476"/>
      <c r="Z62" s="3476"/>
      <c r="AA62" s="3477"/>
      <c r="AB62" s="3436"/>
      <c r="AC62" s="3437"/>
      <c r="AD62" s="3437"/>
      <c r="AE62" s="3438"/>
      <c r="AF62" s="3442"/>
      <c r="AG62" s="3443"/>
      <c r="AH62" s="3444"/>
      <c r="AI62" s="1144" t="str">
        <f t="shared" si="6"/>
        <v/>
      </c>
      <c r="AJ62" s="1440" t="str">
        <f t="shared" si="7"/>
        <v/>
      </c>
      <c r="AK62" s="1429" t="str">
        <f t="shared" si="8"/>
        <v/>
      </c>
      <c r="AL62" s="637"/>
      <c r="AM62" s="3044" t="str">
        <f t="shared" si="10"/>
        <v/>
      </c>
      <c r="AN62" s="3055" t="str">
        <f t="shared" si="11"/>
        <v/>
      </c>
      <c r="AO62" s="3044" t="str">
        <f t="shared" si="9"/>
        <v/>
      </c>
      <c r="AP62" s="1737">
        <f>COUNTIF($AN$41:AN61,V62&amp;AB62&amp;"*")</f>
        <v>21</v>
      </c>
      <c r="AQ62" s="3055"/>
      <c r="AR62" s="1737"/>
      <c r="AS62" s="1737"/>
      <c r="AT62" s="3044" t="str">
        <f>Tablas!$AD$2074</f>
        <v/>
      </c>
      <c r="AU62" s="1737"/>
    </row>
    <row r="63" spans="1:47" ht="12" customHeight="1" x14ac:dyDescent="0.2">
      <c r="A63" s="9"/>
      <c r="B63" s="816"/>
      <c r="C63" s="3582"/>
      <c r="D63" s="3560" t="s">
        <v>1379</v>
      </c>
      <c r="E63" s="3584"/>
      <c r="F63" s="3584"/>
      <c r="G63" s="3584"/>
      <c r="H63" s="3584"/>
      <c r="I63" s="3584"/>
      <c r="J63" s="3585"/>
      <c r="K63" s="2833"/>
      <c r="L63" s="3447"/>
      <c r="M63" s="3453" t="s">
        <v>1473</v>
      </c>
      <c r="N63" s="3453"/>
      <c r="O63" s="3451"/>
      <c r="P63" s="3451"/>
      <c r="Q63" s="518" t="str">
        <f>IF(Forja_final="-","-",Forja_final+O63)</f>
        <v>-</v>
      </c>
      <c r="R63" s="629"/>
      <c r="S63" s="1049">
        <f>IF(V63="",MAX($S$41:S62)+1,0)</f>
        <v>22</v>
      </c>
      <c r="T63" s="1050">
        <f>IF(V63="",0,MAX($T$41:T62)+1)</f>
        <v>0</v>
      </c>
      <c r="U63" s="1070">
        <f>IF(V63="",Tablas!A22,IF(COUNTIF(V$42:V62,V63)&gt;0,V63&amp;COUNTIF(V$42:V62,V63)+1,V63&amp;1))</f>
        <v>22</v>
      </c>
      <c r="V63" s="3475"/>
      <c r="W63" s="3476"/>
      <c r="X63" s="3476"/>
      <c r="Y63" s="3476"/>
      <c r="Z63" s="3476"/>
      <c r="AA63" s="3477"/>
      <c r="AB63" s="3436"/>
      <c r="AC63" s="3437"/>
      <c r="AD63" s="3437"/>
      <c r="AE63" s="3438"/>
      <c r="AF63" s="3442"/>
      <c r="AG63" s="3443"/>
      <c r="AH63" s="3444"/>
      <c r="AI63" s="1144" t="str">
        <f t="shared" si="6"/>
        <v/>
      </c>
      <c r="AJ63" s="1440" t="str">
        <f t="shared" si="7"/>
        <v/>
      </c>
      <c r="AK63" s="1429" t="str">
        <f t="shared" si="8"/>
        <v/>
      </c>
      <c r="AL63" s="637"/>
      <c r="AM63" s="3044" t="str">
        <f t="shared" si="10"/>
        <v/>
      </c>
      <c r="AN63" s="3055" t="str">
        <f t="shared" si="11"/>
        <v/>
      </c>
      <c r="AO63" s="3044" t="str">
        <f t="shared" si="9"/>
        <v/>
      </c>
      <c r="AP63" s="1737">
        <f>COUNTIF($AN$41:AN62,V63&amp;AB63&amp;"*")</f>
        <v>22</v>
      </c>
      <c r="AQ63" s="3055"/>
      <c r="AR63" s="1737"/>
      <c r="AS63" s="1737"/>
      <c r="AT63" s="3044" t="str">
        <f>Tablas!$AG$2074</f>
        <v/>
      </c>
      <c r="AU63" s="1737"/>
    </row>
    <row r="64" spans="1:47" ht="12" customHeight="1" x14ac:dyDescent="0.2">
      <c r="A64" s="9"/>
      <c r="B64" s="816"/>
      <c r="C64" s="3582"/>
      <c r="D64" s="3560"/>
      <c r="E64" s="3586"/>
      <c r="F64" s="3586"/>
      <c r="G64" s="3586"/>
      <c r="H64" s="3586"/>
      <c r="I64" s="3586"/>
      <c r="J64" s="3587"/>
      <c r="K64" s="2833"/>
      <c r="L64" s="3447"/>
      <c r="M64" s="3453" t="s">
        <v>813</v>
      </c>
      <c r="N64" s="3453"/>
      <c r="O64" s="3451"/>
      <c r="P64" s="3451"/>
      <c r="Q64" s="518">
        <f>IF(Runas_final="-","-",Runas_final+O64)</f>
        <v>-30</v>
      </c>
      <c r="R64" s="629"/>
      <c r="S64" s="1049">
        <f>IF(V64="",MAX($S$41:S63)+1,0)</f>
        <v>23</v>
      </c>
      <c r="T64" s="1050">
        <f>IF(V64="",0,MAX($T$41:T63)+1)</f>
        <v>0</v>
      </c>
      <c r="U64" s="1070">
        <f>IF(V64="",Tablas!A23,IF(COUNTIF(V$42:V63,V64)&gt;0,V64&amp;COUNTIF(V$42:V63,V64)+1,V64&amp;1))</f>
        <v>23</v>
      </c>
      <c r="V64" s="3475"/>
      <c r="W64" s="3476"/>
      <c r="X64" s="3476"/>
      <c r="Y64" s="3476"/>
      <c r="Z64" s="3476"/>
      <c r="AA64" s="3477"/>
      <c r="AB64" s="3436"/>
      <c r="AC64" s="3437"/>
      <c r="AD64" s="3437"/>
      <c r="AE64" s="3438"/>
      <c r="AF64" s="3442"/>
      <c r="AG64" s="3443"/>
      <c r="AH64" s="3444"/>
      <c r="AI64" s="1144" t="str">
        <f t="shared" si="6"/>
        <v/>
      </c>
      <c r="AJ64" s="1440" t="str">
        <f t="shared" si="7"/>
        <v/>
      </c>
      <c r="AK64" s="1429" t="str">
        <f t="shared" si="8"/>
        <v/>
      </c>
      <c r="AL64" s="637"/>
      <c r="AM64" s="3044" t="str">
        <f t="shared" si="10"/>
        <v/>
      </c>
      <c r="AN64" s="3055" t="str">
        <f t="shared" si="11"/>
        <v/>
      </c>
      <c r="AO64" s="3044" t="str">
        <f t="shared" si="9"/>
        <v/>
      </c>
      <c r="AP64" s="1737">
        <f>COUNTIF($AN$41:AN63,V64&amp;AB64&amp;"*")</f>
        <v>23</v>
      </c>
      <c r="AQ64" s="3055"/>
      <c r="AR64" s="1737"/>
      <c r="AS64" s="1737"/>
      <c r="AT64" s="3044" t="str">
        <f>Tablas!$AJ$2074</f>
        <v/>
      </c>
      <c r="AU64" s="1737"/>
    </row>
    <row r="65" spans="1:47" ht="12" customHeight="1" thickBot="1" x14ac:dyDescent="0.25">
      <c r="A65" s="9"/>
      <c r="B65" s="816"/>
      <c r="C65" s="3583"/>
      <c r="D65" s="6546" t="str">
        <f>IFERROR(LEFT(AT36,LEN(AT36)-2),"")</f>
        <v/>
      </c>
      <c r="E65" s="6546"/>
      <c r="F65" s="6546"/>
      <c r="G65" s="6546"/>
      <c r="H65" s="6546"/>
      <c r="I65" s="6546"/>
      <c r="J65" s="6547"/>
      <c r="K65" s="2833"/>
      <c r="L65" s="3447"/>
      <c r="M65" s="3453" t="s">
        <v>814</v>
      </c>
      <c r="N65" s="3453"/>
      <c r="O65" s="3451"/>
      <c r="P65" s="3451"/>
      <c r="Q65" s="518">
        <f>IF(Alquimia_final="-","-",Alquimia_final+O65)</f>
        <v>-30</v>
      </c>
      <c r="R65" s="629"/>
      <c r="S65" s="1049">
        <f>IF(V65="",MAX($S$41:S64)+1,0)</f>
        <v>24</v>
      </c>
      <c r="T65" s="1050">
        <f>IF(V65="",0,MAX($T$41:T64)+1)</f>
        <v>0</v>
      </c>
      <c r="U65" s="1070">
        <f>IF(V65="",Tablas!A24,IF(COUNTIF(V$42:V64,V65)&gt;0,V65&amp;COUNTIF(V$42:V64,V65)+1,V65&amp;1))</f>
        <v>24</v>
      </c>
      <c r="V65" s="3475"/>
      <c r="W65" s="3476"/>
      <c r="X65" s="3476"/>
      <c r="Y65" s="3476"/>
      <c r="Z65" s="3476"/>
      <c r="AA65" s="3477"/>
      <c r="AB65" s="3436"/>
      <c r="AC65" s="3437"/>
      <c r="AD65" s="3437"/>
      <c r="AE65" s="3438"/>
      <c r="AF65" s="3442"/>
      <c r="AG65" s="3443"/>
      <c r="AH65" s="3444"/>
      <c r="AI65" s="1144" t="str">
        <f t="shared" si="6"/>
        <v/>
      </c>
      <c r="AJ65" s="1440" t="str">
        <f t="shared" si="7"/>
        <v/>
      </c>
      <c r="AK65" s="1429" t="str">
        <f t="shared" si="8"/>
        <v/>
      </c>
      <c r="AL65" s="637"/>
      <c r="AM65" s="3044" t="str">
        <f t="shared" si="10"/>
        <v/>
      </c>
      <c r="AN65" s="3055" t="str">
        <f t="shared" si="11"/>
        <v/>
      </c>
      <c r="AO65" s="3044" t="str">
        <f t="shared" si="9"/>
        <v/>
      </c>
      <c r="AP65" s="1737">
        <f>COUNTIF($AN$41:AN64,V65&amp;AB65&amp;"*")</f>
        <v>24</v>
      </c>
      <c r="AQ65" s="3055"/>
      <c r="AR65" s="1737"/>
      <c r="AS65" s="1737"/>
      <c r="AT65" s="3044" t="str">
        <f>Tablas!$AM$2074</f>
        <v/>
      </c>
      <c r="AU65" s="1737"/>
    </row>
    <row r="66" spans="1:47" ht="12" customHeight="1" thickBot="1" x14ac:dyDescent="0.25">
      <c r="A66" s="9"/>
      <c r="B66" s="816"/>
      <c r="C66" s="2409"/>
      <c r="D66" s="2409"/>
      <c r="E66" s="2409"/>
      <c r="F66" s="2409"/>
      <c r="G66" s="2409"/>
      <c r="H66" s="2409"/>
      <c r="I66" s="2409"/>
      <c r="J66" s="2409"/>
      <c r="K66" s="2833"/>
      <c r="L66" s="3447"/>
      <c r="M66" s="3453" t="s">
        <v>815</v>
      </c>
      <c r="N66" s="3453"/>
      <c r="O66" s="3451"/>
      <c r="P66" s="3451"/>
      <c r="Q66" s="518">
        <f>IF(Animismo_final="-","-",Animismo_final+O66)</f>
        <v>-30</v>
      </c>
      <c r="R66" s="629"/>
      <c r="S66" s="1049">
        <f>IF(V66="",MAX($S$41:S65)+1,0)</f>
        <v>25</v>
      </c>
      <c r="T66" s="1050">
        <f>IF(V66="",0,MAX($T$41:T65)+1)</f>
        <v>0</v>
      </c>
      <c r="U66" s="1070">
        <f>IF(V66="",Tablas!A25,IF(COUNTIF(V$42:V65,V66)&gt;0,V66&amp;COUNTIF(V$42:V65,V66)+1,V66&amp;1))</f>
        <v>25</v>
      </c>
      <c r="V66" s="3475"/>
      <c r="W66" s="3476"/>
      <c r="X66" s="3476"/>
      <c r="Y66" s="3476"/>
      <c r="Z66" s="3476"/>
      <c r="AA66" s="3477"/>
      <c r="AB66" s="3436"/>
      <c r="AC66" s="3437"/>
      <c r="AD66" s="3437"/>
      <c r="AE66" s="3438"/>
      <c r="AF66" s="3442"/>
      <c r="AG66" s="3443"/>
      <c r="AH66" s="3444"/>
      <c r="AI66" s="1144" t="str">
        <f t="shared" si="6"/>
        <v/>
      </c>
      <c r="AJ66" s="1440" t="str">
        <f t="shared" si="7"/>
        <v/>
      </c>
      <c r="AK66" s="1429" t="str">
        <f t="shared" si="8"/>
        <v/>
      </c>
      <c r="AL66" s="637"/>
      <c r="AM66" s="3044" t="str">
        <f t="shared" si="10"/>
        <v/>
      </c>
      <c r="AN66" s="3055" t="str">
        <f t="shared" si="11"/>
        <v/>
      </c>
      <c r="AO66" s="3044" t="str">
        <f t="shared" si="9"/>
        <v/>
      </c>
      <c r="AP66" s="1737">
        <f>COUNTIF($AN$41:AN65,V66&amp;AB66&amp;"*")</f>
        <v>25</v>
      </c>
      <c r="AQ66" s="3055"/>
      <c r="AR66" s="1737"/>
      <c r="AS66" s="1737"/>
      <c r="AT66" s="3044"/>
      <c r="AU66" s="1737"/>
    </row>
    <row r="67" spans="1:47" ht="12" customHeight="1" thickBot="1" x14ac:dyDescent="0.25">
      <c r="A67" s="9"/>
      <c r="B67" s="816"/>
      <c r="C67" s="3115" t="s">
        <v>10215</v>
      </c>
      <c r="D67" s="3561"/>
      <c r="E67" s="1594">
        <f>IF(INT=0,0,VLOOKUP(INT,Tabla_Idiomas,2))</f>
        <v>0</v>
      </c>
      <c r="F67" s="2409"/>
      <c r="G67" s="3562" t="s">
        <v>9603</v>
      </c>
      <c r="H67" s="3563"/>
      <c r="I67" s="3563"/>
      <c r="J67" s="3564"/>
      <c r="K67" s="2833"/>
      <c r="L67" s="3447"/>
      <c r="M67" s="3453" t="s">
        <v>1474</v>
      </c>
      <c r="N67" s="3453"/>
      <c r="O67" s="3451"/>
      <c r="P67" s="3451"/>
      <c r="Q67" s="518" t="str">
        <f>IF(Música_final="-","-",Música_final+O67)</f>
        <v>-</v>
      </c>
      <c r="R67" s="629"/>
      <c r="S67" s="1049">
        <f>IF(V67="",MAX($S$41:S66)+1,0)</f>
        <v>26</v>
      </c>
      <c r="T67" s="1050">
        <f>IF(V67="",0,MAX($T$41:T66)+1)</f>
        <v>0</v>
      </c>
      <c r="U67" s="1070">
        <f>IF(V67="",Tablas!A26,IF(COUNTIF(V$42:V66,V67)&gt;0,V67&amp;COUNTIF(V$42:V66,V67)+1,V67&amp;1))</f>
        <v>26</v>
      </c>
      <c r="V67" s="3475"/>
      <c r="W67" s="3476"/>
      <c r="X67" s="3476"/>
      <c r="Y67" s="3476"/>
      <c r="Z67" s="3476"/>
      <c r="AA67" s="3477"/>
      <c r="AB67" s="3436"/>
      <c r="AC67" s="3437"/>
      <c r="AD67" s="3437"/>
      <c r="AE67" s="3438"/>
      <c r="AF67" s="3442"/>
      <c r="AG67" s="3443"/>
      <c r="AH67" s="3444"/>
      <c r="AI67" s="1144" t="str">
        <f t="shared" si="6"/>
        <v/>
      </c>
      <c r="AJ67" s="1440" t="str">
        <f t="shared" si="7"/>
        <v/>
      </c>
      <c r="AK67" s="1429" t="str">
        <f t="shared" si="8"/>
        <v/>
      </c>
      <c r="AL67" s="637"/>
      <c r="AM67" s="3044" t="str">
        <f t="shared" si="10"/>
        <v/>
      </c>
      <c r="AN67" s="3055" t="str">
        <f t="shared" si="11"/>
        <v/>
      </c>
      <c r="AO67" s="3044" t="str">
        <f t="shared" si="9"/>
        <v/>
      </c>
      <c r="AP67" s="1737">
        <f>COUNTIF($AN$41:AN66,V67&amp;AB67&amp;"*")</f>
        <v>26</v>
      </c>
      <c r="AQ67" s="3055"/>
      <c r="AR67" s="1737"/>
      <c r="AS67" s="1737"/>
      <c r="AT67" s="3044"/>
      <c r="AU67" s="1737"/>
    </row>
    <row r="68" spans="1:47" ht="12" customHeight="1" x14ac:dyDescent="0.2">
      <c r="A68" s="9"/>
      <c r="B68" s="816"/>
      <c r="C68" s="1595" t="s">
        <v>1365</v>
      </c>
      <c r="D68" s="3576"/>
      <c r="E68" s="3577"/>
      <c r="F68" s="2409"/>
      <c r="G68" s="3567"/>
      <c r="H68" s="3568"/>
      <c r="I68" s="3568"/>
      <c r="J68" s="3569"/>
      <c r="K68" s="2833"/>
      <c r="L68" s="3447"/>
      <c r="M68" s="3453" t="s">
        <v>1476</v>
      </c>
      <c r="N68" s="3453"/>
      <c r="O68" s="3451"/>
      <c r="P68" s="3451"/>
      <c r="Q68" s="518">
        <f>IF(T.Manos_final="-","-",T.Manos_final+O68)</f>
        <v>-30</v>
      </c>
      <c r="R68" s="629"/>
      <c r="S68" s="1049">
        <f>IF(V68="",MAX($S$41:S67)+1,0)</f>
        <v>27</v>
      </c>
      <c r="T68" s="1050">
        <f>IF(V68="",0,MAX($T$41:T67)+1)</f>
        <v>0</v>
      </c>
      <c r="U68" s="1070">
        <f>IF(V68="",Tablas!A27,IF(COUNTIF(V$42:V67,V68)&gt;0,V68&amp;COUNTIF(V$42:V67,V68)+1,V68&amp;1))</f>
        <v>27</v>
      </c>
      <c r="V68" s="3475"/>
      <c r="W68" s="3476"/>
      <c r="X68" s="3476"/>
      <c r="Y68" s="3476"/>
      <c r="Z68" s="3476"/>
      <c r="AA68" s="3477"/>
      <c r="AB68" s="3436"/>
      <c r="AC68" s="3437"/>
      <c r="AD68" s="3437"/>
      <c r="AE68" s="3438"/>
      <c r="AF68" s="3442"/>
      <c r="AG68" s="3443"/>
      <c r="AH68" s="3444"/>
      <c r="AI68" s="1144" t="str">
        <f t="shared" si="6"/>
        <v/>
      </c>
      <c r="AJ68" s="1440" t="str">
        <f t="shared" si="7"/>
        <v/>
      </c>
      <c r="AK68" s="1429" t="str">
        <f t="shared" si="8"/>
        <v/>
      </c>
      <c r="AL68" s="637"/>
      <c r="AM68" s="3044" t="str">
        <f t="shared" si="10"/>
        <v/>
      </c>
      <c r="AN68" s="3055" t="str">
        <f t="shared" si="11"/>
        <v/>
      </c>
      <c r="AO68" s="3044" t="str">
        <f t="shared" si="9"/>
        <v/>
      </c>
      <c r="AP68" s="1737">
        <f>COUNTIF($AN$41:AN67,V68&amp;AB68&amp;"*")</f>
        <v>27</v>
      </c>
      <c r="AQ68" s="3055"/>
      <c r="AR68" s="1737"/>
      <c r="AS68" s="1737"/>
      <c r="AT68" s="3044"/>
      <c r="AU68" s="1737"/>
    </row>
    <row r="69" spans="1:47" ht="12" customHeight="1" x14ac:dyDescent="0.2">
      <c r="A69" s="9"/>
      <c r="B69" s="816"/>
      <c r="C69" s="1596" t="s">
        <v>1478</v>
      </c>
      <c r="D69" s="3565"/>
      <c r="E69" s="3566"/>
      <c r="F69" s="2409"/>
      <c r="G69" s="3570"/>
      <c r="H69" s="3571"/>
      <c r="I69" s="3571"/>
      <c r="J69" s="3572"/>
      <c r="K69" s="2833"/>
      <c r="L69" s="3447"/>
      <c r="M69" s="3453" t="s">
        <v>6279</v>
      </c>
      <c r="N69" s="3453"/>
      <c r="O69" s="3451"/>
      <c r="P69" s="3451"/>
      <c r="Q69" s="518">
        <f>IF(Caligrafíaritual_final="-","-",Caligrafíaritual_final+O69)</f>
        <v>-30</v>
      </c>
      <c r="R69" s="629"/>
      <c r="S69" s="1049">
        <f>IF(V69="",MAX($S$41:S68)+1,0)</f>
        <v>28</v>
      </c>
      <c r="T69" s="1050">
        <f>IF(V69="",0,MAX($T$41:T68)+1)</f>
        <v>0</v>
      </c>
      <c r="U69" s="1070">
        <f>IF(V69="",Tablas!A28,IF(COUNTIF(V$42:V68,V69)&gt;0,V69&amp;COUNTIF(V$42:V68,V69)+1,V69&amp;1))</f>
        <v>28</v>
      </c>
      <c r="V69" s="3520"/>
      <c r="W69" s="3521"/>
      <c r="X69" s="3521"/>
      <c r="Y69" s="3521"/>
      <c r="Z69" s="3521"/>
      <c r="AA69" s="3522"/>
      <c r="AB69" s="3526"/>
      <c r="AC69" s="3527"/>
      <c r="AD69" s="3527"/>
      <c r="AE69" s="3528"/>
      <c r="AF69" s="3529"/>
      <c r="AG69" s="3530"/>
      <c r="AH69" s="3531"/>
      <c r="AI69" s="1144" t="str">
        <f t="shared" si="6"/>
        <v/>
      </c>
      <c r="AJ69" s="1440" t="str">
        <f t="shared" si="7"/>
        <v/>
      </c>
      <c r="AK69" s="1429" t="str">
        <f t="shared" si="8"/>
        <v/>
      </c>
      <c r="AL69" s="637"/>
      <c r="AM69" s="3044" t="str">
        <f t="shared" si="10"/>
        <v/>
      </c>
      <c r="AN69" s="3055" t="str">
        <f t="shared" si="11"/>
        <v/>
      </c>
      <c r="AO69" s="3044" t="str">
        <f t="shared" si="9"/>
        <v/>
      </c>
      <c r="AP69" s="1737">
        <f>COUNTIF($AN$41:AN68,V69&amp;AB69&amp;"*")</f>
        <v>28</v>
      </c>
      <c r="AQ69" s="3055"/>
      <c r="AR69" s="1737"/>
      <c r="AS69" s="1737"/>
      <c r="AT69" s="1737"/>
      <c r="AU69" s="1737"/>
    </row>
    <row r="70" spans="1:47" ht="12" customHeight="1" x14ac:dyDescent="0.2">
      <c r="A70" s="9"/>
      <c r="B70" s="816"/>
      <c r="C70" s="1590" t="s">
        <v>1479</v>
      </c>
      <c r="D70" s="3495"/>
      <c r="E70" s="3496"/>
      <c r="F70" s="2409"/>
      <c r="G70" s="3570"/>
      <c r="H70" s="3571"/>
      <c r="I70" s="3571"/>
      <c r="J70" s="3572"/>
      <c r="K70" s="2853"/>
      <c r="L70" s="3447"/>
      <c r="M70" s="3453" t="s">
        <v>6280</v>
      </c>
      <c r="N70" s="3453"/>
      <c r="O70" s="3451"/>
      <c r="P70" s="3451"/>
      <c r="Q70" s="518">
        <f>IF(Orfebrería_final="-","-",Orfebrería_final+O70)</f>
        <v>-30</v>
      </c>
      <c r="R70" s="910"/>
      <c r="S70" s="1049"/>
      <c r="T70" s="1050"/>
      <c r="U70" s="1069"/>
      <c r="V70" s="3532"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533"/>
      <c r="X70" s="3533"/>
      <c r="Y70" s="3533"/>
      <c r="Z70" s="3533"/>
      <c r="AA70" s="3533"/>
      <c r="AB70" s="3533"/>
      <c r="AC70" s="3533"/>
      <c r="AD70" s="3533"/>
      <c r="AE70" s="3533"/>
      <c r="AF70" s="3533"/>
      <c r="AG70" s="3533"/>
      <c r="AH70" s="3533"/>
      <c r="AI70" s="3533"/>
      <c r="AJ70" s="3534"/>
      <c r="AK70" s="1429"/>
      <c r="AL70" s="637"/>
      <c r="AM70" s="3044"/>
      <c r="AN70" s="3055"/>
      <c r="AO70" s="3055"/>
      <c r="AP70" s="3055"/>
      <c r="AQ70" s="3055"/>
      <c r="AR70" s="1737"/>
      <c r="AS70" s="1737"/>
      <c r="AT70" s="1737"/>
      <c r="AU70" s="1737"/>
    </row>
    <row r="71" spans="1:47" ht="12" customHeight="1" x14ac:dyDescent="0.2">
      <c r="A71" s="9"/>
      <c r="B71" s="816"/>
      <c r="C71" s="1590" t="s">
        <v>1480</v>
      </c>
      <c r="D71" s="3495"/>
      <c r="E71" s="3496"/>
      <c r="F71" s="2409"/>
      <c r="G71" s="3570"/>
      <c r="H71" s="3571"/>
      <c r="I71" s="3571"/>
      <c r="J71" s="3572"/>
      <c r="K71" s="2853"/>
      <c r="L71" s="3447"/>
      <c r="M71" s="3453" t="s">
        <v>6281</v>
      </c>
      <c r="N71" s="3453"/>
      <c r="O71" s="3451"/>
      <c r="P71" s="3451"/>
      <c r="Q71" s="518">
        <f>IF(Confección_final="-","-",Confección_final+O71)</f>
        <v>-30</v>
      </c>
      <c r="R71" s="910"/>
      <c r="S71" s="1049"/>
      <c r="T71" s="1050"/>
      <c r="U71" s="1069"/>
      <c r="V71" s="3535"/>
      <c r="W71" s="3536"/>
      <c r="X71" s="3536"/>
      <c r="Y71" s="3536"/>
      <c r="Z71" s="3536"/>
      <c r="AA71" s="3536"/>
      <c r="AB71" s="3536"/>
      <c r="AC71" s="3536"/>
      <c r="AD71" s="3536"/>
      <c r="AE71" s="3536"/>
      <c r="AF71" s="3536"/>
      <c r="AG71" s="3536"/>
      <c r="AH71" s="3536"/>
      <c r="AI71" s="3536"/>
      <c r="AJ71" s="3537"/>
      <c r="AK71" s="1429"/>
      <c r="AL71" s="637"/>
      <c r="AM71" s="3044"/>
      <c r="AN71" s="3055"/>
      <c r="AO71" s="3055"/>
      <c r="AP71" s="3055"/>
      <c r="AQ71" s="3055"/>
      <c r="AR71" s="1737"/>
      <c r="AS71" s="1737"/>
      <c r="AT71" s="1737"/>
      <c r="AU71" s="1737"/>
    </row>
    <row r="72" spans="1:47" ht="12" customHeight="1" thickBot="1" x14ac:dyDescent="0.25">
      <c r="A72" s="9"/>
      <c r="B72" s="816"/>
      <c r="C72" s="1590" t="s">
        <v>1481</v>
      </c>
      <c r="D72" s="3495"/>
      <c r="E72" s="3496"/>
      <c r="F72" s="2832"/>
      <c r="G72" s="3570"/>
      <c r="H72" s="3571"/>
      <c r="I72" s="3571"/>
      <c r="J72" s="3572"/>
      <c r="K72" s="2833"/>
      <c r="L72" s="3448"/>
      <c r="M72" s="3499" t="s">
        <v>6282</v>
      </c>
      <c r="N72" s="3499"/>
      <c r="O72" s="3445"/>
      <c r="P72" s="3445"/>
      <c r="Q72" s="1601">
        <f>IF(Conf.marionetas_final="-","-",Conf.marionetas_final+O72)</f>
        <v>-30</v>
      </c>
      <c r="R72" s="629"/>
      <c r="S72" s="1049"/>
      <c r="T72" s="1050"/>
      <c r="U72" s="1069"/>
      <c r="V72" s="3523" t="str">
        <f>IFERROR(IF(SUM(AJ42:AJ69)&gt;PDs!T7/2,"Exceso de PDs en Poderes",""),"")</f>
        <v/>
      </c>
      <c r="W72" s="3524"/>
      <c r="X72" s="3524"/>
      <c r="Y72" s="3524"/>
      <c r="Z72" s="3524"/>
      <c r="AA72" s="3524"/>
      <c r="AB72" s="3524"/>
      <c r="AC72" s="3524"/>
      <c r="AD72" s="3524"/>
      <c r="AE72" s="3524"/>
      <c r="AF72" s="3524"/>
      <c r="AG72" s="3524"/>
      <c r="AH72" s="3524"/>
      <c r="AI72" s="3524"/>
      <c r="AJ72" s="3525"/>
      <c r="AK72" s="1429"/>
      <c r="AL72" s="637"/>
      <c r="AM72" s="3044"/>
      <c r="AN72" s="3055"/>
      <c r="AO72" s="3055"/>
      <c r="AP72" s="3055"/>
      <c r="AQ72" s="3055"/>
      <c r="AR72" s="1737"/>
      <c r="AS72" s="1737"/>
      <c r="AT72" s="1737"/>
      <c r="AU72" s="1737"/>
    </row>
    <row r="73" spans="1:47" ht="12" customHeight="1" thickBot="1" x14ac:dyDescent="0.25">
      <c r="A73" s="9"/>
      <c r="B73" s="816"/>
      <c r="C73" s="1590" t="s">
        <v>1482</v>
      </c>
      <c r="D73" s="3495"/>
      <c r="E73" s="3496"/>
      <c r="F73" s="2832"/>
      <c r="G73" s="3570"/>
      <c r="H73" s="3571"/>
      <c r="I73" s="3571"/>
      <c r="J73" s="3572"/>
      <c r="K73" s="2833"/>
      <c r="L73" s="3447" t="s">
        <v>1477</v>
      </c>
      <c r="M73" s="3453" t="str">
        <f>IF(PDs!E180="","-",PDs!E180)</f>
        <v>-</v>
      </c>
      <c r="N73" s="3453"/>
      <c r="O73" s="3451"/>
      <c r="P73" s="3451"/>
      <c r="Q73" s="518" t="str">
        <f>IF(PDs!AA180="-","-",PDs!AA180+O73)</f>
        <v>-</v>
      </c>
      <c r="R73" s="629"/>
      <c r="S73" s="1049"/>
      <c r="T73" s="1050"/>
      <c r="U73" s="1069"/>
      <c r="V73" s="2409"/>
      <c r="W73" s="2409"/>
      <c r="X73" s="2409"/>
      <c r="Y73" s="2409"/>
      <c r="Z73" s="2409"/>
      <c r="AA73" s="2409"/>
      <c r="AB73" s="2409"/>
      <c r="AC73" s="2409"/>
      <c r="AD73" s="2409"/>
      <c r="AE73" s="2409"/>
      <c r="AF73" s="2409"/>
      <c r="AG73" s="2409"/>
      <c r="AH73" s="2409"/>
      <c r="AI73" s="2409"/>
      <c r="AJ73" s="2409"/>
      <c r="AK73" s="1429"/>
      <c r="AL73" s="637"/>
      <c r="AM73" s="3044"/>
      <c r="AN73" s="3055"/>
      <c r="AO73" s="3055"/>
      <c r="AP73" s="3055"/>
      <c r="AQ73" s="3055"/>
      <c r="AR73" s="1737"/>
      <c r="AS73" s="1737"/>
      <c r="AT73" s="1737"/>
      <c r="AU73" s="1737"/>
    </row>
    <row r="74" spans="1:47" ht="12" customHeight="1" x14ac:dyDescent="0.2">
      <c r="A74" s="9"/>
      <c r="B74" s="816"/>
      <c r="C74" s="1590" t="s">
        <v>1483</v>
      </c>
      <c r="D74" s="3495"/>
      <c r="E74" s="3496"/>
      <c r="F74" s="2832"/>
      <c r="G74" s="3570"/>
      <c r="H74" s="3571"/>
      <c r="I74" s="3571"/>
      <c r="J74" s="3572"/>
      <c r="K74" s="2833"/>
      <c r="L74" s="3447"/>
      <c r="M74" s="3453" t="str">
        <f>IF(PDs!E181="","-",PDs!E181)</f>
        <v>-</v>
      </c>
      <c r="N74" s="3453"/>
      <c r="O74" s="3451"/>
      <c r="P74" s="3451"/>
      <c r="Q74" s="518" t="str">
        <f>IF(PDs!AA181="-","-",PDs!AA181+O74)</f>
        <v>-</v>
      </c>
      <c r="R74" s="629"/>
      <c r="S74" s="1049"/>
      <c r="T74" s="1050"/>
      <c r="U74" s="1069"/>
      <c r="V74" s="3508" t="s">
        <v>9604</v>
      </c>
      <c r="W74" s="3511"/>
      <c r="X74" s="3512"/>
      <c r="Y74" s="3512"/>
      <c r="Z74" s="3512"/>
      <c r="AA74" s="3512"/>
      <c r="AB74" s="3512"/>
      <c r="AC74" s="3512"/>
      <c r="AD74" s="3512"/>
      <c r="AE74" s="3512"/>
      <c r="AF74" s="3512"/>
      <c r="AG74" s="3512"/>
      <c r="AH74" s="3512"/>
      <c r="AI74" s="3512"/>
      <c r="AJ74" s="3513"/>
      <c r="AK74" s="1429"/>
      <c r="AL74" s="637"/>
      <c r="AM74" s="3044"/>
      <c r="AN74" s="3055"/>
      <c r="AO74" s="3055"/>
      <c r="AP74" s="3055"/>
      <c r="AQ74" s="3055"/>
      <c r="AR74" s="1737"/>
      <c r="AS74" s="1737"/>
      <c r="AT74" s="1737"/>
      <c r="AU74" s="1737"/>
    </row>
    <row r="75" spans="1:47" ht="12" customHeight="1" thickBot="1" x14ac:dyDescent="0.25">
      <c r="A75" s="9"/>
      <c r="B75" s="816"/>
      <c r="C75" s="1590" t="s">
        <v>1485</v>
      </c>
      <c r="D75" s="3495"/>
      <c r="E75" s="3496"/>
      <c r="F75" s="2832"/>
      <c r="G75" s="3573"/>
      <c r="H75" s="3574"/>
      <c r="I75" s="3574"/>
      <c r="J75" s="3575"/>
      <c r="K75" s="2833"/>
      <c r="L75" s="3447"/>
      <c r="M75" s="3453" t="str">
        <f>IF(PDs!E182="","-",PDs!E182)</f>
        <v>-</v>
      </c>
      <c r="N75" s="3453"/>
      <c r="O75" s="3451"/>
      <c r="P75" s="3451"/>
      <c r="Q75" s="518" t="str">
        <f>IF(PDs!AA182="-","-",PDs!AA182+O75)</f>
        <v>-</v>
      </c>
      <c r="R75" s="629"/>
      <c r="S75" s="1049"/>
      <c r="T75" s="1050"/>
      <c r="U75" s="1069"/>
      <c r="V75" s="3509"/>
      <c r="W75" s="3514"/>
      <c r="X75" s="3515"/>
      <c r="Y75" s="3515"/>
      <c r="Z75" s="3515"/>
      <c r="AA75" s="3515"/>
      <c r="AB75" s="3515"/>
      <c r="AC75" s="3515"/>
      <c r="AD75" s="3515"/>
      <c r="AE75" s="3515"/>
      <c r="AF75" s="3515"/>
      <c r="AG75" s="3515"/>
      <c r="AH75" s="3515"/>
      <c r="AI75" s="3515"/>
      <c r="AJ75" s="3516"/>
      <c r="AK75" s="1429"/>
      <c r="AL75" s="637"/>
      <c r="AM75" s="3044"/>
      <c r="AN75" s="3055"/>
      <c r="AO75" s="3055"/>
      <c r="AP75" s="3055"/>
      <c r="AQ75" s="3055"/>
      <c r="AR75" s="1737"/>
      <c r="AS75" s="1737"/>
      <c r="AT75" s="1737"/>
      <c r="AU75" s="1737"/>
    </row>
    <row r="76" spans="1:47" ht="12" customHeight="1" x14ac:dyDescent="0.2">
      <c r="A76" s="9"/>
      <c r="B76" s="816"/>
      <c r="C76" s="1590" t="s">
        <v>1486</v>
      </c>
      <c r="D76" s="3495"/>
      <c r="E76" s="3496"/>
      <c r="F76" s="2832"/>
      <c r="G76" s="3497" t="s">
        <v>1484</v>
      </c>
      <c r="H76" s="3498"/>
      <c r="I76" s="3498"/>
      <c r="J76" s="2852">
        <f>IF(TipoDeCriatura="Natural",IF(AB14&gt;19,9,IF(AB14&gt;14,6,IF(AB14&gt;9,3,0))),"")</f>
        <v>3</v>
      </c>
      <c r="K76" s="2833"/>
      <c r="L76" s="3447"/>
      <c r="M76" s="3453" t="str">
        <f>IF(PDs!E183="","-",PDs!E183)</f>
        <v>-</v>
      </c>
      <c r="N76" s="3453"/>
      <c r="O76" s="3451"/>
      <c r="P76" s="3451"/>
      <c r="Q76" s="518" t="str">
        <f>IF(PDs!AA183="-","-",PDs!AA183+O76)</f>
        <v>-</v>
      </c>
      <c r="R76" s="629"/>
      <c r="S76" s="1049"/>
      <c r="T76" s="1050"/>
      <c r="U76" s="1069"/>
      <c r="V76" s="3509"/>
      <c r="W76" s="3514"/>
      <c r="X76" s="3515"/>
      <c r="Y76" s="3515"/>
      <c r="Z76" s="3515"/>
      <c r="AA76" s="3515"/>
      <c r="AB76" s="3515"/>
      <c r="AC76" s="3515"/>
      <c r="AD76" s="3515"/>
      <c r="AE76" s="3515"/>
      <c r="AF76" s="3515"/>
      <c r="AG76" s="3515"/>
      <c r="AH76" s="3515"/>
      <c r="AI76" s="3515"/>
      <c r="AJ76" s="3516"/>
      <c r="AK76" s="1429"/>
      <c r="AL76" s="637"/>
      <c r="AM76" s="3044"/>
      <c r="AN76" s="3055"/>
      <c r="AO76" s="3055"/>
      <c r="AP76" s="3055"/>
      <c r="AQ76" s="3055"/>
      <c r="AR76" s="1737"/>
      <c r="AS76" s="1737"/>
      <c r="AT76" s="1737"/>
      <c r="AU76" s="1737"/>
    </row>
    <row r="77" spans="1:47" ht="12" customHeight="1" thickBot="1" x14ac:dyDescent="0.25">
      <c r="A77" s="9"/>
      <c r="B77" s="816"/>
      <c r="C77" s="1597" t="s">
        <v>1487</v>
      </c>
      <c r="D77" s="3493"/>
      <c r="E77" s="3494"/>
      <c r="F77" s="2832"/>
      <c r="G77" s="3491" t="s">
        <v>7070</v>
      </c>
      <c r="H77" s="3492"/>
      <c r="I77" s="3492"/>
      <c r="J77" s="1598"/>
      <c r="K77" s="2833"/>
      <c r="L77" s="3578"/>
      <c r="M77" s="3579" t="str">
        <f>IF(PDs!E184="","-",PDs!E184)</f>
        <v>-</v>
      </c>
      <c r="N77" s="3579"/>
      <c r="O77" s="3500"/>
      <c r="P77" s="3500"/>
      <c r="Q77" s="2854" t="str">
        <f>IF(PDs!AA184="-","-",PDs!AA184+O77)</f>
        <v>-</v>
      </c>
      <c r="R77" s="629"/>
      <c r="S77" s="1049"/>
      <c r="T77" s="1050"/>
      <c r="U77" s="1069"/>
      <c r="V77" s="3510"/>
      <c r="W77" s="3517"/>
      <c r="X77" s="3518"/>
      <c r="Y77" s="3518"/>
      <c r="Z77" s="3518"/>
      <c r="AA77" s="3518"/>
      <c r="AB77" s="3518"/>
      <c r="AC77" s="3518"/>
      <c r="AD77" s="3518"/>
      <c r="AE77" s="3518"/>
      <c r="AF77" s="3518"/>
      <c r="AG77" s="3518"/>
      <c r="AH77" s="3518"/>
      <c r="AI77" s="3518"/>
      <c r="AJ77" s="3519"/>
      <c r="AK77" s="1429"/>
      <c r="AL77" s="637"/>
      <c r="AM77" s="3044"/>
      <c r="AN77" s="3055"/>
      <c r="AO77" s="3055"/>
      <c r="AP77" s="3055"/>
      <c r="AQ77" s="3055"/>
      <c r="AR77" s="1737"/>
      <c r="AS77" s="1737"/>
      <c r="AT77" s="1737"/>
      <c r="AU77" s="1737"/>
    </row>
    <row r="78" spans="1:47" ht="12" customHeight="1" thickBot="1" x14ac:dyDescent="0.25">
      <c r="A78" s="9"/>
      <c r="B78" s="819"/>
      <c r="C78" s="630"/>
      <c r="D78" s="631" t="str">
        <f>IF(D68&lt;&gt;"",D68&amp;", ","")&amp;IF(D69&lt;&gt;"",D69&amp;", ","")&amp;IF(D70&lt;&gt;"",D70&amp;", ","")&amp;IF(D71&lt;&gt;"",D71&amp;", ","")&amp;IF(D72&lt;&gt;"",D72&amp;", ","")&amp;IF(D73&lt;&gt;"",D73&amp;", ","")&amp;IF(D74&lt;&gt;"",D74&amp;", ","")&amp;IF(D75&lt;&gt;"",D75&amp;", ","")&amp;IF(D76&lt;&gt;"",D76&amp;", ","")&amp;IF(D77&lt;&gt;"",D77&amp;", ","")</f>
        <v/>
      </c>
      <c r="E78" s="631" t="str">
        <f>IFERROR(LEFT(D78,LEN(D78)-2),"")</f>
        <v/>
      </c>
      <c r="F78" s="630"/>
      <c r="G78" s="630"/>
      <c r="H78" s="630"/>
      <c r="I78" s="630"/>
      <c r="J78" s="630"/>
      <c r="K78" s="631"/>
      <c r="L78" s="630"/>
      <c r="M78" s="630"/>
      <c r="N78" s="630"/>
      <c r="O78" s="630"/>
      <c r="P78" s="630"/>
      <c r="Q78" s="630"/>
      <c r="R78" s="632"/>
      <c r="S78" s="1049"/>
      <c r="T78" s="1050"/>
      <c r="U78" s="1071"/>
      <c r="V78" s="1057"/>
      <c r="W78" s="1057"/>
      <c r="X78" s="1057"/>
      <c r="Y78" s="1057"/>
      <c r="Z78" s="1057"/>
      <c r="AA78" s="1057"/>
      <c r="AB78" s="1057"/>
      <c r="AC78" s="1057"/>
      <c r="AD78" s="1057"/>
      <c r="AE78" s="1057"/>
      <c r="AF78" s="1057"/>
      <c r="AG78" s="1057"/>
      <c r="AH78" s="1057"/>
      <c r="AI78" s="1057"/>
      <c r="AJ78" s="1057"/>
      <c r="AK78" s="1432"/>
      <c r="AL78" s="637"/>
      <c r="AM78" s="3044"/>
      <c r="AN78" s="3055"/>
      <c r="AO78" s="3055"/>
      <c r="AP78" s="3055"/>
      <c r="AQ78" s="3055"/>
      <c r="AR78" s="1737"/>
      <c r="AS78" s="1737"/>
      <c r="AT78" s="1737"/>
      <c r="AU78" s="1737"/>
    </row>
    <row r="79" spans="1:47" ht="12" customHeight="1" x14ac:dyDescent="0.2">
      <c r="A79" s="9"/>
      <c r="B79" s="22"/>
      <c r="C79" s="22"/>
      <c r="D79" s="22"/>
      <c r="E79" s="22"/>
      <c r="F79" s="22"/>
      <c r="G79" s="22"/>
      <c r="H79" s="22"/>
      <c r="I79" s="22"/>
      <c r="J79" s="22"/>
      <c r="K79" s="623"/>
      <c r="L79" s="22"/>
      <c r="M79" s="22"/>
      <c r="N79" s="22"/>
      <c r="O79" s="22"/>
      <c r="P79" s="22"/>
      <c r="Q79" s="22"/>
      <c r="R79" s="23"/>
      <c r="S79" s="1049"/>
      <c r="T79" s="1050"/>
      <c r="U79" s="3"/>
      <c r="V79" s="3"/>
      <c r="W79" s="3"/>
      <c r="X79" s="3"/>
      <c r="Y79" s="3"/>
      <c r="Z79" s="3"/>
      <c r="AA79" s="3"/>
      <c r="AB79" s="3"/>
      <c r="AC79" s="3"/>
      <c r="AD79" s="3"/>
      <c r="AE79" s="3"/>
      <c r="AF79" s="3"/>
      <c r="AG79" s="3"/>
      <c r="AH79" s="3"/>
      <c r="AI79" s="3"/>
      <c r="AJ79" s="3"/>
      <c r="AK79" s="1427"/>
      <c r="AL79" s="637"/>
      <c r="AM79" s="3054" t="s">
        <v>8742</v>
      </c>
      <c r="AN79" s="3055"/>
      <c r="AO79" s="3055"/>
      <c r="AP79" s="3055"/>
      <c r="AQ79" s="3055"/>
      <c r="AR79" s="1737"/>
      <c r="AS79" s="1737"/>
      <c r="AT79" s="1737"/>
      <c r="AU79" s="1737"/>
    </row>
  </sheetData>
  <sheetProtection selectLockedCells="1"/>
  <mergeCells count="384">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N14:Q14"/>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fRule type="expression" dxfId="1304" priority="101" stopIfTrue="1">
      <formula>NA()</formula>
    </cfRule>
    <cfRule type="expression" dxfId="1303" priority="102" stopIfTrue="1">
      <formula>NA()</formula>
    </cfRule>
  </conditionalFormatting>
  <conditionalFormatting sqref="F35">
    <cfRule type="expression" dxfId="1302" priority="103" stopIfTrue="1">
      <formula>A39=1</formula>
    </cfRule>
    <cfRule type="expression" dxfId="1301" priority="104" stopIfTrue="1">
      <formula>A39</formula>
    </cfRule>
  </conditionalFormatting>
  <conditionalFormatting sqref="AF35:AJ35">
    <cfRule type="expression" dxfId="1300" priority="113" stopIfTrue="1">
      <formula>F1=1</formula>
    </cfRule>
    <cfRule type="expression" dxfId="1299" priority="114" stopIfTrue="1">
      <formula>F1=2</formula>
    </cfRule>
  </conditionalFormatting>
  <conditionalFormatting sqref="AF30">
    <cfRule type="expression" dxfId="1298" priority="115" stopIfTrue="1">
      <formula>F1=1</formula>
    </cfRule>
    <cfRule type="expression" dxfId="1297" priority="116" stopIfTrue="1">
      <formula>F1=2</formula>
    </cfRule>
    <cfRule type="cellIs" dxfId="1296" priority="117" stopIfTrue="1" operator="equal">
      <formula>0</formula>
    </cfRule>
  </conditionalFormatting>
  <conditionalFormatting sqref="AI42 AI12:AI23">
    <cfRule type="cellIs" dxfId="1295" priority="118" stopIfTrue="1" operator="greaterThan">
      <formula>$AB$13</formula>
    </cfRule>
  </conditionalFormatting>
  <conditionalFormatting sqref="J34">
    <cfRule type="cellIs" dxfId="1294" priority="122" stopIfTrue="1" operator="lessThan">
      <formula>0</formula>
    </cfRule>
  </conditionalFormatting>
  <conditionalFormatting sqref="V30">
    <cfRule type="expression" dxfId="1293" priority="133" stopIfTrue="1">
      <formula>$V$39=1</formula>
    </cfRule>
    <cfRule type="expression" dxfId="1292" priority="134" stopIfTrue="1">
      <formula>$V$39=2</formula>
    </cfRule>
    <cfRule type="cellIs" dxfId="1291" priority="135" stopIfTrue="1" operator="equal">
      <formula>0</formula>
    </cfRule>
  </conditionalFormatting>
  <conditionalFormatting sqref="D35:E35">
    <cfRule type="expression" dxfId="1290" priority="169" stopIfTrue="1">
      <formula>NA()</formula>
    </cfRule>
    <cfRule type="expression" dxfId="1289" priority="170" stopIfTrue="1">
      <formula>NA()</formula>
    </cfRule>
  </conditionalFormatting>
  <conditionalFormatting sqref="C35">
    <cfRule type="expression" dxfId="1288" priority="171" stopIfTrue="1">
      <formula>NA()</formula>
    </cfRule>
    <cfRule type="expression" dxfId="1287" priority="172" stopIfTrue="1">
      <formula>NA()</formula>
    </cfRule>
  </conditionalFormatting>
  <conditionalFormatting sqref="V69">
    <cfRule type="cellIs" dxfId="1286" priority="202" stopIfTrue="1" operator="equal">
      <formula>"Armas naturales"</formula>
    </cfRule>
  </conditionalFormatting>
  <conditionalFormatting sqref="C46">
    <cfRule type="expression" dxfId="1285" priority="85" stopIfTrue="1">
      <formula>NA()</formula>
    </cfRule>
    <cfRule type="expression" dxfId="1284" priority="86" stopIfTrue="1">
      <formula>NA()</formula>
    </cfRule>
  </conditionalFormatting>
  <conditionalFormatting sqref="D43:F43">
    <cfRule type="expression" dxfId="1283" priority="89" stopIfTrue="1">
      <formula>NA()</formula>
    </cfRule>
    <cfRule type="expression" dxfId="1282" priority="90" stopIfTrue="1">
      <formula>NA()</formula>
    </cfRule>
  </conditionalFormatting>
  <conditionalFormatting sqref="C43">
    <cfRule type="expression" dxfId="1281" priority="91" stopIfTrue="1">
      <formula>NA()</formula>
    </cfRule>
    <cfRule type="expression" dxfId="1280" priority="92" stopIfTrue="1">
      <formula>NA()</formula>
    </cfRule>
  </conditionalFormatting>
  <conditionalFormatting sqref="C47">
    <cfRule type="expression" dxfId="1279" priority="93" stopIfTrue="1">
      <formula>NA()</formula>
    </cfRule>
    <cfRule type="expression" dxfId="1278" priority="94" stopIfTrue="1">
      <formula>NA()</formula>
    </cfRule>
  </conditionalFormatting>
  <conditionalFormatting sqref="D45:F45">
    <cfRule type="expression" dxfId="1277" priority="95" stopIfTrue="1">
      <formula>NA()</formula>
    </cfRule>
    <cfRule type="expression" dxfId="1276" priority="96" stopIfTrue="1">
      <formula>NA()</formula>
    </cfRule>
  </conditionalFormatting>
  <conditionalFormatting sqref="C44:C45">
    <cfRule type="expression" dxfId="1275" priority="97" stopIfTrue="1">
      <formula>NA()</formula>
    </cfRule>
    <cfRule type="expression" dxfId="1274" priority="98" stopIfTrue="1">
      <formula>NA()</formula>
    </cfRule>
  </conditionalFormatting>
  <conditionalFormatting sqref="D44:F44">
    <cfRule type="expression" dxfId="1273" priority="99" stopIfTrue="1">
      <formula>NA()</formula>
    </cfRule>
    <cfRule type="expression" dxfId="1272" priority="100" stopIfTrue="1">
      <formula>NA()</formula>
    </cfRule>
  </conditionalFormatting>
  <conditionalFormatting sqref="C49:F49 C43:F47">
    <cfRule type="expression" dxfId="1271" priority="1785">
      <formula>AND(NOT($AN$36),NOT($AN$37))</formula>
    </cfRule>
  </conditionalFormatting>
  <conditionalFormatting sqref="D48:F48">
    <cfRule type="expression" dxfId="1270" priority="73" stopIfTrue="1">
      <formula>NA()</formula>
    </cfRule>
    <cfRule type="expression" dxfId="1269" priority="74" stopIfTrue="1">
      <formula>NA()</formula>
    </cfRule>
  </conditionalFormatting>
  <conditionalFormatting sqref="C48">
    <cfRule type="expression" dxfId="1268" priority="71" stopIfTrue="1">
      <formula>NA()</formula>
    </cfRule>
    <cfRule type="expression" dxfId="1267" priority="72" stopIfTrue="1">
      <formula>NA()</formula>
    </cfRule>
  </conditionalFormatting>
  <conditionalFormatting sqref="C48:F48">
    <cfRule type="expression" dxfId="1266" priority="75">
      <formula>AND(NOT($AN$36),NOT($AN$37))</formula>
    </cfRule>
  </conditionalFormatting>
  <conditionalFormatting sqref="J54 F54">
    <cfRule type="cellIs" dxfId="1265" priority="70" stopIfTrue="1" operator="greaterThan">
      <formula>0</formula>
    </cfRule>
  </conditionalFormatting>
  <conditionalFormatting sqref="G54:J54">
    <cfRule type="expression" dxfId="1264" priority="69" stopIfTrue="1">
      <formula>$J$54&lt;=0</formula>
    </cfRule>
  </conditionalFormatting>
  <conditionalFormatting sqref="C54:F54">
    <cfRule type="expression" dxfId="1263" priority="68" stopIfTrue="1">
      <formula>$F$54&lt;=0</formula>
    </cfRule>
  </conditionalFormatting>
  <conditionalFormatting sqref="F54">
    <cfRule type="expression" dxfId="1262" priority="63" stopIfTrue="1">
      <formula>$F$54&gt;0</formula>
    </cfRule>
  </conditionalFormatting>
  <conditionalFormatting sqref="Y23:Z23">
    <cfRule type="expression" dxfId="1261" priority="66">
      <formula>$AB$13&lt;30</formula>
    </cfRule>
  </conditionalFormatting>
  <conditionalFormatting sqref="E12">
    <cfRule type="expression" dxfId="1260" priority="45" stopIfTrue="1">
      <formula>OR(TipoDeCriatura="Ánima",TipoDeCriatura="Ánima, Elemental",TipoDeCriatura="No muerto, Espectro")</formula>
    </cfRule>
    <cfRule type="expression" dxfId="1259" priority="2324" stopIfTrue="1">
      <formula>$D$12="-"</formula>
    </cfRule>
  </conditionalFormatting>
  <conditionalFormatting sqref="E17">
    <cfRule type="expression" dxfId="1258" priority="2333" stopIfTrue="1">
      <formula>AND(OR($K$7="Ánima",$K$7="Ánima, Elemental",$K$7="No muerto, Espectro"),NOT($E$12=$E$17))</formula>
    </cfRule>
  </conditionalFormatting>
  <conditionalFormatting sqref="C54:E54 G54:I54">
    <cfRule type="expression" dxfId="1257" priority="62" stopIfTrue="1">
      <formula>F$54&gt;0</formula>
    </cfRule>
  </conditionalFormatting>
  <conditionalFormatting sqref="AI43:AI69">
    <cfRule type="cellIs" dxfId="1256" priority="55" stopIfTrue="1" operator="greaterThan">
      <formula>$AB$13</formula>
    </cfRule>
  </conditionalFormatting>
  <conditionalFormatting sqref="AD13:AD23">
    <cfRule type="expression" dxfId="1255" priority="50" stopIfTrue="1">
      <formula>H2=1</formula>
    </cfRule>
    <cfRule type="expression" dxfId="1254" priority="51" stopIfTrue="1">
      <formula>H2=2</formula>
    </cfRule>
  </conditionalFormatting>
  <conditionalFormatting sqref="AB42:AE69">
    <cfRule type="containsText" dxfId="1253" priority="41" operator="containsText" text="Arma natural a distancia">
      <formula>NOT(ISERROR(SEARCH("Arma natural a distancia",AB42)))</formula>
    </cfRule>
    <cfRule type="expression" dxfId="1252" priority="4810">
      <formula>AND($AK42&lt;&gt;"",$AF42="")</formula>
    </cfRule>
  </conditionalFormatting>
  <conditionalFormatting sqref="AB42:AH69">
    <cfRule type="expression" dxfId="1251" priority="49">
      <formula>$AB42=""</formula>
    </cfRule>
  </conditionalFormatting>
  <conditionalFormatting sqref="AD12:AF23">
    <cfRule type="expression" dxfId="1250" priority="48">
      <formula>AND($AK12&lt;&gt;"",$AG12="")</formula>
    </cfRule>
  </conditionalFormatting>
  <conditionalFormatting sqref="AG12:AH23">
    <cfRule type="expression" dxfId="1249" priority="46">
      <formula>$AD12=""</formula>
    </cfRule>
  </conditionalFormatting>
  <conditionalFormatting sqref="E11:E14">
    <cfRule type="cellIs" dxfId="1248" priority="4852" stopIfTrue="1" operator="greaterThan">
      <formula>$T$2</formula>
    </cfRule>
  </conditionalFormatting>
  <conditionalFormatting sqref="E15:E18">
    <cfRule type="cellIs" dxfId="1247" priority="4853" operator="greaterThan">
      <formula>MAX($T$2,$T$3)</formula>
    </cfRule>
  </conditionalFormatting>
  <conditionalFormatting sqref="AI42:AJ69 AI12:AJ23">
    <cfRule type="expression" dxfId="1246" priority="44" stopIfTrue="1">
      <formula>NOT(ISNUMBER(AI12))</formula>
    </cfRule>
  </conditionalFormatting>
  <conditionalFormatting sqref="AB13">
    <cfRule type="expression" dxfId="1245" priority="43" stopIfTrue="1">
      <formula>$AN$26</formula>
    </cfRule>
  </conditionalFormatting>
  <conditionalFormatting sqref="Y11:AB12">
    <cfRule type="expression" dxfId="1244" priority="42">
      <formula>$AN$25</formula>
    </cfRule>
  </conditionalFormatting>
  <conditionalFormatting sqref="I25">
    <cfRule type="cellIs" dxfId="1243" priority="39" operator="greaterThan">
      <formula>0</formula>
    </cfRule>
    <cfRule type="cellIs" dxfId="1242" priority="40" operator="lessThan">
      <formula>0</formula>
    </cfRule>
  </conditionalFormatting>
  <conditionalFormatting sqref="F54 J54">
    <cfRule type="expression" dxfId="1241" priority="67" stopIfTrue="1">
      <formula>C54&lt;&gt;""</formula>
    </cfRule>
  </conditionalFormatting>
  <conditionalFormatting sqref="D37:F37">
    <cfRule type="expression" dxfId="1240" priority="35" stopIfTrue="1">
      <formula>NA()</formula>
    </cfRule>
    <cfRule type="expression" dxfId="1239" priority="36" stopIfTrue="1">
      <formula>NA()</formula>
    </cfRule>
  </conditionalFormatting>
  <conditionalFormatting sqref="C37">
    <cfRule type="expression" dxfId="1238" priority="37" stopIfTrue="1">
      <formula>NA()</formula>
    </cfRule>
    <cfRule type="expression" dxfId="1237" priority="38" stopIfTrue="1">
      <formula>NA()</formula>
    </cfRule>
  </conditionalFormatting>
  <conditionalFormatting sqref="D38:F38">
    <cfRule type="expression" dxfId="1236" priority="31" stopIfTrue="1">
      <formula>NA()</formula>
    </cfRule>
    <cfRule type="expression" dxfId="1235" priority="32" stopIfTrue="1">
      <formula>NA()</formula>
    </cfRule>
  </conditionalFormatting>
  <conditionalFormatting sqref="C38">
    <cfRule type="expression" dxfId="1234" priority="33" stopIfTrue="1">
      <formula>NA()</formula>
    </cfRule>
    <cfRule type="expression" dxfId="1233" priority="34" stopIfTrue="1">
      <formula>NA()</formula>
    </cfRule>
  </conditionalFormatting>
  <conditionalFormatting sqref="J48">
    <cfRule type="cellIs" dxfId="1232" priority="29" stopIfTrue="1" operator="lessThan">
      <formula>0</formula>
    </cfRule>
  </conditionalFormatting>
  <conditionalFormatting sqref="C19:H19">
    <cfRule type="notContainsBlanks" dxfId="1231" priority="28">
      <formula>LEN(TRIM(C19))&gt;0</formula>
    </cfRule>
  </conditionalFormatting>
  <conditionalFormatting sqref="D41:F41">
    <cfRule type="expression" dxfId="1230" priority="23" stopIfTrue="1">
      <formula>NA()</formula>
    </cfRule>
    <cfRule type="expression" dxfId="1229" priority="24" stopIfTrue="1">
      <formula>NA()</formula>
    </cfRule>
  </conditionalFormatting>
  <conditionalFormatting sqref="C41">
    <cfRule type="expression" dxfId="1228" priority="25" stopIfTrue="1">
      <formula>NA()</formula>
    </cfRule>
    <cfRule type="expression" dxfId="1227" priority="26" stopIfTrue="1">
      <formula>NA()</formula>
    </cfRule>
  </conditionalFormatting>
  <conditionalFormatting sqref="D40:F40">
    <cfRule type="expression" dxfId="1226" priority="10" stopIfTrue="1">
      <formula>NA()</formula>
    </cfRule>
    <cfRule type="expression" dxfId="1225" priority="11" stopIfTrue="1">
      <formula>NA()</formula>
    </cfRule>
  </conditionalFormatting>
  <conditionalFormatting sqref="C40">
    <cfRule type="expression" dxfId="1224" priority="12" stopIfTrue="1">
      <formula>NA()</formula>
    </cfRule>
    <cfRule type="expression" dxfId="1223" priority="13" stopIfTrue="1">
      <formula>NA()</formula>
    </cfRule>
  </conditionalFormatting>
  <conditionalFormatting sqref="D36:F36">
    <cfRule type="expression" dxfId="1222" priority="6" stopIfTrue="1">
      <formula>NA()</formula>
    </cfRule>
    <cfRule type="expression" dxfId="1221" priority="7" stopIfTrue="1">
      <formula>NA()</formula>
    </cfRule>
  </conditionalFormatting>
  <conditionalFormatting sqref="C36">
    <cfRule type="expression" dxfId="1220" priority="8" stopIfTrue="1">
      <formula>NA()</formula>
    </cfRule>
    <cfRule type="expression" dxfId="1219" priority="9" stopIfTrue="1">
      <formula>NA()</formula>
    </cfRule>
  </conditionalFormatting>
  <conditionalFormatting sqref="D39:F39">
    <cfRule type="expression" dxfId="1218" priority="2" stopIfTrue="1">
      <formula>NA()</formula>
    </cfRule>
    <cfRule type="expression" dxfId="1217" priority="3" stopIfTrue="1">
      <formula>NA()</formula>
    </cfRule>
  </conditionalFormatting>
  <conditionalFormatting sqref="C39">
    <cfRule type="expression" dxfId="1216" priority="4" stopIfTrue="1">
      <formula>NA()</formula>
    </cfRule>
    <cfRule type="expression" dxfId="1215" priority="5" stopIfTrue="1">
      <formula>NA()</formula>
    </cfRule>
  </conditionalFormatting>
  <conditionalFormatting sqref="N14:Q14">
    <cfRule type="expression" dxfId="1211" priority="1">
      <formula>$N$14&lt;&gt;""</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3"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22"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91"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E81" sqref="E81:K81"/>
    </sheetView>
  </sheetViews>
  <sheetFormatPr baseColWidth="10" defaultColWidth="5.7109375" defaultRowHeight="12" customHeight="1" x14ac:dyDescent="0.2"/>
  <cols>
    <col min="1" max="1" width="1.7109375" style="21" customWidth="1"/>
    <col min="2" max="2" width="3" style="918"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9" customWidth="1"/>
    <col min="29" max="29" width="1.140625" style="772"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22"/>
      <c r="C1" s="9"/>
      <c r="D1" s="9"/>
      <c r="E1" s="9"/>
      <c r="F1" s="9"/>
      <c r="G1" s="9"/>
      <c r="H1" s="9"/>
      <c r="I1" s="9"/>
      <c r="J1" s="9"/>
      <c r="K1" s="9"/>
      <c r="L1" s="9"/>
      <c r="M1" s="9"/>
      <c r="N1" s="9"/>
      <c r="O1" s="9"/>
      <c r="P1" s="9"/>
      <c r="Q1" s="9"/>
      <c r="R1" s="9"/>
      <c r="S1" s="9"/>
      <c r="T1" s="9"/>
      <c r="U1" s="12"/>
      <c r="V1" s="44"/>
      <c r="W1" s="44"/>
      <c r="X1" s="44"/>
      <c r="Y1" s="44"/>
      <c r="Z1" s="44"/>
      <c r="AA1" s="44"/>
      <c r="AB1" s="1738"/>
      <c r="AC1" s="845"/>
      <c r="AD1" s="3044" t="s">
        <v>8741</v>
      </c>
      <c r="AE1" s="3061"/>
      <c r="AF1" s="3069"/>
      <c r="AG1" s="3061"/>
      <c r="AH1" s="3061"/>
      <c r="AI1" s="3061"/>
      <c r="AJ1" s="3061"/>
      <c r="AK1" s="3061"/>
      <c r="AL1" s="3055"/>
      <c r="AM1" s="3055"/>
      <c r="AN1" s="3055"/>
      <c r="AO1" s="3055"/>
      <c r="AP1" s="3055"/>
      <c r="AQ1" s="1737"/>
      <c r="AR1" s="1737"/>
      <c r="AS1" s="1737"/>
      <c r="AT1" s="1737"/>
      <c r="AU1" s="1737"/>
      <c r="AV1" s="1737"/>
    </row>
    <row r="2" spans="1:48" ht="12" customHeight="1" x14ac:dyDescent="0.2">
      <c r="A2" s="9"/>
      <c r="B2" s="821"/>
      <c r="C2" s="45"/>
      <c r="D2" s="45"/>
      <c r="E2" s="45"/>
      <c r="F2" s="45"/>
      <c r="G2" s="45"/>
      <c r="H2" s="45"/>
      <c r="I2" s="45"/>
      <c r="J2" s="45"/>
      <c r="K2" s="45"/>
      <c r="L2" s="45"/>
      <c r="M2" s="45"/>
      <c r="N2" s="45"/>
      <c r="O2" s="45"/>
      <c r="P2" s="45"/>
      <c r="Q2" s="45"/>
      <c r="R2" s="45"/>
      <c r="S2" s="45"/>
      <c r="T2" s="45"/>
      <c r="U2" s="45"/>
      <c r="V2" s="46"/>
      <c r="W2" s="46"/>
      <c r="X2" s="46"/>
      <c r="Y2" s="46"/>
      <c r="Z2" s="46"/>
      <c r="AA2" s="46"/>
      <c r="AB2" s="1739"/>
      <c r="AC2" s="1415"/>
      <c r="AD2" s="3044"/>
      <c r="AE2" s="3061"/>
      <c r="AF2" s="3069"/>
      <c r="AG2" s="3061"/>
      <c r="AH2" s="3061"/>
      <c r="AI2" s="3070"/>
      <c r="AJ2" s="3061"/>
      <c r="AK2" s="3061"/>
      <c r="AL2" s="3055"/>
      <c r="AM2" s="3055"/>
      <c r="AN2" s="3055"/>
      <c r="AO2" s="3055"/>
      <c r="AP2" s="3055"/>
      <c r="AQ2" s="1737"/>
      <c r="AR2" s="1737"/>
      <c r="AS2" s="1737"/>
      <c r="AT2" s="1737"/>
      <c r="AU2" s="1737"/>
      <c r="AV2" s="1737"/>
    </row>
    <row r="3" spans="1:48" ht="12" customHeight="1" thickBot="1" x14ac:dyDescent="0.25">
      <c r="A3" s="9"/>
      <c r="B3" s="822"/>
      <c r="AB3" s="1740"/>
      <c r="AC3" s="1415"/>
      <c r="AD3" s="3044"/>
      <c r="AE3" s="3061"/>
      <c r="AF3" s="3069"/>
      <c r="AG3" s="3061"/>
      <c r="AH3" s="3061"/>
      <c r="AI3" s="3061"/>
      <c r="AJ3" s="3061"/>
      <c r="AK3" s="3061"/>
      <c r="AL3" s="3055"/>
      <c r="AM3" s="3055"/>
      <c r="AN3" s="3055"/>
      <c r="AO3" s="3055"/>
      <c r="AP3" s="3055"/>
      <c r="AQ3" s="1737"/>
      <c r="AR3" s="1737"/>
      <c r="AS3" s="1737"/>
      <c r="AT3" s="1737"/>
      <c r="AU3" s="1737"/>
      <c r="AV3" s="1737"/>
    </row>
    <row r="4" spans="1:48" ht="12" customHeight="1" x14ac:dyDescent="0.2">
      <c r="A4" s="9"/>
      <c r="B4" s="822"/>
      <c r="C4" s="2806"/>
      <c r="D4" s="2801"/>
      <c r="E4" s="2801"/>
      <c r="F4" s="2801"/>
      <c r="G4" s="2801"/>
      <c r="H4" s="2106"/>
      <c r="I4" s="949"/>
      <c r="J4" s="949"/>
      <c r="K4" s="949"/>
      <c r="L4" s="2803"/>
      <c r="M4" s="946"/>
      <c r="O4" s="4099" t="s">
        <v>1488</v>
      </c>
      <c r="P4" s="4100"/>
      <c r="Q4" s="4100"/>
      <c r="R4" s="4100"/>
      <c r="S4" s="4100"/>
      <c r="T4" s="4101"/>
      <c r="V4" s="4099" t="s">
        <v>8342</v>
      </c>
      <c r="W4" s="4100"/>
      <c r="X4" s="4100"/>
      <c r="Y4" s="4100"/>
      <c r="Z4" s="4100"/>
      <c r="AA4" s="4101"/>
      <c r="AB4" s="1741"/>
      <c r="AC4" s="1415"/>
      <c r="AD4" s="3044"/>
      <c r="AE4" s="3061"/>
      <c r="AF4" s="3069"/>
      <c r="AG4" s="3061"/>
      <c r="AH4" s="3061"/>
      <c r="AI4" s="3061"/>
      <c r="AJ4" s="3061"/>
      <c r="AK4" s="3061"/>
      <c r="AL4" s="3055"/>
      <c r="AM4" s="3055"/>
      <c r="AN4" s="3055"/>
      <c r="AO4" s="3055"/>
      <c r="AP4" s="3055"/>
      <c r="AQ4" s="1737"/>
      <c r="AR4" s="1737"/>
      <c r="AS4" s="1737"/>
      <c r="AT4" s="1737"/>
      <c r="AU4" s="1737"/>
      <c r="AV4" s="1737"/>
    </row>
    <row r="5" spans="1:48" ht="12" customHeight="1" thickBot="1" x14ac:dyDescent="0.25">
      <c r="A5" s="9"/>
      <c r="B5" s="822"/>
      <c r="C5" s="2802"/>
      <c r="D5" s="3749" t="s">
        <v>10165</v>
      </c>
      <c r="E5" s="3749"/>
      <c r="F5" s="3749"/>
      <c r="G5" s="3749"/>
      <c r="H5" s="2810"/>
      <c r="I5" s="3748" t="str">
        <f>IF(OR(General!$F$22="",General!$F$22=0),"",General!$F$22)</f>
        <v/>
      </c>
      <c r="J5" s="3748"/>
      <c r="K5" s="3748"/>
      <c r="L5" s="3748"/>
      <c r="M5" s="2804"/>
      <c r="O5" s="4102"/>
      <c r="P5" s="4103"/>
      <c r="Q5" s="4103"/>
      <c r="R5" s="4103"/>
      <c r="S5" s="4103"/>
      <c r="T5" s="4104"/>
      <c r="V5" s="4102"/>
      <c r="W5" s="4103"/>
      <c r="X5" s="4103"/>
      <c r="Y5" s="4103"/>
      <c r="Z5" s="4103"/>
      <c r="AA5" s="4104"/>
      <c r="AB5" s="1742"/>
      <c r="AC5" s="1415"/>
      <c r="AD5" s="3044" t="s">
        <v>9623</v>
      </c>
      <c r="AE5" s="3061" t="s">
        <v>1403</v>
      </c>
      <c r="AF5" s="3044" t="s">
        <v>9641</v>
      </c>
      <c r="AG5" s="3061"/>
      <c r="AH5" s="3044" t="s">
        <v>10228</v>
      </c>
      <c r="AI5" s="3061" t="b">
        <f>COUNTIF($O$9:$O$16,"*")&gt;0</f>
        <v>0</v>
      </c>
      <c r="AJ5" s="3061"/>
      <c r="AK5" s="3061"/>
      <c r="AL5" s="3055"/>
      <c r="AM5" s="3055"/>
      <c r="AN5" s="3055"/>
      <c r="AO5" s="3055"/>
      <c r="AP5" s="3055"/>
      <c r="AQ5" s="1737"/>
      <c r="AR5" s="1737"/>
      <c r="AS5" s="1737"/>
      <c r="AT5" s="1737"/>
      <c r="AU5" s="1737"/>
      <c r="AV5" s="1737"/>
    </row>
    <row r="6" spans="1:48" ht="12" customHeight="1" x14ac:dyDescent="0.2">
      <c r="A6" s="9"/>
      <c r="B6" s="822"/>
      <c r="C6" s="2802"/>
      <c r="D6" s="3749"/>
      <c r="E6" s="3749"/>
      <c r="F6" s="3749"/>
      <c r="G6" s="3749"/>
      <c r="H6" s="2810"/>
      <c r="I6" s="3748"/>
      <c r="J6" s="3748"/>
      <c r="K6" s="3748"/>
      <c r="L6" s="3748"/>
      <c r="M6" s="2804"/>
      <c r="O6" s="4038" t="s">
        <v>1489</v>
      </c>
      <c r="P6" s="4119"/>
      <c r="Q6" s="4119"/>
      <c r="R6" s="3313"/>
      <c r="S6" s="2795" t="s">
        <v>1403</v>
      </c>
      <c r="T6" s="2796" t="s">
        <v>1365</v>
      </c>
      <c r="V6" s="4146" t="s">
        <v>8339</v>
      </c>
      <c r="W6" s="4147"/>
      <c r="X6" s="4147"/>
      <c r="Y6" s="2793" t="s">
        <v>1490</v>
      </c>
      <c r="Z6" s="1157" t="s">
        <v>8340</v>
      </c>
      <c r="AA6" s="2794" t="s">
        <v>8341</v>
      </c>
      <c r="AB6" s="1740"/>
      <c r="AC6" s="1415"/>
      <c r="AD6" s="3044">
        <f>Categoría_1</f>
        <v>0</v>
      </c>
      <c r="AE6" s="3061">
        <f>S7</f>
        <v>0</v>
      </c>
      <c r="AF6" s="3061">
        <f>IF(Categoría_1="Novel",S7*5,0)</f>
        <v>0</v>
      </c>
      <c r="AG6" s="3044"/>
      <c r="AH6" s="3044" t="s">
        <v>10231</v>
      </c>
      <c r="AI6" s="3044" t="b">
        <f>AND(OR(Z15="",$Z$15=AH6),MúltiplesCategorías)</f>
        <v>0</v>
      </c>
      <c r="AJ6" s="3061"/>
      <c r="AK6" s="3061"/>
      <c r="AL6" s="3055"/>
      <c r="AM6" s="3055"/>
      <c r="AN6" s="3055"/>
      <c r="AO6" s="3055"/>
      <c r="AP6" s="3055"/>
      <c r="AQ6" s="1737"/>
      <c r="AR6" s="1737"/>
      <c r="AS6" s="1737"/>
      <c r="AT6" s="1737"/>
      <c r="AU6" s="1737"/>
      <c r="AV6" s="1737"/>
    </row>
    <row r="7" spans="1:48" ht="12" customHeight="1" x14ac:dyDescent="0.2">
      <c r="A7" s="9"/>
      <c r="B7" s="822"/>
      <c r="C7" s="2802"/>
      <c r="D7" s="3749"/>
      <c r="E7" s="3749"/>
      <c r="F7" s="3749"/>
      <c r="G7" s="3749"/>
      <c r="H7" s="2810"/>
      <c r="I7" s="3748"/>
      <c r="J7" s="3748"/>
      <c r="K7" s="3748"/>
      <c r="L7" s="3748"/>
      <c r="M7" s="2804"/>
      <c r="O7" s="4120"/>
      <c r="P7" s="4121"/>
      <c r="Q7" s="4121"/>
      <c r="R7" s="4122"/>
      <c r="S7" s="3924"/>
      <c r="T7" s="3922">
        <f>IF($S$7&gt;0,(500+100*$S$7),400)</f>
        <v>400</v>
      </c>
      <c r="V7" s="3895" t="str">
        <f>IF(AND(Categoría_1&lt;&gt;"",Categoría_2&lt;&gt;""),Categoría_1&amp;" a "&amp;Categoría_2,"-")</f>
        <v>-</v>
      </c>
      <c r="W7" s="3896"/>
      <c r="X7" s="3896"/>
      <c r="Y7" s="391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889"/>
      <c r="AA7" s="3890"/>
      <c r="AB7" s="1740"/>
      <c r="AC7" s="1415"/>
      <c r="AD7" s="3044">
        <f>Categoría_2</f>
        <v>0</v>
      </c>
      <c r="AE7" s="3061">
        <f>S9</f>
        <v>0</v>
      </c>
      <c r="AF7" s="3061">
        <f>IF(Categoría_2="Novel",S9*5,0)</f>
        <v>0</v>
      </c>
      <c r="AG7" s="3044"/>
      <c r="AH7" s="3061" t="s">
        <v>10245</v>
      </c>
      <c r="AI7" s="3044" t="b">
        <f>AND($Z$15=AH7,MúltiplesCategorías)</f>
        <v>0</v>
      </c>
      <c r="AJ7" s="3061"/>
      <c r="AK7" s="3061"/>
      <c r="AL7" s="3055"/>
      <c r="AM7" s="3055"/>
      <c r="AN7" s="3055"/>
      <c r="AO7" s="3055"/>
      <c r="AP7" s="3055"/>
      <c r="AQ7" s="1737"/>
      <c r="AR7" s="1737"/>
      <c r="AS7" s="1737"/>
      <c r="AT7" s="1737"/>
      <c r="AU7" s="1737"/>
      <c r="AV7" s="1737"/>
    </row>
    <row r="8" spans="1:48" ht="12" customHeight="1" x14ac:dyDescent="0.2">
      <c r="A8" s="9"/>
      <c r="B8" s="822"/>
      <c r="C8" s="2802"/>
      <c r="D8" s="3749"/>
      <c r="E8" s="3749"/>
      <c r="F8" s="3749"/>
      <c r="G8" s="3749"/>
      <c r="H8" s="2810"/>
      <c r="I8" s="3748"/>
      <c r="J8" s="3748"/>
      <c r="K8" s="3748"/>
      <c r="L8" s="3748"/>
      <c r="M8" s="2804"/>
      <c r="O8" s="4120"/>
      <c r="P8" s="4121"/>
      <c r="Q8" s="4121"/>
      <c r="R8" s="4122"/>
      <c r="S8" s="3925"/>
      <c r="T8" s="3923"/>
      <c r="V8" s="3895"/>
      <c r="W8" s="3896"/>
      <c r="X8" s="3896"/>
      <c r="Y8" s="3912"/>
      <c r="Z8" s="3889"/>
      <c r="AA8" s="3890"/>
      <c r="AB8" s="1740"/>
      <c r="AC8" s="1415"/>
      <c r="AD8" s="3044">
        <f>Categoría_3</f>
        <v>0</v>
      </c>
      <c r="AE8" s="3061">
        <f>S11</f>
        <v>0</v>
      </c>
      <c r="AF8" s="3061">
        <f>IF(Categoría_3="Novel",S11*5,0)</f>
        <v>0</v>
      </c>
      <c r="AG8" s="3061"/>
      <c r="AH8" s="264" t="s">
        <v>10469</v>
      </c>
      <c r="AI8" s="3044" t="b">
        <f>AND($Z$15=AH8,MúltiplesCategorías)</f>
        <v>0</v>
      </c>
      <c r="AJ8" s="3061"/>
      <c r="AK8" s="3061"/>
      <c r="AL8" s="3055"/>
      <c r="AM8" s="3055"/>
      <c r="AN8" s="3055"/>
      <c r="AO8" s="3055"/>
      <c r="AP8" s="3055"/>
      <c r="AQ8" s="1737"/>
      <c r="AR8" s="1737"/>
      <c r="AS8" s="1737"/>
      <c r="AT8" s="1737"/>
      <c r="AU8" s="1737"/>
      <c r="AV8" s="1737"/>
    </row>
    <row r="9" spans="1:48" ht="12" customHeight="1" x14ac:dyDescent="0.2">
      <c r="A9" s="9"/>
      <c r="B9" s="822"/>
      <c r="C9" s="2802"/>
      <c r="D9" s="2810"/>
      <c r="E9" s="2810"/>
      <c r="F9" s="2810"/>
      <c r="G9" s="2810"/>
      <c r="H9" s="2810"/>
      <c r="I9" s="3748"/>
      <c r="J9" s="3748"/>
      <c r="K9" s="3748"/>
      <c r="L9" s="3748"/>
      <c r="M9" s="2805"/>
      <c r="O9" s="4123"/>
      <c r="P9" s="4124"/>
      <c r="Q9" s="4124"/>
      <c r="R9" s="4125"/>
      <c r="S9" s="4133"/>
      <c r="T9" s="4134">
        <f>IF($S$9&gt;0,(100*$S$9)+IF(S7=0,100,0),0)</f>
        <v>0</v>
      </c>
      <c r="V9" s="3897" t="str">
        <f>IF(AND(Categoría_2&lt;&gt;"",Categoría_3&lt;&gt;""),Categoría_2&amp;" a "&amp;Categoría_3,"-")</f>
        <v>-</v>
      </c>
      <c r="W9" s="3898"/>
      <c r="X9" s="3898"/>
      <c r="Y9" s="391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891"/>
      <c r="AA9" s="3892"/>
      <c r="AB9" s="1740"/>
      <c r="AC9" s="1415"/>
      <c r="AD9" s="3044">
        <f>Categoría_4</f>
        <v>0</v>
      </c>
      <c r="AE9" s="3061">
        <f>S13</f>
        <v>0</v>
      </c>
      <c r="AF9" s="3061">
        <f>IF(Categoría_4="Novel",S13*5,0)</f>
        <v>0</v>
      </c>
      <c r="AG9" s="3061"/>
      <c r="AH9" s="3044" t="s">
        <v>10232</v>
      </c>
      <c r="AJ9" s="3061"/>
      <c r="AK9" s="3061"/>
      <c r="AL9" s="3055"/>
      <c r="AM9" s="3055"/>
      <c r="AN9" s="3055"/>
      <c r="AO9" s="3055"/>
      <c r="AP9" s="3055"/>
      <c r="AQ9" s="1737"/>
      <c r="AR9" s="1737"/>
      <c r="AS9" s="1737"/>
      <c r="AT9" s="1737"/>
      <c r="AU9" s="1737"/>
      <c r="AV9" s="1737"/>
    </row>
    <row r="10" spans="1:48" ht="12" customHeight="1" x14ac:dyDescent="0.2">
      <c r="A10" s="9"/>
      <c r="B10" s="822"/>
      <c r="C10" s="2802"/>
      <c r="D10" s="2810"/>
      <c r="E10" s="2810"/>
      <c r="F10" s="2810"/>
      <c r="G10" s="2810"/>
      <c r="H10" s="2810"/>
      <c r="I10" s="2813"/>
      <c r="J10" s="2813"/>
      <c r="K10" s="2813"/>
      <c r="L10" s="2813"/>
      <c r="M10" s="2805"/>
      <c r="O10" s="4123"/>
      <c r="P10" s="4124"/>
      <c r="Q10" s="4124"/>
      <c r="R10" s="4125"/>
      <c r="S10" s="4133"/>
      <c r="T10" s="4134"/>
      <c r="V10" s="3897"/>
      <c r="W10" s="3898"/>
      <c r="X10" s="3898"/>
      <c r="Y10" s="3913"/>
      <c r="Z10" s="3891"/>
      <c r="AA10" s="3892"/>
      <c r="AB10" s="1740"/>
      <c r="AC10" s="1415"/>
      <c r="AD10" s="3044">
        <f>Categoría_5</f>
        <v>0</v>
      </c>
      <c r="AE10" s="3061">
        <f>S15</f>
        <v>0</v>
      </c>
      <c r="AF10" s="3061">
        <f>IF(Categoría_5="Novel",S15*5,0)</f>
        <v>0</v>
      </c>
      <c r="AG10" s="3061"/>
      <c r="AH10" s="3044" t="s">
        <v>10230</v>
      </c>
      <c r="AI10" s="3044" t="b">
        <f>AND($Z$15=AH10,MúltiplesCategorías)</f>
        <v>0</v>
      </c>
      <c r="AJ10" s="3061"/>
      <c r="AK10" s="3061"/>
      <c r="AL10" s="3055"/>
      <c r="AM10" s="3055"/>
      <c r="AN10" s="3055"/>
      <c r="AO10" s="3055"/>
      <c r="AP10" s="3055"/>
      <c r="AQ10" s="1737"/>
      <c r="AR10" s="1737"/>
      <c r="AS10" s="1737"/>
      <c r="AT10" s="1737"/>
      <c r="AU10" s="1737"/>
      <c r="AV10" s="1737"/>
    </row>
    <row r="11" spans="1:48" ht="12" customHeight="1" x14ac:dyDescent="0.2">
      <c r="A11" s="9"/>
      <c r="B11" s="822"/>
      <c r="C11" s="2802"/>
      <c r="D11" s="2812" t="s">
        <v>1324</v>
      </c>
      <c r="E11" s="3132" t="str">
        <f>O7&amp;IF(O9="",""," "&amp;S7&amp;" / "&amp;O9&amp;" "&amp;S9&amp;IF(O11="",""," / "&amp;O11&amp;" "&amp;S11&amp;IF(O13="",""," / "&amp;O13&amp;" "&amp;S13&amp;IF(O15="",""," / "&amp;O15&amp;" "&amp;S15))))</f>
        <v/>
      </c>
      <c r="F11" s="3132"/>
      <c r="G11" s="3132"/>
      <c r="H11" s="3132"/>
      <c r="I11" s="3132"/>
      <c r="J11" s="3132"/>
      <c r="K11" s="3132"/>
      <c r="L11" s="3132"/>
      <c r="M11" s="3747"/>
      <c r="N11" s="579">
        <f>LEN(E11)</f>
        <v>0</v>
      </c>
      <c r="O11" s="4120"/>
      <c r="P11" s="4121"/>
      <c r="Q11" s="4121"/>
      <c r="R11" s="4122"/>
      <c r="S11" s="4131"/>
      <c r="T11" s="3920">
        <f>IF($S$11&gt;0,(100*$S$11),0)</f>
        <v>0</v>
      </c>
      <c r="V11" s="3895" t="str">
        <f>IF(AND(Categoría_3&lt;&gt;"",Categoría_4&lt;&gt;""),Categoría_3&amp;" a "&amp;Categoría_4,"-")</f>
        <v>-</v>
      </c>
      <c r="W11" s="3896"/>
      <c r="X11" s="3896"/>
      <c r="Y11" s="391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889"/>
      <c r="AA11" s="3890"/>
      <c r="AB11" s="1740"/>
      <c r="AC11" s="1415"/>
      <c r="AD11" s="3044"/>
      <c r="AE11" s="3061"/>
      <c r="AF11" s="3069"/>
      <c r="AG11" s="3061"/>
      <c r="AH11" s="3061"/>
      <c r="AI11" s="3061"/>
      <c r="AJ11" s="3061"/>
      <c r="AK11" s="3061"/>
      <c r="AL11" s="3055"/>
      <c r="AM11" s="3055"/>
      <c r="AN11" s="3055"/>
      <c r="AO11" s="3055"/>
      <c r="AP11" s="3055"/>
      <c r="AQ11" s="1737"/>
      <c r="AR11" s="1737"/>
      <c r="AS11" s="1737"/>
      <c r="AT11" s="1737"/>
      <c r="AU11" s="1737"/>
      <c r="AV11" s="1737"/>
    </row>
    <row r="12" spans="1:48" ht="12" customHeight="1" x14ac:dyDescent="0.2">
      <c r="A12" s="9"/>
      <c r="B12" s="822"/>
      <c r="C12" s="2802"/>
      <c r="D12" s="2578"/>
      <c r="E12" s="3132"/>
      <c r="F12" s="3132"/>
      <c r="G12" s="3132"/>
      <c r="H12" s="3132"/>
      <c r="I12" s="3132"/>
      <c r="J12" s="3132"/>
      <c r="K12" s="3132"/>
      <c r="L12" s="3132"/>
      <c r="M12" s="3747"/>
      <c r="O12" s="4120"/>
      <c r="P12" s="4121"/>
      <c r="Q12" s="4121"/>
      <c r="R12" s="4122"/>
      <c r="S12" s="4131"/>
      <c r="T12" s="3920"/>
      <c r="V12" s="3895"/>
      <c r="W12" s="3896"/>
      <c r="X12" s="3896"/>
      <c r="Y12" s="3912"/>
      <c r="Z12" s="3889"/>
      <c r="AA12" s="3890"/>
      <c r="AB12" s="1740"/>
      <c r="AC12" s="1415"/>
      <c r="AD12" s="3044"/>
      <c r="AE12" s="3061"/>
      <c r="AF12" s="3069"/>
      <c r="AG12" s="3061"/>
      <c r="AH12" s="3061" t="s">
        <v>10234</v>
      </c>
      <c r="AI12" s="3061" t="b">
        <f>Principal!$AJ$40&gt;0</f>
        <v>0</v>
      </c>
      <c r="AJ12" s="3061"/>
      <c r="AK12" s="3061"/>
      <c r="AL12" s="3055"/>
      <c r="AM12" s="3055"/>
      <c r="AN12" s="3055"/>
      <c r="AO12" s="3055"/>
      <c r="AP12" s="3055"/>
      <c r="AQ12" s="1737"/>
      <c r="AR12" s="1737"/>
      <c r="AS12" s="1737"/>
      <c r="AT12" s="1737"/>
      <c r="AU12" s="1737"/>
      <c r="AV12" s="1737"/>
    </row>
    <row r="13" spans="1:48" ht="12" customHeight="1" x14ac:dyDescent="0.2">
      <c r="A13" s="9"/>
      <c r="B13" s="822"/>
      <c r="C13" s="2802"/>
      <c r="D13" s="2812" t="s">
        <v>1363</v>
      </c>
      <c r="E13" s="3132" t="str">
        <f>Principal!K7</f>
        <v>Natural 10</v>
      </c>
      <c r="F13" s="3132"/>
      <c r="G13" s="3132"/>
      <c r="H13" s="3132"/>
      <c r="I13" s="3132"/>
      <c r="J13" s="3132"/>
      <c r="K13" s="3132"/>
      <c r="L13" s="3132"/>
      <c r="M13" s="3747"/>
      <c r="O13" s="4123"/>
      <c r="P13" s="4124"/>
      <c r="Q13" s="4124"/>
      <c r="R13" s="4125"/>
      <c r="S13" s="4145"/>
      <c r="T13" s="3919">
        <f>IF($S$13&gt;0,(100*$S$13),0)</f>
        <v>0</v>
      </c>
      <c r="V13" s="3897" t="str">
        <f>IF(AND(Categoría_4&lt;&gt;"",Categoría_5&lt;&gt;""),Categoría_4&amp;" a "&amp;Categoría_5,"-")</f>
        <v>-</v>
      </c>
      <c r="W13" s="3898"/>
      <c r="X13" s="3898"/>
      <c r="Y13" s="391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891"/>
      <c r="AA13" s="3892"/>
      <c r="AB13" s="1743" t="str">
        <f>IF(Principal!AD18=0,"",VLOOKUP(Principal!AD18,Tabla_HabEsenciales,5,FALSE))</f>
        <v/>
      </c>
      <c r="AC13" s="1415"/>
      <c r="AD13" s="3044"/>
      <c r="AE13" s="3061"/>
      <c r="AF13" s="3069"/>
      <c r="AG13" s="3061"/>
      <c r="AH13" s="3069" t="s">
        <v>10236</v>
      </c>
      <c r="AI13" s="3061" t="b">
        <f>IF(Tablas!$G$371,TRUE,AND(IF(Categoría_2=0,TRUE,S7&lt;&gt;1),IF(Categoría_3=0,TRUE,S9&lt;&gt;1),IF(Categoría_4=0,TRUE,S11&lt;&gt;1),IF(Categoría_5=0,TRUE,S13&lt;&gt;1)))</f>
        <v>1</v>
      </c>
      <c r="AJ13" s="3061"/>
      <c r="AK13" s="3061"/>
      <c r="AL13" s="3055"/>
      <c r="AM13" s="3055"/>
      <c r="AN13" s="3055"/>
      <c r="AO13" s="3055"/>
      <c r="AP13" s="3055"/>
      <c r="AQ13" s="1737"/>
      <c r="AR13" s="1737"/>
      <c r="AS13" s="1737"/>
      <c r="AT13" s="1737"/>
      <c r="AU13" s="1737"/>
      <c r="AV13" s="1737"/>
    </row>
    <row r="14" spans="1:48" ht="12" customHeight="1" thickBot="1" x14ac:dyDescent="0.25">
      <c r="A14" s="9"/>
      <c r="B14" s="822"/>
      <c r="C14" s="2807"/>
      <c r="D14" s="954"/>
      <c r="E14" s="3132"/>
      <c r="F14" s="3132"/>
      <c r="G14" s="3132"/>
      <c r="H14" s="3132"/>
      <c r="I14" s="3132"/>
      <c r="J14" s="3132"/>
      <c r="K14" s="3132"/>
      <c r="L14" s="3132"/>
      <c r="M14" s="3747"/>
      <c r="O14" s="4123"/>
      <c r="P14" s="4124"/>
      <c r="Q14" s="4124"/>
      <c r="R14" s="4125"/>
      <c r="S14" s="4145"/>
      <c r="T14" s="3919"/>
      <c r="V14" s="3899"/>
      <c r="W14" s="3900"/>
      <c r="X14" s="3900"/>
      <c r="Y14" s="3916"/>
      <c r="Z14" s="3893"/>
      <c r="AA14" s="3894"/>
      <c r="AB14" s="1743" t="str">
        <f>IF(Principal!AD19=0,"",VLOOKUP(Principal!AD19,Tabla_HabEsenciales,5,FALSE))</f>
        <v/>
      </c>
      <c r="AC14" s="845"/>
      <c r="AD14" s="3071"/>
      <c r="AE14" s="3072"/>
      <c r="AF14" s="3073"/>
      <c r="AG14" s="3072"/>
      <c r="AH14" s="3072"/>
      <c r="AI14" s="3072"/>
      <c r="AJ14" s="3072"/>
      <c r="AK14" s="3072"/>
      <c r="AL14" s="3074"/>
      <c r="AM14" s="3074"/>
      <c r="AN14" s="3074"/>
      <c r="AO14" s="3074"/>
      <c r="AP14" s="3074"/>
      <c r="AQ14" s="3045"/>
      <c r="AR14" s="3045"/>
      <c r="AS14" s="3045"/>
      <c r="AT14" s="1737"/>
      <c r="AU14" s="1737"/>
      <c r="AV14" s="1737"/>
    </row>
    <row r="15" spans="1:48" ht="12" customHeight="1" x14ac:dyDescent="0.2">
      <c r="A15" s="9"/>
      <c r="B15" s="822"/>
      <c r="C15" s="2807"/>
      <c r="D15" s="2812" t="s">
        <v>1325</v>
      </c>
      <c r="E15" s="3132" t="str">
        <f>Principal!$O$6</f>
        <v>0</v>
      </c>
      <c r="F15" s="3132"/>
      <c r="G15" s="954"/>
      <c r="H15" s="954"/>
      <c r="I15" s="954"/>
      <c r="J15" s="954"/>
      <c r="K15" s="954"/>
      <c r="L15" s="2578"/>
      <c r="M15" s="2808"/>
      <c r="O15" s="4120"/>
      <c r="P15" s="4121"/>
      <c r="Q15" s="4121"/>
      <c r="R15" s="4122"/>
      <c r="S15" s="4131"/>
      <c r="T15" s="3920">
        <f>IF($S$15&gt;0,(100*$S$15),0)</f>
        <v>0</v>
      </c>
      <c r="U15" s="2409"/>
      <c r="V15" s="4109" t="s">
        <v>10229</v>
      </c>
      <c r="W15" s="4110"/>
      <c r="X15" s="4110"/>
      <c r="Y15" s="4110"/>
      <c r="Z15" s="4111" t="s">
        <v>10231</v>
      </c>
      <c r="AA15" s="4112"/>
      <c r="AB15" s="1743" t="str">
        <f>IF(Principal!AD20=0,"",VLOOKUP(Principal!AD20,Tabla_HabEsenciales,5,FALSE))</f>
        <v/>
      </c>
      <c r="AC15" s="845"/>
      <c r="AD15" s="3071"/>
      <c r="AE15" s="3072"/>
      <c r="AF15" s="3073"/>
      <c r="AG15" s="3072"/>
      <c r="AH15" s="3072"/>
      <c r="AI15" s="3072"/>
      <c r="AJ15" s="3072"/>
      <c r="AK15" s="3072"/>
      <c r="AL15" s="3074"/>
      <c r="AM15" s="3074"/>
      <c r="AN15" s="3074"/>
      <c r="AO15" s="3074"/>
      <c r="AP15" s="3074"/>
      <c r="AQ15" s="3045"/>
      <c r="AR15" s="3045"/>
      <c r="AS15" s="3045"/>
      <c r="AT15" s="1737"/>
      <c r="AU15" s="1737"/>
      <c r="AV15" s="1737"/>
    </row>
    <row r="16" spans="1:48" ht="12" customHeight="1" thickBot="1" x14ac:dyDescent="0.25">
      <c r="A16" s="9"/>
      <c r="B16" s="822"/>
      <c r="C16" s="2807"/>
      <c r="D16" s="2578"/>
      <c r="E16" s="2578"/>
      <c r="F16" s="2578"/>
      <c r="G16" s="2578"/>
      <c r="H16" s="2811"/>
      <c r="I16" s="2811"/>
      <c r="J16" s="2811"/>
      <c r="K16" s="2811"/>
      <c r="L16" s="2811"/>
      <c r="M16" s="2809"/>
      <c r="O16" s="4126"/>
      <c r="P16" s="4127"/>
      <c r="Q16" s="4127"/>
      <c r="R16" s="4128"/>
      <c r="S16" s="4132"/>
      <c r="T16" s="3921"/>
      <c r="U16" s="2409"/>
      <c r="V16" s="4113"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114"/>
      <c r="X16" s="4114"/>
      <c r="Y16" s="4114"/>
      <c r="Z16" s="4114"/>
      <c r="AA16" s="4115"/>
      <c r="AB16" s="1743" t="str">
        <f>IF(Principal!AD21=0,"",VLOOKUP(Principal!AD21,Tabla_HabEsenciales,5,FALSE))</f>
        <v/>
      </c>
      <c r="AC16" s="845"/>
      <c r="AD16" s="3071"/>
      <c r="AE16" s="3072"/>
      <c r="AF16" s="3073"/>
      <c r="AG16" s="3072"/>
      <c r="AH16" s="3072"/>
      <c r="AI16" s="3072"/>
      <c r="AJ16" s="3072"/>
      <c r="AK16" s="3072"/>
      <c r="AL16" s="3074"/>
      <c r="AM16" s="3074"/>
      <c r="AN16" s="3074"/>
      <c r="AO16" s="3074"/>
      <c r="AP16" s="3074"/>
      <c r="AQ16" s="3045"/>
      <c r="AR16" s="3045"/>
      <c r="AS16" s="3045"/>
      <c r="AT16" s="1737"/>
      <c r="AU16" s="1737"/>
      <c r="AV16" s="1737"/>
    </row>
    <row r="17" spans="1:48" ht="12" customHeight="1" thickBot="1" x14ac:dyDescent="0.25">
      <c r="A17" s="9"/>
      <c r="B17" s="822"/>
      <c r="C17" s="3765" t="s">
        <v>1491</v>
      </c>
      <c r="D17" s="3766"/>
      <c r="E17" s="3766"/>
      <c r="F17" s="3766"/>
      <c r="G17" s="3766"/>
      <c r="H17" s="3766"/>
      <c r="I17" s="3766"/>
      <c r="J17" s="3766"/>
      <c r="K17" s="3766"/>
      <c r="L17" s="3766"/>
      <c r="M17" s="3767"/>
      <c r="O17" s="3692" t="s">
        <v>1492</v>
      </c>
      <c r="P17" s="3693"/>
      <c r="Q17" s="4129"/>
      <c r="R17" s="3914">
        <f>SUM(S7:S16)</f>
        <v>0</v>
      </c>
      <c r="S17" s="3917" t="s">
        <v>1377</v>
      </c>
      <c r="T17" s="4143">
        <f>SUM(T7:T16)</f>
        <v>400</v>
      </c>
      <c r="U17" s="2409"/>
      <c r="V17" s="4116"/>
      <c r="W17" s="4117"/>
      <c r="X17" s="4117"/>
      <c r="Y17" s="4117"/>
      <c r="Z17" s="4117"/>
      <c r="AA17" s="4118"/>
      <c r="AB17" s="1743" t="str">
        <f>IF(Principal!AD22=0,"",VLOOKUP(Principal!AD22,Tabla_HabEsenciales,5,FALSE))</f>
        <v/>
      </c>
      <c r="AC17" s="845"/>
      <c r="AD17" s="3071"/>
      <c r="AE17" s="3045"/>
      <c r="AF17" s="3045"/>
      <c r="AG17" s="3045"/>
      <c r="AH17" s="3045"/>
      <c r="AI17" s="3045"/>
      <c r="AJ17" s="3072"/>
      <c r="AK17" s="3072"/>
      <c r="AL17" s="3074"/>
      <c r="AM17" s="3074"/>
      <c r="AN17" s="3074"/>
      <c r="AO17" s="3074"/>
      <c r="AP17" s="3074"/>
      <c r="AQ17" s="3045"/>
      <c r="AR17" s="3045"/>
      <c r="AS17" s="3045"/>
      <c r="AT17" s="1737"/>
      <c r="AU17" s="1737"/>
      <c r="AV17" s="1737"/>
    </row>
    <row r="18" spans="1:48" ht="12" customHeight="1" thickBot="1" x14ac:dyDescent="0.25">
      <c r="A18" s="9"/>
      <c r="B18" s="822"/>
      <c r="C18" s="3768"/>
      <c r="D18" s="3156"/>
      <c r="E18" s="3156"/>
      <c r="F18" s="3156"/>
      <c r="G18" s="3156"/>
      <c r="H18" s="3156"/>
      <c r="I18" s="3156"/>
      <c r="J18" s="3156"/>
      <c r="K18" s="3156"/>
      <c r="L18" s="3156"/>
      <c r="M18" s="3769"/>
      <c r="O18" s="4130"/>
      <c r="P18" s="3632"/>
      <c r="Q18" s="3633"/>
      <c r="R18" s="3915"/>
      <c r="S18" s="3918"/>
      <c r="T18" s="4144"/>
      <c r="U18" s="2409"/>
      <c r="V18" s="4105" t="s">
        <v>8348</v>
      </c>
      <c r="W18" s="4106"/>
      <c r="X18" s="4106"/>
      <c r="Y18" s="4106"/>
      <c r="Z18" s="4106"/>
      <c r="AA18" s="4107"/>
      <c r="AB18" s="1743"/>
      <c r="AC18" s="845"/>
      <c r="AD18" s="3071"/>
      <c r="AE18" s="3075"/>
      <c r="AF18" s="3075"/>
      <c r="AG18" s="3075"/>
      <c r="AH18" s="3075"/>
      <c r="AI18" s="3075"/>
      <c r="AJ18" s="3072"/>
      <c r="AK18" s="3072"/>
      <c r="AL18" s="3074"/>
      <c r="AM18" s="3074"/>
      <c r="AN18" s="3074"/>
      <c r="AO18" s="3074"/>
      <c r="AP18" s="3074"/>
      <c r="AQ18" s="3045"/>
      <c r="AR18" s="3045"/>
      <c r="AS18" s="3045"/>
      <c r="AT18" s="1737"/>
      <c r="AU18" s="1737"/>
      <c r="AV18" s="1737"/>
    </row>
    <row r="19" spans="1:48" ht="12" customHeight="1" thickBot="1" x14ac:dyDescent="0.25">
      <c r="A19" s="9"/>
      <c r="B19" s="822"/>
      <c r="C19" s="3770"/>
      <c r="D19" s="3771"/>
      <c r="E19" s="3771"/>
      <c r="F19" s="3771"/>
      <c r="G19" s="3771"/>
      <c r="H19" s="3771"/>
      <c r="I19" s="3771"/>
      <c r="J19" s="3771"/>
      <c r="K19" s="3771"/>
      <c r="L19" s="3771"/>
      <c r="M19" s="3772"/>
      <c r="O19" s="3801" t="s">
        <v>10235</v>
      </c>
      <c r="P19" s="3802"/>
      <c r="Q19" s="3802"/>
      <c r="R19" s="3802"/>
      <c r="S19" s="3802"/>
      <c r="T19" s="3803"/>
      <c r="U19" s="2409"/>
      <c r="V19" s="2779" t="s">
        <v>1349</v>
      </c>
      <c r="W19" s="1157" t="s">
        <v>8343</v>
      </c>
      <c r="X19" s="2797" t="s">
        <v>8344</v>
      </c>
      <c r="Y19" s="2797" t="s">
        <v>8345</v>
      </c>
      <c r="Z19" s="2797" t="s">
        <v>8346</v>
      </c>
      <c r="AA19" s="2794" t="s">
        <v>8347</v>
      </c>
      <c r="AB19" s="1743"/>
      <c r="AC19" s="845"/>
      <c r="AD19" s="3071"/>
      <c r="AE19" s="3075"/>
      <c r="AF19" s="3075"/>
      <c r="AG19" s="3075"/>
      <c r="AH19" s="3075"/>
      <c r="AI19" s="3075"/>
      <c r="AJ19" s="3072"/>
      <c r="AK19" s="3072"/>
      <c r="AL19" s="3074"/>
      <c r="AM19" s="3074"/>
      <c r="AN19" s="3074"/>
      <c r="AO19" s="3074"/>
      <c r="AP19" s="3074"/>
      <c r="AQ19" s="3045"/>
      <c r="AR19" s="3045"/>
      <c r="AS19" s="3045"/>
      <c r="AT19" s="1737"/>
      <c r="AU19" s="1737"/>
      <c r="AV19" s="1737"/>
    </row>
    <row r="20" spans="1:48" ht="12" customHeight="1" thickBot="1" x14ac:dyDescent="0.25">
      <c r="A20" s="9"/>
      <c r="B20" s="822"/>
      <c r="H20" s="2411"/>
      <c r="I20" s="2411"/>
      <c r="J20" s="2411"/>
      <c r="U20" s="2409"/>
      <c r="V20" s="2798">
        <f>MAX(Principal!AJ10+Principal!AJ40-Principal!$AB$27,0)</f>
        <v>0</v>
      </c>
      <c r="W20" s="2799">
        <f>IF(Principal!AB13&lt;25,PDs!V20,MAX(0,PDs!V20-PDs!X20-PDs!Y20-PDs!Z20-PDs!AA20))</f>
        <v>0</v>
      </c>
      <c r="X20" s="1605"/>
      <c r="Y20" s="2780"/>
      <c r="Z20" s="2780"/>
      <c r="AA20" s="2800"/>
      <c r="AB20" s="1743"/>
      <c r="AC20" s="845"/>
      <c r="AD20" s="3071"/>
      <c r="AE20" s="3075"/>
      <c r="AF20" s="3075"/>
      <c r="AG20" s="3075"/>
      <c r="AH20" s="3075"/>
      <c r="AI20" s="3075"/>
      <c r="AJ20" s="3072"/>
      <c r="AK20" s="3072"/>
      <c r="AL20" s="3074"/>
      <c r="AM20" s="3074"/>
      <c r="AN20" s="3074"/>
      <c r="AO20" s="3074"/>
      <c r="AP20" s="3074"/>
      <c r="AQ20" s="3045"/>
      <c r="AR20" s="3045"/>
      <c r="AS20" s="3045"/>
      <c r="AT20" s="1737"/>
      <c r="AU20" s="1737"/>
      <c r="AV20" s="1737"/>
    </row>
    <row r="21" spans="1:48" ht="12" customHeight="1" thickBot="1" x14ac:dyDescent="0.25">
      <c r="A21" s="9"/>
      <c r="B21" s="822"/>
      <c r="D21" s="323"/>
      <c r="E21" s="323"/>
      <c r="F21" s="323"/>
      <c r="G21" s="323"/>
      <c r="H21" s="2349"/>
      <c r="I21" s="2349"/>
      <c r="J21" s="2349"/>
      <c r="W21" s="3801" t="s">
        <v>10233</v>
      </c>
      <c r="X21" s="4108"/>
      <c r="Y21" s="4108"/>
      <c r="Z21" s="4108"/>
      <c r="AA21" s="3803"/>
      <c r="AB21" s="1743" t="str">
        <f>IF(Principal!AD23=0,"",VLOOKUP(Principal!AD23,Tabla_HabEsenciales,5,FALSE))</f>
        <v/>
      </c>
      <c r="AC21" s="1416"/>
      <c r="AD21" s="3071"/>
      <c r="AE21" s="3072"/>
      <c r="AF21" s="3071"/>
      <c r="AG21" s="3071"/>
      <c r="AH21" s="3071"/>
      <c r="AI21" s="3071"/>
      <c r="AJ21" s="3072"/>
      <c r="AK21" s="3072"/>
      <c r="AL21" s="3074"/>
      <c r="AM21" s="3074"/>
      <c r="AN21" s="3074"/>
      <c r="AO21" s="3074"/>
      <c r="AP21" s="3074"/>
      <c r="AQ21" s="3045"/>
      <c r="AR21" s="3045"/>
      <c r="AS21" s="3045"/>
      <c r="AT21" s="1737"/>
      <c r="AU21" s="1737"/>
      <c r="AV21" s="1737"/>
    </row>
    <row r="22" spans="1:48" ht="12" customHeight="1" x14ac:dyDescent="0.2">
      <c r="A22" s="9"/>
      <c r="B22" s="822"/>
      <c r="D22" s="323"/>
      <c r="E22" s="323"/>
      <c r="F22" s="323"/>
      <c r="G22" s="323"/>
      <c r="H22" s="323"/>
      <c r="I22" s="323"/>
      <c r="J22" s="323"/>
      <c r="L22" s="3836" t="str">
        <f>IF(Categoría_1=0,"",Categoría_1)</f>
        <v/>
      </c>
      <c r="M22" s="3837"/>
      <c r="N22" s="3840" t="str">
        <f>IF(Categoría_2=0,"",Categoría_2)</f>
        <v/>
      </c>
      <c r="O22" s="3837"/>
      <c r="P22" s="3840" t="str">
        <f>IF(Categoría_3=0,"",Categoría_3)</f>
        <v/>
      </c>
      <c r="Q22" s="3837"/>
      <c r="R22" s="3840" t="str">
        <f>IF(Categoría_4=0,"",Categoría_4)</f>
        <v/>
      </c>
      <c r="S22" s="3837"/>
      <c r="T22" s="3840" t="str">
        <f>IF(Categoría_5=0,"",Categoría_5)</f>
        <v/>
      </c>
      <c r="U22" s="3852"/>
      <c r="W22" s="2409"/>
      <c r="X22" s="2409"/>
      <c r="Y22" s="2409"/>
      <c r="Z22" s="2409"/>
      <c r="AA22" s="2409"/>
      <c r="AB22" s="1740"/>
      <c r="AC22" s="1417"/>
      <c r="AD22" s="3071"/>
      <c r="AE22" s="3072"/>
      <c r="AF22" s="3073"/>
      <c r="AG22" s="3072"/>
      <c r="AH22" s="3072"/>
      <c r="AI22" s="3072"/>
      <c r="AJ22" s="3072"/>
      <c r="AK22" s="3072"/>
      <c r="AL22" s="3074"/>
      <c r="AM22" s="3074"/>
      <c r="AN22" s="3074"/>
      <c r="AO22" s="3074"/>
      <c r="AP22" s="3074"/>
      <c r="AQ22" s="3045"/>
      <c r="AR22" s="3045"/>
      <c r="AS22" s="3045"/>
      <c r="AT22" s="1737"/>
      <c r="AU22" s="1737"/>
      <c r="AV22" s="1737"/>
    </row>
    <row r="23" spans="1:48" ht="12" customHeight="1" thickBot="1" x14ac:dyDescent="0.25">
      <c r="A23" s="9"/>
      <c r="B23" s="822"/>
      <c r="L23" s="3838"/>
      <c r="M23" s="3839"/>
      <c r="N23" s="3841"/>
      <c r="O23" s="3839"/>
      <c r="P23" s="3841"/>
      <c r="Q23" s="3839"/>
      <c r="R23" s="3841"/>
      <c r="S23" s="3839"/>
      <c r="T23" s="3841"/>
      <c r="U23" s="3862"/>
      <c r="AB23" s="1740"/>
      <c r="AC23" s="845"/>
      <c r="AD23" s="3071"/>
      <c r="AE23" s="3072"/>
      <c r="AF23" s="3073"/>
      <c r="AG23" s="3072"/>
      <c r="AH23" s="3072"/>
      <c r="AI23" s="3072"/>
      <c r="AJ23" s="3072"/>
      <c r="AK23" s="3072"/>
      <c r="AL23" s="3074"/>
      <c r="AM23" s="3074"/>
      <c r="AN23" s="3074"/>
      <c r="AO23" s="3074"/>
      <c r="AP23" s="3074"/>
      <c r="AQ23" s="3045"/>
      <c r="AR23" s="3045"/>
      <c r="AS23" s="3045"/>
      <c r="AT23" s="1737"/>
      <c r="AU23" s="1737"/>
      <c r="AV23" s="1737"/>
    </row>
    <row r="24" spans="1:48" ht="12" customHeight="1" thickBot="1" x14ac:dyDescent="0.25">
      <c r="A24" s="9"/>
      <c r="B24" s="822"/>
      <c r="C24" s="3927" t="s">
        <v>1394</v>
      </c>
      <c r="D24" s="525" t="s">
        <v>1399</v>
      </c>
      <c r="E24" s="3773" t="s">
        <v>1375</v>
      </c>
      <c r="F24" s="3774"/>
      <c r="G24" s="3774"/>
      <c r="H24" s="3774"/>
      <c r="I24" s="3774"/>
      <c r="J24" s="3774"/>
      <c r="K24" s="3775"/>
      <c r="L24" s="526" t="s">
        <v>1490</v>
      </c>
      <c r="M24" s="527" t="s">
        <v>1377</v>
      </c>
      <c r="N24" s="526" t="s">
        <v>1490</v>
      </c>
      <c r="O24" s="527" t="s">
        <v>1377</v>
      </c>
      <c r="P24" s="526" t="s">
        <v>1490</v>
      </c>
      <c r="Q24" s="527" t="s">
        <v>1377</v>
      </c>
      <c r="R24" s="526" t="s">
        <v>1490</v>
      </c>
      <c r="S24" s="527" t="s">
        <v>1377</v>
      </c>
      <c r="T24" s="526" t="s">
        <v>1490</v>
      </c>
      <c r="U24" s="527" t="s">
        <v>1377</v>
      </c>
      <c r="V24" s="526" t="s">
        <v>1365</v>
      </c>
      <c r="W24" s="526" t="s">
        <v>1367</v>
      </c>
      <c r="X24" s="3863" t="s">
        <v>1489</v>
      </c>
      <c r="Y24" s="3863"/>
      <c r="Z24" s="526" t="s">
        <v>1418</v>
      </c>
      <c r="AA24" s="528" t="s">
        <v>1349</v>
      </c>
      <c r="AB24" s="1740"/>
      <c r="AC24" s="845"/>
      <c r="AD24" s="3044"/>
      <c r="AE24" s="3061"/>
      <c r="AF24" s="3069"/>
      <c r="AG24" s="3061"/>
      <c r="AH24" s="3061"/>
      <c r="AI24" s="3061"/>
      <c r="AJ24" s="3061"/>
      <c r="AK24" s="3061"/>
      <c r="AL24" s="3055"/>
      <c r="AM24" s="3055"/>
      <c r="AN24" s="3055"/>
      <c r="AO24" s="3055"/>
      <c r="AP24" s="3055"/>
      <c r="AQ24" s="1737"/>
      <c r="AR24" s="1737"/>
      <c r="AS24" s="1737"/>
      <c r="AT24" s="1737"/>
      <c r="AU24" s="1737"/>
      <c r="AV24" s="1737"/>
    </row>
    <row r="25" spans="1:48" ht="12" customHeight="1" x14ac:dyDescent="0.2">
      <c r="A25" s="9"/>
      <c r="B25" s="822"/>
      <c r="C25" s="3929"/>
      <c r="D25" s="3974" t="s">
        <v>1365</v>
      </c>
      <c r="E25" s="3776" t="s">
        <v>1493</v>
      </c>
      <c r="F25" s="3777"/>
      <c r="G25" s="3777"/>
      <c r="H25" s="3777"/>
      <c r="I25" s="3777"/>
      <c r="J25" s="3777"/>
      <c r="K25" s="3778"/>
      <c r="L25" s="1981">
        <f>IFERROR(VLOOKUP(L$22,Tabla_Categorías,MATCH("Coste"&amp;$E25,Name_Tabla_Cat,FALSE),FALSE),0)</f>
        <v>0</v>
      </c>
      <c r="M25" s="2729"/>
      <c r="N25" s="1981">
        <f>IFERROR(VLOOKUP(N$22,Tabla_Categorías,MATCH("Coste"&amp;$E25,Name_Tabla_Cat,FALSE),FALSE),0)</f>
        <v>0</v>
      </c>
      <c r="O25" s="1484"/>
      <c r="P25" s="1981">
        <f>IFERROR(VLOOKUP(P$22,Tabla_Categorías,MATCH("Coste"&amp;$E25,Name_Tabla_Cat,FALSE),FALSE),0)</f>
        <v>0</v>
      </c>
      <c r="Q25" s="1484"/>
      <c r="R25" s="1981">
        <f>IFERROR(VLOOKUP(R$22,Tabla_Categorías,MATCH("Coste"&amp;$E25,Name_Tabla_Cat,FALSE),FALSE),0)</f>
        <v>0</v>
      </c>
      <c r="S25" s="1484"/>
      <c r="T25" s="1981">
        <f>IFERROR(VLOOKUP(T$22,Tabla_Categorías,MATCH("Coste"&amp;$E25,Name_Tabla_Cat,FALSE),FALSE),0)</f>
        <v>0</v>
      </c>
      <c r="U25" s="1484"/>
      <c r="V25" s="531">
        <f>IF(L25=0,0,TRUNC(M25/L25,0))+IF(N25=0,0,TRUNC(O25/N25,0))+IF(P25=0,0,TRUNC(Q25/P25,0))+IF(R25=0,0,TRUNC(S25/R25,0))+IF(T25=0,0,TRUNC(U25/T25,0))</f>
        <v>0</v>
      </c>
      <c r="W25" s="532">
        <f>Bono_Des</f>
        <v>0</v>
      </c>
      <c r="X25" s="3503">
        <f>MIN(50,HLOOKUP($E25,Bonos_Cat_Base,2,FALSE)+5*Nivel_Total*Tablas!$G$364)</f>
        <v>0</v>
      </c>
      <c r="Y25" s="3503"/>
      <c r="Z25" s="2208"/>
      <c r="AA25" s="533">
        <f>Z25+X25+V25+W25+Mod_ATA+Mod_Fisico</f>
        <v>0</v>
      </c>
      <c r="AB25" s="1740"/>
      <c r="AC25" s="845"/>
      <c r="AD25" s="3044" t="s">
        <v>7215</v>
      </c>
      <c r="AE25" s="3061"/>
      <c r="AF25" s="3069"/>
      <c r="AG25" s="3061"/>
      <c r="AH25" s="3061"/>
      <c r="AI25" s="3061"/>
      <c r="AJ25" s="3061"/>
      <c r="AK25" s="3061"/>
      <c r="AL25" s="3055"/>
      <c r="AM25" s="3055"/>
      <c r="AN25" s="3055"/>
      <c r="AO25" s="3055"/>
      <c r="AP25" s="3055"/>
      <c r="AQ25" s="1737"/>
      <c r="AR25" s="1737"/>
      <c r="AS25" s="1737"/>
      <c r="AT25" s="1737"/>
      <c r="AU25" s="1737"/>
      <c r="AV25" s="1737"/>
    </row>
    <row r="26" spans="1:48" ht="12" customHeight="1" x14ac:dyDescent="0.2">
      <c r="A26" s="9"/>
      <c r="B26" s="822"/>
      <c r="C26" s="3929"/>
      <c r="D26" s="3973"/>
      <c r="E26" s="3779" t="s">
        <v>1494</v>
      </c>
      <c r="F26" s="3780"/>
      <c r="G26" s="3780"/>
      <c r="H26" s="3780"/>
      <c r="I26" s="3780"/>
      <c r="J26" s="3780"/>
      <c r="K26" s="3781"/>
      <c r="L26" s="1988">
        <f>IFERROR(VLOOKUP(L$22,Tabla_Categorías,MATCH("Coste"&amp;$E26,Name_Tabla_Cat,FALSE),FALSE),0)</f>
        <v>0</v>
      </c>
      <c r="M26" s="2730"/>
      <c r="N26" s="1988">
        <f>IFERROR(VLOOKUP(N$22,Tabla_Categorías,MATCH("Coste"&amp;$E26,Name_Tabla_Cat,FALSE),FALSE),0)</f>
        <v>0</v>
      </c>
      <c r="O26" s="1503"/>
      <c r="P26" s="1988">
        <f>IFERROR(VLOOKUP(P$22,Tabla_Categorías,MATCH("Coste"&amp;$E26,Name_Tabla_Cat,FALSE),FALSE),0)</f>
        <v>0</v>
      </c>
      <c r="Q26" s="1503"/>
      <c r="R26" s="1988">
        <f>IFERROR(VLOOKUP(R$22,Tabla_Categorías,MATCH("Coste"&amp;$E26,Name_Tabla_Cat,FALSE),FALSE),0)</f>
        <v>0</v>
      </c>
      <c r="S26" s="1503"/>
      <c r="T26" s="1988">
        <f>IFERROR(VLOOKUP(T$22,Tabla_Categorías,MATCH("Coste"&amp;$E26,Name_Tabla_Cat,FALSE),FALSE),0)</f>
        <v>0</v>
      </c>
      <c r="U26" s="1503"/>
      <c r="V26" s="54">
        <f>IF(L26=0,0,TRUNC(M26/L26,0))+IF(N26=0,0,TRUNC(O26/N26,0))+IF(P26=0,0,TRUNC(Q26/P26,0))+IF(R26=0,0,TRUNC(S26/R26,0))+IF(T26=0,0,TRUNC(U26/T26,0))</f>
        <v>0</v>
      </c>
      <c r="W26" s="507">
        <f>Bono_Des</f>
        <v>0</v>
      </c>
      <c r="X26" s="3794">
        <f>MIN(50,HLOOKUP($E26,Bonos_Cat_Base,2,FALSE)+5*Nivel_Total*Tablas!$G$365)</f>
        <v>0</v>
      </c>
      <c r="Y26" s="3794"/>
      <c r="Z26" s="2209"/>
      <c r="AA26" s="534">
        <f>W26+X26+V26+Z26+Mod_ATA+Mod_Fisico</f>
        <v>0</v>
      </c>
      <c r="AB26" s="1740"/>
      <c r="AC26" s="845"/>
      <c r="AD26" s="3044">
        <f>MAX(HP_final,HE_final)</f>
        <v>0</v>
      </c>
      <c r="AE26" s="3061"/>
      <c r="AF26" s="3069"/>
      <c r="AG26" s="3061"/>
      <c r="AH26" s="3061"/>
      <c r="AI26" s="3061"/>
      <c r="AJ26" s="3061"/>
      <c r="AK26" s="3061"/>
      <c r="AL26" s="3055"/>
      <c r="AM26" s="3055"/>
      <c r="AN26" s="3055"/>
      <c r="AO26" s="3055"/>
      <c r="AP26" s="3055"/>
      <c r="AQ26" s="1737"/>
      <c r="AR26" s="1737"/>
      <c r="AS26" s="1737"/>
      <c r="AT26" s="1737"/>
      <c r="AU26" s="1737"/>
      <c r="AV26" s="1737"/>
    </row>
    <row r="27" spans="1:48" ht="12" customHeight="1" x14ac:dyDescent="0.2">
      <c r="A27" s="9"/>
      <c r="B27" s="822"/>
      <c r="C27" s="3929"/>
      <c r="D27" s="3973"/>
      <c r="E27" s="3782" t="s">
        <v>1495</v>
      </c>
      <c r="F27" s="3783"/>
      <c r="G27" s="3783"/>
      <c r="H27" s="3783"/>
      <c r="I27" s="3783"/>
      <c r="J27" s="3783"/>
      <c r="K27" s="3784"/>
      <c r="L27" s="1982">
        <f>IFERROR(VLOOKUP(L$22,Tabla_Categorías,MATCH("Coste"&amp;$E27,Name_Tabla_Cat,FALSE),FALSE),0)</f>
        <v>0</v>
      </c>
      <c r="M27" s="1485"/>
      <c r="N27" s="1982">
        <f>IFERROR(VLOOKUP(N$22,Tabla_Categorías,MATCH("Coste"&amp;$E27,Name_Tabla_Cat,FALSE),FALSE),0)</f>
        <v>0</v>
      </c>
      <c r="O27" s="1485"/>
      <c r="P27" s="1982">
        <f>IFERROR(VLOOKUP(P$22,Tabla_Categorías,MATCH("Coste"&amp;$E27,Name_Tabla_Cat,FALSE),FALSE),0)</f>
        <v>0</v>
      </c>
      <c r="Q27" s="1485"/>
      <c r="R27" s="1982">
        <f>IFERROR(VLOOKUP(R$22,Tabla_Categorías,MATCH("Coste"&amp;$E27,Name_Tabla_Cat,FALSE),FALSE),0)</f>
        <v>0</v>
      </c>
      <c r="S27" s="1485"/>
      <c r="T27" s="1982">
        <f>IFERROR(VLOOKUP(T$22,Tabla_Categorías,MATCH("Coste"&amp;$E27,Name_Tabla_Cat,FALSE),FALSE),0)</f>
        <v>0</v>
      </c>
      <c r="U27" s="1485"/>
      <c r="V27" s="52">
        <f>IF(L27=0,0,TRUNC(M27/L27,0))+IF(N27=0,0,TRUNC(O27/N27,0))+IF(P27=0,0,TRUNC(Q27/P27,0))+IF(R27=0,0,TRUNC(S27/R27,0))+IF(T27=0,0,TRUNC(U27/T27,0))</f>
        <v>0</v>
      </c>
      <c r="W27" s="510">
        <f>Bono_Agi</f>
        <v>0</v>
      </c>
      <c r="X27" s="3795">
        <f>MIN(50,HLOOKUP($E27,Bonos_Cat_Base,2,FALSE)+5*Nivel_Total*Tablas!$G$366)</f>
        <v>0</v>
      </c>
      <c r="Y27" s="3795"/>
      <c r="Z27" s="2210"/>
      <c r="AA27" s="535">
        <f>V27+W27+X27+Z27+Mod_ATA+Mod_Fisico</f>
        <v>0</v>
      </c>
      <c r="AB27" s="1740"/>
      <c r="AC27" s="845"/>
      <c r="AD27" s="3044"/>
      <c r="AE27" s="3061"/>
      <c r="AF27" s="3069"/>
      <c r="AG27" s="3061"/>
      <c r="AH27" s="3061"/>
      <c r="AI27" s="3061"/>
      <c r="AJ27" s="3061"/>
      <c r="AK27" s="3061"/>
      <c r="AL27" s="3055"/>
      <c r="AM27" s="3055"/>
      <c r="AN27" s="3055"/>
      <c r="AO27" s="3055"/>
      <c r="AP27" s="3055"/>
      <c r="AQ27" s="1737"/>
      <c r="AR27" s="1737"/>
      <c r="AS27" s="1737"/>
      <c r="AT27" s="1737"/>
      <c r="AU27" s="1737"/>
      <c r="AV27" s="1737"/>
    </row>
    <row r="28" spans="1:48" ht="12" customHeight="1" x14ac:dyDescent="0.2">
      <c r="A28" s="9"/>
      <c r="B28" s="822"/>
      <c r="C28" s="3929"/>
      <c r="D28" s="3973"/>
      <c r="E28" s="3785" t="s">
        <v>1496</v>
      </c>
      <c r="F28" s="3786"/>
      <c r="G28" s="3786"/>
      <c r="H28" s="3786"/>
      <c r="I28" s="3786"/>
      <c r="J28" s="3786"/>
      <c r="K28" s="3787"/>
      <c r="L28" s="1988">
        <f>IFERROR(VLOOKUP(L$22,Tabla_Categorías,MATCH("Coste"&amp;$E28,Name_Tabla_Cat,FALSE),FALSE),0)</f>
        <v>0</v>
      </c>
      <c r="M28" s="1503"/>
      <c r="N28" s="1988">
        <f>IFERROR(VLOOKUP(N$22,Tabla_Categorías,MATCH("Coste"&amp;$E28,Name_Tabla_Cat,FALSE),FALSE),0)</f>
        <v>0</v>
      </c>
      <c r="O28" s="1503"/>
      <c r="P28" s="1988">
        <f>IFERROR(VLOOKUP(P$22,Tabla_Categorías,MATCH("Coste"&amp;$E28,Name_Tabla_Cat,FALSE),FALSE),0)</f>
        <v>0</v>
      </c>
      <c r="Q28" s="1503"/>
      <c r="R28" s="1988">
        <f>IFERROR(VLOOKUP(R$22,Tabla_Categorías,MATCH("Coste"&amp;$E28,Name_Tabla_Cat,FALSE),FALSE),0)</f>
        <v>0</v>
      </c>
      <c r="S28" s="1503"/>
      <c r="T28" s="1988">
        <f>IFERROR(VLOOKUP(T$22,Tabla_Categorías,MATCH("Coste"&amp;$E28,Name_Tabla_Cat,FALSE),FALSE),0)</f>
        <v>0</v>
      </c>
      <c r="U28" s="1503"/>
      <c r="V28" s="54">
        <f>IF(L28=0,0,TRUNC(M28/L28,0))+IF(N28=0,0,TRUNC(O28/N28,0))+IF(P28=0,0,TRUNC(Q28/P28,0))+IF(R28=0,0,TRUNC(S28/R28,0))+IF(T28=0,0,TRUNC(U28/T28,0))</f>
        <v>0</v>
      </c>
      <c r="W28" s="507">
        <f>Bono_Fue+Nivel_Total*(5*Tablas!$G$368+10*Tablas!$G$369+15*Tablas!$G$370)</f>
        <v>0</v>
      </c>
      <c r="X28" s="3867">
        <f>HLOOKUP($E28,Bonos_Cat_Base,2,FALSE)</f>
        <v>0</v>
      </c>
      <c r="Y28" s="3867">
        <f>HLOOKUP($E28,Bonos_Cat_Base,2,FALSE)</f>
        <v>0</v>
      </c>
      <c r="Z28" s="2209"/>
      <c r="AA28" s="536">
        <f>V28+W28+X28+Z28</f>
        <v>0</v>
      </c>
      <c r="AB28" s="1740"/>
      <c r="AC28" s="845"/>
      <c r="AD28" s="3044"/>
      <c r="AE28" s="3061"/>
      <c r="AF28" s="3069"/>
      <c r="AG28" s="3061"/>
      <c r="AH28" s="3061"/>
      <c r="AI28" s="3061"/>
      <c r="AJ28" s="3061"/>
      <c r="AK28" s="3061"/>
      <c r="AL28" s="3055"/>
      <c r="AM28" s="3055"/>
      <c r="AN28" s="3055"/>
      <c r="AO28" s="3055"/>
      <c r="AP28" s="3055"/>
      <c r="AQ28" s="1737"/>
      <c r="AR28" s="1737"/>
      <c r="AS28" s="1737"/>
      <c r="AT28" s="1737"/>
      <c r="AU28" s="1737"/>
      <c r="AV28" s="1737"/>
    </row>
    <row r="29" spans="1:48" ht="12" customHeight="1" x14ac:dyDescent="0.2">
      <c r="A29" s="9"/>
      <c r="B29" s="822"/>
      <c r="C29" s="3929"/>
      <c r="D29" s="3975"/>
      <c r="E29" s="1998"/>
      <c r="F29" s="1999"/>
      <c r="G29" s="1999"/>
      <c r="H29" s="1999"/>
      <c r="I29" s="1999"/>
      <c r="J29" s="1999"/>
      <c r="K29" s="1999"/>
      <c r="L29" s="1999"/>
      <c r="M29" s="1999"/>
      <c r="N29" s="1999"/>
      <c r="O29" s="1999"/>
      <c r="P29" s="1999"/>
      <c r="Q29" s="1999"/>
      <c r="R29" s="1999"/>
      <c r="S29" s="1999"/>
      <c r="T29" s="1999"/>
      <c r="U29" s="1999"/>
      <c r="V29" s="1999"/>
      <c r="W29" s="1999"/>
      <c r="X29" s="1999"/>
      <c r="Y29" s="1999"/>
      <c r="Z29" s="2000"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7" t="str">
        <f>IF((M25+M26+M27+O25+O26+O27+Q25+Q26+Q27+S25+S26+S27+U25+U26+U27)&gt;(($T$7+$T$9+$T$11+$T$13+$T$15)/2),($T$7+$T$9+$T$11+$T$13+$T$15)/2,"")</f>
        <v/>
      </c>
      <c r="AB29" s="1740"/>
      <c r="AC29" s="845"/>
      <c r="AD29" s="3044"/>
      <c r="AE29" s="3061"/>
      <c r="AF29" s="3069"/>
      <c r="AG29" s="3061"/>
      <c r="AH29" s="3061"/>
      <c r="AI29" s="3061"/>
      <c r="AJ29" s="3061"/>
      <c r="AK29" s="3061"/>
      <c r="AL29" s="3055"/>
      <c r="AM29" s="3055"/>
      <c r="AN29" s="3055"/>
      <c r="AO29" s="3055"/>
      <c r="AP29" s="3055"/>
      <c r="AQ29" s="1737"/>
      <c r="AR29" s="1737"/>
      <c r="AS29" s="1737"/>
      <c r="AT29" s="1737"/>
      <c r="AU29" s="1737"/>
      <c r="AV29" s="1737"/>
    </row>
    <row r="30" spans="1:48" ht="12" customHeight="1" x14ac:dyDescent="0.2">
      <c r="A30" s="9"/>
      <c r="B30" s="822"/>
      <c r="C30" s="3929"/>
      <c r="D30" s="3972" t="s">
        <v>1497</v>
      </c>
      <c r="E30" s="3990" t="s">
        <v>1373</v>
      </c>
      <c r="F30" s="3991"/>
      <c r="G30" s="3991"/>
      <c r="H30" s="3991"/>
      <c r="I30" s="3991"/>
      <c r="J30" s="3991"/>
      <c r="K30" s="3992"/>
      <c r="L30" s="1983">
        <f t="shared" ref="L30:L35" si="0">IFERROR(VLOOKUP(L$22,Tabla_Categorías,MATCH("CosteKi",Name_Tabla_Cat,FALSE),FALSE),0)</f>
        <v>0</v>
      </c>
      <c r="M30" s="1486"/>
      <c r="N30" s="1983">
        <f t="shared" ref="N30:N35" si="1">IFERROR(VLOOKUP(N$22,Tabla_Categorías,MATCH("CosteKi",Name_Tabla_Cat,FALSE),FALSE),0)</f>
        <v>0</v>
      </c>
      <c r="O30" s="1486"/>
      <c r="P30" s="1983">
        <f t="shared" ref="P30:P35" si="2">IFERROR(VLOOKUP(P$22,Tabla_Categorías,MATCH("CosteKi",Name_Tabla_Cat,FALSE),FALSE),0)</f>
        <v>0</v>
      </c>
      <c r="Q30" s="1486"/>
      <c r="R30" s="1983">
        <f t="shared" ref="R30:R35" si="3">IFERROR(VLOOKUP(R$22,Tabla_Categorías,MATCH("CosteKi",Name_Tabla_Cat,FALSE),FALSE),0)</f>
        <v>0</v>
      </c>
      <c r="S30" s="1486"/>
      <c r="T30" s="1983">
        <f t="shared" ref="T30:T35" si="4">IFERROR(VLOOKUP(T$22,Tabla_Categorías,MATCH("CosteKi",Name_Tabla_Cat,FALSE),FALSE),0)</f>
        <v>0</v>
      </c>
      <c r="U30" s="1486"/>
      <c r="V30" s="432">
        <f t="shared" ref="V30:V41" si="5">IF(L30=0,0,TRUNC(M30/L30,0))+IF(N30=0,0,TRUNC(O30/N30,0))+IF(P30=0,0,TRUNC(Q30/P30,0))+IF(R30=0,0,TRUNC(S30/R30,0))+IF(T30=0,0,TRUNC(U30/T30,0))</f>
        <v>0</v>
      </c>
      <c r="W30" s="511">
        <f>AGI+IF(AGI-10&gt;0,AGI-10,0)</f>
        <v>0</v>
      </c>
      <c r="X30" s="3926" t="s">
        <v>1456</v>
      </c>
      <c r="Y30" s="3926"/>
      <c r="Z30" s="2211"/>
      <c r="AA30" s="538">
        <f t="shared" ref="AA30:AA35" si="6">W30+V30+Z30</f>
        <v>0</v>
      </c>
      <c r="AB30" s="1740"/>
      <c r="AC30" s="845"/>
      <c r="AD30" s="3044"/>
      <c r="AE30" s="3061"/>
      <c r="AF30" s="3069"/>
      <c r="AG30" s="3061"/>
      <c r="AH30" s="3061"/>
      <c r="AI30" s="3061"/>
      <c r="AJ30" s="3061"/>
      <c r="AK30" s="3061"/>
      <c r="AL30" s="3055"/>
      <c r="AM30" s="3055"/>
      <c r="AN30" s="3055"/>
      <c r="AO30" s="3055"/>
      <c r="AP30" s="3055"/>
      <c r="AQ30" s="1737"/>
      <c r="AR30" s="1737"/>
      <c r="AS30" s="1737"/>
      <c r="AT30" s="1737"/>
      <c r="AU30" s="1737"/>
      <c r="AV30" s="1737"/>
    </row>
    <row r="31" spans="1:48" ht="12" customHeight="1" x14ac:dyDescent="0.2">
      <c r="A31" s="9"/>
      <c r="B31" s="822"/>
      <c r="C31" s="3929"/>
      <c r="D31" s="3973"/>
      <c r="E31" s="3785" t="s">
        <v>1498</v>
      </c>
      <c r="F31" s="3786"/>
      <c r="G31" s="3786"/>
      <c r="H31" s="3786"/>
      <c r="I31" s="3786"/>
      <c r="J31" s="3786"/>
      <c r="K31" s="3787"/>
      <c r="L31" s="1989">
        <f t="shared" si="0"/>
        <v>0</v>
      </c>
      <c r="M31" s="1503"/>
      <c r="N31" s="1989">
        <f t="shared" si="1"/>
        <v>0</v>
      </c>
      <c r="O31" s="1503"/>
      <c r="P31" s="1989">
        <f t="shared" si="2"/>
        <v>0</v>
      </c>
      <c r="Q31" s="1503"/>
      <c r="R31" s="1989">
        <f t="shared" si="3"/>
        <v>0</v>
      </c>
      <c r="S31" s="1503"/>
      <c r="T31" s="1989">
        <f t="shared" si="4"/>
        <v>0</v>
      </c>
      <c r="U31" s="1503"/>
      <c r="V31" s="433">
        <f t="shared" si="5"/>
        <v>0</v>
      </c>
      <c r="W31" s="264">
        <f>CON+IF(CON-10&gt;0,CON-10,0)</f>
        <v>0</v>
      </c>
      <c r="X31" s="3794" t="s">
        <v>1456</v>
      </c>
      <c r="Y31" s="3794"/>
      <c r="Z31" s="2209"/>
      <c r="AA31" s="539">
        <f t="shared" si="6"/>
        <v>0</v>
      </c>
      <c r="AB31" s="1740"/>
      <c r="AC31" s="845"/>
      <c r="AD31" s="3044"/>
      <c r="AE31" s="3061"/>
      <c r="AF31" s="3069"/>
      <c r="AG31" s="3061"/>
      <c r="AH31" s="3061"/>
      <c r="AI31" s="3061"/>
      <c r="AJ31" s="3061"/>
      <c r="AK31" s="3061"/>
      <c r="AL31" s="3055"/>
      <c r="AM31" s="3055"/>
      <c r="AN31" s="3055"/>
      <c r="AO31" s="3055"/>
      <c r="AP31" s="3055"/>
      <c r="AQ31" s="1737"/>
      <c r="AR31" s="1737"/>
      <c r="AS31" s="1737"/>
      <c r="AT31" s="1737"/>
      <c r="AU31" s="1737"/>
      <c r="AV31" s="1737"/>
    </row>
    <row r="32" spans="1:48" ht="12" customHeight="1" x14ac:dyDescent="0.2">
      <c r="A32" s="9"/>
      <c r="B32" s="822"/>
      <c r="C32" s="3929"/>
      <c r="D32" s="3973"/>
      <c r="E32" s="3782" t="s">
        <v>1378</v>
      </c>
      <c r="F32" s="3783"/>
      <c r="G32" s="3783"/>
      <c r="H32" s="3783"/>
      <c r="I32" s="3783"/>
      <c r="J32" s="3783"/>
      <c r="K32" s="3784"/>
      <c r="L32" s="1984">
        <f t="shared" si="0"/>
        <v>0</v>
      </c>
      <c r="M32" s="1485"/>
      <c r="N32" s="1984">
        <f t="shared" si="1"/>
        <v>0</v>
      </c>
      <c r="O32" s="1485"/>
      <c r="P32" s="1984">
        <f t="shared" si="2"/>
        <v>0</v>
      </c>
      <c r="Q32" s="1485"/>
      <c r="R32" s="1984">
        <f t="shared" si="3"/>
        <v>0</v>
      </c>
      <c r="S32" s="1485"/>
      <c r="T32" s="1984">
        <f t="shared" si="4"/>
        <v>0</v>
      </c>
      <c r="U32" s="1485"/>
      <c r="V32" s="434">
        <f t="shared" si="5"/>
        <v>0</v>
      </c>
      <c r="W32" s="73">
        <f>DES+IF(DES-10&gt;0,DES-10,0)</f>
        <v>0</v>
      </c>
      <c r="X32" s="3795" t="s">
        <v>1456</v>
      </c>
      <c r="Y32" s="3795"/>
      <c r="Z32" s="2210"/>
      <c r="AA32" s="540">
        <f t="shared" si="6"/>
        <v>0</v>
      </c>
      <c r="AB32" s="1740"/>
      <c r="AC32" s="845"/>
      <c r="AD32" s="3044"/>
      <c r="AE32" s="3061"/>
      <c r="AF32" s="3069"/>
      <c r="AG32" s="3061"/>
      <c r="AH32" s="3061"/>
      <c r="AI32" s="3061"/>
      <c r="AJ32" s="3061"/>
      <c r="AK32" s="3061"/>
      <c r="AL32" s="3055"/>
      <c r="AM32" s="3055"/>
      <c r="AN32" s="3055"/>
      <c r="AO32" s="3055"/>
      <c r="AP32" s="3055"/>
      <c r="AQ32" s="1737"/>
      <c r="AR32" s="1737"/>
      <c r="AS32" s="1737"/>
      <c r="AT32" s="1737"/>
      <c r="AU32" s="1737"/>
      <c r="AV32" s="1737"/>
    </row>
    <row r="33" spans="1:48" ht="12" customHeight="1" x14ac:dyDescent="0.2">
      <c r="A33" s="9"/>
      <c r="B33" s="822"/>
      <c r="C33" s="3929"/>
      <c r="D33" s="3973"/>
      <c r="E33" s="3785" t="s">
        <v>1383</v>
      </c>
      <c r="F33" s="3786"/>
      <c r="G33" s="3786"/>
      <c r="H33" s="3786"/>
      <c r="I33" s="3786"/>
      <c r="J33" s="3786"/>
      <c r="K33" s="3787"/>
      <c r="L33" s="1989">
        <f t="shared" si="0"/>
        <v>0</v>
      </c>
      <c r="M33" s="1503"/>
      <c r="N33" s="1989">
        <f t="shared" si="1"/>
        <v>0</v>
      </c>
      <c r="O33" s="1503"/>
      <c r="P33" s="1989">
        <f t="shared" si="2"/>
        <v>0</v>
      </c>
      <c r="Q33" s="1503"/>
      <c r="R33" s="1989">
        <f t="shared" si="3"/>
        <v>0</v>
      </c>
      <c r="S33" s="1503"/>
      <c r="T33" s="1989">
        <f t="shared" si="4"/>
        <v>0</v>
      </c>
      <c r="U33" s="1503"/>
      <c r="V33" s="433">
        <f t="shared" si="5"/>
        <v>0</v>
      </c>
      <c r="W33" s="264">
        <f>FUE+IF(FUE-10&gt;0,FUE-10,0)</f>
        <v>0</v>
      </c>
      <c r="X33" s="3794" t="s">
        <v>1456</v>
      </c>
      <c r="Y33" s="3794"/>
      <c r="Z33" s="2209"/>
      <c r="AA33" s="539">
        <f t="shared" si="6"/>
        <v>0</v>
      </c>
      <c r="AB33" s="1740"/>
      <c r="AC33" s="845"/>
      <c r="AD33" s="3044"/>
      <c r="AE33" s="3061"/>
      <c r="AF33" s="3069"/>
      <c r="AG33" s="3061"/>
      <c r="AH33" s="3061"/>
      <c r="AI33" s="3061"/>
      <c r="AJ33" s="3061"/>
      <c r="AK33" s="3061"/>
      <c r="AL33" s="3055"/>
      <c r="AM33" s="3055"/>
      <c r="AN33" s="3055"/>
      <c r="AO33" s="3055"/>
      <c r="AP33" s="3055"/>
      <c r="AQ33" s="1737"/>
      <c r="AR33" s="1737"/>
      <c r="AS33" s="1737"/>
      <c r="AT33" s="1737"/>
      <c r="AU33" s="1737"/>
      <c r="AV33" s="1737"/>
    </row>
    <row r="34" spans="1:48" ht="12" customHeight="1" x14ac:dyDescent="0.2">
      <c r="A34" s="9"/>
      <c r="B34" s="822"/>
      <c r="C34" s="3929"/>
      <c r="D34" s="3973"/>
      <c r="E34" s="3782" t="s">
        <v>1391</v>
      </c>
      <c r="F34" s="3783"/>
      <c r="G34" s="3783"/>
      <c r="H34" s="3783"/>
      <c r="I34" s="3783"/>
      <c r="J34" s="3783"/>
      <c r="K34" s="3784"/>
      <c r="L34" s="1984">
        <f t="shared" si="0"/>
        <v>0</v>
      </c>
      <c r="M34" s="1485"/>
      <c r="N34" s="1984">
        <f t="shared" si="1"/>
        <v>0</v>
      </c>
      <c r="O34" s="1485"/>
      <c r="P34" s="1984">
        <f t="shared" si="2"/>
        <v>0</v>
      </c>
      <c r="Q34" s="1485"/>
      <c r="R34" s="1984">
        <f t="shared" si="3"/>
        <v>0</v>
      </c>
      <c r="S34" s="1485"/>
      <c r="T34" s="1984">
        <f t="shared" si="4"/>
        <v>0</v>
      </c>
      <c r="U34" s="1485"/>
      <c r="V34" s="434">
        <f t="shared" si="5"/>
        <v>0</v>
      </c>
      <c r="W34" s="73">
        <f>POD+IF(POD-10&gt;0,POD-10,0)</f>
        <v>0</v>
      </c>
      <c r="X34" s="3795" t="s">
        <v>1456</v>
      </c>
      <c r="Y34" s="3795"/>
      <c r="Z34" s="2210"/>
      <c r="AA34" s="540">
        <f t="shared" si="6"/>
        <v>0</v>
      </c>
      <c r="AB34" s="1740"/>
      <c r="AC34" s="845"/>
      <c r="AD34" s="3044"/>
      <c r="AE34" s="3061"/>
      <c r="AF34" s="3069"/>
      <c r="AG34" s="3061"/>
      <c r="AH34" s="3061"/>
      <c r="AI34" s="3061"/>
      <c r="AJ34" s="3061"/>
      <c r="AK34" s="3061"/>
      <c r="AL34" s="3055"/>
      <c r="AM34" s="3055"/>
      <c r="AN34" s="3055"/>
      <c r="AO34" s="3055"/>
      <c r="AP34" s="3055"/>
      <c r="AQ34" s="1737"/>
      <c r="AR34" s="1737"/>
      <c r="AS34" s="1737"/>
      <c r="AT34" s="1737"/>
      <c r="AU34" s="1737"/>
      <c r="AV34" s="1737"/>
    </row>
    <row r="35" spans="1:48" ht="12" customHeight="1" x14ac:dyDescent="0.2">
      <c r="A35" s="9"/>
      <c r="B35" s="822"/>
      <c r="C35" s="3929"/>
      <c r="D35" s="3973"/>
      <c r="E35" s="3785" t="s">
        <v>1392</v>
      </c>
      <c r="F35" s="3786"/>
      <c r="G35" s="3786"/>
      <c r="H35" s="3786"/>
      <c r="I35" s="3786"/>
      <c r="J35" s="3786"/>
      <c r="K35" s="3787"/>
      <c r="L35" s="1990">
        <f t="shared" si="0"/>
        <v>0</v>
      </c>
      <c r="M35" s="1504"/>
      <c r="N35" s="1990">
        <f t="shared" si="1"/>
        <v>0</v>
      </c>
      <c r="O35" s="1504"/>
      <c r="P35" s="1990">
        <f t="shared" si="2"/>
        <v>0</v>
      </c>
      <c r="Q35" s="1504"/>
      <c r="R35" s="1990">
        <f t="shared" si="3"/>
        <v>0</v>
      </c>
      <c r="S35" s="1504"/>
      <c r="T35" s="1990">
        <f t="shared" si="4"/>
        <v>0</v>
      </c>
      <c r="U35" s="1504"/>
      <c r="V35" s="435">
        <f t="shared" si="5"/>
        <v>0</v>
      </c>
      <c r="W35" s="431">
        <f>VOL+IF(VOL-10&gt;0,VOL-10,0)</f>
        <v>0</v>
      </c>
      <c r="X35" s="3867" t="s">
        <v>1456</v>
      </c>
      <c r="Y35" s="3867"/>
      <c r="Z35" s="2212"/>
      <c r="AA35" s="541">
        <f t="shared" si="6"/>
        <v>0</v>
      </c>
      <c r="AB35" s="1740"/>
      <c r="AC35" s="845"/>
      <c r="AD35" s="3044" t="s">
        <v>9602</v>
      </c>
      <c r="AE35" s="3061"/>
      <c r="AF35" s="3069"/>
      <c r="AG35" s="3061"/>
      <c r="AH35" s="3061"/>
      <c r="AI35" s="3061"/>
      <c r="AJ35" s="3061"/>
      <c r="AK35" s="3061"/>
      <c r="AL35" s="3055"/>
      <c r="AM35" s="3055"/>
      <c r="AN35" s="3055"/>
      <c r="AO35" s="3055"/>
      <c r="AP35" s="3055"/>
      <c r="AQ35" s="1737"/>
      <c r="AR35" s="1737"/>
      <c r="AS35" s="1737"/>
      <c r="AT35" s="1737"/>
      <c r="AU35" s="1737"/>
      <c r="AV35" s="1737"/>
    </row>
    <row r="36" spans="1:48" ht="12" customHeight="1" x14ac:dyDescent="0.2">
      <c r="A36" s="9"/>
      <c r="B36" s="822"/>
      <c r="C36" s="3929"/>
      <c r="D36" s="3976" t="s">
        <v>1499</v>
      </c>
      <c r="E36" s="3990" t="s">
        <v>1373</v>
      </c>
      <c r="F36" s="3991"/>
      <c r="G36" s="3991"/>
      <c r="H36" s="3991"/>
      <c r="I36" s="3991"/>
      <c r="J36" s="3991"/>
      <c r="K36" s="4001"/>
      <c r="L36" s="1985">
        <f t="shared" ref="L36:L41" si="7">IFERROR(VLOOKUP(L$22,Tabla_Categorías,MATCH("CosteAcumKi",Name_Tabla_Cat,FALSE),FALSE),0)</f>
        <v>0</v>
      </c>
      <c r="M36" s="1487"/>
      <c r="N36" s="1985">
        <f t="shared" ref="N36:N41" si="8">IFERROR(VLOOKUP(N$22,Tabla_Categorías,MATCH("CosteAcumKi",Name_Tabla_Cat,FALSE),FALSE),0)</f>
        <v>0</v>
      </c>
      <c r="O36" s="1487"/>
      <c r="P36" s="1985">
        <f t="shared" ref="P36:P41" si="9">IFERROR(VLOOKUP(P$22,Tabla_Categorías,MATCH("CosteAcumKi",Name_Tabla_Cat,FALSE),FALSE),0)</f>
        <v>0</v>
      </c>
      <c r="Q36" s="1487"/>
      <c r="R36" s="1985">
        <f t="shared" ref="R36:R41" si="10">IFERROR(VLOOKUP(R$22,Tabla_Categorías,MATCH("CosteAcumKi",Name_Tabla_Cat,FALSE),FALSE),0)</f>
        <v>0</v>
      </c>
      <c r="S36" s="1487"/>
      <c r="T36" s="1985">
        <f t="shared" ref="T36:T41" si="11">IFERROR(VLOOKUP(T$22,Tabla_Categorías,MATCH("CosteAcumKi",Name_Tabla_Cat,FALSE),FALSE),0)</f>
        <v>0</v>
      </c>
      <c r="U36" s="1487"/>
      <c r="V36" s="436">
        <f t="shared" si="5"/>
        <v>0</v>
      </c>
      <c r="W36" s="276">
        <f>IF(AGI=0,0,VLOOKUP(AGI,Tabla_Acum,2))+AD36</f>
        <v>0</v>
      </c>
      <c r="X36" s="3868" t="s">
        <v>1456</v>
      </c>
      <c r="Y36" s="3868"/>
      <c r="Z36" s="2213"/>
      <c r="AA36" s="542">
        <f t="shared" ref="AA36:AA41" si="12">MAX(0,W36+V36+Z36+IF(Mod_ATA&lt;0,MIN(0,TRUNC(Mod_ATA/20,0)),0))</f>
        <v>0</v>
      </c>
      <c r="AB36" s="1740"/>
      <c r="AC36" s="845"/>
      <c r="AD36" s="3044">
        <f>IF(AND(Tablas!$P$260,Personalización!$AB$88=E36),1,0)</f>
        <v>0</v>
      </c>
      <c r="AE36" s="3061"/>
      <c r="AF36" s="3069"/>
      <c r="AG36" s="3061"/>
      <c r="AH36" s="3061"/>
      <c r="AI36" s="3061"/>
      <c r="AJ36" s="3061"/>
      <c r="AK36" s="3061"/>
      <c r="AL36" s="3055"/>
      <c r="AM36" s="3055"/>
      <c r="AN36" s="3055"/>
      <c r="AO36" s="3055"/>
      <c r="AP36" s="3055"/>
      <c r="AQ36" s="1737"/>
      <c r="AR36" s="1737"/>
      <c r="AS36" s="1737"/>
      <c r="AT36" s="1737"/>
      <c r="AU36" s="1737"/>
      <c r="AV36" s="1737"/>
    </row>
    <row r="37" spans="1:48" ht="12" customHeight="1" x14ac:dyDescent="0.2">
      <c r="A37" s="9"/>
      <c r="B37" s="822"/>
      <c r="C37" s="3929"/>
      <c r="D37" s="3973"/>
      <c r="E37" s="3785" t="s">
        <v>1498</v>
      </c>
      <c r="F37" s="3786"/>
      <c r="G37" s="3786"/>
      <c r="H37" s="3786"/>
      <c r="I37" s="3786"/>
      <c r="J37" s="3786"/>
      <c r="K37" s="3993"/>
      <c r="L37" s="1989">
        <f t="shared" si="7"/>
        <v>0</v>
      </c>
      <c r="M37" s="1503"/>
      <c r="N37" s="1989">
        <f t="shared" si="8"/>
        <v>0</v>
      </c>
      <c r="O37" s="1503"/>
      <c r="P37" s="1989">
        <f t="shared" si="9"/>
        <v>0</v>
      </c>
      <c r="Q37" s="1503"/>
      <c r="R37" s="1989">
        <f t="shared" si="10"/>
        <v>0</v>
      </c>
      <c r="S37" s="1503"/>
      <c r="T37" s="1989">
        <f t="shared" si="11"/>
        <v>0</v>
      </c>
      <c r="U37" s="1503"/>
      <c r="V37" s="433">
        <f t="shared" si="5"/>
        <v>0</v>
      </c>
      <c r="W37" s="264">
        <f>IF(CON=0,0,VLOOKUP(CON,Tabla_Acum,2))+AD37</f>
        <v>0</v>
      </c>
      <c r="X37" s="3794" t="s">
        <v>1456</v>
      </c>
      <c r="Y37" s="3794"/>
      <c r="Z37" s="2209"/>
      <c r="AA37" s="539">
        <f t="shared" si="12"/>
        <v>0</v>
      </c>
      <c r="AB37" s="1740"/>
      <c r="AC37" s="845"/>
      <c r="AD37" s="3044">
        <f>IF(AND(Tablas!$P$260,Personalización!$AB$88=E37),1,0)</f>
        <v>0</v>
      </c>
      <c r="AE37" s="3061"/>
      <c r="AF37" s="3069"/>
      <c r="AG37" s="3061"/>
      <c r="AH37" s="3061"/>
      <c r="AI37" s="3061"/>
      <c r="AJ37" s="3061"/>
      <c r="AK37" s="3061"/>
      <c r="AL37" s="3055"/>
      <c r="AM37" s="3055"/>
      <c r="AN37" s="3055"/>
      <c r="AO37" s="3055"/>
      <c r="AP37" s="3055"/>
      <c r="AQ37" s="1737"/>
      <c r="AR37" s="1737"/>
      <c r="AS37" s="1737"/>
      <c r="AT37" s="1737"/>
      <c r="AU37" s="1737"/>
      <c r="AV37" s="1737"/>
    </row>
    <row r="38" spans="1:48" ht="12" customHeight="1" x14ac:dyDescent="0.2">
      <c r="A38" s="9"/>
      <c r="B38" s="822"/>
      <c r="C38" s="3929"/>
      <c r="D38" s="3973"/>
      <c r="E38" s="3782" t="s">
        <v>1378</v>
      </c>
      <c r="F38" s="3783"/>
      <c r="G38" s="3783"/>
      <c r="H38" s="3783"/>
      <c r="I38" s="3783"/>
      <c r="J38" s="3783"/>
      <c r="K38" s="3994"/>
      <c r="L38" s="1984">
        <f t="shared" si="7"/>
        <v>0</v>
      </c>
      <c r="M38" s="1485"/>
      <c r="N38" s="1984">
        <f t="shared" si="8"/>
        <v>0</v>
      </c>
      <c r="O38" s="1485"/>
      <c r="P38" s="1984">
        <f t="shared" si="9"/>
        <v>0</v>
      </c>
      <c r="Q38" s="1485"/>
      <c r="R38" s="1984">
        <f t="shared" si="10"/>
        <v>0</v>
      </c>
      <c r="S38" s="1485"/>
      <c r="T38" s="1984">
        <f t="shared" si="11"/>
        <v>0</v>
      </c>
      <c r="U38" s="1485"/>
      <c r="V38" s="434">
        <f t="shared" si="5"/>
        <v>0</v>
      </c>
      <c r="W38" s="73">
        <f>IF(DES=0,0,VLOOKUP(DES,Tabla_Acum,2))+AD38</f>
        <v>0</v>
      </c>
      <c r="X38" s="3795" t="s">
        <v>1456</v>
      </c>
      <c r="Y38" s="3795"/>
      <c r="Z38" s="2210"/>
      <c r="AA38" s="540">
        <f t="shared" si="12"/>
        <v>0</v>
      </c>
      <c r="AB38" s="1740"/>
      <c r="AC38" s="845"/>
      <c r="AD38" s="3044">
        <f>IF(AND(Tablas!$P$260,Personalización!$AB$88=E38),1,0)</f>
        <v>0</v>
      </c>
      <c r="AE38" s="3061"/>
      <c r="AF38" s="3069"/>
      <c r="AG38" s="3061"/>
      <c r="AH38" s="3061"/>
      <c r="AI38" s="3061"/>
      <c r="AJ38" s="3061"/>
      <c r="AK38" s="3061"/>
      <c r="AL38" s="3055"/>
      <c r="AM38" s="3055"/>
      <c r="AN38" s="3055"/>
      <c r="AO38" s="3055"/>
      <c r="AP38" s="3055"/>
      <c r="AQ38" s="1737"/>
      <c r="AR38" s="1737"/>
      <c r="AS38" s="1737"/>
      <c r="AT38" s="1737"/>
      <c r="AU38" s="1737"/>
      <c r="AV38" s="1737"/>
    </row>
    <row r="39" spans="1:48" ht="12" customHeight="1" x14ac:dyDescent="0.2">
      <c r="A39" s="9"/>
      <c r="B39" s="822"/>
      <c r="C39" s="3929"/>
      <c r="D39" s="3973"/>
      <c r="E39" s="3785" t="s">
        <v>1383</v>
      </c>
      <c r="F39" s="3786"/>
      <c r="G39" s="3786"/>
      <c r="H39" s="3786"/>
      <c r="I39" s="3786"/>
      <c r="J39" s="3786"/>
      <c r="K39" s="3993"/>
      <c r="L39" s="1989">
        <f t="shared" si="7"/>
        <v>0</v>
      </c>
      <c r="M39" s="1503"/>
      <c r="N39" s="1989">
        <f t="shared" si="8"/>
        <v>0</v>
      </c>
      <c r="O39" s="1503"/>
      <c r="P39" s="1989">
        <f t="shared" si="9"/>
        <v>0</v>
      </c>
      <c r="Q39" s="1503"/>
      <c r="R39" s="1989">
        <f t="shared" si="10"/>
        <v>0</v>
      </c>
      <c r="S39" s="1503"/>
      <c r="T39" s="1989">
        <f t="shared" si="11"/>
        <v>0</v>
      </c>
      <c r="U39" s="1503"/>
      <c r="V39" s="433">
        <f t="shared" si="5"/>
        <v>0</v>
      </c>
      <c r="W39" s="264">
        <f>IF(FUE=0,0,VLOOKUP(FUE,Tabla_Acum,2))+AD39</f>
        <v>0</v>
      </c>
      <c r="X39" s="3794" t="s">
        <v>1456</v>
      </c>
      <c r="Y39" s="3794"/>
      <c r="Z39" s="2209"/>
      <c r="AA39" s="539">
        <f t="shared" si="12"/>
        <v>0</v>
      </c>
      <c r="AB39" s="1740"/>
      <c r="AC39" s="845"/>
      <c r="AD39" s="3044">
        <f>IF(AND(Tablas!$P$260,Personalización!$AB$88=E39),1,0)</f>
        <v>0</v>
      </c>
      <c r="AE39" s="3061"/>
      <c r="AF39" s="3069"/>
      <c r="AG39" s="3061"/>
      <c r="AH39" s="3061"/>
      <c r="AI39" s="3061"/>
      <c r="AJ39" s="3061"/>
      <c r="AK39" s="3061"/>
      <c r="AL39" s="3055"/>
      <c r="AM39" s="3055"/>
      <c r="AN39" s="3055"/>
      <c r="AO39" s="3055"/>
      <c r="AP39" s="3055"/>
      <c r="AQ39" s="1737"/>
      <c r="AR39" s="1737"/>
      <c r="AS39" s="1737"/>
      <c r="AT39" s="1737"/>
      <c r="AU39" s="1737"/>
      <c r="AV39" s="1737"/>
    </row>
    <row r="40" spans="1:48" ht="12" customHeight="1" x14ac:dyDescent="0.2">
      <c r="A40" s="9"/>
      <c r="B40" s="822"/>
      <c r="C40" s="3929"/>
      <c r="D40" s="3973"/>
      <c r="E40" s="3782" t="s">
        <v>1391</v>
      </c>
      <c r="F40" s="3783"/>
      <c r="G40" s="3783"/>
      <c r="H40" s="3783"/>
      <c r="I40" s="3783"/>
      <c r="J40" s="3783"/>
      <c r="K40" s="3994"/>
      <c r="L40" s="1984">
        <f t="shared" si="7"/>
        <v>0</v>
      </c>
      <c r="M40" s="1485"/>
      <c r="N40" s="1984">
        <f t="shared" si="8"/>
        <v>0</v>
      </c>
      <c r="O40" s="1485"/>
      <c r="P40" s="1984">
        <f t="shared" si="9"/>
        <v>0</v>
      </c>
      <c r="Q40" s="1485"/>
      <c r="R40" s="1984">
        <f t="shared" si="10"/>
        <v>0</v>
      </c>
      <c r="S40" s="1485"/>
      <c r="T40" s="1984">
        <f t="shared" si="11"/>
        <v>0</v>
      </c>
      <c r="U40" s="1485"/>
      <c r="V40" s="434">
        <f t="shared" si="5"/>
        <v>0</v>
      </c>
      <c r="W40" s="73">
        <f>IF(POD=0,0,VLOOKUP(POD,Tabla_Acum,2))+AD40</f>
        <v>0</v>
      </c>
      <c r="X40" s="3795" t="s">
        <v>1456</v>
      </c>
      <c r="Y40" s="3795"/>
      <c r="Z40" s="2210"/>
      <c r="AA40" s="540">
        <f t="shared" si="12"/>
        <v>0</v>
      </c>
      <c r="AB40" s="1740"/>
      <c r="AC40" s="845"/>
      <c r="AD40" s="3044">
        <f>IF(AND(Tablas!$P$260,Personalización!$AB$88=E40),1,0)</f>
        <v>0</v>
      </c>
      <c r="AE40" s="3061"/>
      <c r="AF40" s="3069"/>
      <c r="AG40" s="3061"/>
      <c r="AH40" s="3061"/>
      <c r="AI40" s="3061"/>
      <c r="AJ40" s="3061"/>
      <c r="AK40" s="3061"/>
      <c r="AL40" s="3055"/>
      <c r="AM40" s="3055"/>
      <c r="AN40" s="3055"/>
      <c r="AO40" s="3055"/>
      <c r="AP40" s="3055"/>
      <c r="AQ40" s="1737"/>
      <c r="AR40" s="1737"/>
      <c r="AS40" s="1737"/>
      <c r="AT40" s="1737"/>
      <c r="AU40" s="1737"/>
      <c r="AV40" s="1737"/>
    </row>
    <row r="41" spans="1:48" ht="12" customHeight="1" x14ac:dyDescent="0.2">
      <c r="A41" s="9"/>
      <c r="B41" s="822"/>
      <c r="C41" s="3929"/>
      <c r="D41" s="3977"/>
      <c r="E41" s="3995" t="s">
        <v>1392</v>
      </c>
      <c r="F41" s="3996"/>
      <c r="G41" s="3996"/>
      <c r="H41" s="3996"/>
      <c r="I41" s="3996"/>
      <c r="J41" s="3996"/>
      <c r="K41" s="3997"/>
      <c r="L41" s="1990">
        <f t="shared" si="7"/>
        <v>0</v>
      </c>
      <c r="M41" s="1504"/>
      <c r="N41" s="1990">
        <f t="shared" si="8"/>
        <v>0</v>
      </c>
      <c r="O41" s="1504"/>
      <c r="P41" s="1990">
        <f t="shared" si="9"/>
        <v>0</v>
      </c>
      <c r="Q41" s="1504"/>
      <c r="R41" s="1990">
        <f t="shared" si="10"/>
        <v>0</v>
      </c>
      <c r="S41" s="1504"/>
      <c r="T41" s="1990">
        <f t="shared" si="11"/>
        <v>0</v>
      </c>
      <c r="U41" s="1504"/>
      <c r="V41" s="435">
        <f t="shared" si="5"/>
        <v>0</v>
      </c>
      <c r="W41" s="437">
        <f>IF(VOL=0,0,VLOOKUP(VOL,Tabla_Acum,2))+AD41</f>
        <v>0</v>
      </c>
      <c r="X41" s="3796" t="s">
        <v>1456</v>
      </c>
      <c r="Y41" s="3796"/>
      <c r="Z41" s="2212"/>
      <c r="AA41" s="541">
        <f t="shared" si="12"/>
        <v>0</v>
      </c>
      <c r="AB41" s="1740"/>
      <c r="AC41" s="845"/>
      <c r="AD41" s="3044">
        <f>IF(AND(Tablas!$P$260,Personalización!$AB$88=E41),1,0)</f>
        <v>0</v>
      </c>
      <c r="AE41" s="3061"/>
      <c r="AF41" s="3069"/>
      <c r="AG41" s="3061"/>
      <c r="AH41" s="3061"/>
      <c r="AI41" s="3061"/>
      <c r="AJ41" s="3061"/>
      <c r="AK41" s="3061"/>
      <c r="AL41" s="3055"/>
      <c r="AM41" s="3055"/>
      <c r="AN41" s="3055"/>
      <c r="AO41" s="3055"/>
      <c r="AP41" s="3055"/>
      <c r="AQ41" s="1737"/>
      <c r="AR41" s="1737"/>
      <c r="AS41" s="1737"/>
      <c r="AT41" s="1737"/>
      <c r="AU41" s="1737"/>
      <c r="AV41" s="1737"/>
    </row>
    <row r="42" spans="1:48" ht="12" customHeight="1" x14ac:dyDescent="0.2">
      <c r="A42" s="9"/>
      <c r="B42" s="822"/>
      <c r="C42" s="3929"/>
      <c r="D42" s="543" t="s">
        <v>1500</v>
      </c>
      <c r="E42" s="3998" t="s">
        <v>1501</v>
      </c>
      <c r="F42" s="3999"/>
      <c r="G42" s="3999"/>
      <c r="H42" s="3999"/>
      <c r="I42" s="3999"/>
      <c r="J42" s="3999"/>
      <c r="K42" s="4000"/>
      <c r="L42" s="1986">
        <v>5</v>
      </c>
      <c r="M42" s="1488"/>
      <c r="N42" s="1986">
        <v>5</v>
      </c>
      <c r="O42" s="1488"/>
      <c r="P42" s="1986">
        <v>5</v>
      </c>
      <c r="Q42" s="1488"/>
      <c r="R42" s="1986">
        <v>5</v>
      </c>
      <c r="S42" s="1488"/>
      <c r="T42" s="1986">
        <v>5</v>
      </c>
      <c r="U42" s="1488"/>
      <c r="V42" s="438">
        <f>(IF(L42=0,0,TRUNC(M42/L42,0))+IF(N42=0,0,TRUNC(O42/N42,0))+IF(P42=0,0,TRUNC(Q42/P42,0))+IF(R42=0,0,TRUNC(S42/R42,0))+IF(T42=0,0,TRUNC(U42/T42,0)))*5</f>
        <v>0</v>
      </c>
      <c r="W42" s="439">
        <f>SUM(Combate!AQ31:AQ49)+Tablas!G336*40+Tablas!G337*80+Tablas!G338*120</f>
        <v>0</v>
      </c>
      <c r="X42" s="3797">
        <f>HLOOKUP($E42,Bonos_Cat_Base,2,FALSE)</f>
        <v>0</v>
      </c>
      <c r="Y42" s="3797">
        <f>HLOOKUP($E42,Bonos_Cat_Base,2,FALSE)</f>
        <v>0</v>
      </c>
      <c r="Z42" s="2227"/>
      <c r="AA42" s="544">
        <f>Z42+X42+W42+V42</f>
        <v>0</v>
      </c>
      <c r="AB42" s="1740"/>
      <c r="AC42" s="845"/>
      <c r="AD42" s="3044"/>
      <c r="AE42" s="3061"/>
      <c r="AF42" s="3069"/>
      <c r="AG42" s="3061"/>
      <c r="AH42" s="3061"/>
      <c r="AI42" s="3061"/>
      <c r="AJ42" s="3061"/>
      <c r="AK42" s="3061"/>
      <c r="AL42" s="3055"/>
      <c r="AM42" s="3055"/>
      <c r="AN42" s="3055"/>
      <c r="AO42" s="3055"/>
      <c r="AP42" s="3055"/>
      <c r="AQ42" s="1737"/>
      <c r="AR42" s="1737"/>
      <c r="AS42" s="1737"/>
      <c r="AT42" s="1737"/>
      <c r="AU42" s="1737"/>
      <c r="AV42" s="1737"/>
    </row>
    <row r="43" spans="1:48" ht="12" customHeight="1" x14ac:dyDescent="0.2">
      <c r="A43" s="9"/>
      <c r="B43" s="822"/>
      <c r="C43" s="3929"/>
      <c r="D43" s="3972" t="s">
        <v>1502</v>
      </c>
      <c r="E43" s="3944"/>
      <c r="F43" s="3945"/>
      <c r="G43" s="3945"/>
      <c r="H43" s="3945"/>
      <c r="I43" s="3945"/>
      <c r="J43" s="3945"/>
      <c r="K43" s="3946"/>
      <c r="L43" s="1991" t="str">
        <f>IF($E43=0,"",TRUNC(IF(L$22="Maestro en Armas",0.5,1)*VLOOKUP($E43,Tablas!$X$579:$Y$584,2,FALSE),0))</f>
        <v/>
      </c>
      <c r="M43" s="1505"/>
      <c r="N43" s="1991" t="str">
        <f>IF($E43=0,"",TRUNC(IF(N$22="Maestro en Armas",0.5,1)*VLOOKUP($E43,Tablas!$X$579:$Y$584,2,FALSE),0))</f>
        <v/>
      </c>
      <c r="O43" s="1505"/>
      <c r="P43" s="1991" t="str">
        <f>IF($E43=0,"",TRUNC(IF(P$22="Maestro en Armas",0.5,1)*VLOOKUP($E43,Tablas!$X$579:$Y$584,2,FALSE),0))</f>
        <v/>
      </c>
      <c r="Q43" s="1505"/>
      <c r="R43" s="1991" t="str">
        <f>IF($E43=0,"",TRUNC(IF(R$22="Maestro en Armas",0.5,1)*VLOOKUP($E43,Tablas!$X$579:$Y$584,2,FALSE),0))</f>
        <v/>
      </c>
      <c r="S43" s="1505"/>
      <c r="T43" s="1991" t="str">
        <f>IF($E43=0,"",TRUNC(IF(T$22="Maestro en Armas",0.5,1)*VLOOKUP($E43,Tablas!$X$579:$Y$584,2,FALSE),0))</f>
        <v/>
      </c>
      <c r="U43" s="1505"/>
      <c r="V43" s="3871" t="str">
        <f t="shared" ref="V43:V48" si="13">IF(E43=0,"",VLOOKUP(E43,Tabla_TablasArmas,3,FALSE))</f>
        <v/>
      </c>
      <c r="W43" s="3872"/>
      <c r="X43" s="3872"/>
      <c r="Y43" s="3804"/>
      <c r="Z43" s="3804"/>
      <c r="AA43" s="3805"/>
      <c r="AB43" s="1740"/>
      <c r="AC43" s="845"/>
      <c r="AD43" s="3044" t="str">
        <f>IF($E43="Tabla de tipología","Lista_Tipologías",IF($E43="Tabla de armas arquetípicas","Lista_ArmasArquetipo",IF($E43="Arma Similar",Tablas!$AG$637,IF($E43="Arma Mixta",Tablas!$AH$637,IF($E43="Arma Distinta / Desarmado",Tablas!$AI$637,"")))))</f>
        <v/>
      </c>
      <c r="AE43" s="3061"/>
      <c r="AF43" s="3061"/>
      <c r="AG43" s="3061"/>
      <c r="AH43" s="3061"/>
      <c r="AI43" s="3061"/>
      <c r="AJ43" s="3061"/>
      <c r="AK43" s="3061"/>
      <c r="AL43" s="3055"/>
      <c r="AM43" s="3055"/>
      <c r="AN43" s="3055"/>
      <c r="AO43" s="3055"/>
      <c r="AP43" s="3055"/>
      <c r="AQ43" s="1737"/>
      <c r="AR43" s="1737"/>
      <c r="AS43" s="1737"/>
      <c r="AT43" s="1737"/>
      <c r="AU43" s="1737"/>
      <c r="AV43" s="1737"/>
    </row>
    <row r="44" spans="1:48" ht="12" customHeight="1" x14ac:dyDescent="0.2">
      <c r="A44" s="9"/>
      <c r="B44" s="822"/>
      <c r="C44" s="3929"/>
      <c r="D44" s="3973"/>
      <c r="E44" s="3947"/>
      <c r="F44" s="3948"/>
      <c r="G44" s="3948"/>
      <c r="H44" s="3948"/>
      <c r="I44" s="3948"/>
      <c r="J44" s="3948"/>
      <c r="K44" s="3949"/>
      <c r="L44" s="1984" t="str">
        <f>IF($E44=0,"",TRUNC(IF(L$22="Maestro en Armas",0.5,1)*VLOOKUP($E44,Tablas!$X$579:$Y$584,2,FALSE),0))</f>
        <v/>
      </c>
      <c r="M44" s="1977"/>
      <c r="N44" s="1984" t="str">
        <f>IF($E44=0,"",TRUNC(IF(N$22="Maestro en Armas",0.5,1)*VLOOKUP($E44,Tablas!$X$579:$Y$584,2,FALSE),0))</f>
        <v/>
      </c>
      <c r="O44" s="1977"/>
      <c r="P44" s="1984" t="str">
        <f>IF($E44=0,"",TRUNC(IF(P$22="Maestro en Armas",0.5,1)*VLOOKUP($E44,Tablas!$X$579:$Y$584,2,FALSE),0))</f>
        <v/>
      </c>
      <c r="Q44" s="1977"/>
      <c r="R44" s="1984" t="str">
        <f>IF($E44=0,"",TRUNC(IF(R$22="Maestro en Armas",0.5,1)*VLOOKUP($E44,Tablas!$X$579:$Y$584,2,FALSE),0))</f>
        <v/>
      </c>
      <c r="S44" s="1977"/>
      <c r="T44" s="1984" t="str">
        <f>IF($E44=0,"",TRUNC(IF(T$22="Maestro en Armas",0.5,1)*VLOOKUP($E44,Tablas!$X$579:$Y$584,2,FALSE),0))</f>
        <v/>
      </c>
      <c r="U44" s="1977"/>
      <c r="V44" s="3798" t="str">
        <f t="shared" si="13"/>
        <v/>
      </c>
      <c r="W44" s="3799"/>
      <c r="X44" s="3799"/>
      <c r="Y44" s="3819"/>
      <c r="Z44" s="3819"/>
      <c r="AA44" s="3820"/>
      <c r="AB44" s="1740"/>
      <c r="AC44" s="845"/>
      <c r="AD44" s="3044" t="str">
        <f>IF($E44="Tabla de tipología","Lista_Tipologías",IF($E44="Tabla de armas arquetípicas","Lista_ArmasArquetipo",IF($E44="Arma Similar",Tablas!$AN$637,IF($E44="Arma Mixta",Tablas!$AO$637,IF($E44="Arma Distinta / Desarmado",Tablas!$AP$637,"")))))</f>
        <v/>
      </c>
      <c r="AE44" s="3076"/>
      <c r="AF44" s="3076"/>
      <c r="AG44" s="3061"/>
      <c r="AH44" s="3061"/>
      <c r="AI44" s="3061"/>
      <c r="AJ44" s="3061"/>
      <c r="AK44" s="3061"/>
      <c r="AL44" s="3055"/>
      <c r="AM44" s="3055"/>
      <c r="AN44" s="3055"/>
      <c r="AO44" s="3055"/>
      <c r="AP44" s="3055"/>
      <c r="AQ44" s="1737"/>
      <c r="AR44" s="1737"/>
      <c r="AS44" s="1737"/>
      <c r="AT44" s="1737"/>
      <c r="AU44" s="1737"/>
      <c r="AV44" s="1737"/>
    </row>
    <row r="45" spans="1:48" ht="12" customHeight="1" x14ac:dyDescent="0.2">
      <c r="A45" s="9"/>
      <c r="B45" s="822"/>
      <c r="C45" s="3929"/>
      <c r="D45" s="3973"/>
      <c r="E45" s="3944"/>
      <c r="F45" s="3945"/>
      <c r="G45" s="3945"/>
      <c r="H45" s="3945"/>
      <c r="I45" s="3945"/>
      <c r="J45" s="3945"/>
      <c r="K45" s="3946"/>
      <c r="L45" s="1989" t="str">
        <f>IF($E45=0,"",TRUNC(IF(L$22="Maestro en Armas",0.5,1)*VLOOKUP($E45,Tablas!$X$579:$Y$584,2,FALSE),0))</f>
        <v/>
      </c>
      <c r="M45" s="1978"/>
      <c r="N45" s="1989" t="str">
        <f>IF($E45=0,"",TRUNC(IF(N$22="Maestro en Armas",0.5,1)*VLOOKUP($E45,Tablas!$X$579:$Y$584,2,FALSE),0))</f>
        <v/>
      </c>
      <c r="O45" s="1978"/>
      <c r="P45" s="1989" t="str">
        <f>IF($E45=0,"",TRUNC(IF(P$22="Maestro en Armas",0.5,1)*VLOOKUP($E45,Tablas!$X$579:$Y$584,2,FALSE),0))</f>
        <v/>
      </c>
      <c r="Q45" s="1978"/>
      <c r="R45" s="1989" t="str">
        <f>IF($E45=0,"",TRUNC(IF(R$22="Maestro en Armas",0.5,1)*VLOOKUP($E45,Tablas!$X$579:$Y$584,2,FALSE),0))</f>
        <v/>
      </c>
      <c r="S45" s="1978"/>
      <c r="T45" s="1989" t="str">
        <f>IF($E45=0,"",TRUNC(IF(T$22="Maestro en Armas",0.5,1)*VLOOKUP($E45,Tablas!$X$579:$Y$584,2,FALSE),0))</f>
        <v/>
      </c>
      <c r="U45" s="1978"/>
      <c r="V45" s="3871" t="str">
        <f t="shared" si="13"/>
        <v/>
      </c>
      <c r="W45" s="3872"/>
      <c r="X45" s="3872"/>
      <c r="Y45" s="3804"/>
      <c r="Z45" s="3804"/>
      <c r="AA45" s="3805"/>
      <c r="AB45" s="1740"/>
      <c r="AC45" s="845"/>
      <c r="AD45" s="3044" t="str">
        <f>IF($E45="Tabla de tipología","Lista_Tipologías",IF($E45="Tabla de armas arquetípicas","Lista_ArmasArquetipo",IF($E45="Arma Similar",Tablas!$AU$637,IF($E45="Arma Mixta",Tablas!$AV$637,IF($E45="Arma Distinta / Desarmado",Tablas!$AW$637,"")))))</f>
        <v/>
      </c>
      <c r="AE45" s="3061"/>
      <c r="AF45" s="3069"/>
      <c r="AG45" s="3061"/>
      <c r="AH45" s="3061"/>
      <c r="AI45" s="3061"/>
      <c r="AJ45" s="3061"/>
      <c r="AK45" s="3061"/>
      <c r="AL45" s="3055"/>
      <c r="AM45" s="3055"/>
      <c r="AN45" s="3055"/>
      <c r="AO45" s="3055"/>
      <c r="AP45" s="3055"/>
      <c r="AQ45" s="1737"/>
      <c r="AR45" s="1737"/>
      <c r="AS45" s="1737"/>
      <c r="AT45" s="1737"/>
      <c r="AU45" s="1737"/>
      <c r="AV45" s="1737"/>
    </row>
    <row r="46" spans="1:48" ht="12" customHeight="1" x14ac:dyDescent="0.2">
      <c r="A46" s="9"/>
      <c r="B46" s="822"/>
      <c r="C46" s="3929"/>
      <c r="D46" s="3973"/>
      <c r="E46" s="3947"/>
      <c r="F46" s="3948"/>
      <c r="G46" s="3948"/>
      <c r="H46" s="3948"/>
      <c r="I46" s="3948"/>
      <c r="J46" s="3948"/>
      <c r="K46" s="3949"/>
      <c r="L46" s="1984" t="str">
        <f>IF($E46=0,"",TRUNC(IF(L$22="Maestro en Armas",0.5,1)*VLOOKUP($E46,Tablas!$X$579:$Y$584,2,FALSE),0))</f>
        <v/>
      </c>
      <c r="M46" s="1977"/>
      <c r="N46" s="1984" t="str">
        <f>IF($E46=0,"",TRUNC(IF(N$22="Maestro en Armas",0.5,1)*VLOOKUP($E46,Tablas!$X$579:$Y$584,2,FALSE),0))</f>
        <v/>
      </c>
      <c r="O46" s="1977"/>
      <c r="P46" s="1984" t="str">
        <f>IF($E46=0,"",TRUNC(IF(P$22="Maestro en Armas",0.5,1)*VLOOKUP($E46,Tablas!$X$579:$Y$584,2,FALSE),0))</f>
        <v/>
      </c>
      <c r="Q46" s="1977"/>
      <c r="R46" s="1984" t="str">
        <f>IF($E46=0,"",TRUNC(IF(R$22="Maestro en Armas",0.5,1)*VLOOKUP($E46,Tablas!$X$579:$Y$584,2,FALSE),0))</f>
        <v/>
      </c>
      <c r="S46" s="1977"/>
      <c r="T46" s="1984" t="str">
        <f>IF($E46=0,"",TRUNC(IF(T$22="Maestro en Armas",0.5,1)*VLOOKUP($E46,Tablas!$X$579:$Y$584,2,FALSE),0))</f>
        <v/>
      </c>
      <c r="U46" s="1977"/>
      <c r="V46" s="3798" t="str">
        <f t="shared" si="13"/>
        <v/>
      </c>
      <c r="W46" s="3799"/>
      <c r="X46" s="3799"/>
      <c r="Y46" s="3819"/>
      <c r="Z46" s="3819"/>
      <c r="AA46" s="3820"/>
      <c r="AB46" s="1740"/>
      <c r="AC46" s="845"/>
      <c r="AD46" s="3044" t="str">
        <f>IF($E46="Tabla de tipología","Lista_Tipologías",IF($E46="Tabla de armas arquetípicas","Lista_ArmasArquetipo",IF($E46="Arma Similar",Tablas!$BB$637,IF($E46="Arma Mixta",Tablas!$BC$637,IF($E46="Arma Distinta / Desarmado",Tablas!$BD$637,"")))))</f>
        <v/>
      </c>
      <c r="AE46" s="3061" t="str">
        <f>INDEX(Tablas!$AG$860:$AG$861,AG59)</f>
        <v>Base</v>
      </c>
      <c r="AF46" s="3069"/>
      <c r="AG46" s="3061"/>
      <c r="AH46" s="3061"/>
      <c r="AI46" s="3061"/>
      <c r="AJ46" s="3061"/>
      <c r="AK46" s="3061"/>
      <c r="AL46" s="3055"/>
      <c r="AM46" s="3055"/>
      <c r="AN46" s="3055"/>
      <c r="AO46" s="3055"/>
      <c r="AP46" s="3055"/>
      <c r="AQ46" s="1737"/>
      <c r="AR46" s="1737"/>
      <c r="AS46" s="1737"/>
      <c r="AT46" s="1737"/>
      <c r="AU46" s="1737"/>
      <c r="AV46" s="1737"/>
    </row>
    <row r="47" spans="1:48" ht="12" customHeight="1" x14ac:dyDescent="0.2">
      <c r="A47" s="9"/>
      <c r="B47" s="822"/>
      <c r="C47" s="3929"/>
      <c r="D47" s="3973"/>
      <c r="E47" s="3944"/>
      <c r="F47" s="3945"/>
      <c r="G47" s="3945"/>
      <c r="H47" s="3945"/>
      <c r="I47" s="3945"/>
      <c r="J47" s="3945"/>
      <c r="K47" s="3946"/>
      <c r="L47" s="1989" t="str">
        <f>IF($E47=0,"",TRUNC(IF(L$22="Maestro en Armas",0.5,1)*VLOOKUP($E47,Tablas!$X$579:$Y$584,2,FALSE),0))</f>
        <v/>
      </c>
      <c r="M47" s="1978"/>
      <c r="N47" s="1989" t="str">
        <f>IF($E47=0,"",TRUNC(IF(N$22="Maestro en Armas",0.5,1)*VLOOKUP($E47,Tablas!$X$579:$Y$584,2,FALSE),0))</f>
        <v/>
      </c>
      <c r="O47" s="1978"/>
      <c r="P47" s="1989" t="str">
        <f>IF($E47=0,"",TRUNC(IF(P$22="Maestro en Armas",0.5,1)*VLOOKUP($E47,Tablas!$X$579:$Y$584,2,FALSE),0))</f>
        <v/>
      </c>
      <c r="Q47" s="1978"/>
      <c r="R47" s="1989" t="str">
        <f>IF($E47=0,"",TRUNC(IF(R$22="Maestro en Armas",0.5,1)*VLOOKUP($E47,Tablas!$X$579:$Y$584,2,FALSE),0))</f>
        <v/>
      </c>
      <c r="S47" s="1978"/>
      <c r="T47" s="1989" t="str">
        <f>IF($E47=0,"",TRUNC(IF(T$22="Maestro en Armas",0.5,1)*VLOOKUP($E47,Tablas!$X$579:$Y$584,2,FALSE),0))</f>
        <v/>
      </c>
      <c r="U47" s="1978"/>
      <c r="V47" s="3871" t="str">
        <f t="shared" si="13"/>
        <v/>
      </c>
      <c r="W47" s="3872"/>
      <c r="X47" s="3872"/>
      <c r="Y47" s="3804"/>
      <c r="Z47" s="3804"/>
      <c r="AA47" s="3805"/>
      <c r="AB47" s="1740"/>
      <c r="AC47" s="845"/>
      <c r="AD47" s="3044" t="str">
        <f>IF($E47="Tabla de tipología","Lista_Tipologías",IF($E47="Tabla de armas arquetípicas","Lista_ArmasArquetipo",IF($E47="Arma Similar",Tablas!$BI$637,IF($E47="Arma Mixta",Tablas!$BJ$637,IF($E47="Arma Distinta / Desarmado",Tablas!$BK$637,"")))))</f>
        <v/>
      </c>
      <c r="AE47" s="3061"/>
      <c r="AF47" s="3069"/>
      <c r="AG47" s="3061"/>
      <c r="AH47" s="3809" t="s">
        <v>8542</v>
      </c>
      <c r="AI47" s="3809"/>
      <c r="AJ47" s="3809"/>
      <c r="AK47" s="3809"/>
      <c r="AL47" s="3809"/>
      <c r="AM47" s="3809"/>
      <c r="AN47" s="3809"/>
      <c r="AO47" s="3809"/>
      <c r="AP47" s="3809" t="s">
        <v>8543</v>
      </c>
      <c r="AQ47" s="3809"/>
      <c r="AR47" s="3809"/>
      <c r="AS47" s="3809"/>
      <c r="AT47" s="3809"/>
      <c r="AU47" s="3809"/>
      <c r="AV47" s="3809"/>
    </row>
    <row r="48" spans="1:48" ht="12" customHeight="1" x14ac:dyDescent="0.2">
      <c r="A48" s="9"/>
      <c r="B48" s="822"/>
      <c r="C48" s="3929"/>
      <c r="D48" s="3975"/>
      <c r="E48" s="3947"/>
      <c r="F48" s="3948"/>
      <c r="G48" s="3948"/>
      <c r="H48" s="3948"/>
      <c r="I48" s="3948"/>
      <c r="J48" s="3948"/>
      <c r="K48" s="3949"/>
      <c r="L48" s="1984" t="str">
        <f>IF($E48=0,"",TRUNC(IF(L$22="Maestro en Armas",0.5,1)*VLOOKUP($E48,Tablas!$X$579:$Y$584,2,FALSE),0))</f>
        <v/>
      </c>
      <c r="M48" s="1977"/>
      <c r="N48" s="1984" t="str">
        <f>IF($E48=0,"",TRUNC(IF(N$22="Maestro en Armas",0.5,1)*VLOOKUP($E48,Tablas!$X$579:$Y$584,2,FALSE),0))</f>
        <v/>
      </c>
      <c r="O48" s="1977"/>
      <c r="P48" s="1984" t="str">
        <f>IF($E48=0,"",TRUNC(IF(P$22="Maestro en Armas",0.5,1)*VLOOKUP($E48,Tablas!$X$579:$Y$584,2,FALSE),0))</f>
        <v/>
      </c>
      <c r="Q48" s="1977"/>
      <c r="R48" s="1984" t="str">
        <f>IF($E48=0,"",TRUNC(IF(R$22="Maestro en Armas",0.5,1)*VLOOKUP($E48,Tablas!$X$579:$Y$584,2,FALSE),0))</f>
        <v/>
      </c>
      <c r="S48" s="1977"/>
      <c r="T48" s="1984" t="str">
        <f>IF($E48=0,"",TRUNC(IF(T$22="Maestro en Armas",0.5,1)*VLOOKUP($E48,Tablas!$X$579:$Y$584,2,FALSE),0))</f>
        <v/>
      </c>
      <c r="U48" s="1977"/>
      <c r="V48" s="3887" t="str">
        <f t="shared" si="13"/>
        <v/>
      </c>
      <c r="W48" s="3888"/>
      <c r="X48" s="3888"/>
      <c r="Y48" s="3873"/>
      <c r="Z48" s="3873"/>
      <c r="AA48" s="3874"/>
      <c r="AB48" s="1740"/>
      <c r="AC48" s="845"/>
      <c r="AD48" s="3044" t="str">
        <f>IF($E48="Tabla de tipología","Lista_Tipologías",IF($E48="Tabla de armas arquetípicas","Lista_ArmasArquetipo",IF($E48="Arma Similar",Tablas!$BP$637,IF($E48="Arma Mixta",Tablas!$BQ$637,IF($E48="Arma Distinta / Desarmado",Tablas!$BR$637,"")))))</f>
        <v/>
      </c>
      <c r="AE48" s="3061" t="s">
        <v>8541</v>
      </c>
      <c r="AF48" s="3069" t="s">
        <v>8540</v>
      </c>
      <c r="AG48" s="3061" t="s">
        <v>8549</v>
      </c>
      <c r="AH48" s="3055">
        <v>1</v>
      </c>
      <c r="AI48" s="3055">
        <v>2</v>
      </c>
      <c r="AJ48" s="3055">
        <v>3</v>
      </c>
      <c r="AK48" s="3055">
        <v>4</v>
      </c>
      <c r="AL48" s="3055">
        <v>5</v>
      </c>
      <c r="AM48" s="3055">
        <v>6</v>
      </c>
      <c r="AN48" s="3055">
        <v>7</v>
      </c>
      <c r="AO48" s="3055">
        <v>8</v>
      </c>
      <c r="AP48" s="3055">
        <v>1</v>
      </c>
      <c r="AQ48" s="3055">
        <v>2</v>
      </c>
      <c r="AR48" s="3055">
        <v>3</v>
      </c>
      <c r="AS48" s="3055">
        <v>4</v>
      </c>
      <c r="AT48" s="3055">
        <v>5</v>
      </c>
      <c r="AU48" s="3055">
        <v>6</v>
      </c>
      <c r="AV48" s="3055">
        <v>7</v>
      </c>
    </row>
    <row r="49" spans="1:48" ht="12" customHeight="1" x14ac:dyDescent="0.2">
      <c r="A49" s="9"/>
      <c r="B49" s="822"/>
      <c r="C49" s="3929"/>
      <c r="D49" s="3987" t="s">
        <v>1503</v>
      </c>
      <c r="E49" s="3978"/>
      <c r="F49" s="3979"/>
      <c r="G49" s="3979"/>
      <c r="H49" s="3979"/>
      <c r="I49" s="3979"/>
      <c r="J49" s="3979"/>
      <c r="K49" s="3980"/>
      <c r="L49" s="1992" t="str">
        <f t="shared" ref="L49:L58" si="14">IF($E49=0,"",TRUNC(IF(L$22="Maestro en Armas",0.5,1)*VLOOKUP($E49,Tabla_Tabla_Estilos,2,FALSE),0))</f>
        <v/>
      </c>
      <c r="M49" s="1506"/>
      <c r="N49" s="1992" t="str">
        <f t="shared" ref="N49:N58" si="15">IF($E49=0,"",TRUNC(IF(N$22="Maestro en Armas",0.5,1)*VLOOKUP($E49,Tabla_Tabla_Estilos,2,FALSE),0))</f>
        <v/>
      </c>
      <c r="O49" s="1506"/>
      <c r="P49" s="1992" t="str">
        <f t="shared" ref="P49:P58" si="16">IF($E49=0,"",TRUNC(IF(P$22="Maestro en Armas",0.5,1)*VLOOKUP($E49,Tabla_Tabla_Estilos,2,FALSE),0))</f>
        <v/>
      </c>
      <c r="Q49" s="1506"/>
      <c r="R49" s="1992" t="str">
        <f t="shared" ref="R49:R58" si="17">IF($E49=0,"",TRUNC(IF(R$22="Maestro en Armas",0.5,1)*VLOOKUP($E49,Tabla_Tabla_Estilos,2,FALSE),0))</f>
        <v/>
      </c>
      <c r="S49" s="1506"/>
      <c r="T49" s="1992" t="str">
        <f t="shared" ref="T49:T58" si="18">IF($E49=0,"",TRUNC(IF(T$22="Maestro en Armas",0.5,1)*VLOOKUP($E49,Tabla_Tabla_Estilos,2,FALSE),0))</f>
        <v/>
      </c>
      <c r="U49" s="1506"/>
      <c r="V49" s="3869" t="str">
        <f>IF($E49="","",IF(AND(AD49=1,M49/L49+O49/N49+Q49/P49+S49/R49+U49/T49&gt;1),SUBSTITUTE(VLOOKUP($E49,Tabla_Tabla_Estilos,8,FALSE),"XXX",M49/L49+O49/N49+Q49/P49+S49/R49+U49/T49),VLOOKUP($E49,Tabla_Tabla_Estilos,4,FALSE)))</f>
        <v/>
      </c>
      <c r="W49" s="3869"/>
      <c r="X49" s="3869"/>
      <c r="Y49" s="3869"/>
      <c r="Z49" s="3869"/>
      <c r="AA49" s="3870"/>
      <c r="AB49" s="1740"/>
      <c r="AC49" s="845"/>
      <c r="AD49" s="3044" t="e">
        <f>VLOOKUP(E49,Tablas!$R$947:$T$968,3,0)</f>
        <v>#N/A</v>
      </c>
      <c r="AE49" s="3061" t="e">
        <f>IF(AD49=1,ADDRESS(ROW($AH49),COLUMN($AH49))&amp;":"&amp;ADDRESS(ROW($AO49),COLUMN($AO49)),ADDRESS(ROW($AH49),COLUMN($AH49)))</f>
        <v>#N/A</v>
      </c>
      <c r="AF49" s="3069" t="e">
        <f>IF(AD49=1,ADDRESS(ROW($AP49),COLUMN($AP49))&amp;":"&amp;ADDRESS(ROW($AV49),COLUMN($AV49)),ADDRESS(ROW($AP49),COLUMN($AP49)))</f>
        <v>#N/A</v>
      </c>
      <c r="AG49" s="3061" t="e">
        <f>IF(AD49=1,NOT(OR(AND(INT(M49/L49)=M49/L49,M49&gt;0),AND(INT(O49/N49)=O49/N49,O49&gt;0),AND(INT(Q49/P49)=Q49/P49,Q49&gt;0),AND(INT(S49/R49)=S49/R49,S49&gt;0),AND(INT(U49/T49)=U49/T49,U49&gt;0))),NOT(OR(M49=L49,O49=N49,Q49=P49,S49=R49,U49=T49)))</f>
        <v>#N/A</v>
      </c>
      <c r="AH49" s="3069" t="e">
        <f>VLOOKUP($E49,Tablas!$R$947:$T$968,2,0)*AH$48/2</f>
        <v>#N/A</v>
      </c>
      <c r="AI49" s="3069" t="e">
        <f>VLOOKUP($E49,Tablas!$R$947:$T$968,2,0)*AI$48/2</f>
        <v>#N/A</v>
      </c>
      <c r="AJ49" s="3069" t="e">
        <f>VLOOKUP($E49,Tablas!$R$947:$T$968,2,0)*AJ$48/2</f>
        <v>#N/A</v>
      </c>
      <c r="AK49" s="3069" t="e">
        <f>VLOOKUP($E49,Tablas!$R$947:$T$968,2,0)*AK$48/2</f>
        <v>#N/A</v>
      </c>
      <c r="AL49" s="3069" t="e">
        <f>VLOOKUP($E49,Tablas!$R$947:$T$968,2,0)*AL$48/2</f>
        <v>#N/A</v>
      </c>
      <c r="AM49" s="3069" t="e">
        <f>VLOOKUP($E49,Tablas!$R$947:$T$968,2,0)*AM$48/2</f>
        <v>#N/A</v>
      </c>
      <c r="AN49" s="3069" t="e">
        <f>VLOOKUP($E49,Tablas!$R$947:$T$968,2,0)*AN$48/2</f>
        <v>#N/A</v>
      </c>
      <c r="AO49" s="3069" t="e">
        <f>VLOOKUP($E49,Tablas!$R$947:$T$968,2,0)*AO$48/2</f>
        <v>#N/A</v>
      </c>
      <c r="AP49" s="3069" t="e">
        <f>VLOOKUP($E49,Tablas!$R$947:$T$968,2,0)*AP$48</f>
        <v>#N/A</v>
      </c>
      <c r="AQ49" s="3069" t="e">
        <f>VLOOKUP($E49,Tablas!$R$947:$T$968,2,0)*AQ$48</f>
        <v>#N/A</v>
      </c>
      <c r="AR49" s="3069" t="e">
        <f>VLOOKUP($E49,Tablas!$R$947:$T$968,2,0)*AR$48</f>
        <v>#N/A</v>
      </c>
      <c r="AS49" s="3069" t="e">
        <f>VLOOKUP($E49,Tablas!$R$947:$T$968,2,0)*AS$48</f>
        <v>#N/A</v>
      </c>
      <c r="AT49" s="3069" t="e">
        <f>VLOOKUP($E49,Tablas!$R$947:$T$968,2,0)*AT$48</f>
        <v>#N/A</v>
      </c>
      <c r="AU49" s="3069" t="e">
        <f>VLOOKUP($E49,Tablas!$R$947:$T$968,2,0)*AU$48</f>
        <v>#N/A</v>
      </c>
      <c r="AV49" s="3069" t="e">
        <f>VLOOKUP($E49,Tablas!$R$947:$T$968,2,0)*AV$48</f>
        <v>#N/A</v>
      </c>
    </row>
    <row r="50" spans="1:48" ht="12" customHeight="1" x14ac:dyDescent="0.2">
      <c r="A50" s="9"/>
      <c r="B50" s="822"/>
      <c r="C50" s="3929"/>
      <c r="D50" s="3988"/>
      <c r="E50" s="3984"/>
      <c r="F50" s="3985"/>
      <c r="G50" s="3985"/>
      <c r="H50" s="3985"/>
      <c r="I50" s="3985"/>
      <c r="J50" s="3985"/>
      <c r="K50" s="3986"/>
      <c r="L50" s="1984" t="str">
        <f t="shared" si="14"/>
        <v/>
      </c>
      <c r="M50" s="1485"/>
      <c r="N50" s="1984" t="str">
        <f t="shared" si="15"/>
        <v/>
      </c>
      <c r="O50" s="1485"/>
      <c r="P50" s="1984" t="str">
        <f t="shared" si="16"/>
        <v/>
      </c>
      <c r="Q50" s="1485"/>
      <c r="R50" s="1984" t="str">
        <f t="shared" si="17"/>
        <v/>
      </c>
      <c r="S50" s="1485"/>
      <c r="T50" s="1984" t="str">
        <f t="shared" si="18"/>
        <v/>
      </c>
      <c r="U50" s="1485"/>
      <c r="V50" s="3810" t="str">
        <f t="shared" ref="V50:V58" si="19">IF($E50="","",IF(AND(AD50=1,M50/L50+O50/N50+Q50/P50+S50/R50+U50/T50&gt;1),SUBSTITUTE(VLOOKUP($E50,Tabla_Tabla_Estilos,8,FALSE),"XXX",M50/L50+O50/N50+Q50/P50+S50/R50+U50/T50),VLOOKUP($E50,Tabla_Tabla_Estilos,4,FALSE)))</f>
        <v/>
      </c>
      <c r="W50" s="3811"/>
      <c r="X50" s="3811"/>
      <c r="Y50" s="3811"/>
      <c r="Z50" s="3811"/>
      <c r="AA50" s="3812"/>
      <c r="AB50" s="1740"/>
      <c r="AC50" s="845"/>
      <c r="AD50" s="3044" t="e">
        <f>VLOOKUP(E50,Tablas!$R$947:$T$968,3,0)</f>
        <v>#N/A</v>
      </c>
      <c r="AE50" s="3061" t="e">
        <f t="shared" ref="AE50:AE58" si="20">IF(AD50=1,ADDRESS(ROW($AH50),COLUMN($AH50))&amp;":"&amp;ADDRESS(ROW($AO50),COLUMN($AO50)),ADDRESS(ROW($AH50),COLUMN($AH50)))</f>
        <v>#N/A</v>
      </c>
      <c r="AF50" s="3069" t="e">
        <f t="shared" ref="AF50:AF58" si="21">IF(AD50=1,ADDRESS(ROW($AP50),COLUMN($AP50))&amp;":"&amp;ADDRESS(ROW($AV50),COLUMN($AV50)),ADDRESS(ROW($AP50),COLUMN($AP50)))</f>
        <v>#N/A</v>
      </c>
      <c r="AG50" s="3061" t="e">
        <f t="shared" ref="AG50:AG58" si="22">IF(AD50=1,NOT(OR(AND(INT(M50/L50)=M50/L50,M50&gt;0),AND(INT(O50/N50)=O50/N50,O50&gt;0),AND(INT(Q50/P50)=Q50/P50,Q50&gt;0),AND(INT(S50/R50)=S50/R50,S50&gt;0),AND(INT(U50/T50)=U50/T50,U50&gt;0))),NOT(OR(M50=L50,O50=N50,Q50=P50,S50=R50,U50=T50)))</f>
        <v>#N/A</v>
      </c>
      <c r="AH50" s="3069" t="e">
        <f>VLOOKUP($E50,Tablas!$R$947:$T$968,2,0)*AH$48/2</f>
        <v>#N/A</v>
      </c>
      <c r="AI50" s="3069" t="e">
        <f>VLOOKUP($E50,Tablas!$R$947:$T$968,2,0)*AI$48/2</f>
        <v>#N/A</v>
      </c>
      <c r="AJ50" s="3069" t="e">
        <f>VLOOKUP($E50,Tablas!$R$947:$T$968,2,0)*AJ$48/2</f>
        <v>#N/A</v>
      </c>
      <c r="AK50" s="3069" t="e">
        <f>VLOOKUP($E50,Tablas!$R$947:$T$968,2,0)*AK$48/2</f>
        <v>#N/A</v>
      </c>
      <c r="AL50" s="3069" t="e">
        <f>VLOOKUP($E50,Tablas!$R$947:$T$968,2,0)*AL$48/2</f>
        <v>#N/A</v>
      </c>
      <c r="AM50" s="3069" t="e">
        <f>VLOOKUP($E50,Tablas!$R$947:$T$968,2,0)*AM$48/2</f>
        <v>#N/A</v>
      </c>
      <c r="AN50" s="3069" t="e">
        <f>VLOOKUP($E50,Tablas!$R$947:$T$968,2,0)*AN$48/2</f>
        <v>#N/A</v>
      </c>
      <c r="AO50" s="3069" t="e">
        <f>VLOOKUP($E50,Tablas!$R$947:$T$968,2,0)*AO$48/2</f>
        <v>#N/A</v>
      </c>
      <c r="AP50" s="3069" t="e">
        <f>VLOOKUP($E50,Tablas!$R$947:$T$968,2,0)*AP$48</f>
        <v>#N/A</v>
      </c>
      <c r="AQ50" s="3069" t="e">
        <f>VLOOKUP($E50,Tablas!$R$947:$T$968,2,0)*AQ$48</f>
        <v>#N/A</v>
      </c>
      <c r="AR50" s="3069" t="e">
        <f>VLOOKUP($E50,Tablas!$R$947:$T$968,2,0)*AR$48</f>
        <v>#N/A</v>
      </c>
      <c r="AS50" s="3069" t="e">
        <f>VLOOKUP($E50,Tablas!$R$947:$T$968,2,0)*AS$48</f>
        <v>#N/A</v>
      </c>
      <c r="AT50" s="3069" t="e">
        <f>VLOOKUP($E50,Tablas!$R$947:$T$968,2,0)*AT$48</f>
        <v>#N/A</v>
      </c>
      <c r="AU50" s="3069" t="e">
        <f>VLOOKUP($E50,Tablas!$R$947:$T$968,2,0)*AU$48</f>
        <v>#N/A</v>
      </c>
      <c r="AV50" s="3069" t="e">
        <f>VLOOKUP($E50,Tablas!$R$947:$T$968,2,0)*AV$48</f>
        <v>#N/A</v>
      </c>
    </row>
    <row r="51" spans="1:48" ht="12" customHeight="1" x14ac:dyDescent="0.2">
      <c r="A51" s="9"/>
      <c r="B51" s="822"/>
      <c r="C51" s="3929"/>
      <c r="D51" s="3988"/>
      <c r="E51" s="3967"/>
      <c r="F51" s="3945"/>
      <c r="G51" s="3945"/>
      <c r="H51" s="3945"/>
      <c r="I51" s="3945"/>
      <c r="J51" s="3945"/>
      <c r="K51" s="3968"/>
      <c r="L51" s="1989" t="str">
        <f t="shared" si="14"/>
        <v/>
      </c>
      <c r="M51" s="1503"/>
      <c r="N51" s="1989" t="str">
        <f t="shared" si="15"/>
        <v/>
      </c>
      <c r="O51" s="1503"/>
      <c r="P51" s="1989" t="str">
        <f t="shared" si="16"/>
        <v/>
      </c>
      <c r="Q51" s="1503"/>
      <c r="R51" s="1989" t="str">
        <f t="shared" si="17"/>
        <v/>
      </c>
      <c r="S51" s="1503"/>
      <c r="T51" s="1989" t="str">
        <f t="shared" si="18"/>
        <v/>
      </c>
      <c r="U51" s="1503"/>
      <c r="V51" s="3813" t="str">
        <f t="shared" si="19"/>
        <v/>
      </c>
      <c r="W51" s="3814"/>
      <c r="X51" s="3814"/>
      <c r="Y51" s="3814"/>
      <c r="Z51" s="3814"/>
      <c r="AA51" s="3815"/>
      <c r="AB51" s="1740"/>
      <c r="AC51" s="845"/>
      <c r="AD51" s="3044" t="e">
        <f>VLOOKUP(E51,Tablas!$R$947:$T$968,3,0)</f>
        <v>#N/A</v>
      </c>
      <c r="AE51" s="3061" t="e">
        <f t="shared" si="20"/>
        <v>#N/A</v>
      </c>
      <c r="AF51" s="3069" t="e">
        <f t="shared" si="21"/>
        <v>#N/A</v>
      </c>
      <c r="AG51" s="3061" t="e">
        <f t="shared" si="22"/>
        <v>#N/A</v>
      </c>
      <c r="AH51" s="3069" t="e">
        <f>VLOOKUP($E51,Tablas!$R$947:$T$968,2,0)*AH$48/2</f>
        <v>#N/A</v>
      </c>
      <c r="AI51" s="3069" t="e">
        <f>VLOOKUP($E51,Tablas!$R$947:$T$968,2,0)*AI$48/2</f>
        <v>#N/A</v>
      </c>
      <c r="AJ51" s="3069" t="e">
        <f>VLOOKUP($E51,Tablas!$R$947:$T$968,2,0)*AJ$48/2</f>
        <v>#N/A</v>
      </c>
      <c r="AK51" s="3069" t="e">
        <f>VLOOKUP($E51,Tablas!$R$947:$T$968,2,0)*AK$48/2</f>
        <v>#N/A</v>
      </c>
      <c r="AL51" s="3069" t="e">
        <f>VLOOKUP($E51,Tablas!$R$947:$T$968,2,0)*AL$48/2</f>
        <v>#N/A</v>
      </c>
      <c r="AM51" s="3069" t="e">
        <f>VLOOKUP($E51,Tablas!$R$947:$T$968,2,0)*AM$48/2</f>
        <v>#N/A</v>
      </c>
      <c r="AN51" s="3069" t="e">
        <f>VLOOKUP($E51,Tablas!$R$947:$T$968,2,0)*AN$48/2</f>
        <v>#N/A</v>
      </c>
      <c r="AO51" s="3069" t="e">
        <f>VLOOKUP($E51,Tablas!$R$947:$T$968,2,0)*AO$48/2</f>
        <v>#N/A</v>
      </c>
      <c r="AP51" s="3069" t="e">
        <f>VLOOKUP($E51,Tablas!$R$947:$T$968,2,0)*AP$48</f>
        <v>#N/A</v>
      </c>
      <c r="AQ51" s="3069" t="e">
        <f>VLOOKUP($E51,Tablas!$R$947:$T$968,2,0)*AQ$48</f>
        <v>#N/A</v>
      </c>
      <c r="AR51" s="3069" t="e">
        <f>VLOOKUP($E51,Tablas!$R$947:$T$968,2,0)*AR$48</f>
        <v>#N/A</v>
      </c>
      <c r="AS51" s="3069" t="e">
        <f>VLOOKUP($E51,Tablas!$R$947:$T$968,2,0)*AS$48</f>
        <v>#N/A</v>
      </c>
      <c r="AT51" s="3069" t="e">
        <f>VLOOKUP($E51,Tablas!$R$947:$T$968,2,0)*AT$48</f>
        <v>#N/A</v>
      </c>
      <c r="AU51" s="3069" t="e">
        <f>VLOOKUP($E51,Tablas!$R$947:$T$968,2,0)*AU$48</f>
        <v>#N/A</v>
      </c>
      <c r="AV51" s="3069" t="e">
        <f>VLOOKUP($E51,Tablas!$R$947:$T$968,2,0)*AV$48</f>
        <v>#N/A</v>
      </c>
    </row>
    <row r="52" spans="1:48" ht="12" customHeight="1" x14ac:dyDescent="0.2">
      <c r="A52" s="9"/>
      <c r="B52" s="822"/>
      <c r="C52" s="3929"/>
      <c r="D52" s="3988"/>
      <c r="E52" s="3984"/>
      <c r="F52" s="3985"/>
      <c r="G52" s="3985"/>
      <c r="H52" s="3985"/>
      <c r="I52" s="3985"/>
      <c r="J52" s="3985"/>
      <c r="K52" s="3986"/>
      <c r="L52" s="1984" t="str">
        <f t="shared" si="14"/>
        <v/>
      </c>
      <c r="M52" s="1485"/>
      <c r="N52" s="1984" t="str">
        <f t="shared" si="15"/>
        <v/>
      </c>
      <c r="O52" s="1485"/>
      <c r="P52" s="1984" t="str">
        <f t="shared" si="16"/>
        <v/>
      </c>
      <c r="Q52" s="1485"/>
      <c r="R52" s="1984" t="str">
        <f t="shared" si="17"/>
        <v/>
      </c>
      <c r="S52" s="1485"/>
      <c r="T52" s="1984" t="str">
        <f t="shared" si="18"/>
        <v/>
      </c>
      <c r="U52" s="1485"/>
      <c r="V52" s="3810" t="str">
        <f t="shared" si="19"/>
        <v/>
      </c>
      <c r="W52" s="3811"/>
      <c r="X52" s="3811"/>
      <c r="Y52" s="3811"/>
      <c r="Z52" s="3811"/>
      <c r="AA52" s="3812"/>
      <c r="AB52" s="1740"/>
      <c r="AC52" s="845"/>
      <c r="AD52" s="3044" t="e">
        <f>VLOOKUP(E52,Tablas!$R$947:$T$968,3,0)</f>
        <v>#N/A</v>
      </c>
      <c r="AE52" s="3061" t="e">
        <f t="shared" si="20"/>
        <v>#N/A</v>
      </c>
      <c r="AF52" s="3069" t="e">
        <f t="shared" si="21"/>
        <v>#N/A</v>
      </c>
      <c r="AG52" s="3061" t="e">
        <f t="shared" si="22"/>
        <v>#N/A</v>
      </c>
      <c r="AH52" s="3069" t="e">
        <f>VLOOKUP($E52,Tablas!$R$947:$T$968,2,0)*AH$48/2</f>
        <v>#N/A</v>
      </c>
      <c r="AI52" s="3069" t="e">
        <f>VLOOKUP($E52,Tablas!$R$947:$T$968,2,0)*AI$48/2</f>
        <v>#N/A</v>
      </c>
      <c r="AJ52" s="3069" t="e">
        <f>VLOOKUP($E52,Tablas!$R$947:$T$968,2,0)*AJ$48/2</f>
        <v>#N/A</v>
      </c>
      <c r="AK52" s="3069" t="e">
        <f>VLOOKUP($E52,Tablas!$R$947:$T$968,2,0)*AK$48/2</f>
        <v>#N/A</v>
      </c>
      <c r="AL52" s="3069" t="e">
        <f>VLOOKUP($E52,Tablas!$R$947:$T$968,2,0)*AL$48/2</f>
        <v>#N/A</v>
      </c>
      <c r="AM52" s="3069" t="e">
        <f>VLOOKUP($E52,Tablas!$R$947:$T$968,2,0)*AM$48/2</f>
        <v>#N/A</v>
      </c>
      <c r="AN52" s="3069" t="e">
        <f>VLOOKUP($E52,Tablas!$R$947:$T$968,2,0)*AN$48/2</f>
        <v>#N/A</v>
      </c>
      <c r="AO52" s="3069" t="e">
        <f>VLOOKUP($E52,Tablas!$R$947:$T$968,2,0)*AO$48/2</f>
        <v>#N/A</v>
      </c>
      <c r="AP52" s="3069" t="e">
        <f>VLOOKUP($E52,Tablas!$R$947:$T$968,2,0)*AP$48</f>
        <v>#N/A</v>
      </c>
      <c r="AQ52" s="3069" t="e">
        <f>VLOOKUP($E52,Tablas!$R$947:$T$968,2,0)*AQ$48</f>
        <v>#N/A</v>
      </c>
      <c r="AR52" s="3069" t="e">
        <f>VLOOKUP($E52,Tablas!$R$947:$T$968,2,0)*AR$48</f>
        <v>#N/A</v>
      </c>
      <c r="AS52" s="3069" t="e">
        <f>VLOOKUP($E52,Tablas!$R$947:$T$968,2,0)*AS$48</f>
        <v>#N/A</v>
      </c>
      <c r="AT52" s="3069" t="e">
        <f>VLOOKUP($E52,Tablas!$R$947:$T$968,2,0)*AT$48</f>
        <v>#N/A</v>
      </c>
      <c r="AU52" s="3069" t="e">
        <f>VLOOKUP($E52,Tablas!$R$947:$T$968,2,0)*AU$48</f>
        <v>#N/A</v>
      </c>
      <c r="AV52" s="3069" t="e">
        <f>VLOOKUP($E52,Tablas!$R$947:$T$968,2,0)*AV$48</f>
        <v>#N/A</v>
      </c>
    </row>
    <row r="53" spans="1:48" ht="12" customHeight="1" x14ac:dyDescent="0.2">
      <c r="A53" s="9"/>
      <c r="B53" s="822"/>
      <c r="C53" s="3929"/>
      <c r="D53" s="3988"/>
      <c r="E53" s="3967"/>
      <c r="F53" s="3945"/>
      <c r="G53" s="3945"/>
      <c r="H53" s="3945"/>
      <c r="I53" s="3945"/>
      <c r="J53" s="3945"/>
      <c r="K53" s="3968"/>
      <c r="L53" s="1989" t="str">
        <f t="shared" si="14"/>
        <v/>
      </c>
      <c r="M53" s="1503"/>
      <c r="N53" s="1989" t="str">
        <f t="shared" si="15"/>
        <v/>
      </c>
      <c r="O53" s="1503"/>
      <c r="P53" s="1989" t="str">
        <f t="shared" si="16"/>
        <v/>
      </c>
      <c r="Q53" s="1503"/>
      <c r="R53" s="1989" t="str">
        <f t="shared" si="17"/>
        <v/>
      </c>
      <c r="S53" s="1503"/>
      <c r="T53" s="1989" t="str">
        <f t="shared" si="18"/>
        <v/>
      </c>
      <c r="U53" s="1503"/>
      <c r="V53" s="3813" t="str">
        <f t="shared" si="19"/>
        <v/>
      </c>
      <c r="W53" s="3814"/>
      <c r="X53" s="3814"/>
      <c r="Y53" s="3814"/>
      <c r="Z53" s="3814"/>
      <c r="AA53" s="3815"/>
      <c r="AB53" s="1740"/>
      <c r="AC53" s="845"/>
      <c r="AD53" s="3044" t="e">
        <f>VLOOKUP(E53,Tablas!$R$947:$T$968,3,0)</f>
        <v>#N/A</v>
      </c>
      <c r="AE53" s="3061" t="e">
        <f t="shared" si="20"/>
        <v>#N/A</v>
      </c>
      <c r="AF53" s="3069" t="e">
        <f t="shared" si="21"/>
        <v>#N/A</v>
      </c>
      <c r="AG53" s="3061" t="e">
        <f t="shared" si="22"/>
        <v>#N/A</v>
      </c>
      <c r="AH53" s="3069" t="e">
        <f>VLOOKUP($E53,Tablas!$R$947:$T$968,2,0)*AH$48/2</f>
        <v>#N/A</v>
      </c>
      <c r="AI53" s="3069" t="e">
        <f>VLOOKUP($E53,Tablas!$R$947:$T$968,2,0)*AI$48/2</f>
        <v>#N/A</v>
      </c>
      <c r="AJ53" s="3069" t="e">
        <f>VLOOKUP($E53,Tablas!$R$947:$T$968,2,0)*AJ$48/2</f>
        <v>#N/A</v>
      </c>
      <c r="AK53" s="3069" t="e">
        <f>VLOOKUP($E53,Tablas!$R$947:$T$968,2,0)*AK$48/2</f>
        <v>#N/A</v>
      </c>
      <c r="AL53" s="3069" t="e">
        <f>VLOOKUP($E53,Tablas!$R$947:$T$968,2,0)*AL$48/2</f>
        <v>#N/A</v>
      </c>
      <c r="AM53" s="3069" t="e">
        <f>VLOOKUP($E53,Tablas!$R$947:$T$968,2,0)*AM$48/2</f>
        <v>#N/A</v>
      </c>
      <c r="AN53" s="3069" t="e">
        <f>VLOOKUP($E53,Tablas!$R$947:$T$968,2,0)*AN$48/2</f>
        <v>#N/A</v>
      </c>
      <c r="AO53" s="3069" t="e">
        <f>VLOOKUP($E53,Tablas!$R$947:$T$968,2,0)*AO$48/2</f>
        <v>#N/A</v>
      </c>
      <c r="AP53" s="3069" t="e">
        <f>VLOOKUP($E53,Tablas!$R$947:$T$968,2,0)*AP$48</f>
        <v>#N/A</v>
      </c>
      <c r="AQ53" s="3069" t="e">
        <f>VLOOKUP($E53,Tablas!$R$947:$T$968,2,0)*AQ$48</f>
        <v>#N/A</v>
      </c>
      <c r="AR53" s="3069" t="e">
        <f>VLOOKUP($E53,Tablas!$R$947:$T$968,2,0)*AR$48</f>
        <v>#N/A</v>
      </c>
      <c r="AS53" s="3069" t="e">
        <f>VLOOKUP($E53,Tablas!$R$947:$T$968,2,0)*AS$48</f>
        <v>#N/A</v>
      </c>
      <c r="AT53" s="3069" t="e">
        <f>VLOOKUP($E53,Tablas!$R$947:$T$968,2,0)*AT$48</f>
        <v>#N/A</v>
      </c>
      <c r="AU53" s="3069" t="e">
        <f>VLOOKUP($E53,Tablas!$R$947:$T$968,2,0)*AU$48</f>
        <v>#N/A</v>
      </c>
      <c r="AV53" s="3069" t="e">
        <f>VLOOKUP($E53,Tablas!$R$947:$T$968,2,0)*AV$48</f>
        <v>#N/A</v>
      </c>
    </row>
    <row r="54" spans="1:48" ht="12" customHeight="1" x14ac:dyDescent="0.2">
      <c r="A54" s="9"/>
      <c r="B54" s="822"/>
      <c r="C54" s="3929"/>
      <c r="D54" s="3988"/>
      <c r="E54" s="3984"/>
      <c r="F54" s="3985"/>
      <c r="G54" s="3985"/>
      <c r="H54" s="3985"/>
      <c r="I54" s="3985"/>
      <c r="J54" s="3985"/>
      <c r="K54" s="3986"/>
      <c r="L54" s="1984" t="str">
        <f t="shared" si="14"/>
        <v/>
      </c>
      <c r="M54" s="1485"/>
      <c r="N54" s="1984" t="str">
        <f t="shared" si="15"/>
        <v/>
      </c>
      <c r="O54" s="1485"/>
      <c r="P54" s="1984" t="str">
        <f t="shared" si="16"/>
        <v/>
      </c>
      <c r="Q54" s="1485"/>
      <c r="R54" s="1984" t="str">
        <f t="shared" si="17"/>
        <v/>
      </c>
      <c r="S54" s="1485"/>
      <c r="T54" s="1984" t="str">
        <f t="shared" si="18"/>
        <v/>
      </c>
      <c r="U54" s="1485"/>
      <c r="V54" s="3810" t="str">
        <f t="shared" si="19"/>
        <v/>
      </c>
      <c r="W54" s="3811"/>
      <c r="X54" s="3811"/>
      <c r="Y54" s="3811"/>
      <c r="Z54" s="3811"/>
      <c r="AA54" s="3812"/>
      <c r="AB54" s="1740"/>
      <c r="AC54" s="845"/>
      <c r="AD54" s="3044" t="e">
        <f>VLOOKUP(E54,Tablas!$R$947:$T$968,3,0)</f>
        <v>#N/A</v>
      </c>
      <c r="AE54" s="3061" t="e">
        <f t="shared" si="20"/>
        <v>#N/A</v>
      </c>
      <c r="AF54" s="3069" t="e">
        <f t="shared" si="21"/>
        <v>#N/A</v>
      </c>
      <c r="AG54" s="3061" t="e">
        <f t="shared" si="22"/>
        <v>#N/A</v>
      </c>
      <c r="AH54" s="3069" t="e">
        <f>VLOOKUP($E54,Tablas!$R$947:$T$968,2,0)*AH$48/2</f>
        <v>#N/A</v>
      </c>
      <c r="AI54" s="3069" t="e">
        <f>VLOOKUP($E54,Tablas!$R$947:$T$968,2,0)*AI$48/2</f>
        <v>#N/A</v>
      </c>
      <c r="AJ54" s="3069" t="e">
        <f>VLOOKUP($E54,Tablas!$R$947:$T$968,2,0)*AJ$48/2</f>
        <v>#N/A</v>
      </c>
      <c r="AK54" s="3069" t="e">
        <f>VLOOKUP($E54,Tablas!$R$947:$T$968,2,0)*AK$48/2</f>
        <v>#N/A</v>
      </c>
      <c r="AL54" s="3069" t="e">
        <f>VLOOKUP($E54,Tablas!$R$947:$T$968,2,0)*AL$48/2</f>
        <v>#N/A</v>
      </c>
      <c r="AM54" s="3069" t="e">
        <f>VLOOKUP($E54,Tablas!$R$947:$T$968,2,0)*AM$48/2</f>
        <v>#N/A</v>
      </c>
      <c r="AN54" s="3069" t="e">
        <f>VLOOKUP($E54,Tablas!$R$947:$T$968,2,0)*AN$48/2</f>
        <v>#N/A</v>
      </c>
      <c r="AO54" s="3069" t="e">
        <f>VLOOKUP($E54,Tablas!$R$947:$T$968,2,0)*AO$48/2</f>
        <v>#N/A</v>
      </c>
      <c r="AP54" s="3069" t="e">
        <f>VLOOKUP($E54,Tablas!$R$947:$T$968,2,0)*AP$48</f>
        <v>#N/A</v>
      </c>
      <c r="AQ54" s="3069" t="e">
        <f>VLOOKUP($E54,Tablas!$R$947:$T$968,2,0)*AQ$48</f>
        <v>#N/A</v>
      </c>
      <c r="AR54" s="3069" t="e">
        <f>VLOOKUP($E54,Tablas!$R$947:$T$968,2,0)*AR$48</f>
        <v>#N/A</v>
      </c>
      <c r="AS54" s="3069" t="e">
        <f>VLOOKUP($E54,Tablas!$R$947:$T$968,2,0)*AS$48</f>
        <v>#N/A</v>
      </c>
      <c r="AT54" s="3069" t="e">
        <f>VLOOKUP($E54,Tablas!$R$947:$T$968,2,0)*AT$48</f>
        <v>#N/A</v>
      </c>
      <c r="AU54" s="3069" t="e">
        <f>VLOOKUP($E54,Tablas!$R$947:$T$968,2,0)*AU$48</f>
        <v>#N/A</v>
      </c>
      <c r="AV54" s="3069" t="e">
        <f>VLOOKUP($E54,Tablas!$R$947:$T$968,2,0)*AV$48</f>
        <v>#N/A</v>
      </c>
    </row>
    <row r="55" spans="1:48" ht="12" customHeight="1" x14ac:dyDescent="0.2">
      <c r="A55" s="9"/>
      <c r="B55" s="822"/>
      <c r="C55" s="3929"/>
      <c r="D55" s="3988"/>
      <c r="E55" s="3967"/>
      <c r="F55" s="3945"/>
      <c r="G55" s="3945"/>
      <c r="H55" s="3945"/>
      <c r="I55" s="3945"/>
      <c r="J55" s="3945"/>
      <c r="K55" s="3968"/>
      <c r="L55" s="1989" t="str">
        <f t="shared" si="14"/>
        <v/>
      </c>
      <c r="M55" s="1507"/>
      <c r="N55" s="1989" t="str">
        <f t="shared" si="15"/>
        <v/>
      </c>
      <c r="O55" s="1507"/>
      <c r="P55" s="1989" t="str">
        <f t="shared" si="16"/>
        <v/>
      </c>
      <c r="Q55" s="1507"/>
      <c r="R55" s="1989" t="str">
        <f t="shared" si="17"/>
        <v/>
      </c>
      <c r="S55" s="1507"/>
      <c r="T55" s="1989" t="str">
        <f t="shared" si="18"/>
        <v/>
      </c>
      <c r="U55" s="1507"/>
      <c r="V55" s="3813" t="str">
        <f t="shared" si="19"/>
        <v/>
      </c>
      <c r="W55" s="3814"/>
      <c r="X55" s="3814"/>
      <c r="Y55" s="3814"/>
      <c r="Z55" s="3814"/>
      <c r="AA55" s="3815"/>
      <c r="AB55" s="1740"/>
      <c r="AC55" s="845"/>
      <c r="AD55" s="3044" t="e">
        <f>VLOOKUP(E55,Tablas!$R$947:$T$968,3,0)</f>
        <v>#N/A</v>
      </c>
      <c r="AE55" s="3061" t="e">
        <f t="shared" si="20"/>
        <v>#N/A</v>
      </c>
      <c r="AF55" s="3069" t="e">
        <f t="shared" si="21"/>
        <v>#N/A</v>
      </c>
      <c r="AG55" s="3061" t="e">
        <f t="shared" si="22"/>
        <v>#N/A</v>
      </c>
      <c r="AH55" s="3069" t="e">
        <f>VLOOKUP($E55,Tablas!$R$947:$T$968,2,0)*AH$48/2</f>
        <v>#N/A</v>
      </c>
      <c r="AI55" s="3069" t="e">
        <f>VLOOKUP($E55,Tablas!$R$947:$T$968,2,0)*AI$48/2</f>
        <v>#N/A</v>
      </c>
      <c r="AJ55" s="3069" t="e">
        <f>VLOOKUP($E55,Tablas!$R$947:$T$968,2,0)*AJ$48/2</f>
        <v>#N/A</v>
      </c>
      <c r="AK55" s="3069" t="e">
        <f>VLOOKUP($E55,Tablas!$R$947:$T$968,2,0)*AK$48/2</f>
        <v>#N/A</v>
      </c>
      <c r="AL55" s="3069" t="e">
        <f>VLOOKUP($E55,Tablas!$R$947:$T$968,2,0)*AL$48/2</f>
        <v>#N/A</v>
      </c>
      <c r="AM55" s="3069" t="e">
        <f>VLOOKUP($E55,Tablas!$R$947:$T$968,2,0)*AM$48/2</f>
        <v>#N/A</v>
      </c>
      <c r="AN55" s="3069" t="e">
        <f>VLOOKUP($E55,Tablas!$R$947:$T$968,2,0)*AN$48/2</f>
        <v>#N/A</v>
      </c>
      <c r="AO55" s="3069" t="e">
        <f>VLOOKUP($E55,Tablas!$R$947:$T$968,2,0)*AO$48/2</f>
        <v>#N/A</v>
      </c>
      <c r="AP55" s="3069" t="e">
        <f>VLOOKUP($E55,Tablas!$R$947:$T$968,2,0)*AP$48</f>
        <v>#N/A</v>
      </c>
      <c r="AQ55" s="3069" t="e">
        <f>VLOOKUP($E55,Tablas!$R$947:$T$968,2,0)*AQ$48</f>
        <v>#N/A</v>
      </c>
      <c r="AR55" s="3069" t="e">
        <f>VLOOKUP($E55,Tablas!$R$947:$T$968,2,0)*AR$48</f>
        <v>#N/A</v>
      </c>
      <c r="AS55" s="3069" t="e">
        <f>VLOOKUP($E55,Tablas!$R$947:$T$968,2,0)*AS$48</f>
        <v>#N/A</v>
      </c>
      <c r="AT55" s="3069" t="e">
        <f>VLOOKUP($E55,Tablas!$R$947:$T$968,2,0)*AT$48</f>
        <v>#N/A</v>
      </c>
      <c r="AU55" s="3069" t="e">
        <f>VLOOKUP($E55,Tablas!$R$947:$T$968,2,0)*AU$48</f>
        <v>#N/A</v>
      </c>
      <c r="AV55" s="3069" t="e">
        <f>VLOOKUP($E55,Tablas!$R$947:$T$968,2,0)*AV$48</f>
        <v>#N/A</v>
      </c>
    </row>
    <row r="56" spans="1:48" ht="12" customHeight="1" x14ac:dyDescent="0.2">
      <c r="A56" s="9"/>
      <c r="B56" s="822"/>
      <c r="C56" s="3929"/>
      <c r="D56" s="3988"/>
      <c r="E56" s="3984"/>
      <c r="F56" s="3985"/>
      <c r="G56" s="3985"/>
      <c r="H56" s="3985"/>
      <c r="I56" s="3985"/>
      <c r="J56" s="3985"/>
      <c r="K56" s="3986"/>
      <c r="L56" s="1984" t="str">
        <f t="shared" si="14"/>
        <v/>
      </c>
      <c r="M56" s="1489"/>
      <c r="N56" s="1984" t="str">
        <f t="shared" si="15"/>
        <v/>
      </c>
      <c r="O56" s="1489"/>
      <c r="P56" s="1984" t="str">
        <f t="shared" si="16"/>
        <v/>
      </c>
      <c r="Q56" s="1489"/>
      <c r="R56" s="1984" t="str">
        <f t="shared" si="17"/>
        <v/>
      </c>
      <c r="S56" s="1489"/>
      <c r="T56" s="1984" t="str">
        <f t="shared" si="18"/>
        <v/>
      </c>
      <c r="U56" s="1489"/>
      <c r="V56" s="3810" t="str">
        <f t="shared" si="19"/>
        <v/>
      </c>
      <c r="W56" s="3811"/>
      <c r="X56" s="3811"/>
      <c r="Y56" s="3811"/>
      <c r="Z56" s="3811"/>
      <c r="AA56" s="3812"/>
      <c r="AB56" s="1740"/>
      <c r="AC56" s="845"/>
      <c r="AD56" s="3044" t="e">
        <f>VLOOKUP(E56,Tablas!$R$947:$T$968,3,0)</f>
        <v>#N/A</v>
      </c>
      <c r="AE56" s="3061" t="e">
        <f t="shared" si="20"/>
        <v>#N/A</v>
      </c>
      <c r="AF56" s="3069" t="e">
        <f t="shared" si="21"/>
        <v>#N/A</v>
      </c>
      <c r="AG56" s="3061" t="e">
        <f t="shared" si="22"/>
        <v>#N/A</v>
      </c>
      <c r="AH56" s="3069" t="e">
        <f>VLOOKUP($E56,Tablas!$R$947:$T$968,2,0)*AH$48/2</f>
        <v>#N/A</v>
      </c>
      <c r="AI56" s="3069" t="e">
        <f>VLOOKUP($E56,Tablas!$R$947:$T$968,2,0)*AI$48/2</f>
        <v>#N/A</v>
      </c>
      <c r="AJ56" s="3069" t="e">
        <f>VLOOKUP($E56,Tablas!$R$947:$T$968,2,0)*AJ$48/2</f>
        <v>#N/A</v>
      </c>
      <c r="AK56" s="3069" t="e">
        <f>VLOOKUP($E56,Tablas!$R$947:$T$968,2,0)*AK$48/2</f>
        <v>#N/A</v>
      </c>
      <c r="AL56" s="3069" t="e">
        <f>VLOOKUP($E56,Tablas!$R$947:$T$968,2,0)*AL$48/2</f>
        <v>#N/A</v>
      </c>
      <c r="AM56" s="3069" t="e">
        <f>VLOOKUP($E56,Tablas!$R$947:$T$968,2,0)*AM$48/2</f>
        <v>#N/A</v>
      </c>
      <c r="AN56" s="3069" t="e">
        <f>VLOOKUP($E56,Tablas!$R$947:$T$968,2,0)*AN$48/2</f>
        <v>#N/A</v>
      </c>
      <c r="AO56" s="3069" t="e">
        <f>VLOOKUP($E56,Tablas!$R$947:$T$968,2,0)*AO$48/2</f>
        <v>#N/A</v>
      </c>
      <c r="AP56" s="3069" t="e">
        <f>VLOOKUP($E56,Tablas!$R$947:$T$968,2,0)*AP$48</f>
        <v>#N/A</v>
      </c>
      <c r="AQ56" s="3069" t="e">
        <f>VLOOKUP($E56,Tablas!$R$947:$T$968,2,0)*AQ$48</f>
        <v>#N/A</v>
      </c>
      <c r="AR56" s="3069" t="e">
        <f>VLOOKUP($E56,Tablas!$R$947:$T$968,2,0)*AR$48</f>
        <v>#N/A</v>
      </c>
      <c r="AS56" s="3069" t="e">
        <f>VLOOKUP($E56,Tablas!$R$947:$T$968,2,0)*AS$48</f>
        <v>#N/A</v>
      </c>
      <c r="AT56" s="3069" t="e">
        <f>VLOOKUP($E56,Tablas!$R$947:$T$968,2,0)*AT$48</f>
        <v>#N/A</v>
      </c>
      <c r="AU56" s="3069" t="e">
        <f>VLOOKUP($E56,Tablas!$R$947:$T$968,2,0)*AU$48</f>
        <v>#N/A</v>
      </c>
      <c r="AV56" s="3069" t="e">
        <f>VLOOKUP($E56,Tablas!$R$947:$T$968,2,0)*AV$48</f>
        <v>#N/A</v>
      </c>
    </row>
    <row r="57" spans="1:48" ht="12" customHeight="1" x14ac:dyDescent="0.2">
      <c r="A57" s="9"/>
      <c r="B57" s="822"/>
      <c r="C57" s="3929"/>
      <c r="D57" s="3988"/>
      <c r="E57" s="3967"/>
      <c r="F57" s="3945"/>
      <c r="G57" s="3945"/>
      <c r="H57" s="3945"/>
      <c r="I57" s="3945"/>
      <c r="J57" s="3945"/>
      <c r="K57" s="3968"/>
      <c r="L57" s="1989" t="str">
        <f t="shared" si="14"/>
        <v/>
      </c>
      <c r="M57" s="1507"/>
      <c r="N57" s="1989" t="str">
        <f t="shared" si="15"/>
        <v/>
      </c>
      <c r="O57" s="1507"/>
      <c r="P57" s="1989" t="str">
        <f t="shared" si="16"/>
        <v/>
      </c>
      <c r="Q57" s="1507"/>
      <c r="R57" s="1989" t="str">
        <f t="shared" si="17"/>
        <v/>
      </c>
      <c r="S57" s="1507"/>
      <c r="T57" s="1989" t="str">
        <f t="shared" si="18"/>
        <v/>
      </c>
      <c r="U57" s="1507"/>
      <c r="V57" s="3813" t="str">
        <f t="shared" si="19"/>
        <v/>
      </c>
      <c r="W57" s="3814"/>
      <c r="X57" s="3814"/>
      <c r="Y57" s="3814"/>
      <c r="Z57" s="3814"/>
      <c r="AA57" s="3815"/>
      <c r="AB57" s="1740"/>
      <c r="AC57" s="845"/>
      <c r="AD57" s="3044" t="e">
        <f>VLOOKUP(E57,Tablas!$R$947:$T$968,3,0)</f>
        <v>#N/A</v>
      </c>
      <c r="AE57" s="3061" t="e">
        <f t="shared" si="20"/>
        <v>#N/A</v>
      </c>
      <c r="AF57" s="3069" t="e">
        <f t="shared" si="21"/>
        <v>#N/A</v>
      </c>
      <c r="AG57" s="3061" t="e">
        <f t="shared" si="22"/>
        <v>#N/A</v>
      </c>
      <c r="AH57" s="3069" t="e">
        <f>VLOOKUP($E57,Tablas!$R$947:$T$968,2,0)*AH$48/2</f>
        <v>#N/A</v>
      </c>
      <c r="AI57" s="3069" t="e">
        <f>VLOOKUP($E57,Tablas!$R$947:$T$968,2,0)*AI$48/2</f>
        <v>#N/A</v>
      </c>
      <c r="AJ57" s="3069" t="e">
        <f>VLOOKUP($E57,Tablas!$R$947:$T$968,2,0)*AJ$48/2</f>
        <v>#N/A</v>
      </c>
      <c r="AK57" s="3069" t="e">
        <f>VLOOKUP($E57,Tablas!$R$947:$T$968,2,0)*AK$48/2</f>
        <v>#N/A</v>
      </c>
      <c r="AL57" s="3069" t="e">
        <f>VLOOKUP($E57,Tablas!$R$947:$T$968,2,0)*AL$48/2</f>
        <v>#N/A</v>
      </c>
      <c r="AM57" s="3069" t="e">
        <f>VLOOKUP($E57,Tablas!$R$947:$T$968,2,0)*AM$48/2</f>
        <v>#N/A</v>
      </c>
      <c r="AN57" s="3069" t="e">
        <f>VLOOKUP($E57,Tablas!$R$947:$T$968,2,0)*AN$48/2</f>
        <v>#N/A</v>
      </c>
      <c r="AO57" s="3069" t="e">
        <f>VLOOKUP($E57,Tablas!$R$947:$T$968,2,0)*AO$48/2</f>
        <v>#N/A</v>
      </c>
      <c r="AP57" s="3069" t="e">
        <f>VLOOKUP($E57,Tablas!$R$947:$T$968,2,0)*AP$48</f>
        <v>#N/A</v>
      </c>
      <c r="AQ57" s="3069" t="e">
        <f>VLOOKUP($E57,Tablas!$R$947:$T$968,2,0)*AQ$48</f>
        <v>#N/A</v>
      </c>
      <c r="AR57" s="3069" t="e">
        <f>VLOOKUP($E57,Tablas!$R$947:$T$968,2,0)*AR$48</f>
        <v>#N/A</v>
      </c>
      <c r="AS57" s="3069" t="e">
        <f>VLOOKUP($E57,Tablas!$R$947:$T$968,2,0)*AS$48</f>
        <v>#N/A</v>
      </c>
      <c r="AT57" s="3069" t="e">
        <f>VLOOKUP($E57,Tablas!$R$947:$T$968,2,0)*AT$48</f>
        <v>#N/A</v>
      </c>
      <c r="AU57" s="3069" t="e">
        <f>VLOOKUP($E57,Tablas!$R$947:$T$968,2,0)*AU$48</f>
        <v>#N/A</v>
      </c>
      <c r="AV57" s="3069" t="e">
        <f>VLOOKUP($E57,Tablas!$R$947:$T$968,2,0)*AV$48</f>
        <v>#N/A</v>
      </c>
    </row>
    <row r="58" spans="1:48" ht="12" customHeight="1" x14ac:dyDescent="0.2">
      <c r="A58" s="9"/>
      <c r="B58" s="822"/>
      <c r="C58" s="3929"/>
      <c r="D58" s="3989"/>
      <c r="E58" s="3969"/>
      <c r="F58" s="3970"/>
      <c r="G58" s="3970"/>
      <c r="H58" s="3970"/>
      <c r="I58" s="3970"/>
      <c r="J58" s="3970"/>
      <c r="K58" s="3971"/>
      <c r="L58" s="1987" t="str">
        <f t="shared" si="14"/>
        <v/>
      </c>
      <c r="M58" s="1490"/>
      <c r="N58" s="1987" t="str">
        <f t="shared" si="15"/>
        <v/>
      </c>
      <c r="O58" s="1490"/>
      <c r="P58" s="1987" t="str">
        <f t="shared" si="16"/>
        <v/>
      </c>
      <c r="Q58" s="1490"/>
      <c r="R58" s="1987" t="str">
        <f t="shared" si="17"/>
        <v/>
      </c>
      <c r="S58" s="1490"/>
      <c r="T58" s="1987" t="str">
        <f t="shared" si="18"/>
        <v/>
      </c>
      <c r="U58" s="1490"/>
      <c r="V58" s="3816" t="str">
        <f t="shared" si="19"/>
        <v/>
      </c>
      <c r="W58" s="3817"/>
      <c r="X58" s="3817"/>
      <c r="Y58" s="3817"/>
      <c r="Z58" s="3817"/>
      <c r="AA58" s="3818"/>
      <c r="AB58" s="1740"/>
      <c r="AC58" s="845"/>
      <c r="AD58" s="3044" t="e">
        <f>VLOOKUP(E58,Tablas!$R$947:$T$968,3,0)</f>
        <v>#N/A</v>
      </c>
      <c r="AE58" s="3061" t="e">
        <f t="shared" si="20"/>
        <v>#N/A</v>
      </c>
      <c r="AF58" s="3069" t="e">
        <f t="shared" si="21"/>
        <v>#N/A</v>
      </c>
      <c r="AG58" s="3061" t="e">
        <f t="shared" si="22"/>
        <v>#N/A</v>
      </c>
      <c r="AH58" s="3069" t="e">
        <f>VLOOKUP($E58,Tablas!$R$947:$T$968,2,0)*AH$48/2</f>
        <v>#N/A</v>
      </c>
      <c r="AI58" s="3069" t="e">
        <f>VLOOKUP($E58,Tablas!$R$947:$T$968,2,0)*AI$48/2</f>
        <v>#N/A</v>
      </c>
      <c r="AJ58" s="3069" t="e">
        <f>VLOOKUP($E58,Tablas!$R$947:$T$968,2,0)*AJ$48/2</f>
        <v>#N/A</v>
      </c>
      <c r="AK58" s="3069" t="e">
        <f>VLOOKUP($E58,Tablas!$R$947:$T$968,2,0)*AK$48/2</f>
        <v>#N/A</v>
      </c>
      <c r="AL58" s="3069" t="e">
        <f>VLOOKUP($E58,Tablas!$R$947:$T$968,2,0)*AL$48/2</f>
        <v>#N/A</v>
      </c>
      <c r="AM58" s="3069" t="e">
        <f>VLOOKUP($E58,Tablas!$R$947:$T$968,2,0)*AM$48/2</f>
        <v>#N/A</v>
      </c>
      <c r="AN58" s="3069" t="e">
        <f>VLOOKUP($E58,Tablas!$R$947:$T$968,2,0)*AN$48/2</f>
        <v>#N/A</v>
      </c>
      <c r="AO58" s="3069" t="e">
        <f>VLOOKUP($E58,Tablas!$R$947:$T$968,2,0)*AO$48/2</f>
        <v>#N/A</v>
      </c>
      <c r="AP58" s="3069" t="e">
        <f>VLOOKUP($E58,Tablas!$R$947:$T$968,2,0)*AP$48</f>
        <v>#N/A</v>
      </c>
      <c r="AQ58" s="3069" t="e">
        <f>VLOOKUP($E58,Tablas!$R$947:$T$968,2,0)*AQ$48</f>
        <v>#N/A</v>
      </c>
      <c r="AR58" s="3069" t="e">
        <f>VLOOKUP($E58,Tablas!$R$947:$T$968,2,0)*AR$48</f>
        <v>#N/A</v>
      </c>
      <c r="AS58" s="3069" t="e">
        <f>VLOOKUP($E58,Tablas!$R$947:$T$968,2,0)*AS$48</f>
        <v>#N/A</v>
      </c>
      <c r="AT58" s="3069" t="e">
        <f>VLOOKUP($E58,Tablas!$R$947:$T$968,2,0)*AT$48</f>
        <v>#N/A</v>
      </c>
      <c r="AU58" s="3069" t="e">
        <f>VLOOKUP($E58,Tablas!$R$947:$T$968,2,0)*AU$48</f>
        <v>#N/A</v>
      </c>
      <c r="AV58" s="3069" t="e">
        <f>VLOOKUP($E58,Tablas!$R$947:$T$968,2,0)*AV$48</f>
        <v>#N/A</v>
      </c>
    </row>
    <row r="59" spans="1:48" ht="12" customHeight="1" x14ac:dyDescent="0.2">
      <c r="A59" s="9"/>
      <c r="B59" s="822"/>
      <c r="C59" s="3929"/>
      <c r="D59" s="3987" t="s">
        <v>1504</v>
      </c>
      <c r="E59" s="3821"/>
      <c r="F59" s="3822"/>
      <c r="G59" s="3822"/>
      <c r="H59" s="3822"/>
      <c r="I59" s="3823"/>
      <c r="J59" s="3824"/>
      <c r="K59" s="3825"/>
      <c r="L59" s="507" t="str">
        <f>IFERROR(IF(NOT(Tablas!$AK$848),INDEX(Tablas!$AN850:$AP850,1,Tablas!$AL850),IF(M59&lt;&gt;"",IF(Tablas!$AK850="Básica",INDEX(Tablas!$AF$860:$AF$862,AG59),IF(Tablas!$AK850="Avanzada",INDEX(Tablas!$AG$860:$AG$861,AG59),"")),"")),"")</f>
        <v/>
      </c>
      <c r="M59" s="1503"/>
      <c r="N59" s="1989" t="str">
        <f>IFERROR(IF(NOT(Tablas!$AK$848),INDEX(Tablas!AP850:AR850,1,Tablas!AN850),IF(O59&lt;&gt;"",IF(Tablas!$AK850="Básica",INDEX(Tablas!$AF$860:$AF$862,AH59),IF(Tablas!$AK850="Avanzada",INDEX(Tablas!$AG$860:$AG$861,AH59),"")),"")),"")</f>
        <v/>
      </c>
      <c r="O59" s="1503"/>
      <c r="P59" s="54" t="str">
        <f>IFERROR(IF(NOT(Tablas!$AK$848),INDEX(Tablas!AR850:AT850,1,Tablas!AP850),IF(Q59&lt;&gt;"",IF(Tablas!$AK850="Básica",INDEX(Tablas!$AF$860:$AF$862,AI59),IF(Tablas!$AK850="Avanzada",INDEX(Tablas!$AG$860:$AG$861,AI59),"")),"")),"")</f>
        <v/>
      </c>
      <c r="Q59" s="1503"/>
      <c r="R59" s="54" t="str">
        <f>IFERROR(IF(NOT(Tablas!$AK$848),INDEX(Tablas!AT850:AV850,1,Tablas!AR850),IF(S59&lt;&gt;"",IF(Tablas!$AK850="Básica",INDEX(Tablas!$AF$860:$AF$862,AJ59),IF(Tablas!$AK850="Avanzada",INDEX(Tablas!$AG$860:$AG$861,AJ59),"")),"")),"")</f>
        <v/>
      </c>
      <c r="S59" s="1503"/>
      <c r="T59" s="54" t="str">
        <f>IFERROR(IF(NOT(Tablas!$AK$848),INDEX(Tablas!AV850:AX850,1,Tablas!AT850),IF(U59&lt;&gt;"",IF(Tablas!$AK850="Básica",INDEX(Tablas!$AF$860:$AF$862,AK59),IF(Tablas!$AK850="Avanzada",INDEX(Tablas!$AG$860:$AG$861,AK59),"")),"")),"")</f>
        <v/>
      </c>
      <c r="U59" s="1503"/>
      <c r="V59" s="3848" t="str">
        <f t="shared" ref="V59:V75" si="23">IF($AD59=0,"",IF(AF59&gt;1,"ARTE MARCIAL REPETIDA",IF(NOT(AL59),"ARTE MARCIAL SIN PAGAR",IF(VLOOKUP($AD59,Tabla_ArtesMarciales,23,FALSE)&lt;&gt;"-","FALTAN REQUISITOS",IF(VLOOKUP($AD59,Tabla_ArtesMarciales,16,FALSE)&gt;55,"Ver",VLOOKUP($AD59,Tabla_ArtesMarciales,11,FALSE))))))</f>
        <v/>
      </c>
      <c r="W59" s="3849"/>
      <c r="X59" s="3849"/>
      <c r="Y59" s="3849"/>
      <c r="Z59" s="3849"/>
      <c r="AA59" s="3850"/>
      <c r="AB59" s="1740"/>
      <c r="AC59" s="845"/>
      <c r="AD59" s="3044">
        <f>IF(OR(E59="",J59=""),,E59&amp;" ("&amp;J59&amp;")")</f>
        <v>0</v>
      </c>
      <c r="AE59" s="3061" t="str">
        <f>Tablas!$AK850</f>
        <v/>
      </c>
      <c r="AF59" s="3044">
        <f>COUNTIF($E$59:$E59,E59)</f>
        <v>0</v>
      </c>
      <c r="AG59" s="3069">
        <f>Tablas!$AQ850</f>
        <v>1</v>
      </c>
      <c r="AH59" s="3069">
        <f>Tablas!$AV850</f>
        <v>1</v>
      </c>
      <c r="AI59" s="3069">
        <f>Tablas!$BA850</f>
        <v>1</v>
      </c>
      <c r="AJ59" s="3069">
        <f>Tablas!$BF850</f>
        <v>1</v>
      </c>
      <c r="AK59" s="3069">
        <f>Tablas!$BK850</f>
        <v>1</v>
      </c>
      <c r="AL59" s="1737" t="b">
        <f>Tablas!BL850=1</f>
        <v>0</v>
      </c>
      <c r="AM59" s="3055"/>
      <c r="AN59" s="3055"/>
      <c r="AO59" s="3055"/>
      <c r="AP59" s="3055"/>
      <c r="AQ59" s="1737"/>
      <c r="AR59" s="1737"/>
      <c r="AS59" s="1737"/>
      <c r="AT59" s="1737"/>
      <c r="AU59" s="1737"/>
      <c r="AV59" s="1737"/>
    </row>
    <row r="60" spans="1:48" ht="12" customHeight="1" x14ac:dyDescent="0.2">
      <c r="A60" s="9"/>
      <c r="B60" s="822"/>
      <c r="C60" s="3929"/>
      <c r="D60" s="3988"/>
      <c r="E60" s="3750"/>
      <c r="F60" s="3751"/>
      <c r="G60" s="3751"/>
      <c r="H60" s="3751"/>
      <c r="I60" s="3752"/>
      <c r="J60" s="3901"/>
      <c r="K60" s="3902"/>
      <c r="L60" s="1827" t="str">
        <f>IFERROR(IF(NOT(Tablas!$AK$848),INDEX(Tablas!$AN851:$AP851,1,Tablas!AL851),IF(M60&lt;&gt;"",IF(Tablas!$AK851="Básica",INDEX(Tablas!$AF$860:$AF$862,AG60),IF(Tablas!$AK851="Avanzada",INDEX(Tablas!$AG$860:$AG$861,AG60),"")),"")),"")</f>
        <v/>
      </c>
      <c r="M60" s="1485"/>
      <c r="N60" s="1984" t="str">
        <f>IFERROR(IF(NOT(Tablas!$AK$848),INDEX(Tablas!AP851:AR851,1,Tablas!AN851),IF(O60&lt;&gt;"",IF(Tablas!$AK851="Básica",INDEX(Tablas!$AF$860:$AF$862,AH60),IF(Tablas!$AK851="Avanzada",INDEX(Tablas!$AG$860:$AG$861,AH60),"")),"")),"")</f>
        <v/>
      </c>
      <c r="O60" s="1485"/>
      <c r="P60" s="1843" t="str">
        <f>IFERROR(IF(NOT(Tablas!$AK$848),INDEX(Tablas!AR851:AT851,1,Tablas!AP851),IF(Q60&lt;&gt;"",IF(Tablas!$AK851="Básica",INDEX(Tablas!$AF$860:$AF$862,AI60),IF(Tablas!$AK851="Avanzada",INDEX(Tablas!$AG$860:$AG$861,AI60),"")),"")),"")</f>
        <v/>
      </c>
      <c r="Q60" s="1485"/>
      <c r="R60" s="1843" t="str">
        <f>IFERROR(IF(NOT(Tablas!$AK$848),INDEX(Tablas!AT851:AV851,1,Tablas!AR851),IF(S60&lt;&gt;"",IF(Tablas!$AK851="Básica",INDEX(Tablas!$AF$860:$AF$862,AJ60),IF(Tablas!$AK851="Avanzada",INDEX(Tablas!$AG$860:$AG$861,AJ60),"")),"")),"")</f>
        <v/>
      </c>
      <c r="S60" s="1485"/>
      <c r="T60" s="1843" t="str">
        <f>IFERROR(IF(NOT(Tablas!$AK$848),INDEX(Tablas!AV851:AX851,1,Tablas!AT851),IF(U60&lt;&gt;"",IF(Tablas!$AK851="Básica",INDEX(Tablas!$AF$860:$AF$862,AK60),IF(Tablas!$AK851="Avanzada",INDEX(Tablas!$AG$860:$AG$861,AK60),"")),"")),"")</f>
        <v/>
      </c>
      <c r="U60" s="1485"/>
      <c r="V60" s="3788" t="str">
        <f t="shared" si="23"/>
        <v/>
      </c>
      <c r="W60" s="3789"/>
      <c r="X60" s="3789"/>
      <c r="Y60" s="3789"/>
      <c r="Z60" s="3789"/>
      <c r="AA60" s="3790"/>
      <c r="AB60" s="1740"/>
      <c r="AC60" s="845"/>
      <c r="AD60" s="3044">
        <f t="shared" ref="AD60:AD77" si="24">IF(OR(E60="",J60=""),,E60&amp;" ("&amp;J60&amp;")")</f>
        <v>0</v>
      </c>
      <c r="AE60" s="3061" t="str">
        <f>Tablas!$AK851</f>
        <v/>
      </c>
      <c r="AF60" s="3044">
        <f>COUNTIF($E$59:$E60,E60)</f>
        <v>0</v>
      </c>
      <c r="AG60" s="3069">
        <f>Tablas!$AQ851</f>
        <v>1</v>
      </c>
      <c r="AH60" s="3069">
        <f>Tablas!$AV851</f>
        <v>1</v>
      </c>
      <c r="AI60" s="3069">
        <f>Tablas!$BA851</f>
        <v>1</v>
      </c>
      <c r="AJ60" s="3069">
        <f>Tablas!$BF851</f>
        <v>1</v>
      </c>
      <c r="AK60" s="3069">
        <f>Tablas!$BK851</f>
        <v>1</v>
      </c>
      <c r="AL60" s="1737" t="b">
        <f>Tablas!BL851=1</f>
        <v>0</v>
      </c>
      <c r="AM60" s="3055"/>
      <c r="AN60" s="3055"/>
      <c r="AO60" s="3055"/>
      <c r="AP60" s="3055"/>
      <c r="AQ60" s="1737"/>
      <c r="AR60" s="1737"/>
      <c r="AS60" s="1737"/>
      <c r="AT60" s="1737"/>
      <c r="AU60" s="1737"/>
      <c r="AV60" s="1737"/>
    </row>
    <row r="61" spans="1:48" ht="12" customHeight="1" x14ac:dyDescent="0.2">
      <c r="A61" s="9"/>
      <c r="B61" s="822"/>
      <c r="C61" s="3929"/>
      <c r="D61" s="3988"/>
      <c r="E61" s="3821"/>
      <c r="F61" s="3822"/>
      <c r="G61" s="3822"/>
      <c r="H61" s="3822"/>
      <c r="I61" s="3823"/>
      <c r="J61" s="3824"/>
      <c r="K61" s="3825"/>
      <c r="L61" s="507" t="str">
        <f>IFERROR(IF(NOT(Tablas!$AK$848),INDEX(Tablas!$AN852:$AP852,1,Tablas!AL852),IF(M61&lt;&gt;"",IF(Tablas!$AK852="Básica",INDEX(Tablas!$AF$860:$AF$862,AG61),IF(Tablas!$AK852="Avanzada",INDEX(Tablas!$AG$860:$AG$861,AG61),"")),"")),"")</f>
        <v/>
      </c>
      <c r="M61" s="1503"/>
      <c r="N61" s="1989" t="str">
        <f>IFERROR(IF(NOT(Tablas!$AK$848),INDEX(Tablas!AP852:AR852,1,Tablas!AN852),IF(O61&lt;&gt;"",IF(Tablas!$AK852="Básica",INDEX(Tablas!$AF$860:$AF$862,AH61),IF(Tablas!$AK852="Avanzada",INDEX(Tablas!$AG$860:$AG$861,AH61),"")),"")),"")</f>
        <v/>
      </c>
      <c r="O61" s="1503"/>
      <c r="P61" s="54" t="str">
        <f>IFERROR(IF(NOT(Tablas!$AK$848),INDEX(Tablas!AR852:AT852,1,Tablas!AP852),IF(Q61&lt;&gt;"",IF(Tablas!$AK852="Básica",INDEX(Tablas!$AF$860:$AF$862,AI61),IF(Tablas!$AK852="Avanzada",INDEX(Tablas!$AG$860:$AG$861,AI61),"")),"")),"")</f>
        <v/>
      </c>
      <c r="Q61" s="1503"/>
      <c r="R61" s="54" t="str">
        <f>IFERROR(IF(NOT(Tablas!$AK$848),INDEX(Tablas!AT852:AV852,1,Tablas!AR852),IF(S61&lt;&gt;"",IF(Tablas!$AK852="Básica",INDEX(Tablas!$AF$860:$AF$862,AJ61),IF(Tablas!$AK852="Avanzada",INDEX(Tablas!$AG$860:$AG$861,AJ61),"")),"")),"")</f>
        <v/>
      </c>
      <c r="S61" s="1503"/>
      <c r="T61" s="54" t="str">
        <f>IFERROR(IF(NOT(Tablas!$AK$848),INDEX(Tablas!AV852:AX852,1,Tablas!AT852),IF(U61&lt;&gt;"",IF(Tablas!$AK852="Básica",INDEX(Tablas!$AF$860:$AF$862,AK61),IF(Tablas!$AK852="Avanzada",INDEX(Tablas!$AG$860:$AG$861,AK61),"")),"")),"")</f>
        <v/>
      </c>
      <c r="U61" s="1503"/>
      <c r="V61" s="3791" t="str">
        <f t="shared" si="23"/>
        <v/>
      </c>
      <c r="W61" s="3792"/>
      <c r="X61" s="3792"/>
      <c r="Y61" s="3792"/>
      <c r="Z61" s="3792"/>
      <c r="AA61" s="3793"/>
      <c r="AB61" s="1740"/>
      <c r="AC61" s="845"/>
      <c r="AD61" s="3044">
        <f t="shared" si="24"/>
        <v>0</v>
      </c>
      <c r="AE61" s="3061" t="str">
        <f>Tablas!$AK852</f>
        <v/>
      </c>
      <c r="AF61" s="3044">
        <f>COUNTIF($E$59:$E61,E61)</f>
        <v>0</v>
      </c>
      <c r="AG61" s="3069">
        <f>Tablas!$AQ852</f>
        <v>1</v>
      </c>
      <c r="AH61" s="3069">
        <f>Tablas!$AV852</f>
        <v>1</v>
      </c>
      <c r="AI61" s="3069">
        <f>Tablas!$BA852</f>
        <v>1</v>
      </c>
      <c r="AJ61" s="3069">
        <f>Tablas!$BF852</f>
        <v>1</v>
      </c>
      <c r="AK61" s="3069">
        <f>Tablas!$BK852</f>
        <v>1</v>
      </c>
      <c r="AL61" s="1737" t="b">
        <f>Tablas!BL852=1</f>
        <v>0</v>
      </c>
      <c r="AM61" s="3055"/>
      <c r="AN61" s="3055"/>
      <c r="AO61" s="3055"/>
      <c r="AP61" s="3055"/>
      <c r="AQ61" s="1737"/>
      <c r="AR61" s="1737"/>
      <c r="AS61" s="1737"/>
      <c r="AT61" s="1737"/>
      <c r="AU61" s="1737"/>
      <c r="AV61" s="1737"/>
    </row>
    <row r="62" spans="1:48" ht="12" customHeight="1" x14ac:dyDescent="0.2">
      <c r="A62" s="9"/>
      <c r="B62" s="822"/>
      <c r="C62" s="3929"/>
      <c r="D62" s="3988"/>
      <c r="E62" s="3750"/>
      <c r="F62" s="3751"/>
      <c r="G62" s="3751"/>
      <c r="H62" s="3751"/>
      <c r="I62" s="3752"/>
      <c r="J62" s="3901"/>
      <c r="K62" s="3902"/>
      <c r="L62" s="1827" t="str">
        <f>IFERROR(IF(NOT(Tablas!$AK$848),INDEX(Tablas!$AN853:$AP853,1,Tablas!AL853),IF(M62&lt;&gt;"",IF(Tablas!$AK853="Básica",INDEX(Tablas!$AF$860:$AF$862,AG62),IF(Tablas!$AK853="Avanzada",INDEX(Tablas!$AG$860:$AG$861,AG62),"")),"")),"")</f>
        <v/>
      </c>
      <c r="M62" s="1485"/>
      <c r="N62" s="1984" t="str">
        <f>IFERROR(IF(NOT(Tablas!$AK$848),INDEX(Tablas!AP853:AR853,1,Tablas!AN853),IF(O62&lt;&gt;"",IF(Tablas!$AK853="Básica",INDEX(Tablas!$AF$860:$AF$862,AH62),IF(Tablas!$AK853="Avanzada",INDEX(Tablas!$AG$860:$AG$861,AH62),"")),"")),"")</f>
        <v/>
      </c>
      <c r="O62" s="1485"/>
      <c r="P62" s="1843" t="str">
        <f>IFERROR(IF(NOT(Tablas!$AK$848),INDEX(Tablas!AR853:AT853,1,Tablas!AP853),IF(Q62&lt;&gt;"",IF(Tablas!$AK853="Básica",INDEX(Tablas!$AF$860:$AF$862,AI62),IF(Tablas!$AK853="Avanzada",INDEX(Tablas!$AG$860:$AG$861,AI62),"")),"")),"")</f>
        <v/>
      </c>
      <c r="Q62" s="1485"/>
      <c r="R62" s="1843" t="str">
        <f>IFERROR(IF(NOT(Tablas!$AK$848),INDEX(Tablas!AT853:AV853,1,Tablas!AR853),IF(S62&lt;&gt;"",IF(Tablas!$AK853="Básica",INDEX(Tablas!$AF$860:$AF$862,AJ62),IF(Tablas!$AK853="Avanzada",INDEX(Tablas!$AG$860:$AG$861,AJ62),"")),"")),"")</f>
        <v/>
      </c>
      <c r="S62" s="1485"/>
      <c r="T62" s="1843" t="str">
        <f>IFERROR(IF(NOT(Tablas!$AK$848),INDEX(Tablas!AV853:AX853,1,Tablas!AT853),IF(U62&lt;&gt;"",IF(Tablas!$AK853="Básica",INDEX(Tablas!$AF$860:$AF$862,AK62),IF(Tablas!$AK853="Avanzada",INDEX(Tablas!$AG$860:$AG$861,AK62),"")),"")),"")</f>
        <v/>
      </c>
      <c r="U62" s="1485"/>
      <c r="V62" s="3788" t="str">
        <f t="shared" si="23"/>
        <v/>
      </c>
      <c r="W62" s="3789"/>
      <c r="X62" s="3789"/>
      <c r="Y62" s="3789"/>
      <c r="Z62" s="3789"/>
      <c r="AA62" s="3790"/>
      <c r="AB62" s="1740"/>
      <c r="AC62" s="845"/>
      <c r="AD62" s="3044">
        <f t="shared" si="24"/>
        <v>0</v>
      </c>
      <c r="AE62" s="3061" t="str">
        <f>Tablas!$AK853</f>
        <v/>
      </c>
      <c r="AF62" s="3044">
        <f>COUNTIF($E$59:$E62,E62)</f>
        <v>0</v>
      </c>
      <c r="AG62" s="3069">
        <f>Tablas!$AQ853</f>
        <v>1</v>
      </c>
      <c r="AH62" s="3069">
        <f>Tablas!$AV853</f>
        <v>1</v>
      </c>
      <c r="AI62" s="3069">
        <f>Tablas!$BA853</f>
        <v>1</v>
      </c>
      <c r="AJ62" s="3069">
        <f>Tablas!$BF853</f>
        <v>1</v>
      </c>
      <c r="AK62" s="3069">
        <f>Tablas!$BK853</f>
        <v>1</v>
      </c>
      <c r="AL62" s="1737" t="b">
        <f>Tablas!BL853=1</f>
        <v>0</v>
      </c>
      <c r="AM62" s="3055"/>
      <c r="AN62" s="3055"/>
      <c r="AO62" s="3055"/>
      <c r="AP62" s="3055"/>
      <c r="AQ62" s="1737"/>
      <c r="AR62" s="1737"/>
      <c r="AS62" s="1737"/>
      <c r="AT62" s="1737"/>
      <c r="AU62" s="1737"/>
      <c r="AV62" s="1737"/>
    </row>
    <row r="63" spans="1:48" ht="12" customHeight="1" x14ac:dyDescent="0.2">
      <c r="A63" s="9"/>
      <c r="B63" s="822"/>
      <c r="C63" s="3929"/>
      <c r="D63" s="3988"/>
      <c r="E63" s="3821"/>
      <c r="F63" s="3822"/>
      <c r="G63" s="3822"/>
      <c r="H63" s="3822"/>
      <c r="I63" s="3823"/>
      <c r="J63" s="3824"/>
      <c r="K63" s="3825"/>
      <c r="L63" s="507" t="str">
        <f>IFERROR(IF(NOT(Tablas!$AK$848),INDEX(Tablas!$AN854:$AP854,1,Tablas!AL854),IF(M63&lt;&gt;"",IF(Tablas!$AK854="Básica",INDEX(Tablas!$AF$860:$AF$862,AG63),IF(Tablas!$AK854="Avanzada",INDEX(Tablas!$AG$860:$AG$861,AG63),"")),"")),"")</f>
        <v/>
      </c>
      <c r="M63" s="1503"/>
      <c r="N63" s="1989" t="str">
        <f>IFERROR(IF(NOT(Tablas!$AK$848),INDEX(Tablas!AP854:AR854,1,Tablas!AN854),IF(O63&lt;&gt;"",IF(Tablas!$AK854="Básica",INDEX(Tablas!$AF$860:$AF$862,AH63),IF(Tablas!$AK854="Avanzada",INDEX(Tablas!$AG$860:$AG$861,AH63),"")),"")),"")</f>
        <v/>
      </c>
      <c r="O63" s="1503"/>
      <c r="P63" s="54" t="str">
        <f>IFERROR(IF(NOT(Tablas!$AK$848),INDEX(Tablas!AR854:AT854,1,Tablas!AP854),IF(Q63&lt;&gt;"",IF(Tablas!$AK854="Básica",INDEX(Tablas!$AF$860:$AF$862,AI63),IF(Tablas!$AK854="Avanzada",INDEX(Tablas!$AG$860:$AG$861,AI63),"")),"")),"")</f>
        <v/>
      </c>
      <c r="Q63" s="1503"/>
      <c r="R63" s="54" t="str">
        <f>IFERROR(IF(NOT(Tablas!$AK$848),INDEX(Tablas!AT854:AV854,1,Tablas!AR854),IF(S63&lt;&gt;"",IF(Tablas!$AK854="Básica",INDEX(Tablas!$AF$860:$AF$862,AJ63),IF(Tablas!$AK854="Avanzada",INDEX(Tablas!$AG$860:$AG$861,AJ63),"")),"")),"")</f>
        <v/>
      </c>
      <c r="S63" s="1503"/>
      <c r="T63" s="54" t="str">
        <f>IFERROR(IF(NOT(Tablas!$AK$848),INDEX(Tablas!AV854:AX854,1,Tablas!AT854),IF(U63&lt;&gt;"",IF(Tablas!$AK854="Básica",INDEX(Tablas!$AF$860:$AF$862,AK63),IF(Tablas!$AK854="Avanzada",INDEX(Tablas!$AG$860:$AG$861,AK63),"")),"")),"")</f>
        <v/>
      </c>
      <c r="U63" s="1503"/>
      <c r="V63" s="3791" t="str">
        <f t="shared" si="23"/>
        <v/>
      </c>
      <c r="W63" s="3792"/>
      <c r="X63" s="3792"/>
      <c r="Y63" s="3792"/>
      <c r="Z63" s="3792"/>
      <c r="AA63" s="3793"/>
      <c r="AB63" s="1740"/>
      <c r="AC63" s="845"/>
      <c r="AD63" s="3044">
        <f t="shared" si="24"/>
        <v>0</v>
      </c>
      <c r="AE63" s="3061" t="str">
        <f>Tablas!$AK854</f>
        <v/>
      </c>
      <c r="AF63" s="3044">
        <f>COUNTIF($E$59:$E63,E63)</f>
        <v>0</v>
      </c>
      <c r="AG63" s="3069">
        <f>Tablas!$AQ854</f>
        <v>1</v>
      </c>
      <c r="AH63" s="3069">
        <f>Tablas!$AV854</f>
        <v>1</v>
      </c>
      <c r="AI63" s="3069">
        <f>Tablas!$BA854</f>
        <v>1</v>
      </c>
      <c r="AJ63" s="3069">
        <f>Tablas!$BF854</f>
        <v>1</v>
      </c>
      <c r="AK63" s="3069">
        <f>Tablas!$BK854</f>
        <v>1</v>
      </c>
      <c r="AL63" s="1737" t="b">
        <f>Tablas!BL854=1</f>
        <v>0</v>
      </c>
      <c r="AM63" s="3055"/>
      <c r="AN63" s="3055"/>
      <c r="AO63" s="3055"/>
      <c r="AP63" s="3055"/>
      <c r="AQ63" s="1737"/>
      <c r="AR63" s="1737"/>
      <c r="AS63" s="1737"/>
      <c r="AT63" s="1737"/>
      <c r="AU63" s="1737"/>
      <c r="AV63" s="1737"/>
    </row>
    <row r="64" spans="1:48" ht="12" customHeight="1" x14ac:dyDescent="0.2">
      <c r="A64" s="9"/>
      <c r="B64" s="822"/>
      <c r="C64" s="3929"/>
      <c r="D64" s="3988"/>
      <c r="E64" s="3750"/>
      <c r="F64" s="3751"/>
      <c r="G64" s="3751"/>
      <c r="H64" s="3751"/>
      <c r="I64" s="3752"/>
      <c r="J64" s="3901"/>
      <c r="K64" s="3902"/>
      <c r="L64" s="1827" t="str">
        <f>IFERROR(IF(NOT(Tablas!$AK$848),INDEX(Tablas!$AN855:$AP855,1,Tablas!AL855),IF(M64&lt;&gt;"",IF(Tablas!$AK855="Básica",INDEX(Tablas!$AF$860:$AF$862,AG64),IF(Tablas!$AK855="Avanzada",INDEX(Tablas!$AG$860:$AG$861,AG64),"")),"")),"")</f>
        <v/>
      </c>
      <c r="M64" s="1485"/>
      <c r="N64" s="1984" t="str">
        <f>IFERROR(IF(NOT(Tablas!$AK$848),INDEX(Tablas!AP855:AR855,1,Tablas!AN855),IF(O64&lt;&gt;"",IF(Tablas!$AK855="Básica",INDEX(Tablas!$AF$860:$AF$862,AH64),IF(Tablas!$AK855="Avanzada",INDEX(Tablas!$AG$860:$AG$861,AH64),"")),"")),"")</f>
        <v/>
      </c>
      <c r="O64" s="1485"/>
      <c r="P64" s="1843" t="str">
        <f>IFERROR(IF(NOT(Tablas!$AK$848),INDEX(Tablas!AR855:AT855,1,Tablas!AP855),IF(Q64&lt;&gt;"",IF(Tablas!$AK855="Básica",INDEX(Tablas!$AF$860:$AF$862,AI64),IF(Tablas!$AK855="Avanzada",INDEX(Tablas!$AG$860:$AG$861,AI64),"")),"")),"")</f>
        <v/>
      </c>
      <c r="Q64" s="1485"/>
      <c r="R64" s="1843" t="str">
        <f>IFERROR(IF(NOT(Tablas!$AK$848),INDEX(Tablas!AT855:AV855,1,Tablas!AR855),IF(S64&lt;&gt;"",IF(Tablas!$AK855="Básica",INDEX(Tablas!$AF$860:$AF$862,AJ64),IF(Tablas!$AK855="Avanzada",INDEX(Tablas!$AG$860:$AG$861,AJ64),"")),"")),"")</f>
        <v/>
      </c>
      <c r="S64" s="1485"/>
      <c r="T64" s="1843" t="str">
        <f>IFERROR(IF(NOT(Tablas!$AK$848),INDEX(Tablas!AV855:AX855,1,Tablas!AT855),IF(U64&lt;&gt;"",IF(Tablas!$AK855="Básica",INDEX(Tablas!$AF$860:$AF$862,AK64),IF(Tablas!$AK855="Avanzada",INDEX(Tablas!$AG$860:$AG$861,AK64),"")),"")),"")</f>
        <v/>
      </c>
      <c r="U64" s="1485"/>
      <c r="V64" s="3788" t="str">
        <f t="shared" si="23"/>
        <v/>
      </c>
      <c r="W64" s="3789"/>
      <c r="X64" s="3789"/>
      <c r="Y64" s="3789"/>
      <c r="Z64" s="3789"/>
      <c r="AA64" s="3790"/>
      <c r="AB64" s="1743"/>
      <c r="AC64" s="845"/>
      <c r="AD64" s="3044">
        <f t="shared" si="24"/>
        <v>0</v>
      </c>
      <c r="AE64" s="3061" t="str">
        <f>Tablas!$AK855</f>
        <v/>
      </c>
      <c r="AF64" s="3044">
        <f>COUNTIF($E$59:$E64,E64)</f>
        <v>0</v>
      </c>
      <c r="AG64" s="3069">
        <f>Tablas!$AQ855</f>
        <v>1</v>
      </c>
      <c r="AH64" s="3069">
        <f>Tablas!$AV855</f>
        <v>1</v>
      </c>
      <c r="AI64" s="3069">
        <f>Tablas!$BA855</f>
        <v>1</v>
      </c>
      <c r="AJ64" s="3069">
        <f>Tablas!$BF855</f>
        <v>1</v>
      </c>
      <c r="AK64" s="3069">
        <f>Tablas!$BK855</f>
        <v>1</v>
      </c>
      <c r="AL64" s="1737" t="b">
        <f>Tablas!BL855=1</f>
        <v>0</v>
      </c>
      <c r="AM64" s="3055"/>
      <c r="AN64" s="3055"/>
      <c r="AO64" s="3055"/>
      <c r="AP64" s="3055"/>
      <c r="AQ64" s="1737"/>
      <c r="AR64" s="1737"/>
      <c r="AS64" s="1737"/>
      <c r="AT64" s="1737"/>
      <c r="AU64" s="1737"/>
      <c r="AV64" s="1737"/>
    </row>
    <row r="65" spans="1:48" ht="12" customHeight="1" x14ac:dyDescent="0.2">
      <c r="A65" s="9"/>
      <c r="B65" s="822"/>
      <c r="C65" s="3929"/>
      <c r="D65" s="3988"/>
      <c r="E65" s="3821"/>
      <c r="F65" s="3822"/>
      <c r="G65" s="3822"/>
      <c r="H65" s="3822"/>
      <c r="I65" s="3823"/>
      <c r="J65" s="3824"/>
      <c r="K65" s="3825"/>
      <c r="L65" s="507" t="str">
        <f>IFERROR(IF(NOT(Tablas!$AK$848),INDEX(Tablas!$AN856:$AP856,1,Tablas!AL856),IF(M65&lt;&gt;"",IF(Tablas!$AK856="Básica",INDEX(Tablas!$AF$860:$AF$862,AG65),IF(Tablas!$AK856="Avanzada",INDEX(Tablas!$AG$860:$AG$861,AG65),"")),"")),"")</f>
        <v/>
      </c>
      <c r="M65" s="1503"/>
      <c r="N65" s="1989" t="str">
        <f>IFERROR(IF(NOT(Tablas!$AK$848),INDEX(Tablas!AP856:AR856,1,Tablas!AN856),IF(O65&lt;&gt;"",IF(Tablas!$AK856="Básica",INDEX(Tablas!$AF$860:$AF$862,AH65),IF(Tablas!$AK856="Avanzada",INDEX(Tablas!$AG$860:$AG$861,AH65),"")),"")),"")</f>
        <v/>
      </c>
      <c r="O65" s="1503"/>
      <c r="P65" s="54" t="str">
        <f>IFERROR(IF(NOT(Tablas!$AK$848),INDEX(Tablas!AR856:AT856,1,Tablas!AP856),IF(Q65&lt;&gt;"",IF(Tablas!$AK856="Básica",INDEX(Tablas!$AF$860:$AF$862,AI65),IF(Tablas!$AK856="Avanzada",INDEX(Tablas!$AG$860:$AG$861,AI65),"")),"")),"")</f>
        <v/>
      </c>
      <c r="Q65" s="1503"/>
      <c r="R65" s="54" t="str">
        <f>IFERROR(IF(NOT(Tablas!$AK$848),INDEX(Tablas!AT856:AV856,1,Tablas!AR856),IF(S65&lt;&gt;"",IF(Tablas!$AK856="Básica",INDEX(Tablas!$AF$860:$AF$862,AJ65),IF(Tablas!$AK856="Avanzada",INDEX(Tablas!$AG$860:$AG$861,AJ65),"")),"")),"")</f>
        <v/>
      </c>
      <c r="S65" s="1503"/>
      <c r="T65" s="54" t="str">
        <f>IFERROR(IF(NOT(Tablas!$AK$848),INDEX(Tablas!AV856:AX856,1,Tablas!AT856),IF(U65&lt;&gt;"",IF(Tablas!$AK856="Básica",INDEX(Tablas!$AF$860:$AF$862,AK65),IF(Tablas!$AK856="Avanzada",INDEX(Tablas!$AG$860:$AG$861,AK65),"")),"")),"")</f>
        <v/>
      </c>
      <c r="U65" s="1503"/>
      <c r="V65" s="3791" t="str">
        <f t="shared" si="23"/>
        <v/>
      </c>
      <c r="W65" s="3792"/>
      <c r="X65" s="3792"/>
      <c r="Y65" s="3792"/>
      <c r="Z65" s="3792"/>
      <c r="AA65" s="3793"/>
      <c r="AB65" s="1740"/>
      <c r="AC65" s="845"/>
      <c r="AD65" s="3044">
        <f t="shared" si="24"/>
        <v>0</v>
      </c>
      <c r="AE65" s="3061" t="str">
        <f>Tablas!$AK856</f>
        <v/>
      </c>
      <c r="AF65" s="3044">
        <f>COUNTIF($E$59:$E65,E65)</f>
        <v>0</v>
      </c>
      <c r="AG65" s="3069">
        <f>Tablas!$AQ856</f>
        <v>1</v>
      </c>
      <c r="AH65" s="3069">
        <f>Tablas!$AV856</f>
        <v>1</v>
      </c>
      <c r="AI65" s="3069">
        <f>Tablas!$BA856</f>
        <v>1</v>
      </c>
      <c r="AJ65" s="3069">
        <f>Tablas!$BF856</f>
        <v>1</v>
      </c>
      <c r="AK65" s="3069">
        <f>Tablas!$BK856</f>
        <v>1</v>
      </c>
      <c r="AL65" s="1737" t="b">
        <f>Tablas!BL856=1</f>
        <v>0</v>
      </c>
      <c r="AM65" s="3055"/>
      <c r="AN65" s="3055"/>
      <c r="AO65" s="3055"/>
      <c r="AP65" s="3055"/>
      <c r="AQ65" s="1737"/>
      <c r="AR65" s="1737"/>
      <c r="AS65" s="1737"/>
      <c r="AT65" s="1737"/>
      <c r="AU65" s="1737"/>
      <c r="AV65" s="1737"/>
    </row>
    <row r="66" spans="1:48" ht="12" customHeight="1" x14ac:dyDescent="0.2">
      <c r="A66" s="9"/>
      <c r="B66" s="822"/>
      <c r="C66" s="3929"/>
      <c r="D66" s="3988"/>
      <c r="E66" s="3750"/>
      <c r="F66" s="3751"/>
      <c r="G66" s="3751"/>
      <c r="H66" s="3751"/>
      <c r="I66" s="3752"/>
      <c r="J66" s="3901"/>
      <c r="K66" s="3902"/>
      <c r="L66" s="1827" t="str">
        <f>IFERROR(IF(NOT(Tablas!$AK$848),INDEX(Tablas!$AN857:$AP857,1,Tablas!AL857),IF(M66&lt;&gt;"",IF(Tablas!$AK857="Básica",INDEX(Tablas!$AF$860:$AF$862,AG66),IF(Tablas!$AK857="Avanzada",INDEX(Tablas!$AG$860:$AG$861,AG66),"")),"")),"")</f>
        <v/>
      </c>
      <c r="M66" s="1485"/>
      <c r="N66" s="1984" t="str">
        <f>IFERROR(IF(NOT(Tablas!$AK$848),INDEX(Tablas!AP857:AR857,1,Tablas!AN857),IF(O66&lt;&gt;"",IF(Tablas!$AK857="Básica",INDEX(Tablas!$AF$860:$AF$862,AH66),IF(Tablas!$AK857="Avanzada",INDEX(Tablas!$AG$860:$AG$861,AH66),"")),"")),"")</f>
        <v/>
      </c>
      <c r="O66" s="1485"/>
      <c r="P66" s="1843" t="str">
        <f>IFERROR(IF(NOT(Tablas!$AK$848),INDEX(Tablas!AR857:AT857,1,Tablas!AP857),IF(Q66&lt;&gt;"",IF(Tablas!$AK857="Básica",INDEX(Tablas!$AF$860:$AF$862,AI66),IF(Tablas!$AK857="Avanzada",INDEX(Tablas!$AG$860:$AG$861,AI66),"")),"")),"")</f>
        <v/>
      </c>
      <c r="Q66" s="1485"/>
      <c r="R66" s="1843" t="str">
        <f>IFERROR(IF(NOT(Tablas!$AK$848),INDEX(Tablas!AT857:AV857,1,Tablas!AR857),IF(S66&lt;&gt;"",IF(Tablas!$AK857="Básica",INDEX(Tablas!$AF$860:$AF$862,AJ66),IF(Tablas!$AK857="Avanzada",INDEX(Tablas!$AG$860:$AG$861,AJ66),"")),"")),"")</f>
        <v/>
      </c>
      <c r="S66" s="1485"/>
      <c r="T66" s="1843" t="str">
        <f>IFERROR(IF(NOT(Tablas!$AK$848),INDEX(Tablas!AV857:AX857,1,Tablas!AT857),IF(U66&lt;&gt;"",IF(Tablas!$AK857="Básica",INDEX(Tablas!$AF$860:$AF$862,AK66),IF(Tablas!$AK857="Avanzada",INDEX(Tablas!$AG$860:$AG$861,AK66),"")),"")),"")</f>
        <v/>
      </c>
      <c r="U66" s="1485"/>
      <c r="V66" s="3788" t="str">
        <f t="shared" si="23"/>
        <v/>
      </c>
      <c r="W66" s="3789"/>
      <c r="X66" s="3789"/>
      <c r="Y66" s="3789"/>
      <c r="Z66" s="3789"/>
      <c r="AA66" s="3790"/>
      <c r="AB66" s="1744"/>
      <c r="AC66" s="845"/>
      <c r="AD66" s="3044">
        <f t="shared" si="24"/>
        <v>0</v>
      </c>
      <c r="AE66" s="3061" t="str">
        <f>Tablas!$AK857</f>
        <v/>
      </c>
      <c r="AF66" s="3044">
        <f>COUNTIF($E$59:$E66,E66)</f>
        <v>0</v>
      </c>
      <c r="AG66" s="3069">
        <f>Tablas!$AQ857</f>
        <v>1</v>
      </c>
      <c r="AH66" s="3069">
        <f>Tablas!$AV857</f>
        <v>1</v>
      </c>
      <c r="AI66" s="3069">
        <f>Tablas!$BA857</f>
        <v>1</v>
      </c>
      <c r="AJ66" s="3069">
        <f>Tablas!$BF857</f>
        <v>1</v>
      </c>
      <c r="AK66" s="3069">
        <f>Tablas!$BK857</f>
        <v>1</v>
      </c>
      <c r="AL66" s="1737" t="b">
        <f>Tablas!BL857=1</f>
        <v>0</v>
      </c>
      <c r="AM66" s="3055"/>
      <c r="AN66" s="3055"/>
      <c r="AO66" s="3055"/>
      <c r="AP66" s="3055"/>
      <c r="AQ66" s="1737"/>
      <c r="AR66" s="1737"/>
      <c r="AS66" s="1737"/>
      <c r="AT66" s="1737"/>
      <c r="AU66" s="1737"/>
      <c r="AV66" s="1737"/>
    </row>
    <row r="67" spans="1:48" ht="12" customHeight="1" x14ac:dyDescent="0.2">
      <c r="A67" s="9"/>
      <c r="B67" s="822"/>
      <c r="C67" s="3929"/>
      <c r="D67" s="3988"/>
      <c r="E67" s="3821"/>
      <c r="F67" s="3822"/>
      <c r="G67" s="3822"/>
      <c r="H67" s="3822"/>
      <c r="I67" s="3823"/>
      <c r="J67" s="3824"/>
      <c r="K67" s="3825"/>
      <c r="L67" s="507" t="str">
        <f>IFERROR(IF(NOT(Tablas!$AK$848),INDEX(Tablas!$AN858:$AP858,1,Tablas!AL858),IF(M67&lt;&gt;"",IF(Tablas!$AK858="Básica",INDEX(Tablas!$AF$860:$AF$862,AG67),IF(Tablas!$AK858="Avanzada",INDEX(Tablas!$AG$860:$AG$861,AG67),"")),"")),"")</f>
        <v/>
      </c>
      <c r="M67" s="1503"/>
      <c r="N67" s="1989" t="str">
        <f>IFERROR(IF(NOT(Tablas!$AK$848),INDEX(Tablas!AP858:AR858,1,Tablas!AN858),IF(O67&lt;&gt;"",IF(Tablas!$AK858="Básica",INDEX(Tablas!$AF$860:$AF$862,AH67),IF(Tablas!$AK858="Avanzada",INDEX(Tablas!$AG$860:$AG$861,AH67),"")),"")),"")</f>
        <v/>
      </c>
      <c r="O67" s="1503"/>
      <c r="P67" s="54" t="str">
        <f>IFERROR(IF(NOT(Tablas!$AK$848),INDEX(Tablas!AR858:AT858,1,Tablas!AP858),IF(Q67&lt;&gt;"",IF(Tablas!$AK858="Básica",INDEX(Tablas!$AF$860:$AF$862,AI67),IF(Tablas!$AK858="Avanzada",INDEX(Tablas!$AG$860:$AG$861,AI67),"")),"")),"")</f>
        <v/>
      </c>
      <c r="Q67" s="1503"/>
      <c r="R67" s="54" t="str">
        <f>IFERROR(IF(NOT(Tablas!$AK$848),INDEX(Tablas!AT858:AV858,1,Tablas!AR858),IF(S67&lt;&gt;"",IF(Tablas!$AK858="Básica",INDEX(Tablas!$AF$860:$AF$862,AJ67),IF(Tablas!$AK858="Avanzada",INDEX(Tablas!$AG$860:$AG$861,AJ67),"")),"")),"")</f>
        <v/>
      </c>
      <c r="S67" s="1503"/>
      <c r="T67" s="54" t="str">
        <f>IFERROR(IF(NOT(Tablas!$AK$848),INDEX(Tablas!AV858:AX858,1,Tablas!AT858),IF(U67&lt;&gt;"",IF(Tablas!$AK858="Básica",INDEX(Tablas!$AF$860:$AF$862,AK67),IF(Tablas!$AK858="Avanzada",INDEX(Tablas!$AG$860:$AG$861,AK67),"")),"")),"")</f>
        <v/>
      </c>
      <c r="U67" s="1503"/>
      <c r="V67" s="3791" t="str">
        <f t="shared" si="23"/>
        <v/>
      </c>
      <c r="W67" s="3792"/>
      <c r="X67" s="3792"/>
      <c r="Y67" s="3792"/>
      <c r="Z67" s="3792"/>
      <c r="AA67" s="3793"/>
      <c r="AB67" s="1744"/>
      <c r="AC67" s="845"/>
      <c r="AD67" s="3044">
        <f t="shared" si="24"/>
        <v>0</v>
      </c>
      <c r="AE67" s="3061" t="str">
        <f>Tablas!$AK858</f>
        <v/>
      </c>
      <c r="AF67" s="3044">
        <f>COUNTIF($E$59:$E67,E67)</f>
        <v>0</v>
      </c>
      <c r="AG67" s="3069">
        <f>Tablas!$AQ858</f>
        <v>1</v>
      </c>
      <c r="AH67" s="3069">
        <f>Tablas!$AV858</f>
        <v>1</v>
      </c>
      <c r="AI67" s="3069">
        <f>Tablas!$BA858</f>
        <v>1</v>
      </c>
      <c r="AJ67" s="3069">
        <f>Tablas!$BF858</f>
        <v>1</v>
      </c>
      <c r="AK67" s="3069">
        <f>Tablas!$BK858</f>
        <v>1</v>
      </c>
      <c r="AL67" s="1737" t="b">
        <f>Tablas!BL858=1</f>
        <v>0</v>
      </c>
      <c r="AM67" s="3055"/>
      <c r="AN67" s="3055"/>
      <c r="AO67" s="3055"/>
      <c r="AP67" s="3055"/>
      <c r="AQ67" s="1737"/>
      <c r="AR67" s="1737"/>
      <c r="AS67" s="1737"/>
      <c r="AT67" s="1737"/>
      <c r="AU67" s="1737"/>
      <c r="AV67" s="1737"/>
    </row>
    <row r="68" spans="1:48" ht="12" customHeight="1" x14ac:dyDescent="0.2">
      <c r="A68" s="9"/>
      <c r="B68" s="822"/>
      <c r="C68" s="3929"/>
      <c r="D68" s="3988"/>
      <c r="E68" s="3750"/>
      <c r="F68" s="3751"/>
      <c r="G68" s="3751"/>
      <c r="H68" s="3751"/>
      <c r="I68" s="3752"/>
      <c r="J68" s="3901"/>
      <c r="K68" s="3902"/>
      <c r="L68" s="1827" t="str">
        <f>IFERROR(IF(NOT(Tablas!$AK$848),INDEX(Tablas!$AN859:$AP859,1,Tablas!AL859),IF(M68&lt;&gt;"",IF(Tablas!$AK859="Básica",INDEX(Tablas!$AF$860:$AF$862,AG68),IF(Tablas!$AK859="Avanzada",INDEX(Tablas!$AG$860:$AG$861,AG68),"")),"")),"")</f>
        <v/>
      </c>
      <c r="M68" s="1485"/>
      <c r="N68" s="1984" t="str">
        <f>IFERROR(IF(NOT(Tablas!$AK$848),INDEX(Tablas!AP859:AR859,1,Tablas!AN859),IF(O68&lt;&gt;"",IF(Tablas!$AK859="Básica",INDEX(Tablas!$AF$860:$AF$862,AH68),IF(Tablas!$AK859="Avanzada",INDEX(Tablas!$AG$860:$AG$861,AH68),"")),"")),"")</f>
        <v/>
      </c>
      <c r="O68" s="1485"/>
      <c r="P68" s="1843" t="str">
        <f>IFERROR(IF(NOT(Tablas!$AK$848),INDEX(Tablas!AR859:AT859,1,Tablas!AP859),IF(Q68&lt;&gt;"",IF(Tablas!$AK859="Básica",INDEX(Tablas!$AF$860:$AF$862,AI68),IF(Tablas!$AK859="Avanzada",INDEX(Tablas!$AG$860:$AG$861,AI68),"")),"")),"")</f>
        <v/>
      </c>
      <c r="Q68" s="1485"/>
      <c r="R68" s="1843" t="str">
        <f>IFERROR(IF(NOT(Tablas!$AK$848),INDEX(Tablas!AT859:AV859,1,Tablas!AR859),IF(S68&lt;&gt;"",IF(Tablas!$AK859="Básica",INDEX(Tablas!$AF$860:$AF$862,AJ68),IF(Tablas!$AK859="Avanzada",INDEX(Tablas!$AG$860:$AG$861,AJ68),"")),"")),"")</f>
        <v/>
      </c>
      <c r="S68" s="1485"/>
      <c r="T68" s="1843" t="str">
        <f>IFERROR(IF(NOT(Tablas!$AK$848),INDEX(Tablas!AV859:AX859,1,Tablas!AT859),IF(U68&lt;&gt;"",IF(Tablas!$AK859="Básica",INDEX(Tablas!$AF$860:$AF$862,AK68),IF(Tablas!$AK859="Avanzada",INDEX(Tablas!$AG$860:$AG$861,AK68),"")),"")),"")</f>
        <v/>
      </c>
      <c r="U68" s="1485"/>
      <c r="V68" s="3788" t="str">
        <f t="shared" si="23"/>
        <v/>
      </c>
      <c r="W68" s="3789"/>
      <c r="X68" s="3789"/>
      <c r="Y68" s="3789"/>
      <c r="Z68" s="3789"/>
      <c r="AA68" s="3790"/>
      <c r="AB68" s="1744"/>
      <c r="AC68" s="845"/>
      <c r="AD68" s="3044">
        <f t="shared" si="24"/>
        <v>0</v>
      </c>
      <c r="AE68" s="3061" t="str">
        <f>Tablas!$AK859</f>
        <v/>
      </c>
      <c r="AF68" s="3044">
        <f>COUNTIF($E$59:$E68,E68)</f>
        <v>0</v>
      </c>
      <c r="AG68" s="3069">
        <f>Tablas!$AQ859</f>
        <v>1</v>
      </c>
      <c r="AH68" s="3069">
        <f>Tablas!$AV859</f>
        <v>1</v>
      </c>
      <c r="AI68" s="3069">
        <f>Tablas!$BA859</f>
        <v>1</v>
      </c>
      <c r="AJ68" s="3069">
        <f>Tablas!$BF859</f>
        <v>1</v>
      </c>
      <c r="AK68" s="3069">
        <f>Tablas!$BK859</f>
        <v>1</v>
      </c>
      <c r="AL68" s="1737" t="b">
        <f>Tablas!BL859=1</f>
        <v>0</v>
      </c>
      <c r="AM68" s="3055"/>
      <c r="AN68" s="3055"/>
      <c r="AO68" s="3055"/>
      <c r="AP68" s="3055"/>
      <c r="AQ68" s="1737"/>
      <c r="AR68" s="1737"/>
      <c r="AS68" s="1737"/>
      <c r="AT68" s="1737"/>
      <c r="AU68" s="1737"/>
      <c r="AV68" s="1737"/>
    </row>
    <row r="69" spans="1:48" ht="12" customHeight="1" x14ac:dyDescent="0.2">
      <c r="A69" s="9"/>
      <c r="B69" s="822"/>
      <c r="C69" s="3929"/>
      <c r="D69" s="3988"/>
      <c r="E69" s="3821"/>
      <c r="F69" s="3822"/>
      <c r="G69" s="3822"/>
      <c r="H69" s="3822"/>
      <c r="I69" s="3823"/>
      <c r="J69" s="3824"/>
      <c r="K69" s="3825"/>
      <c r="L69" s="507" t="str">
        <f>IFERROR(IF(NOT(Tablas!$AK$848),INDEX(Tablas!$AN860:$AP860,1,Tablas!AL860),IF(M69&lt;&gt;"",IF(Tablas!$AK860="Básica",INDEX(Tablas!$AF$860:$AF$862,AG69),IF(Tablas!$AK860="Avanzada",INDEX(Tablas!$AG$860:$AG$861,AG69),"")),"")),"")</f>
        <v/>
      </c>
      <c r="M69" s="1503"/>
      <c r="N69" s="1989" t="str">
        <f>IFERROR(IF(NOT(Tablas!$AK$848),INDEX(Tablas!AP860:AR860,1,Tablas!AN860),IF(O69&lt;&gt;"",IF(Tablas!$AK860="Básica",INDEX(Tablas!$AF$860:$AF$862,AH69),IF(Tablas!$AK860="Avanzada",INDEX(Tablas!$AG$860:$AG$861,AH69),"")),"")),"")</f>
        <v/>
      </c>
      <c r="O69" s="1503"/>
      <c r="P69" s="54" t="str">
        <f>IFERROR(IF(NOT(Tablas!$AK$848),INDEX(Tablas!AR860:AT860,1,Tablas!AP860),IF(Q69&lt;&gt;"",IF(Tablas!$AK860="Básica",INDEX(Tablas!$AF$860:$AF$862,AI69),IF(Tablas!$AK860="Avanzada",INDEX(Tablas!$AG$860:$AG$861,AI69),"")),"")),"")</f>
        <v/>
      </c>
      <c r="Q69" s="1503"/>
      <c r="R69" s="54" t="str">
        <f>IFERROR(IF(NOT(Tablas!$AK$848),INDEX(Tablas!AT860:AV860,1,Tablas!AR860),IF(S69&lt;&gt;"",IF(Tablas!$AK860="Básica",INDEX(Tablas!$AF$860:$AF$862,AJ69),IF(Tablas!$AK860="Avanzada",INDEX(Tablas!$AG$860:$AG$861,AJ69),"")),"")),"")</f>
        <v/>
      </c>
      <c r="S69" s="1503"/>
      <c r="T69" s="54" t="str">
        <f>IFERROR(IF(NOT(Tablas!$AK$848),INDEX(Tablas!AV860:AX860,1,Tablas!AT860),IF(U69&lt;&gt;"",IF(Tablas!$AK860="Básica",INDEX(Tablas!$AF$860:$AF$862,AK69),IF(Tablas!$AK860="Avanzada",INDEX(Tablas!$AG$860:$AG$861,AK69),"")),"")),"")</f>
        <v/>
      </c>
      <c r="U69" s="1503"/>
      <c r="V69" s="3791" t="str">
        <f t="shared" si="23"/>
        <v/>
      </c>
      <c r="W69" s="3792"/>
      <c r="X69" s="3792"/>
      <c r="Y69" s="3792"/>
      <c r="Z69" s="3792"/>
      <c r="AA69" s="3793"/>
      <c r="AB69" s="1744"/>
      <c r="AC69" s="845"/>
      <c r="AD69" s="3044">
        <f t="shared" si="24"/>
        <v>0</v>
      </c>
      <c r="AE69" s="3061" t="str">
        <f>Tablas!$AK860</f>
        <v/>
      </c>
      <c r="AF69" s="3044">
        <f>COUNTIF($E$59:$E69,E69)</f>
        <v>0</v>
      </c>
      <c r="AG69" s="3069">
        <f>Tablas!$AQ860</f>
        <v>1</v>
      </c>
      <c r="AH69" s="3069">
        <f>Tablas!$AV860</f>
        <v>1</v>
      </c>
      <c r="AI69" s="3069">
        <f>Tablas!$BA860</f>
        <v>1</v>
      </c>
      <c r="AJ69" s="3069">
        <f>Tablas!$BF860</f>
        <v>1</v>
      </c>
      <c r="AK69" s="3069">
        <f>Tablas!$BK860</f>
        <v>1</v>
      </c>
      <c r="AL69" s="1737" t="b">
        <f>Tablas!BL860=1</f>
        <v>0</v>
      </c>
      <c r="AM69" s="3055"/>
      <c r="AN69" s="3055"/>
      <c r="AO69" s="3055"/>
      <c r="AP69" s="3055"/>
      <c r="AQ69" s="1737"/>
      <c r="AR69" s="1737"/>
      <c r="AS69" s="1737"/>
      <c r="AT69" s="1737"/>
      <c r="AU69" s="1737"/>
      <c r="AV69" s="1737"/>
    </row>
    <row r="70" spans="1:48" ht="12" customHeight="1" x14ac:dyDescent="0.2">
      <c r="A70" s="9"/>
      <c r="B70" s="822"/>
      <c r="C70" s="3929"/>
      <c r="D70" s="3988"/>
      <c r="E70" s="3750"/>
      <c r="F70" s="3751"/>
      <c r="G70" s="3751"/>
      <c r="H70" s="3751"/>
      <c r="I70" s="3752"/>
      <c r="J70" s="3901"/>
      <c r="K70" s="3902"/>
      <c r="L70" s="1827" t="str">
        <f>IFERROR(IF(NOT(Tablas!$AK$848),INDEX(Tablas!$AN861:$AP861,1,Tablas!AL861),IF(M70&lt;&gt;"",IF(Tablas!$AK861="Básica",INDEX(Tablas!$AF$860:$AF$862,AG70),IF(Tablas!$AK861="Avanzada",INDEX(Tablas!$AG$860:$AG$861,AG70),"")),"")),"")</f>
        <v/>
      </c>
      <c r="M70" s="1485"/>
      <c r="N70" s="1984" t="str">
        <f>IFERROR(IF(NOT(Tablas!$AK$848),INDEX(Tablas!AP861:AR861,1,Tablas!AN861),IF(O70&lt;&gt;"",IF(Tablas!$AK861="Básica",INDEX(Tablas!$AF$860:$AF$862,AH70),IF(Tablas!$AK861="Avanzada",INDEX(Tablas!$AG$860:$AG$861,AH70),"")),"")),"")</f>
        <v/>
      </c>
      <c r="O70" s="1485"/>
      <c r="P70" s="1843" t="str">
        <f>IFERROR(IF(NOT(Tablas!$AK$848),INDEX(Tablas!AR861:AT861,1,Tablas!AP861),IF(Q70&lt;&gt;"",IF(Tablas!$AK861="Básica",INDEX(Tablas!$AF$860:$AF$862,AI70),IF(Tablas!$AK861="Avanzada",INDEX(Tablas!$AG$860:$AG$861,AI70),"")),"")),"")</f>
        <v/>
      </c>
      <c r="Q70" s="1485"/>
      <c r="R70" s="1843" t="str">
        <f>IFERROR(IF(NOT(Tablas!$AK$848),INDEX(Tablas!AT861:AV861,1,Tablas!AR861),IF(S70&lt;&gt;"",IF(Tablas!$AK861="Básica",INDEX(Tablas!$AF$860:$AF$862,AJ70),IF(Tablas!$AK861="Avanzada",INDEX(Tablas!$AG$860:$AG$861,AJ70),"")),"")),"")</f>
        <v/>
      </c>
      <c r="S70" s="1485"/>
      <c r="T70" s="1843" t="str">
        <f>IFERROR(IF(NOT(Tablas!$AK$848),INDEX(Tablas!AV861:AX861,1,Tablas!AT861),IF(U70&lt;&gt;"",IF(Tablas!$AK861="Básica",INDEX(Tablas!$AF$860:$AF$862,AK70),IF(Tablas!$AK861="Avanzada",INDEX(Tablas!$AG$860:$AG$861,AK70),"")),"")),"")</f>
        <v/>
      </c>
      <c r="U70" s="1485"/>
      <c r="V70" s="3788" t="str">
        <f t="shared" si="23"/>
        <v/>
      </c>
      <c r="W70" s="3789"/>
      <c r="X70" s="3789"/>
      <c r="Y70" s="3789"/>
      <c r="Z70" s="3789"/>
      <c r="AA70" s="3790"/>
      <c r="AB70" s="1744"/>
      <c r="AC70" s="845"/>
      <c r="AD70" s="3044">
        <f t="shared" si="24"/>
        <v>0</v>
      </c>
      <c r="AE70" s="3061" t="str">
        <f>Tablas!$AK861</f>
        <v/>
      </c>
      <c r="AF70" s="3044">
        <f>COUNTIF($E$59:$E70,E70)</f>
        <v>0</v>
      </c>
      <c r="AG70" s="3069">
        <f>Tablas!$AQ861</f>
        <v>1</v>
      </c>
      <c r="AH70" s="3069">
        <f>Tablas!$AV861</f>
        <v>1</v>
      </c>
      <c r="AI70" s="3069">
        <f>Tablas!$BA861</f>
        <v>1</v>
      </c>
      <c r="AJ70" s="3069">
        <f>Tablas!$BF861</f>
        <v>1</v>
      </c>
      <c r="AK70" s="3069">
        <f>Tablas!$BK861</f>
        <v>1</v>
      </c>
      <c r="AL70" s="1737" t="b">
        <f>Tablas!BL861=1</f>
        <v>0</v>
      </c>
      <c r="AM70" s="3055"/>
      <c r="AN70" s="3055"/>
      <c r="AO70" s="3055"/>
      <c r="AP70" s="3055"/>
      <c r="AQ70" s="1737"/>
      <c r="AR70" s="1737"/>
      <c r="AS70" s="1737"/>
      <c r="AT70" s="1737"/>
      <c r="AU70" s="1737"/>
      <c r="AV70" s="1737"/>
    </row>
    <row r="71" spans="1:48" ht="12" customHeight="1" x14ac:dyDescent="0.2">
      <c r="A71" s="9"/>
      <c r="B71" s="822"/>
      <c r="C71" s="3929"/>
      <c r="D71" s="3988"/>
      <c r="E71" s="3821"/>
      <c r="F71" s="3822"/>
      <c r="G71" s="3822"/>
      <c r="H71" s="3822"/>
      <c r="I71" s="3823"/>
      <c r="J71" s="3824"/>
      <c r="K71" s="3825"/>
      <c r="L71" s="507" t="str">
        <f>IFERROR(IF(NOT(Tablas!$AK$848),INDEX(Tablas!$AN862:$AP862,1,Tablas!AL862),IF(M71&lt;&gt;"",IF(Tablas!$AK862="Básica",INDEX(Tablas!$AF$860:$AF$862,AG71),IF(Tablas!$AK862="Avanzada",INDEX(Tablas!$AG$860:$AG$861,AG71),"")),"")),"")</f>
        <v/>
      </c>
      <c r="M71" s="1503"/>
      <c r="N71" s="1989" t="str">
        <f>IFERROR(IF(NOT(Tablas!$AK$848),INDEX(Tablas!AP862:AR862,1,Tablas!AN862),IF(O71&lt;&gt;"",IF(Tablas!$AK862="Básica",INDEX(Tablas!$AF$860:$AF$862,AH71),IF(Tablas!$AK862="Avanzada",INDEX(Tablas!$AG$860:$AG$861,AH71),"")),"")),"")</f>
        <v/>
      </c>
      <c r="O71" s="1503"/>
      <c r="P71" s="54" t="str">
        <f>IFERROR(IF(NOT(Tablas!$AK$848),INDEX(Tablas!AR862:AT862,1,Tablas!AP862),IF(Q71&lt;&gt;"",IF(Tablas!$AK862="Básica",INDEX(Tablas!$AF$860:$AF$862,AI71),IF(Tablas!$AK862="Avanzada",INDEX(Tablas!$AG$860:$AG$861,AI71),"")),"")),"")</f>
        <v/>
      </c>
      <c r="Q71" s="1503"/>
      <c r="R71" s="54" t="str">
        <f>IFERROR(IF(NOT(Tablas!$AK$848),INDEX(Tablas!AT862:AV862,1,Tablas!AR862),IF(S71&lt;&gt;"",IF(Tablas!$AK862="Básica",INDEX(Tablas!$AF$860:$AF$862,AJ71),IF(Tablas!$AK862="Avanzada",INDEX(Tablas!$AG$860:$AG$861,AJ71),"")),"")),"")</f>
        <v/>
      </c>
      <c r="S71" s="1503"/>
      <c r="T71" s="54" t="str">
        <f>IFERROR(IF(NOT(Tablas!$AK$848),INDEX(Tablas!AV862:AX862,1,Tablas!AT862),IF(U71&lt;&gt;"",IF(Tablas!$AK862="Básica",INDEX(Tablas!$AF$860:$AF$862,AK71),IF(Tablas!$AK862="Avanzada",INDEX(Tablas!$AG$860:$AG$861,AK71),"")),"")),"")</f>
        <v/>
      </c>
      <c r="U71" s="1503"/>
      <c r="V71" s="3791" t="str">
        <f t="shared" si="23"/>
        <v/>
      </c>
      <c r="W71" s="3792"/>
      <c r="X71" s="3792"/>
      <c r="Y71" s="3792"/>
      <c r="Z71" s="3792"/>
      <c r="AA71" s="3793"/>
      <c r="AB71" s="1744"/>
      <c r="AC71" s="845"/>
      <c r="AD71" s="3044">
        <f t="shared" si="24"/>
        <v>0</v>
      </c>
      <c r="AE71" s="3061" t="str">
        <f>Tablas!$AK862</f>
        <v/>
      </c>
      <c r="AF71" s="3044">
        <f>COUNTIF($E$59:$E71,E71)</f>
        <v>0</v>
      </c>
      <c r="AG71" s="3069">
        <f>Tablas!$AQ862</f>
        <v>1</v>
      </c>
      <c r="AH71" s="3069">
        <f>Tablas!$AV862</f>
        <v>1</v>
      </c>
      <c r="AI71" s="3069">
        <f>Tablas!$BA862</f>
        <v>1</v>
      </c>
      <c r="AJ71" s="3069">
        <f>Tablas!$BF862</f>
        <v>1</v>
      </c>
      <c r="AK71" s="3069">
        <f>Tablas!$BK862</f>
        <v>1</v>
      </c>
      <c r="AL71" s="1737" t="b">
        <f>Tablas!BL862=1</f>
        <v>0</v>
      </c>
      <c r="AM71" s="3055"/>
      <c r="AN71" s="3055"/>
      <c r="AO71" s="3055"/>
      <c r="AP71" s="3055"/>
      <c r="AQ71" s="1737"/>
      <c r="AR71" s="1737"/>
      <c r="AS71" s="1737"/>
      <c r="AT71" s="1737"/>
      <c r="AU71" s="1737"/>
      <c r="AV71" s="1737"/>
    </row>
    <row r="72" spans="1:48" s="14" customFormat="1" ht="12" customHeight="1" x14ac:dyDescent="0.2">
      <c r="A72" s="9"/>
      <c r="B72" s="822"/>
      <c r="C72" s="3929"/>
      <c r="D72" s="3988"/>
      <c r="E72" s="3750"/>
      <c r="F72" s="3751"/>
      <c r="G72" s="3751"/>
      <c r="H72" s="3751"/>
      <c r="I72" s="3752"/>
      <c r="J72" s="3901"/>
      <c r="K72" s="3902"/>
      <c r="L72" s="1827" t="str">
        <f>IFERROR(IF(NOT(Tablas!$AK$848),INDEX(Tablas!$AN863:$AP863,1,Tablas!AL863),IF(M72&lt;&gt;"",IF(Tablas!$AK863="Básica",INDEX(Tablas!$AF$860:$AF$862,AG72),IF(Tablas!$AK863="Avanzada",INDEX(Tablas!$AG$860:$AG$861,AG72),"")),"")),"")</f>
        <v/>
      </c>
      <c r="M72" s="1485"/>
      <c r="N72" s="1984" t="str">
        <f>IFERROR(IF(NOT(Tablas!$AK$848),INDEX(Tablas!AP863:AR863,1,Tablas!AN863),IF(O72&lt;&gt;"",IF(Tablas!$AK863="Básica",INDEX(Tablas!$AF$860:$AF$862,AH72),IF(Tablas!$AK863="Avanzada",INDEX(Tablas!$AG$860:$AG$861,AH72),"")),"")),"")</f>
        <v/>
      </c>
      <c r="O72" s="1485"/>
      <c r="P72" s="1843" t="str">
        <f>IFERROR(IF(NOT(Tablas!$AK$848),INDEX(Tablas!AR863:AT863,1,Tablas!AP863),IF(Q72&lt;&gt;"",IF(Tablas!$AK863="Básica",INDEX(Tablas!$AF$860:$AF$862,AI72),IF(Tablas!$AK863="Avanzada",INDEX(Tablas!$AG$860:$AG$861,AI72),"")),"")),"")</f>
        <v/>
      </c>
      <c r="Q72" s="1485"/>
      <c r="R72" s="1843" t="str">
        <f>IFERROR(IF(NOT(Tablas!$AK$848),INDEX(Tablas!AT863:AV863,1,Tablas!AR863),IF(S72&lt;&gt;"",IF(Tablas!$AK863="Básica",INDEX(Tablas!$AF$860:$AF$862,AJ72),IF(Tablas!$AK863="Avanzada",INDEX(Tablas!$AG$860:$AG$861,AJ72),"")),"")),"")</f>
        <v/>
      </c>
      <c r="S72" s="1485"/>
      <c r="T72" s="1843" t="str">
        <f>IFERROR(IF(NOT(Tablas!$AK$848),INDEX(Tablas!AV863:AX863,1,Tablas!AT863),IF(U72&lt;&gt;"",IF(Tablas!$AK863="Básica",INDEX(Tablas!$AF$860:$AF$862,AK72),IF(Tablas!$AK863="Avanzada",INDEX(Tablas!$AG$860:$AG$861,AK72),"")),"")),"")</f>
        <v/>
      </c>
      <c r="U72" s="1485"/>
      <c r="V72" s="3788" t="str">
        <f t="shared" si="23"/>
        <v/>
      </c>
      <c r="W72" s="3789"/>
      <c r="X72" s="3789"/>
      <c r="Y72" s="3789"/>
      <c r="Z72" s="3789"/>
      <c r="AA72" s="3790"/>
      <c r="AB72" s="1744"/>
      <c r="AC72" s="845"/>
      <c r="AD72" s="3044">
        <f t="shared" si="24"/>
        <v>0</v>
      </c>
      <c r="AE72" s="3061" t="str">
        <f>Tablas!$AK863</f>
        <v/>
      </c>
      <c r="AF72" s="3044">
        <f>COUNTIF($E$59:$E72,E72)</f>
        <v>0</v>
      </c>
      <c r="AG72" s="3069">
        <f>Tablas!$AQ863</f>
        <v>1</v>
      </c>
      <c r="AH72" s="3069">
        <f>Tablas!$AV863</f>
        <v>1</v>
      </c>
      <c r="AI72" s="3069">
        <f>Tablas!$BA863</f>
        <v>1</v>
      </c>
      <c r="AJ72" s="3069">
        <f>Tablas!$BF863</f>
        <v>1</v>
      </c>
      <c r="AK72" s="3069">
        <f>Tablas!$BK863</f>
        <v>1</v>
      </c>
      <c r="AL72" s="1737" t="b">
        <f>Tablas!BL863=1</f>
        <v>0</v>
      </c>
      <c r="AM72" s="3055"/>
      <c r="AN72" s="3055"/>
      <c r="AO72" s="3055"/>
      <c r="AP72" s="3055"/>
      <c r="AQ72" s="1737"/>
      <c r="AR72" s="3055"/>
      <c r="AS72" s="1737"/>
      <c r="AT72" s="1737"/>
      <c r="AU72" s="1737"/>
      <c r="AV72" s="1737"/>
    </row>
    <row r="73" spans="1:48" s="14" customFormat="1" ht="12" customHeight="1" x14ac:dyDescent="0.2">
      <c r="A73" s="4"/>
      <c r="B73" s="923"/>
      <c r="C73" s="3929"/>
      <c r="D73" s="3988"/>
      <c r="E73" s="3821"/>
      <c r="F73" s="3822"/>
      <c r="G73" s="3822"/>
      <c r="H73" s="3822"/>
      <c r="I73" s="3823"/>
      <c r="J73" s="3824"/>
      <c r="K73" s="3825"/>
      <c r="L73" s="507" t="str">
        <f>IFERROR(IF(NOT(Tablas!$AK$848),INDEX(Tablas!$AN864:$AP864,1,Tablas!AL864),IF(M73&lt;&gt;"",IF(Tablas!$AK864="Básica",INDEX(Tablas!$AF$860:$AF$862,AG73),IF(Tablas!$AK864="Avanzada",INDEX(Tablas!$AG$860:$AG$861,AG73),"")),"")),"")</f>
        <v/>
      </c>
      <c r="M73" s="1503"/>
      <c r="N73" s="1989" t="str">
        <f>IFERROR(IF(NOT(Tablas!$AK$848),INDEX(Tablas!AP864:AR864,1,Tablas!AN864),IF(O73&lt;&gt;"",IF(Tablas!$AK864="Básica",INDEX(Tablas!$AF$860:$AF$862,AH73),IF(Tablas!$AK864="Avanzada",INDEX(Tablas!$AG$860:$AG$861,AH73),"")),"")),"")</f>
        <v/>
      </c>
      <c r="O73" s="1503"/>
      <c r="P73" s="54" t="str">
        <f>IFERROR(IF(NOT(Tablas!$AK$848),INDEX(Tablas!AR864:AT864,1,Tablas!AP864),IF(Q73&lt;&gt;"",IF(Tablas!$AK864="Básica",INDEX(Tablas!$AF$860:$AF$862,AI73),IF(Tablas!$AK864="Avanzada",INDEX(Tablas!$AG$860:$AG$861,AI73),"")),"")),"")</f>
        <v/>
      </c>
      <c r="Q73" s="1503"/>
      <c r="R73" s="54" t="str">
        <f>IFERROR(IF(NOT(Tablas!$AK$848),INDEX(Tablas!AT864:AV864,1,Tablas!AR864),IF(S73&lt;&gt;"",IF(Tablas!$AK864="Básica",INDEX(Tablas!$AF$860:$AF$862,AJ73),IF(Tablas!$AK864="Avanzada",INDEX(Tablas!$AG$860:$AG$861,AJ73),"")),"")),"")</f>
        <v/>
      </c>
      <c r="S73" s="1503"/>
      <c r="T73" s="54" t="str">
        <f>IFERROR(IF(NOT(Tablas!$AK$848),INDEX(Tablas!AV864:AX864,1,Tablas!AT864),IF(U73&lt;&gt;"",IF(Tablas!$AK864="Básica",INDEX(Tablas!$AF$860:$AF$862,AK73),IF(Tablas!$AK864="Avanzada",INDEX(Tablas!$AG$860:$AG$861,AK73),"")),"")),"")</f>
        <v/>
      </c>
      <c r="U73" s="1503"/>
      <c r="V73" s="3791" t="str">
        <f t="shared" si="23"/>
        <v/>
      </c>
      <c r="W73" s="3792"/>
      <c r="X73" s="3792"/>
      <c r="Y73" s="3792"/>
      <c r="Z73" s="3792"/>
      <c r="AA73" s="3793"/>
      <c r="AB73" s="1744"/>
      <c r="AC73" s="845"/>
      <c r="AD73" s="3044">
        <f t="shared" si="24"/>
        <v>0</v>
      </c>
      <c r="AE73" s="3061" t="str">
        <f>Tablas!$AK864</f>
        <v/>
      </c>
      <c r="AF73" s="3044">
        <f>COUNTIF($E$59:$E73,E73)</f>
        <v>0</v>
      </c>
      <c r="AG73" s="3069">
        <f>Tablas!$AQ864</f>
        <v>1</v>
      </c>
      <c r="AH73" s="3069">
        <f>Tablas!$AV864</f>
        <v>1</v>
      </c>
      <c r="AI73" s="3069">
        <f>Tablas!$BA864</f>
        <v>1</v>
      </c>
      <c r="AJ73" s="3069">
        <f>Tablas!$BF864</f>
        <v>1</v>
      </c>
      <c r="AK73" s="3069">
        <f>Tablas!$BK864</f>
        <v>1</v>
      </c>
      <c r="AL73" s="1737" t="b">
        <f>Tablas!BL864=1</f>
        <v>0</v>
      </c>
      <c r="AM73" s="3055"/>
      <c r="AN73" s="3055"/>
      <c r="AO73" s="3055"/>
      <c r="AP73" s="3055"/>
      <c r="AQ73" s="3055"/>
      <c r="AR73" s="3055"/>
      <c r="AS73" s="3055"/>
      <c r="AT73" s="3055"/>
      <c r="AU73" s="3055"/>
      <c r="AV73" s="3055"/>
    </row>
    <row r="74" spans="1:48" s="14" customFormat="1" ht="12" customHeight="1" x14ac:dyDescent="0.2">
      <c r="A74" s="4"/>
      <c r="B74" s="923"/>
      <c r="C74" s="3929"/>
      <c r="D74" s="3988"/>
      <c r="E74" s="3750"/>
      <c r="F74" s="3751"/>
      <c r="G74" s="3751"/>
      <c r="H74" s="3751"/>
      <c r="I74" s="3752"/>
      <c r="J74" s="3901"/>
      <c r="K74" s="3902"/>
      <c r="L74" s="1827" t="str">
        <f>IFERROR(IF(NOT(Tablas!$AK$848),INDEX(Tablas!$AN865:$AP865,1,Tablas!AL865),IF(M74&lt;&gt;"",IF(Tablas!$AK865="Básica",INDEX(Tablas!$AF$860:$AF$862,AG74),IF(Tablas!$AK865="Avanzada",INDEX(Tablas!$AG$860:$AG$861,AG74),"")),"")),"")</f>
        <v/>
      </c>
      <c r="M74" s="1485"/>
      <c r="N74" s="1984" t="str">
        <f>IFERROR(IF(NOT(Tablas!$AK$848),INDEX(Tablas!AP865:AR865,1,Tablas!AN865),IF(O74&lt;&gt;"",IF(Tablas!$AK865="Básica",INDEX(Tablas!$AF$860:$AF$862,AH74),IF(Tablas!$AK865="Avanzada",INDEX(Tablas!$AG$860:$AG$861,AH74),"")),"")),"")</f>
        <v/>
      </c>
      <c r="O74" s="1485"/>
      <c r="P74" s="1843" t="str">
        <f>IFERROR(IF(NOT(Tablas!$AK$848),INDEX(Tablas!AR865:AT865,1,Tablas!AP865),IF(Q74&lt;&gt;"",IF(Tablas!$AK865="Básica",INDEX(Tablas!$AF$860:$AF$862,AI74),IF(Tablas!$AK865="Avanzada",INDEX(Tablas!$AG$860:$AG$861,AI74),"")),"")),"")</f>
        <v/>
      </c>
      <c r="Q74" s="1485"/>
      <c r="R74" s="1843" t="str">
        <f>IFERROR(IF(NOT(Tablas!$AK$848),INDEX(Tablas!AT865:AV865,1,Tablas!AR865),IF(S74&lt;&gt;"",IF(Tablas!$AK865="Básica",INDEX(Tablas!$AF$860:$AF$862,AJ74),IF(Tablas!$AK865="Avanzada",INDEX(Tablas!$AG$860:$AG$861,AJ74),"")),"")),"")</f>
        <v/>
      </c>
      <c r="S74" s="1485"/>
      <c r="T74" s="1843" t="str">
        <f>IFERROR(IF(NOT(Tablas!$AK$848),INDEX(Tablas!AV865:AX865,1,Tablas!AT865),IF(U74&lt;&gt;"",IF(Tablas!$AK865="Básica",INDEX(Tablas!$AF$860:$AF$862,AK74),IF(Tablas!$AK865="Avanzada",INDEX(Tablas!$AG$860:$AG$861,AK74),"")),"")),"")</f>
        <v/>
      </c>
      <c r="U74" s="1485"/>
      <c r="V74" s="3788" t="str">
        <f t="shared" si="23"/>
        <v/>
      </c>
      <c r="W74" s="3789"/>
      <c r="X74" s="3789"/>
      <c r="Y74" s="3789"/>
      <c r="Z74" s="3789"/>
      <c r="AA74" s="3790"/>
      <c r="AB74" s="1744"/>
      <c r="AC74" s="845"/>
      <c r="AD74" s="3044">
        <f t="shared" si="24"/>
        <v>0</v>
      </c>
      <c r="AE74" s="3061" t="str">
        <f>Tablas!$AK865</f>
        <v/>
      </c>
      <c r="AF74" s="3044">
        <f>COUNTIF($E$59:$E74,E74)</f>
        <v>0</v>
      </c>
      <c r="AG74" s="3069">
        <f>Tablas!$AQ865</f>
        <v>1</v>
      </c>
      <c r="AH74" s="3069">
        <f>Tablas!$AV865</f>
        <v>1</v>
      </c>
      <c r="AI74" s="3069">
        <f>Tablas!$BA865</f>
        <v>1</v>
      </c>
      <c r="AJ74" s="3069">
        <f>Tablas!$BF865</f>
        <v>1</v>
      </c>
      <c r="AK74" s="3069">
        <f>Tablas!$BK865</f>
        <v>1</v>
      </c>
      <c r="AL74" s="1737" t="b">
        <f>Tablas!BL865=1</f>
        <v>0</v>
      </c>
      <c r="AM74" s="3055"/>
      <c r="AN74" s="3055"/>
      <c r="AO74" s="3055"/>
      <c r="AP74" s="3055"/>
      <c r="AQ74" s="3055"/>
      <c r="AR74" s="3055"/>
      <c r="AS74" s="3055"/>
      <c r="AT74" s="3055"/>
      <c r="AU74" s="3055"/>
      <c r="AV74" s="3055"/>
    </row>
    <row r="75" spans="1:48" s="14" customFormat="1" ht="12" customHeight="1" x14ac:dyDescent="0.2">
      <c r="A75" s="4"/>
      <c r="B75" s="923"/>
      <c r="C75" s="3929"/>
      <c r="D75" s="3988"/>
      <c r="E75" s="3821"/>
      <c r="F75" s="3822"/>
      <c r="G75" s="3822"/>
      <c r="H75" s="3822"/>
      <c r="I75" s="3823"/>
      <c r="J75" s="3824"/>
      <c r="K75" s="3825"/>
      <c r="L75" s="507" t="str">
        <f>IFERROR(IF(NOT(Tablas!$AK$848),INDEX(Tablas!$AN866:$AP866,1,Tablas!AL866),IF(M75&lt;&gt;"",IF(Tablas!$AK866="Básica",INDEX(Tablas!$AF$860:$AF$862,AG75),IF(Tablas!$AK866="Avanzada",INDEX(Tablas!$AG$860:$AG$861,AG75),"")),"")),"")</f>
        <v/>
      </c>
      <c r="M75" s="1503"/>
      <c r="N75" s="1989" t="str">
        <f>IFERROR(IF(NOT(Tablas!$AK$848),INDEX(Tablas!AP866:AR866,1,Tablas!AN866),IF(O75&lt;&gt;"",IF(Tablas!$AK866="Básica",INDEX(Tablas!$AF$860:$AF$862,AH75),IF(Tablas!$AK866="Avanzada",INDEX(Tablas!$AG$860:$AG$861,AH75),"")),"")),"")</f>
        <v/>
      </c>
      <c r="O75" s="1503"/>
      <c r="P75" s="54" t="str">
        <f>IFERROR(IF(NOT(Tablas!$AK$848),INDEX(Tablas!AR866:AT866,1,Tablas!AP866),IF(Q75&lt;&gt;"",IF(Tablas!$AK866="Básica",INDEX(Tablas!$AF$860:$AF$862,AI75),IF(Tablas!$AK866="Avanzada",INDEX(Tablas!$AG$860:$AG$861,AI75),"")),"")),"")</f>
        <v/>
      </c>
      <c r="Q75" s="1503"/>
      <c r="R75" s="54" t="str">
        <f>IFERROR(IF(NOT(Tablas!$AK$848),INDEX(Tablas!AT866:AV866,1,Tablas!AR866),IF(S75&lt;&gt;"",IF(Tablas!$AK866="Básica",INDEX(Tablas!$AF$860:$AF$862,AJ75),IF(Tablas!$AK866="Avanzada",INDEX(Tablas!$AG$860:$AG$861,AJ75),"")),"")),"")</f>
        <v/>
      </c>
      <c r="S75" s="1503"/>
      <c r="T75" s="54" t="str">
        <f>IFERROR(IF(NOT(Tablas!$AK$848),INDEX(Tablas!AV866:AX866,1,Tablas!AT866),IF(U75&lt;&gt;"",IF(Tablas!$AK866="Básica",INDEX(Tablas!$AF$860:$AF$862,AK75),IF(Tablas!$AK866="Avanzada",INDEX(Tablas!$AG$860:$AG$861,AK75),"")),"")),"")</f>
        <v/>
      </c>
      <c r="U75" s="1503"/>
      <c r="V75" s="3791" t="str">
        <f t="shared" si="23"/>
        <v/>
      </c>
      <c r="W75" s="3792"/>
      <c r="X75" s="3792"/>
      <c r="Y75" s="3792"/>
      <c r="Z75" s="3792"/>
      <c r="AA75" s="3793"/>
      <c r="AB75" s="1744"/>
      <c r="AC75" s="845"/>
      <c r="AD75" s="3044">
        <f t="shared" si="24"/>
        <v>0</v>
      </c>
      <c r="AE75" s="3061" t="str">
        <f>Tablas!$AK866</f>
        <v/>
      </c>
      <c r="AF75" s="3044">
        <f>COUNTIF($E$59:$E75,E75)</f>
        <v>0</v>
      </c>
      <c r="AG75" s="3069">
        <f>Tablas!$AQ866</f>
        <v>1</v>
      </c>
      <c r="AH75" s="3069">
        <f>Tablas!$AV866</f>
        <v>1</v>
      </c>
      <c r="AI75" s="3069">
        <f>Tablas!$BA866</f>
        <v>1</v>
      </c>
      <c r="AJ75" s="3069">
        <f>Tablas!$BF866</f>
        <v>1</v>
      </c>
      <c r="AK75" s="3069">
        <f>Tablas!$BK866</f>
        <v>1</v>
      </c>
      <c r="AL75" s="1737" t="b">
        <f>Tablas!BL866=1</f>
        <v>0</v>
      </c>
      <c r="AM75" s="3055"/>
      <c r="AN75" s="3055"/>
      <c r="AO75" s="3055"/>
      <c r="AP75" s="3055"/>
      <c r="AQ75" s="3055"/>
      <c r="AR75" s="3055"/>
      <c r="AS75" s="3055"/>
      <c r="AT75" s="3055"/>
      <c r="AU75" s="3055"/>
      <c r="AV75" s="3055"/>
    </row>
    <row r="76" spans="1:48" s="14" customFormat="1" ht="12" customHeight="1" x14ac:dyDescent="0.2">
      <c r="A76" s="4"/>
      <c r="B76" s="923"/>
      <c r="C76" s="3929"/>
      <c r="D76" s="3988"/>
      <c r="E76" s="3750"/>
      <c r="F76" s="3751"/>
      <c r="G76" s="3751"/>
      <c r="H76" s="3751"/>
      <c r="I76" s="3752"/>
      <c r="J76" s="3901"/>
      <c r="K76" s="3902"/>
      <c r="L76" s="1827" t="str">
        <f>IFERROR(IF(NOT(Tablas!$AK$848),INDEX(Tablas!$AN867:$AP867,1,Tablas!AL867),IF(M76&lt;&gt;"",IF(Tablas!$AK867="Básica",INDEX(Tablas!$AF$860:$AF$862,AG76),IF(Tablas!$AK867="Avanzada",INDEX(Tablas!$AG$860:$AG$861,AG76),"")),"")),"")</f>
        <v/>
      </c>
      <c r="M76" s="1485"/>
      <c r="N76" s="1984" t="str">
        <f>IFERROR(IF(NOT(Tablas!$AK$848),INDEX(Tablas!AP867:AR867,1,Tablas!AN867),IF(O76&lt;&gt;"",IF(Tablas!$AK867="Básica",INDEX(Tablas!$AF$860:$AF$862,AH76),IF(Tablas!$AK867="Avanzada",INDEX(Tablas!$AG$860:$AG$861,AH76),"")),"")),"")</f>
        <v/>
      </c>
      <c r="O76" s="1485"/>
      <c r="P76" s="1843" t="str">
        <f>IFERROR(IF(NOT(Tablas!$AK$848),INDEX(Tablas!AR867:AT867,1,Tablas!AP867),IF(Q76&lt;&gt;"",IF(Tablas!$AK867="Básica",INDEX(Tablas!$AF$860:$AF$862,AI76),IF(Tablas!$AK867="Avanzada",INDEX(Tablas!$AG$860:$AG$861,AI76),"")),"")),"")</f>
        <v/>
      </c>
      <c r="Q76" s="1485"/>
      <c r="R76" s="1843" t="str">
        <f>IFERROR(IF(NOT(Tablas!$AK$848),INDEX(Tablas!AT867:AV867,1,Tablas!AR867),IF(S76&lt;&gt;"",IF(Tablas!$AK867="Básica",INDEX(Tablas!$AF$860:$AF$862,AJ76),IF(Tablas!$AK867="Avanzada",INDEX(Tablas!$AG$860:$AG$861,AJ76),"")),"")),"")</f>
        <v/>
      </c>
      <c r="S76" s="1485"/>
      <c r="T76" s="1843" t="str">
        <f>IFERROR(IF(NOT(Tablas!$AK$848),INDEX(Tablas!AV867:AX867,1,Tablas!AT867),IF(U76&lt;&gt;"",IF(Tablas!$AK867="Básica",INDEX(Tablas!$AF$860:$AF$862,AK76),IF(Tablas!$AK867="Avanzada",INDEX(Tablas!$AG$860:$AG$861,AK76),"")),"")),"")</f>
        <v/>
      </c>
      <c r="U76" s="1485"/>
      <c r="V76" s="3788" t="str">
        <f>IF($AD76=0,"",IF(AF76&gt;1,"ARTE MARCIAL REPETIDA",IF(NOT(AL76),"ARTE MARCIAL SIN PAGAR",IF(VLOOKUP($AD76,Tabla_ArtesMarciales,23,FALSE)&lt;&gt;"-","FALTAN REQUISITOS",IF(VLOOKUP($AD76,Tabla_ArtesMarciales,16,FALSE)&gt;55,"Ver",VLOOKUP($AD76,Tabla_ArtesMarciales,9,FALSE))))))</f>
        <v/>
      </c>
      <c r="W76" s="3789"/>
      <c r="X76" s="3789"/>
      <c r="Y76" s="3789"/>
      <c r="Z76" s="3789"/>
      <c r="AA76" s="3790"/>
      <c r="AB76" s="1744"/>
      <c r="AC76" s="845"/>
      <c r="AD76" s="3044">
        <f t="shared" si="24"/>
        <v>0</v>
      </c>
      <c r="AE76" s="3061" t="str">
        <f>Tablas!$AK867</f>
        <v/>
      </c>
      <c r="AF76" s="3044">
        <f>COUNTIF($E$59:$E76,E76)</f>
        <v>0</v>
      </c>
      <c r="AG76" s="3069">
        <f>Tablas!$AQ867</f>
        <v>1</v>
      </c>
      <c r="AH76" s="3069">
        <f>Tablas!$AV867</f>
        <v>1</v>
      </c>
      <c r="AI76" s="3069">
        <f>Tablas!$BA867</f>
        <v>1</v>
      </c>
      <c r="AJ76" s="3069">
        <f>Tablas!$BF867</f>
        <v>1</v>
      </c>
      <c r="AK76" s="3069">
        <f>Tablas!$BK867</f>
        <v>1</v>
      </c>
      <c r="AL76" s="1737" t="b">
        <f>Tablas!BL867=1</f>
        <v>0</v>
      </c>
      <c r="AM76" s="3055"/>
      <c r="AN76" s="3055"/>
      <c r="AO76" s="3055"/>
      <c r="AP76" s="3055"/>
      <c r="AQ76" s="3055"/>
      <c r="AR76" s="3055"/>
      <c r="AS76" s="3055"/>
      <c r="AT76" s="3055"/>
      <c r="AU76" s="3055"/>
      <c r="AV76" s="3055"/>
    </row>
    <row r="77" spans="1:48" s="14" customFormat="1" ht="12" customHeight="1" x14ac:dyDescent="0.2">
      <c r="A77" s="4"/>
      <c r="B77" s="923"/>
      <c r="C77" s="3929"/>
      <c r="D77" s="3988"/>
      <c r="E77" s="3981"/>
      <c r="F77" s="3982"/>
      <c r="G77" s="3982"/>
      <c r="H77" s="3982"/>
      <c r="I77" s="3983"/>
      <c r="J77" s="3903"/>
      <c r="K77" s="3904"/>
      <c r="L77" s="507" t="str">
        <f>IFERROR(IF(NOT(Tablas!$AK$848),INDEX(Tablas!$AN868:$AP868,1,Tablas!AL868),IF(M77&lt;&gt;"",IF(Tablas!$AK868="Básica",INDEX(Tablas!$AF$860:$AF$862,AG77),IF(Tablas!$AK868="Avanzada",INDEX(Tablas!$AG$860:$AG$861,AG77),"")),"")),"")</f>
        <v/>
      </c>
      <c r="M77" s="1503"/>
      <c r="N77" s="1989" t="str">
        <f>IFERROR(IF(NOT(Tablas!$AK$848),INDEX(Tablas!AP868:AR868,1,Tablas!AN868),IF(O77&lt;&gt;"",IF(Tablas!$AK868="Básica",INDEX(Tablas!$AF$860:$AF$862,AH77),IF(Tablas!$AK868="Avanzada",INDEX(Tablas!$AG$860:$AG$861,AH77),"")),"")),"")</f>
        <v/>
      </c>
      <c r="O77" s="1503"/>
      <c r="P77" s="54" t="str">
        <f>IFERROR(IF(NOT(Tablas!$AK$848),INDEX(Tablas!AR868:AT868,1,Tablas!AP868),IF(Q77&lt;&gt;"",IF(Tablas!$AK868="Básica",INDEX(Tablas!$AF$860:$AF$862,AI77),IF(Tablas!$AK868="Avanzada",INDEX(Tablas!$AG$860:$AG$861,AI77),"")),"")),"")</f>
        <v/>
      </c>
      <c r="Q77" s="1503"/>
      <c r="R77" s="54" t="str">
        <f>IFERROR(IF(NOT(Tablas!$AK$848),INDEX(Tablas!AT868:AV868,1,Tablas!AR868),IF(S77&lt;&gt;"",IF(Tablas!$AK868="Básica",INDEX(Tablas!$AF$860:$AF$862,AJ77),IF(Tablas!$AK868="Avanzada",INDEX(Tablas!$AG$860:$AG$861,AJ77),"")),"")),"")</f>
        <v/>
      </c>
      <c r="S77" s="1503"/>
      <c r="T77" s="54" t="str">
        <f>IFERROR(IF(NOT(Tablas!$AK$848),INDEX(Tablas!AV868:AX868,1,Tablas!AT868),IF(U77&lt;&gt;"",IF(Tablas!$AK868="Básica",INDEX(Tablas!$AF$860:$AF$862,AK77),IF(Tablas!$AK868="Avanzada",INDEX(Tablas!$AG$860:$AG$861,AK77),"")),"")),"")</f>
        <v/>
      </c>
      <c r="U77" s="1503"/>
      <c r="V77" s="3875" t="str">
        <f>IF($AD77=0,"",IF(AF77&gt;1,"ARTE MARCIAL REPETIDA",IF(NOT(AL77),"ARTE MARCIAL SIN PAGAR",IF(VLOOKUP($AD77,Tabla_ArtesMarciales,23,FALSE)&lt;&gt;"-","FALTAN REQUISITOS",IF(VLOOKUP($AD77,Tabla_ArtesMarciales,16,FALSE)&gt;55,"Ver",VLOOKUP($AD77,Tabla_ArtesMarciales,11,FALSE))))))</f>
        <v/>
      </c>
      <c r="W77" s="3876"/>
      <c r="X77" s="3876"/>
      <c r="Y77" s="3876"/>
      <c r="Z77" s="3876"/>
      <c r="AA77" s="3877"/>
      <c r="AB77" s="1744"/>
      <c r="AC77" s="845"/>
      <c r="AD77" s="3044">
        <f t="shared" si="24"/>
        <v>0</v>
      </c>
      <c r="AE77" s="3061" t="str">
        <f>Tablas!$AK868</f>
        <v/>
      </c>
      <c r="AF77" s="3044">
        <f>COUNTIF($E$59:$E77,E77)</f>
        <v>0</v>
      </c>
      <c r="AG77" s="3069">
        <f>Tablas!$AQ868</f>
        <v>1</v>
      </c>
      <c r="AH77" s="3069">
        <f>Tablas!$AV868</f>
        <v>1</v>
      </c>
      <c r="AI77" s="3069">
        <f>Tablas!$BA868</f>
        <v>1</v>
      </c>
      <c r="AJ77" s="3069">
        <f>Tablas!$BF868</f>
        <v>1</v>
      </c>
      <c r="AK77" s="3069">
        <f>Tablas!$BK868</f>
        <v>1</v>
      </c>
      <c r="AL77" s="1737" t="b">
        <f>Tablas!BL868=1</f>
        <v>0</v>
      </c>
      <c r="AM77" s="3055"/>
      <c r="AN77" s="3055"/>
      <c r="AO77" s="3055"/>
      <c r="AP77" s="3055"/>
      <c r="AQ77" s="3055"/>
      <c r="AR77" s="3055"/>
      <c r="AS77" s="3055"/>
      <c r="AT77" s="3055"/>
      <c r="AU77" s="3055"/>
      <c r="AV77" s="3055"/>
    </row>
    <row r="78" spans="1:48" s="14" customFormat="1" ht="12" customHeight="1" x14ac:dyDescent="0.2">
      <c r="A78" s="4"/>
      <c r="B78" s="923"/>
      <c r="C78" s="3929"/>
      <c r="D78" s="3988"/>
      <c r="E78" s="4002"/>
      <c r="F78" s="3948"/>
      <c r="G78" s="3948"/>
      <c r="H78" s="3948"/>
      <c r="I78" s="3948"/>
      <c r="J78" s="3948"/>
      <c r="K78" s="3949"/>
      <c r="L78" s="1993" t="str">
        <f>IF($E78=0,"",TRUNC(IF(OR(L$22="Maestro en Armas",L$22="Tao"),0.5,1)*VLOOKUP($E78,Tabla_AM_Armas,2,FALSE),0))</f>
        <v/>
      </c>
      <c r="M78" s="1979"/>
      <c r="N78" s="1993" t="str">
        <f>IF($E78=0,"",TRUNC(IF(OR(N$22="Maestro en Armas",N$22="Tao"),0.5,1)*VLOOKUP($E78,Tabla_AM_Armas,2,FALSE),0))</f>
        <v/>
      </c>
      <c r="O78" s="1979"/>
      <c r="P78" s="1993" t="str">
        <f>IF($E78=0,"",TRUNC(IF(OR(P$22="Maestro en Armas",P$22="Tao"),0.5,1)*VLOOKUP($E78,Tabla_AM_Armas,2,FALSE),0))</f>
        <v/>
      </c>
      <c r="Q78" s="1979"/>
      <c r="R78" s="1993" t="str">
        <f>IF($E78=0,"",TRUNC(IF(OR(R$22="Maestro en Armas",R$22="Tao"),0.5,1)*VLOOKUP($E78,Tabla_AM_Armas,2,FALSE),0))</f>
        <v/>
      </c>
      <c r="S78" s="1979"/>
      <c r="T78" s="1993" t="str">
        <f>IF($E78=0,"",TRUNC(IF(OR(T$22="Maestro en Armas",T$22="Tao"),0.5,1)*VLOOKUP($E78,Tabla_AM_Armas,2,FALSE),0))</f>
        <v/>
      </c>
      <c r="U78" s="1979"/>
      <c r="V78" s="3878" t="str">
        <f>IF(E78=0,"",IF(VLOOKUP(E78,Tabla_AM_Armas,4,FALSE)="-","-","FALTAN REQUISITOS"))</f>
        <v/>
      </c>
      <c r="W78" s="3879"/>
      <c r="X78" s="3879"/>
      <c r="Y78" s="3879"/>
      <c r="Z78" s="3879"/>
      <c r="AA78" s="3880"/>
      <c r="AB78" s="1744"/>
      <c r="AC78" s="1418"/>
      <c r="AD78" s="3057"/>
      <c r="AE78" s="3061"/>
      <c r="AF78" s="3069"/>
      <c r="AG78" s="3061"/>
      <c r="AH78" s="3061"/>
      <c r="AI78" s="3061"/>
      <c r="AJ78" s="3061"/>
      <c r="AK78" s="3061"/>
      <c r="AL78" s="3055"/>
      <c r="AM78" s="3055"/>
      <c r="AN78" s="3055"/>
      <c r="AO78" s="3044"/>
      <c r="AP78" s="3055"/>
      <c r="AQ78" s="3055"/>
      <c r="AR78" s="3055"/>
      <c r="AS78" s="3055"/>
      <c r="AT78" s="3055"/>
      <c r="AU78" s="3055"/>
      <c r="AV78" s="3055"/>
    </row>
    <row r="79" spans="1:48" s="14" customFormat="1" ht="12" customHeight="1" x14ac:dyDescent="0.2">
      <c r="A79" s="4"/>
      <c r="B79" s="923"/>
      <c r="C79" s="3929"/>
      <c r="D79" s="3988"/>
      <c r="E79" s="3967"/>
      <c r="F79" s="3945"/>
      <c r="G79" s="3945"/>
      <c r="H79" s="3945"/>
      <c r="I79" s="3945"/>
      <c r="J79" s="3945"/>
      <c r="K79" s="3946"/>
      <c r="L79" s="1994" t="str">
        <f>IF($E79=0,"",TRUNC(IF(OR(L$22="Maestro en Armas",L$22="Tao"),0.5,1)*VLOOKUP($E79,Tabla_AM_Armas,2,FALSE),0))</f>
        <v/>
      </c>
      <c r="M79" s="1995"/>
      <c r="N79" s="1994" t="str">
        <f>IF($E79=0,"",TRUNC(IF(OR(N$22="Maestro en Armas",N$22="Tao"),0.5,1)*VLOOKUP($E79,Tabla_AM_Armas,2,FALSE),0))</f>
        <v/>
      </c>
      <c r="O79" s="1995"/>
      <c r="P79" s="1994" t="str">
        <f>IF($E79=0,"",TRUNC(IF(OR(P$22="Maestro en Armas",P$22="Tao"),0.5,1)*VLOOKUP($E79,Tabla_AM_Armas,2,FALSE),0))</f>
        <v/>
      </c>
      <c r="Q79" s="1995"/>
      <c r="R79" s="1994" t="str">
        <f>IF($E79=0,"",TRUNC(IF(OR(R$22="Maestro en Armas",R$22="Tao"),0.5,1)*VLOOKUP($E79,Tabla_AM_Armas,2,FALSE),0))</f>
        <v/>
      </c>
      <c r="S79" s="1995"/>
      <c r="T79" s="1994" t="str">
        <f>IF($E79=0,"",TRUNC(IF(OR(T$22="Maestro en Armas",T$22="Tao"),0.5,1)*VLOOKUP($E79,Tabla_AM_Armas,2,FALSE),0))</f>
        <v/>
      </c>
      <c r="U79" s="1995"/>
      <c r="V79" s="3842" t="str">
        <f>IF(E79=0,"",IF(VLOOKUP(E79,Tabla_AM_Armas,4,FALSE)="-","-","FALTAN REQUISITOS"))</f>
        <v/>
      </c>
      <c r="W79" s="3843"/>
      <c r="X79" s="3843"/>
      <c r="Y79" s="3843"/>
      <c r="Z79" s="3843"/>
      <c r="AA79" s="3844"/>
      <c r="AB79" s="1744"/>
      <c r="AC79" s="1418"/>
      <c r="AD79" s="3057"/>
      <c r="AE79" s="3061"/>
      <c r="AF79" s="3069"/>
      <c r="AG79" s="3061"/>
      <c r="AH79" s="3061"/>
      <c r="AI79" s="3061"/>
      <c r="AJ79" s="3061"/>
      <c r="AK79" s="3061"/>
      <c r="AL79" s="3055"/>
      <c r="AM79" s="3055"/>
      <c r="AN79" s="3055"/>
      <c r="AO79" s="3044"/>
      <c r="AP79" s="3055"/>
      <c r="AQ79" s="3055"/>
      <c r="AR79" s="3055"/>
      <c r="AS79" s="3055"/>
      <c r="AT79" s="3055"/>
      <c r="AU79" s="3055"/>
      <c r="AV79" s="3055"/>
    </row>
    <row r="80" spans="1:48" s="14" customFormat="1" ht="12" customHeight="1" x14ac:dyDescent="0.2">
      <c r="A80" s="4"/>
      <c r="B80" s="923"/>
      <c r="C80" s="3929"/>
      <c r="D80" s="3989"/>
      <c r="E80" s="4003"/>
      <c r="F80" s="4004"/>
      <c r="G80" s="4004"/>
      <c r="H80" s="4004"/>
      <c r="I80" s="4004"/>
      <c r="J80" s="4004"/>
      <c r="K80" s="4005"/>
      <c r="L80" s="1996" t="str">
        <f>IF($E80=0,"",TRUNC(IF(OR(L$22="Maestro en Armas",L$22="Tao"),0.5,1)*VLOOKUP($E80,Tabla_AM_Armas,2,FALSE),0))</f>
        <v/>
      </c>
      <c r="M80" s="1997"/>
      <c r="N80" s="1996" t="str">
        <f>IF($E80=0,"",TRUNC(IF(OR(N$22="Maestro en Armas",N$22="Tao"),0.5,1)*VLOOKUP($E80,Tabla_AM_Armas,2,FALSE),0))</f>
        <v/>
      </c>
      <c r="O80" s="1997"/>
      <c r="P80" s="1996" t="str">
        <f>IF($E80=0,"",TRUNC(IF(OR(P$22="Maestro en Armas",P$22="Tao"),0.5,1)*VLOOKUP($E80,Tabla_AM_Armas,2,FALSE),0))</f>
        <v/>
      </c>
      <c r="Q80" s="1997"/>
      <c r="R80" s="1996" t="str">
        <f>IF($E80=0,"",TRUNC(IF(OR(R$22="Maestro en Armas",R$22="Tao"),0.5,1)*VLOOKUP($E80,Tabla_AM_Armas,2,FALSE),0))</f>
        <v/>
      </c>
      <c r="S80" s="1997"/>
      <c r="T80" s="1996" t="str">
        <f>IF($E80=0,"",TRUNC(IF(OR(T$22="Maestro en Armas",T$22="Tao"),0.5,1)*VLOOKUP($E80,Tabla_AM_Armas,2,FALSE),0))</f>
        <v/>
      </c>
      <c r="U80" s="1997"/>
      <c r="V80" s="3845" t="str">
        <f>IF(E80=0,"",IF(VLOOKUP(E80,Tabla_AM_Armas,4,FALSE)="-","-","FALTAN REQUISITOS"))</f>
        <v/>
      </c>
      <c r="W80" s="3846"/>
      <c r="X80" s="3846"/>
      <c r="Y80" s="3846"/>
      <c r="Z80" s="3846"/>
      <c r="AA80" s="3847"/>
      <c r="AB80" s="1744"/>
      <c r="AC80" s="1418"/>
      <c r="AD80" s="3057"/>
      <c r="AE80" s="3061"/>
      <c r="AF80" s="3069"/>
      <c r="AG80" s="3061"/>
      <c r="AH80" s="3061"/>
      <c r="AI80" s="3061"/>
      <c r="AJ80" s="3061"/>
      <c r="AK80" s="3061"/>
      <c r="AL80" s="3055"/>
      <c r="AM80" s="3055"/>
      <c r="AN80" s="3055"/>
      <c r="AO80" s="3044"/>
      <c r="AP80" s="3055"/>
      <c r="AQ80" s="3055"/>
      <c r="AR80" s="3055"/>
      <c r="AS80" s="3055"/>
      <c r="AT80" s="3055"/>
      <c r="AU80" s="3055"/>
      <c r="AV80" s="3055"/>
    </row>
    <row r="81" spans="1:48" s="14" customFormat="1" ht="12" customHeight="1" x14ac:dyDescent="0.2">
      <c r="A81" s="4"/>
      <c r="B81" s="923"/>
      <c r="C81" s="3929"/>
      <c r="D81" s="3972" t="s">
        <v>1505</v>
      </c>
      <c r="E81" s="3907"/>
      <c r="F81" s="3908"/>
      <c r="G81" s="3908"/>
      <c r="H81" s="3908"/>
      <c r="I81" s="3908"/>
      <c r="J81" s="3908"/>
      <c r="K81" s="3909"/>
      <c r="L81" s="1989" t="str">
        <f>IFERROR(IF($E81=0,"",IF($E81="Ophiucos Sigma",IF($M81="",VLOOKUP($E81,Tabla_ArsMagnus,2,FALSE)*IF(L$22="Maestro en Armas",0.5,1),$M81),VLOOKUP($E81,Tabla_ArsMagnus,2,FALSE)*IF(OR(L$22="Maestro en Armas",AND($E81="Kiai",L$22="Tao")),0.5,1))),"")</f>
        <v/>
      </c>
      <c r="M81" s="1978"/>
      <c r="N81" s="1989" t="str">
        <f>IFERROR(IF($E81=0,"",IF($E81="Ophiucos Sigma",IF($O81="",VLOOKUP($E81,Tabla_ArsMagnus,2,FALSE)*IF(N$22="Maestro en Armas",0.5,1),$O81),VLOOKUP($E81,Tabla_ArsMagnus,2,FALSE)*IF(OR(N$22="Maestro en Armas",AND($E81="Kiai",N$22="Tao")),0.5,1))),"")</f>
        <v/>
      </c>
      <c r="O81" s="1978"/>
      <c r="P81" s="1989" t="str">
        <f>IFERROR(IF($E81=0,"",IF($E81="Ophiucos Sigma",IF($Q81="",VLOOKUP($E81,Tabla_ArsMagnus,2,FALSE)*IF(P$22="Maestro en Armas",0.5,1),$Q81),VLOOKUP($E81,Tabla_ArsMagnus,2,FALSE)*IF(OR(P$22="Maestro en Armas",AND($E81="Kiai",P$22="Tao")),0.5,1))),"")</f>
        <v/>
      </c>
      <c r="Q81" s="1978"/>
      <c r="R81" s="1989" t="str">
        <f>IFERROR(IF($E81=0,"",IF($E81="Ophiucos Sigma",IF($S81="",VLOOKUP($E81,Tabla_ArsMagnus,2,FALSE)*IF(R$22="Maestro en Armas",0.5,1),$S81),VLOOKUP($E81,Tabla_ArsMagnus,2,FALSE)*IF(OR(R$22="Maestro en Armas",AND($E81="Kiai",R$22="Tao")),0.5,1))),"")</f>
        <v/>
      </c>
      <c r="S81" s="1978"/>
      <c r="T81" s="1989" t="str">
        <f>IFERROR(IF($E81=0,"",IF($E81="Ophiucos Sigma",IF($U81="",VLOOKUP($E81,Tabla_ArsMagnus,2,FALSE)*IF(T$22="Maestro en Armas",0.5,1),$U81),VLOOKUP($E81,Tabla_ArsMagnus,2,FALSE)*IF(OR(T$22="Maestro en Armas",AND($E81="Kiai",T$22="Tao")),0.5,1))),"")</f>
        <v/>
      </c>
      <c r="U81" s="1978"/>
      <c r="V81" s="3857" t="str">
        <f>IF(E81=0,"",IF(VLOOKUP(E81,Tabla_ArsMagnus,5,FALSE)="-","Ver Descripción","FALTAN REQUISITOS"))</f>
        <v/>
      </c>
      <c r="W81" s="3858"/>
      <c r="X81" s="3858"/>
      <c r="Y81" s="3858"/>
      <c r="Z81" s="61" t="s">
        <v>1506</v>
      </c>
      <c r="AA81" s="545">
        <f>IF(E81=0,0,VLOOKUP(E81,Tabla_ArsMagnus,3,FALSE))</f>
        <v>0</v>
      </c>
      <c r="AB81" s="1744"/>
      <c r="AC81" s="1418"/>
      <c r="AD81" s="3044"/>
      <c r="AE81" s="3061"/>
      <c r="AF81" s="3069"/>
      <c r="AG81" s="3061"/>
      <c r="AH81" s="3061"/>
      <c r="AI81" s="3061"/>
      <c r="AJ81" s="3061"/>
      <c r="AK81" s="3061"/>
      <c r="AL81" s="3055"/>
      <c r="AM81" s="3055"/>
      <c r="AN81" s="3055"/>
      <c r="AO81" s="3044"/>
      <c r="AP81" s="3055"/>
      <c r="AQ81" s="3055"/>
      <c r="AR81" s="3055"/>
      <c r="AS81" s="3055"/>
      <c r="AT81" s="3055"/>
      <c r="AU81" s="3055"/>
      <c r="AV81" s="3055"/>
    </row>
    <row r="82" spans="1:48" s="14" customFormat="1" ht="12" customHeight="1" x14ac:dyDescent="0.2">
      <c r="A82" s="4"/>
      <c r="B82" s="923"/>
      <c r="C82" s="3929"/>
      <c r="D82" s="3973"/>
      <c r="E82" s="4008"/>
      <c r="F82" s="4009"/>
      <c r="G82" s="4009"/>
      <c r="H82" s="4009"/>
      <c r="I82" s="4009"/>
      <c r="J82" s="4009"/>
      <c r="K82" s="4010"/>
      <c r="L82" s="1984" t="str">
        <f>IFERROR(IF($E82=0,"",IF($E82="Ophiucos Sigma",IF($M82="",VLOOKUP($E82,Tabla_ArsMagnus,2,FALSE)*IF(L$22="Maestro en Armas",0.5,1),$M82),VLOOKUP($E82,Tabla_ArsMagnus,2,FALSE)*IF(OR(L$22="Maestro en Armas",AND($E82="Kiai",L$22="Tao")),0.5,1))),"")</f>
        <v/>
      </c>
      <c r="M82" s="1977"/>
      <c r="N82" s="1984" t="str">
        <f>IFERROR(IF($E82=0,"",IF($E82="Ophiucos Sigma",IF($O82="",VLOOKUP($E82,Tabla_ArsMagnus,2,FALSE)*IF(N$22="Maestro en Armas",0.5,1),$O82),VLOOKUP($E82,Tabla_ArsMagnus,2,FALSE)*IF(OR(N$22="Maestro en Armas",AND($E82="Kiai",N$22="Tao")),0.5,1))),"")</f>
        <v/>
      </c>
      <c r="O82" s="1977"/>
      <c r="P82" s="1984" t="str">
        <f>IFERROR(IF($E82=0,"",IF($E82="Ophiucos Sigma",IF($Q82="",VLOOKUP($E82,Tabla_ArsMagnus,2,FALSE)*IF(P$22="Maestro en Armas",0.5,1),$Q82),VLOOKUP($E82,Tabla_ArsMagnus,2,FALSE)*IF(OR(P$22="Maestro en Armas",AND($E82="Kiai",P$22="Tao")),0.5,1))),"")</f>
        <v/>
      </c>
      <c r="Q82" s="1977"/>
      <c r="R82" s="1984" t="str">
        <f>IFERROR(IF($E82=0,"",IF($E82="Ophiucos Sigma",IF($S82="",VLOOKUP($E82,Tabla_ArsMagnus,2,FALSE)*IF(R$22="Maestro en Armas",0.5,1),$S82),VLOOKUP($E82,Tabla_ArsMagnus,2,FALSE)*IF(OR(R$22="Maestro en Armas",AND($E82="Kiai",R$22="Tao")),0.5,1))),"")</f>
        <v/>
      </c>
      <c r="S82" s="1977"/>
      <c r="T82" s="1984" t="str">
        <f>IFERROR(IF($E82=0,"",IF($E82="Ophiucos Sigma",IF($U82="",VLOOKUP($E82,Tabla_ArsMagnus,2,FALSE)*IF(T$22="Maestro en Armas",0.5,1),$U82),VLOOKUP($E82,Tabla_ArsMagnus,2,FALSE)*IF(OR(T$22="Maestro en Armas",AND($E82="Kiai",T$22="Tao")),0.5,1))),"")</f>
        <v/>
      </c>
      <c r="U82" s="1977"/>
      <c r="V82" s="3859" t="str">
        <f>IF(E82=0,"",IF(VLOOKUP(E82,Tabla_ArsMagnus,5,FALSE)="-","Ver Descripción","FALTAN REQUISITOS"))</f>
        <v/>
      </c>
      <c r="W82" s="3860"/>
      <c r="X82" s="3860"/>
      <c r="Y82" s="3860"/>
      <c r="Z82" s="60" t="s">
        <v>1506</v>
      </c>
      <c r="AA82" s="546">
        <f>IF(E82=0,0,VLOOKUP(E82,Tabla_ArsMagnus,3,FALSE))</f>
        <v>0</v>
      </c>
      <c r="AB82" s="1744"/>
      <c r="AC82" s="1418"/>
      <c r="AD82" s="3044"/>
      <c r="AE82" s="3061"/>
      <c r="AF82" s="3069"/>
      <c r="AG82" s="3061"/>
      <c r="AH82" s="3061"/>
      <c r="AI82" s="3061"/>
      <c r="AJ82" s="3061"/>
      <c r="AK82" s="3061"/>
      <c r="AL82" s="3055"/>
      <c r="AM82" s="3055"/>
      <c r="AN82" s="3055"/>
      <c r="AO82" s="3055"/>
      <c r="AP82" s="3055"/>
      <c r="AQ82" s="3055"/>
      <c r="AR82" s="3055"/>
      <c r="AS82" s="3055"/>
      <c r="AT82" s="3055"/>
      <c r="AU82" s="3055"/>
      <c r="AV82" s="3055"/>
    </row>
    <row r="83" spans="1:48" s="14" customFormat="1" ht="12" customHeight="1" x14ac:dyDescent="0.2">
      <c r="A83" s="4"/>
      <c r="B83" s="923"/>
      <c r="C83" s="3929"/>
      <c r="D83" s="3973"/>
      <c r="E83" s="3907"/>
      <c r="F83" s="3908"/>
      <c r="G83" s="3908"/>
      <c r="H83" s="3908"/>
      <c r="I83" s="3908"/>
      <c r="J83" s="3908"/>
      <c r="K83" s="3909"/>
      <c r="L83" s="1989" t="str">
        <f>IFERROR(IF($E83=0,"",IF($E83="Ophiucos Sigma",IF($M83="",VLOOKUP($E83,Tabla_ArsMagnus,2,FALSE)*IF(L$22="Maestro en Armas",0.5,1),$M83),VLOOKUP($E83,Tabla_ArsMagnus,2,FALSE)*IF(OR(L$22="Maestro en Armas",AND($E83="Kiai",L$22="Tao")),0.5,1))),"")</f>
        <v/>
      </c>
      <c r="M83" s="1978"/>
      <c r="N83" s="1989" t="str">
        <f>IFERROR(IF($E83=0,"",IF($E83="Ophiucos Sigma",IF($O83="",VLOOKUP($E83,Tabla_ArsMagnus,2,FALSE)*IF(N$22="Maestro en Armas",0.5,1),$O83),VLOOKUP($E83,Tabla_ArsMagnus,2,FALSE)*IF(OR(N$22="Maestro en Armas",AND($E83="Kiai",N$22="Tao")),0.5,1))),"")</f>
        <v/>
      </c>
      <c r="O83" s="1978"/>
      <c r="P83" s="1989" t="str">
        <f>IFERROR(IF($E83=0,"",IF($E83="Ophiucos Sigma",IF($Q83="",VLOOKUP($E83,Tabla_ArsMagnus,2,FALSE)*IF(P$22="Maestro en Armas",0.5,1),$Q83),VLOOKUP($E83,Tabla_ArsMagnus,2,FALSE)*IF(OR(P$22="Maestro en Armas",AND($E83="Kiai",P$22="Tao")),0.5,1))),"")</f>
        <v/>
      </c>
      <c r="Q83" s="1978"/>
      <c r="R83" s="1989" t="str">
        <f>IFERROR(IF($E83=0,"",IF($E83="Ophiucos Sigma",IF($S83="",VLOOKUP($E83,Tabla_ArsMagnus,2,FALSE)*IF(R$22="Maestro en Armas",0.5,1),$S83),VLOOKUP($E83,Tabla_ArsMagnus,2,FALSE)*IF(OR(R$22="Maestro en Armas",AND($E83="Kiai",R$22="Tao")),0.5,1))),"")</f>
        <v/>
      </c>
      <c r="S83" s="1978"/>
      <c r="T83" s="1989" t="str">
        <f>IFERROR(IF($E83=0,"",IF($E83="Ophiucos Sigma",IF($U83="",VLOOKUP($E83,Tabla_ArsMagnus,2,FALSE)*IF(T$22="Maestro en Armas",0.5,1),$U83),VLOOKUP($E83,Tabla_ArsMagnus,2,FALSE)*IF(OR(T$22="Maestro en Armas",AND($E83="Kiai",T$22="Tao")),0.5,1))),"")</f>
        <v/>
      </c>
      <c r="U83" s="1978"/>
      <c r="V83" s="3857" t="str">
        <f>IF(E83=0,"",IF(VLOOKUP(E83,Tabla_ArsMagnus,5,FALSE)="-","Ver Descripción","FALTAN REQUISITOS"))</f>
        <v/>
      </c>
      <c r="W83" s="3858"/>
      <c r="X83" s="3858"/>
      <c r="Y83" s="3858"/>
      <c r="Z83" s="61" t="s">
        <v>1506</v>
      </c>
      <c r="AA83" s="545">
        <f>IF(E83=0,0,VLOOKUP(E83,Tabla_ArsMagnus,3,FALSE))</f>
        <v>0</v>
      </c>
      <c r="AB83" s="1744"/>
      <c r="AC83" s="1418"/>
      <c r="AD83" s="3044"/>
      <c r="AE83" s="3061"/>
      <c r="AF83" s="3069"/>
      <c r="AG83" s="3061"/>
      <c r="AH83" s="3061"/>
      <c r="AI83" s="3061"/>
      <c r="AJ83" s="3061"/>
      <c r="AK83" s="3061"/>
      <c r="AL83" s="3055"/>
      <c r="AM83" s="3055"/>
      <c r="AN83" s="3055"/>
      <c r="AO83" s="3055"/>
      <c r="AP83" s="3055"/>
      <c r="AQ83" s="3055"/>
      <c r="AR83" s="3055"/>
      <c r="AS83" s="3055"/>
      <c r="AT83" s="3055"/>
      <c r="AU83" s="3055"/>
      <c r="AV83" s="3055"/>
    </row>
    <row r="84" spans="1:48" s="14" customFormat="1" ht="12" customHeight="1" x14ac:dyDescent="0.2">
      <c r="A84" s="4"/>
      <c r="B84" s="923"/>
      <c r="C84" s="3929"/>
      <c r="D84" s="3973"/>
      <c r="E84" s="4008"/>
      <c r="F84" s="4009"/>
      <c r="G84" s="4009"/>
      <c r="H84" s="4009"/>
      <c r="I84" s="4009"/>
      <c r="J84" s="4009"/>
      <c r="K84" s="4010"/>
      <c r="L84" s="1984" t="str">
        <f>IFERROR(IF($E84=0,"",IF($E84="Ophiucos Sigma",IF($M84="",VLOOKUP($E84,Tabla_ArsMagnus,2,FALSE)*IF(L$22="Maestro en Armas",0.5,1),$M84),VLOOKUP($E84,Tabla_ArsMagnus,2,FALSE)*IF(OR(L$22="Maestro en Armas",AND($E84="Kiai",L$22="Tao")),0.5,1))),"")</f>
        <v/>
      </c>
      <c r="M84" s="1977"/>
      <c r="N84" s="1984" t="str">
        <f>IFERROR(IF($E84=0,"",IF($E84="Ophiucos Sigma",IF($O84="",VLOOKUP($E84,Tabla_ArsMagnus,2,FALSE)*IF(N$22="Maestro en Armas",0.5,1),$O84),VLOOKUP($E84,Tabla_ArsMagnus,2,FALSE)*IF(OR(N$22="Maestro en Armas",AND($E84="Kiai",N$22="Tao")),0.5,1))),"")</f>
        <v/>
      </c>
      <c r="O84" s="1977"/>
      <c r="P84" s="1984" t="str">
        <f>IFERROR(IF($E84=0,"",IF($E84="Ophiucos Sigma",IF($Q84="",VLOOKUP($E84,Tabla_ArsMagnus,2,FALSE)*IF(P$22="Maestro en Armas",0.5,1),$Q84),VLOOKUP($E84,Tabla_ArsMagnus,2,FALSE)*IF(OR(P$22="Maestro en Armas",AND($E84="Kiai",P$22="Tao")),0.5,1))),"")</f>
        <v/>
      </c>
      <c r="Q84" s="1977"/>
      <c r="R84" s="1984" t="str">
        <f>IFERROR(IF($E84=0,"",IF($E84="Ophiucos Sigma",IF($S84="",VLOOKUP($E84,Tabla_ArsMagnus,2,FALSE)*IF(R$22="Maestro en Armas",0.5,1),$S84),VLOOKUP($E84,Tabla_ArsMagnus,2,FALSE)*IF(OR(R$22="Maestro en Armas",AND($E84="Kiai",R$22="Tao")),0.5,1))),"")</f>
        <v/>
      </c>
      <c r="S84" s="1977"/>
      <c r="T84" s="1984" t="str">
        <f>IFERROR(IF($E84=0,"",IF($E84="Ophiucos Sigma",IF($U84="",VLOOKUP($E84,Tabla_ArsMagnus,2,FALSE)*IF(T$22="Maestro en Armas",0.5,1),$U84),VLOOKUP($E84,Tabla_ArsMagnus,2,FALSE)*IF(OR(T$22="Maestro en Armas",AND($E84="Kiai",T$22="Tao")),0.5,1))),"")</f>
        <v/>
      </c>
      <c r="U84" s="1977"/>
      <c r="V84" s="3859" t="str">
        <f>IF(E84=0,"",IF(VLOOKUP(E84,Tabla_ArsMagnus,5,FALSE)="-","Ver Descripción","FALTAN REQUISITOS"))</f>
        <v/>
      </c>
      <c r="W84" s="3860"/>
      <c r="X84" s="3860"/>
      <c r="Y84" s="3860"/>
      <c r="Z84" s="60" t="s">
        <v>1506</v>
      </c>
      <c r="AA84" s="546">
        <f>IF(E84=0,0,VLOOKUP(E84,Tabla_ArsMagnus,3,FALSE))</f>
        <v>0</v>
      </c>
      <c r="AB84" s="1744"/>
      <c r="AC84" s="1418"/>
      <c r="AD84" s="3044"/>
      <c r="AE84" s="3061"/>
      <c r="AF84" s="3069"/>
      <c r="AG84" s="3061"/>
      <c r="AH84" s="3061"/>
      <c r="AI84" s="3061"/>
      <c r="AJ84" s="3061"/>
      <c r="AK84" s="3061"/>
      <c r="AL84" s="3055"/>
      <c r="AM84" s="3055"/>
      <c r="AN84" s="3055"/>
      <c r="AO84" s="3055"/>
      <c r="AP84" s="3055"/>
      <c r="AQ84" s="3055"/>
      <c r="AR84" s="3055"/>
      <c r="AS84" s="3055"/>
      <c r="AT84" s="3055"/>
      <c r="AU84" s="3055"/>
      <c r="AV84" s="3055"/>
    </row>
    <row r="85" spans="1:48" s="14" customFormat="1" ht="12" customHeight="1" thickBot="1" x14ac:dyDescent="0.25">
      <c r="A85" s="4"/>
      <c r="B85" s="923"/>
      <c r="C85" s="3929"/>
      <c r="D85" s="3973"/>
      <c r="E85" s="3907"/>
      <c r="F85" s="3908"/>
      <c r="G85" s="3908"/>
      <c r="H85" s="3908"/>
      <c r="I85" s="3908"/>
      <c r="J85" s="3908"/>
      <c r="K85" s="3909"/>
      <c r="L85" s="1989" t="str">
        <f>IFERROR(IF($E85=0,"",IF($E85="Ophiucos Sigma",IF($M85="",VLOOKUP($E85,Tabla_ArsMagnus,2,FALSE)*IF(L$22="Maestro en Armas",0.5,1),$M85),VLOOKUP($E85,Tabla_ArsMagnus,2,FALSE)*IF(OR(L$22="Maestro en Armas",AND($E85="Kiai",L$22="Tao")),0.5,1))),"")</f>
        <v/>
      </c>
      <c r="M85" s="1978"/>
      <c r="N85" s="1989" t="str">
        <f>IFERROR(IF($E85=0,"",IF($E85="Ophiucos Sigma",IF($O85="",VLOOKUP($E85,Tabla_ArsMagnus,2,FALSE)*IF(N$22="Maestro en Armas",0.5,1),$O85),VLOOKUP($E85,Tabla_ArsMagnus,2,FALSE)*IF(OR(N$22="Maestro en Armas",AND($E85="Kiai",N$22="Tao")),0.5,1))),"")</f>
        <v/>
      </c>
      <c r="O85" s="1978"/>
      <c r="P85" s="1989" t="str">
        <f>IFERROR(IF($E85=0,"",IF($E85="Ophiucos Sigma",IF($Q85="",VLOOKUP($E85,Tabla_ArsMagnus,2,FALSE)*IF(P$22="Maestro en Armas",0.5,1),$Q85),VLOOKUP($E85,Tabla_ArsMagnus,2,FALSE)*IF(OR(P$22="Maestro en Armas",AND($E85="Kiai",P$22="Tao")),0.5,1))),"")</f>
        <v/>
      </c>
      <c r="Q85" s="1978"/>
      <c r="R85" s="1989" t="str">
        <f>IFERROR(IF($E85=0,"",IF($E85="Ophiucos Sigma",IF($S85="",VLOOKUP($E85,Tabla_ArsMagnus,2,FALSE)*IF(R$22="Maestro en Armas",0.5,1),$S85),VLOOKUP($E85,Tabla_ArsMagnus,2,FALSE)*IF(OR(R$22="Maestro en Armas",AND($E85="Kiai",R$22="Tao")),0.5,1))),"")</f>
        <v/>
      </c>
      <c r="S85" s="1978"/>
      <c r="T85" s="1989" t="str">
        <f>IFERROR(IF($E85=0,"",IF($E85="Ophiucos Sigma",IF($U85="",VLOOKUP($E85,Tabla_ArsMagnus,2,FALSE)*IF(T$22="Maestro en Armas",0.5,1),$U85),VLOOKUP($E85,Tabla_ArsMagnus,2,FALSE)*IF(OR(T$22="Maestro en Armas",AND($E85="Kiai",T$22="Tao")),0.5,1))),"")</f>
        <v/>
      </c>
      <c r="U85" s="1978"/>
      <c r="V85" s="3857" t="str">
        <f>IF(E85=0,"",IF(VLOOKUP(E85,Tabla_ArsMagnus,5,FALSE)="-","Ver Descripción","FALTAN REQUISITOS"))</f>
        <v/>
      </c>
      <c r="W85" s="3858"/>
      <c r="X85" s="3858"/>
      <c r="Y85" s="3858"/>
      <c r="Z85" s="61" t="s">
        <v>1506</v>
      </c>
      <c r="AA85" s="545">
        <f>IF(E85=0,0,VLOOKUP(E85,Tabla_ArsMagnus,3,FALSE))</f>
        <v>0</v>
      </c>
      <c r="AB85" s="1744"/>
      <c r="AC85" s="1418"/>
      <c r="AD85" s="3044"/>
      <c r="AE85" s="3061"/>
      <c r="AF85" s="3069"/>
      <c r="AG85" s="3061"/>
      <c r="AH85" s="3061"/>
      <c r="AI85" s="3061"/>
      <c r="AJ85" s="3061"/>
      <c r="AK85" s="3061"/>
      <c r="AL85" s="3055"/>
      <c r="AM85" s="3055"/>
      <c r="AN85" s="3055"/>
      <c r="AO85" s="3055"/>
      <c r="AP85" s="3055"/>
      <c r="AQ85" s="3055"/>
      <c r="AR85" s="3055"/>
      <c r="AS85" s="3055"/>
      <c r="AT85" s="3055"/>
      <c r="AU85" s="3055"/>
      <c r="AV85" s="3055"/>
    </row>
    <row r="86" spans="1:48" s="14" customFormat="1" ht="12" customHeight="1" x14ac:dyDescent="0.2">
      <c r="A86" s="4"/>
      <c r="B86" s="923"/>
      <c r="C86" s="3929"/>
      <c r="D86" s="3952" t="s">
        <v>1507</v>
      </c>
      <c r="E86" s="3953"/>
      <c r="F86" s="3953"/>
      <c r="G86" s="3953"/>
      <c r="H86" s="3953"/>
      <c r="I86" s="3953"/>
      <c r="J86" s="3953"/>
      <c r="K86" s="4006"/>
      <c r="L86" s="3939">
        <f>T$7*IF(Categoría_1=0,0.5,L88)</f>
        <v>200</v>
      </c>
      <c r="M86" s="3910">
        <f>SUM(M30:M85)+SUM(M25:M28)</f>
        <v>0</v>
      </c>
      <c r="N86" s="3939">
        <f>IF(Limite_Primarias_Individual,$T$9*N88,IF(Categoría_2=0,0,(IF(OR(Limite_Primarias_Combinado,Limite_Primarias_MasConveniente),O88,SUM(T$7:T$9)*IF(Limite_Primarias_Maximo,MAX($L88,$N88),N88)))))</f>
        <v>0</v>
      </c>
      <c r="O86" s="3910">
        <f>(SUM(O30:O85)+SUM(O25:O28)+IF(Limite_Primarias_Individual,0,M86))*IF(Categoría_2=0,0,1)</f>
        <v>0</v>
      </c>
      <c r="P86" s="3939">
        <f>IF(Limite_Primarias_Individual,$T$11*P88,IF(Categoría_3=0,0,(IF(OR(Limite_Primarias_Combinado,Limite_Primarias_MasConveniente),Q88,SUM(T$7:T$11)*IF(Limite_Primarias_Maximo,MAX($L88,$N88,$P88),P88)))))</f>
        <v>0</v>
      </c>
      <c r="Q86" s="3938">
        <f>(SUM(Q30:Q85)+SUM(Q25:Q28)+IF(Limite_Primarias_Individual,0,O86))*IF(Categoría_3=0,0,1)</f>
        <v>0</v>
      </c>
      <c r="R86" s="3939">
        <f>IF(Limite_Primarias_Individual,$T$13*R88,IF(Categoría_4=0,0,(IF(OR(Limite_Primarias_Combinado,Limite_Primarias_MasConveniente),S88,SUM(T$7:T$13)*IF(Limite_Primarias_Maximo,MAX($L88,$N88,$P88,$R88),R88)))))</f>
        <v>0</v>
      </c>
      <c r="S86" s="3910">
        <f>(SUM(S30:S85)+SUM(S25:S28)+IF(Limite_Primarias_Individual,0,Q86))*IF(Categoría_4=0,0,1)</f>
        <v>0</v>
      </c>
      <c r="T86" s="3939">
        <f>IF(Limite_Primarias_Individual,$T$15*T88,IF(Categoría_5=0,0,(IF(OR(Limite_Primarias_Combinado,Limite_Primarias_MasConveniente),U88,SUM(T$7:T$15)*IF(Limite_Primarias_Maximo,MAX($L88,$N88,$P88,$R88,$T88),T88)))))</f>
        <v>0</v>
      </c>
      <c r="U86" s="3910">
        <f>(SUM(U30:U85)+SUM(U25:U28)+IF(Limite_Primarias_Individual,0,S86))*IF(Categoría_5=0,0,1)</f>
        <v>0</v>
      </c>
      <c r="V86" s="3881"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882"/>
      <c r="X86" s="3882"/>
      <c r="Y86" s="3882"/>
      <c r="Z86" s="3882"/>
      <c r="AA86" s="3883"/>
      <c r="AB86" s="1744"/>
      <c r="AC86" s="1418"/>
      <c r="AD86" s="3044"/>
      <c r="AE86" s="3061"/>
      <c r="AF86" s="3069"/>
      <c r="AG86" s="3061"/>
      <c r="AH86" s="3061"/>
      <c r="AI86" s="3061"/>
      <c r="AJ86" s="3061"/>
      <c r="AK86" s="3061"/>
      <c r="AL86" s="3055"/>
      <c r="AM86" s="3055"/>
      <c r="AN86" s="3055"/>
      <c r="AO86" s="3055"/>
      <c r="AP86" s="3055"/>
      <c r="AQ86" s="3055"/>
      <c r="AR86" s="3055"/>
      <c r="AS86" s="3055"/>
      <c r="AT86" s="3055"/>
      <c r="AU86" s="3055"/>
      <c r="AV86" s="3055"/>
    </row>
    <row r="87" spans="1:48" s="14" customFormat="1" ht="12" customHeight="1" thickBot="1" x14ac:dyDescent="0.25">
      <c r="A87" s="4"/>
      <c r="B87" s="923"/>
      <c r="C87" s="3930"/>
      <c r="D87" s="3955"/>
      <c r="E87" s="3956"/>
      <c r="F87" s="3956"/>
      <c r="G87" s="3956"/>
      <c r="H87" s="3956"/>
      <c r="I87" s="3956"/>
      <c r="J87" s="3956"/>
      <c r="K87" s="4007"/>
      <c r="L87" s="3940"/>
      <c r="M87" s="3911"/>
      <c r="N87" s="3940"/>
      <c r="O87" s="3911"/>
      <c r="P87" s="3940"/>
      <c r="Q87" s="3633"/>
      <c r="R87" s="3940"/>
      <c r="S87" s="3911"/>
      <c r="T87" s="3940"/>
      <c r="U87" s="3911"/>
      <c r="V87" s="3884"/>
      <c r="W87" s="3885"/>
      <c r="X87" s="3885"/>
      <c r="Y87" s="3885"/>
      <c r="Z87" s="3885"/>
      <c r="AA87" s="3886"/>
      <c r="AB87" s="1744"/>
      <c r="AC87" s="1418"/>
      <c r="AD87" s="3044"/>
      <c r="AE87" s="3061"/>
      <c r="AF87" s="3069"/>
      <c r="AG87" s="3061"/>
      <c r="AH87" s="3061"/>
      <c r="AI87" s="3061"/>
      <c r="AJ87" s="3061"/>
      <c r="AK87" s="3061"/>
      <c r="AL87" s="3055"/>
      <c r="AM87" s="3055"/>
      <c r="AN87" s="3055"/>
      <c r="AO87" s="3055"/>
      <c r="AP87" s="3055"/>
      <c r="AQ87" s="3055"/>
      <c r="AR87" s="3055"/>
      <c r="AS87" s="3055"/>
      <c r="AT87" s="3055"/>
      <c r="AU87" s="3055"/>
      <c r="AV87" s="3055"/>
    </row>
    <row r="88" spans="1:48" s="14" customFormat="1" ht="12" customHeight="1" x14ac:dyDescent="0.2">
      <c r="A88" s="4"/>
      <c r="B88" s="923"/>
      <c r="L88" s="682">
        <f>IFERROR(VLOOKUP(Categoría_1,Tabla_Categorías,6,FALSE),0)</f>
        <v>0</v>
      </c>
      <c r="M88" s="682">
        <f>L88*$T$7</f>
        <v>0</v>
      </c>
      <c r="N88" s="682">
        <f>IFERROR(VLOOKUP(Categoría_2,Tabla_Categorías,6,FALSE),0)</f>
        <v>0</v>
      </c>
      <c r="O88" s="682">
        <f>IF(OR(Limite_Primarias_Combinado,N88&lt;=L88),N88*$T$9+M88,IF(Limite_Primarias_MasConveniente,N88*SUM($T$7:$T$9),0))</f>
        <v>0</v>
      </c>
      <c r="P88" s="682">
        <f>IFERROR(VLOOKUP(Categoría_3,Tabla_Categorías,6,FALSE),0)</f>
        <v>0</v>
      </c>
      <c r="Q88" s="682">
        <f>IF(OR(Limite_Primarias_Combinado,P88&lt;=N88),P88*$T$11+O88,IF(Limite_Primarias_MasConveniente,P88*SUM($T$7:$T$11),0))</f>
        <v>0</v>
      </c>
      <c r="R88" s="682">
        <f>IFERROR(VLOOKUP(Categoría_4,Tabla_Categorías,6,FALSE),0)</f>
        <v>0</v>
      </c>
      <c r="S88" s="682">
        <f>IF(OR(Limite_Primarias_Combinado,R88&lt;=P88),R88*$T$13+Q88,IF(Limite_Primarias_MasConveniente,R88*SUM($T$7:$T$13),0))</f>
        <v>0</v>
      </c>
      <c r="T88" s="682">
        <f>IFERROR(VLOOKUP(Categoría_5,Tabla_Categorías,6,FALSE),0)</f>
        <v>0</v>
      </c>
      <c r="U88" s="682">
        <f>IF(OR(Limite_Primarias_Combinado,T88&lt;=R88),T88*$T$15+S88,IF(Limite_Primarias_MasConveniente,T88*SUM($T$7:$T$15),0))</f>
        <v>0</v>
      </c>
      <c r="AB88" s="1744"/>
      <c r="AC88" s="1418"/>
      <c r="AD88" s="3044"/>
      <c r="AE88" s="3061"/>
      <c r="AF88" s="3069"/>
      <c r="AG88" s="3061"/>
      <c r="AH88" s="3061"/>
      <c r="AI88" s="3061"/>
      <c r="AJ88" s="3061"/>
      <c r="AK88" s="3061"/>
      <c r="AL88" s="3055"/>
      <c r="AM88" s="3055"/>
      <c r="AN88" s="3055"/>
      <c r="AO88" s="3055"/>
      <c r="AP88" s="3055"/>
      <c r="AQ88" s="3055"/>
      <c r="AR88" s="3055"/>
      <c r="AS88" s="3055"/>
      <c r="AT88" s="3055"/>
      <c r="AU88" s="3055"/>
      <c r="AV88" s="3055"/>
    </row>
    <row r="89" spans="1:48" s="14" customFormat="1" ht="12" customHeight="1" thickBot="1" x14ac:dyDescent="0.25">
      <c r="A89" s="4"/>
      <c r="B89" s="923"/>
      <c r="AB89" s="1744"/>
      <c r="AC89" s="1418"/>
      <c r="AD89" s="3044"/>
      <c r="AE89" s="3061"/>
      <c r="AF89" s="3069"/>
      <c r="AG89" s="3061"/>
      <c r="AH89" s="3061"/>
      <c r="AI89" s="3061"/>
      <c r="AJ89" s="3061"/>
      <c r="AK89" s="3061"/>
      <c r="AL89" s="3055"/>
      <c r="AM89" s="3055"/>
      <c r="AN89" s="3055"/>
      <c r="AO89" s="3055"/>
      <c r="AP89" s="3055"/>
      <c r="AQ89" s="3055"/>
      <c r="AR89" s="3055"/>
      <c r="AS89" s="3055"/>
      <c r="AT89" s="3055"/>
      <c r="AU89" s="3055"/>
      <c r="AV89" s="3055"/>
    </row>
    <row r="90" spans="1:48" s="14" customFormat="1" ht="12" customHeight="1" x14ac:dyDescent="0.2">
      <c r="A90" s="4"/>
      <c r="B90" s="923"/>
      <c r="L90" s="3836" t="str">
        <f>IF(Categoría_1=0,"",Categoría_1)</f>
        <v/>
      </c>
      <c r="M90" s="3837"/>
      <c r="N90" s="3840" t="str">
        <f>IF(Categoría_2=0,"",Categoría_2)</f>
        <v/>
      </c>
      <c r="O90" s="3837"/>
      <c r="P90" s="3840" t="str">
        <f>IF(Categoría_3=0,"",Categoría_3)</f>
        <v/>
      </c>
      <c r="Q90" s="3837"/>
      <c r="R90" s="3840" t="str">
        <f>IF(Categoría_4=0,"",Categoría_4)</f>
        <v/>
      </c>
      <c r="S90" s="3837"/>
      <c r="T90" s="3840" t="str">
        <f>IF(Categoría_5=0,"",Categoría_5)</f>
        <v/>
      </c>
      <c r="U90" s="3852"/>
      <c r="V90" s="62"/>
      <c r="W90" s="62"/>
      <c r="X90" s="62"/>
      <c r="Y90" s="62"/>
      <c r="Z90" s="62"/>
      <c r="AA90" s="62"/>
      <c r="AB90" s="1744"/>
      <c r="AC90" s="1418"/>
      <c r="AD90" s="3044"/>
      <c r="AE90" s="3061"/>
      <c r="AF90" s="3069"/>
      <c r="AG90" s="3061"/>
      <c r="AH90" s="3061"/>
      <c r="AI90" s="3061"/>
      <c r="AJ90" s="3061"/>
      <c r="AK90" s="3061"/>
      <c r="AL90" s="3055"/>
      <c r="AM90" s="3055"/>
      <c r="AN90" s="3055"/>
      <c r="AO90" s="3044"/>
      <c r="AP90" s="3055"/>
      <c r="AQ90" s="3055"/>
      <c r="AR90" s="3055"/>
      <c r="AS90" s="3055"/>
      <c r="AT90" s="3055"/>
      <c r="AU90" s="3055"/>
      <c r="AV90" s="3055"/>
    </row>
    <row r="91" spans="1:48" s="14" customFormat="1" ht="12" customHeight="1" thickBot="1" x14ac:dyDescent="0.25">
      <c r="A91" s="4"/>
      <c r="B91" s="923"/>
      <c r="C91" s="19"/>
      <c r="L91" s="3905"/>
      <c r="M91" s="3906"/>
      <c r="N91" s="3853"/>
      <c r="O91" s="3906"/>
      <c r="P91" s="3853"/>
      <c r="Q91" s="3906"/>
      <c r="R91" s="3853"/>
      <c r="S91" s="3906"/>
      <c r="T91" s="3853"/>
      <c r="U91" s="3854"/>
      <c r="V91" s="62"/>
      <c r="W91" s="62"/>
      <c r="X91" s="62"/>
      <c r="Y91" s="62"/>
      <c r="Z91" s="62"/>
      <c r="AA91" s="62"/>
      <c r="AB91" s="1744"/>
      <c r="AC91" s="1418"/>
      <c r="AD91" s="3044"/>
      <c r="AE91" s="3061"/>
      <c r="AF91" s="3069"/>
      <c r="AG91" s="3061"/>
      <c r="AH91" s="3061"/>
      <c r="AI91" s="3061"/>
      <c r="AJ91" s="3061"/>
      <c r="AK91" s="3061"/>
      <c r="AL91" s="3055"/>
      <c r="AM91" s="3055"/>
      <c r="AN91" s="3055"/>
      <c r="AO91" s="3044"/>
      <c r="AP91" s="3055"/>
      <c r="AQ91" s="3055"/>
      <c r="AR91" s="3055"/>
      <c r="AS91" s="3055"/>
      <c r="AT91" s="3055"/>
      <c r="AU91" s="3055"/>
      <c r="AV91" s="3055"/>
    </row>
    <row r="92" spans="1:48" s="14" customFormat="1" ht="12" customHeight="1" thickBot="1" x14ac:dyDescent="0.25">
      <c r="A92" s="4"/>
      <c r="B92" s="923"/>
      <c r="C92" s="3927" t="s">
        <v>1508</v>
      </c>
      <c r="D92" s="525" t="s">
        <v>1399</v>
      </c>
      <c r="E92" s="3950" t="s">
        <v>1375</v>
      </c>
      <c r="F92" s="3863"/>
      <c r="G92" s="3863"/>
      <c r="H92" s="3863"/>
      <c r="I92" s="3863"/>
      <c r="J92" s="3863"/>
      <c r="K92" s="3951"/>
      <c r="L92" s="1441" t="s">
        <v>1490</v>
      </c>
      <c r="M92" s="1442" t="s">
        <v>1377</v>
      </c>
      <c r="N92" s="1441" t="s">
        <v>1490</v>
      </c>
      <c r="O92" s="1442" t="s">
        <v>1377</v>
      </c>
      <c r="P92" s="1441" t="s">
        <v>1490</v>
      </c>
      <c r="Q92" s="1442" t="s">
        <v>1377</v>
      </c>
      <c r="R92" s="1441" t="s">
        <v>1490</v>
      </c>
      <c r="S92" s="1442" t="s">
        <v>1377</v>
      </c>
      <c r="T92" s="1441" t="s">
        <v>1490</v>
      </c>
      <c r="U92" s="1442" t="s">
        <v>1377</v>
      </c>
      <c r="V92" s="526" t="s">
        <v>1365</v>
      </c>
      <c r="W92" s="526" t="s">
        <v>1367</v>
      </c>
      <c r="X92" s="3863" t="s">
        <v>1489</v>
      </c>
      <c r="Y92" s="3863"/>
      <c r="Z92" s="526" t="s">
        <v>1418</v>
      </c>
      <c r="AA92" s="528" t="s">
        <v>1349</v>
      </c>
      <c r="AB92" s="1744"/>
      <c r="AC92" s="1418"/>
      <c r="AD92" s="3044"/>
      <c r="AE92" s="3044"/>
      <c r="AF92" s="3069"/>
      <c r="AG92" s="3061"/>
      <c r="AH92" s="3061"/>
      <c r="AI92" s="3061"/>
      <c r="AJ92" s="3061"/>
      <c r="AK92" s="3061"/>
      <c r="AL92" s="3055"/>
      <c r="AM92" s="3055"/>
      <c r="AN92" s="3055"/>
      <c r="AO92" s="3044"/>
      <c r="AP92" s="3055"/>
      <c r="AQ92" s="3055"/>
      <c r="AR92" s="3055"/>
      <c r="AS92" s="3055"/>
      <c r="AT92" s="3055"/>
      <c r="AU92" s="3055"/>
      <c r="AV92" s="3055"/>
    </row>
    <row r="93" spans="1:48" s="14" customFormat="1" ht="12" customHeight="1" x14ac:dyDescent="0.2">
      <c r="A93" s="4"/>
      <c r="B93" s="923"/>
      <c r="C93" s="3928"/>
      <c r="D93" s="3931" t="s">
        <v>1365</v>
      </c>
      <c r="E93" s="3782" t="s">
        <v>1509</v>
      </c>
      <c r="F93" s="3783"/>
      <c r="G93" s="3783"/>
      <c r="H93" s="3783"/>
      <c r="I93" s="3783"/>
      <c r="J93" s="3783"/>
      <c r="K93" s="3784"/>
      <c r="L93" s="1984">
        <f>IFERROR(VLOOKUP(L$22,Tabla_Categorías,MATCH("Coste"&amp;$E93,Name_Tabla_Cat,FALSE),FALSE),0)</f>
        <v>0</v>
      </c>
      <c r="M93" s="1485"/>
      <c r="N93" s="1984">
        <f>IFERROR(VLOOKUP(N$22,Tabla_Categorías,MATCH("Coste"&amp;$E93,Name_Tabla_Cat,FALSE),FALSE),0)</f>
        <v>0</v>
      </c>
      <c r="O93" s="1485"/>
      <c r="P93" s="1984">
        <f>IFERROR(VLOOKUP(P$22,Tabla_Categorías,MATCH("Coste"&amp;$E93,Name_Tabla_Cat,FALSE),FALSE),0)</f>
        <v>0</v>
      </c>
      <c r="Q93" s="1485"/>
      <c r="R93" s="1984">
        <f>IFERROR(VLOOKUP(R$22,Tabla_Categorías,MATCH("Coste"&amp;$E93,Name_Tabla_Cat,FALSE),FALSE),0)</f>
        <v>0</v>
      </c>
      <c r="S93" s="1485"/>
      <c r="T93" s="1984">
        <f>IFERROR(VLOOKUP(T$22,Tabla_Categorías,MATCH("Coste"&amp;$E93,Name_Tabla_Cat,FALSE),FALSE),0)</f>
        <v>0</v>
      </c>
      <c r="U93" s="1485"/>
      <c r="V93" s="52">
        <f>5*(IF(L93=0,0,TRUNC(M93/L93,0))+IF(N93=0,0,TRUNC(O93/N93,0))+IF(P93=0,0,TRUNC(Q93/P93,0))+IF(R93=0,0,TRUNC(S93/R93,0))+IF(T93=0,0,TRUNC(U93/T93,0)))</f>
        <v>0</v>
      </c>
      <c r="W93" s="510">
        <f>IF(POD=0,0,VLOOKUP(POD,Tabla_ValoresBase,2))+Nivel_Total*(50*Tablas!G441+100*Tablas!G442+150*Tablas!G443)</f>
        <v>0</v>
      </c>
      <c r="X93" s="3795">
        <f>HLOOKUP($E93,Bonos_Cat_Base,2,FALSE)</f>
        <v>0</v>
      </c>
      <c r="Y93" s="3795">
        <f>HLOOKUP($E93,Bonos_Cat_Base,2,FALSE)</f>
        <v>0</v>
      </c>
      <c r="Z93" s="2210"/>
      <c r="AA93" s="53">
        <f>Z93+X93+V93+W93</f>
        <v>0</v>
      </c>
      <c r="AB93" s="1744"/>
      <c r="AC93" s="1418"/>
      <c r="AD93" s="3044"/>
      <c r="AE93" s="3061"/>
      <c r="AF93" s="3069"/>
      <c r="AG93" s="3061"/>
      <c r="AH93" s="3061"/>
      <c r="AI93" s="3061"/>
      <c r="AJ93" s="3061"/>
      <c r="AK93" s="3061"/>
      <c r="AL93" s="3055"/>
      <c r="AM93" s="3055"/>
      <c r="AN93" s="3055"/>
      <c r="AO93" s="3044"/>
      <c r="AP93" s="3055"/>
      <c r="AQ93" s="3055"/>
      <c r="AR93" s="3055"/>
      <c r="AS93" s="3055"/>
      <c r="AT93" s="3055"/>
      <c r="AU93" s="3055"/>
      <c r="AV93" s="3055"/>
    </row>
    <row r="94" spans="1:48" s="14" customFormat="1" ht="12" customHeight="1" x14ac:dyDescent="0.2">
      <c r="A94" s="4"/>
      <c r="B94" s="923"/>
      <c r="C94" s="3928"/>
      <c r="D94" s="3931"/>
      <c r="E94" s="3785" t="s">
        <v>1510</v>
      </c>
      <c r="F94" s="3786"/>
      <c r="G94" s="3786"/>
      <c r="H94" s="3786"/>
      <c r="I94" s="3786"/>
      <c r="J94" s="3786"/>
      <c r="K94" s="3787"/>
      <c r="L94" s="1989">
        <f>IFERROR(VLOOKUP(L$22,Tabla_Categorías,MATCH("Coste"&amp;$E94,Name_Tabla_Cat,FALSE),FALSE),0)</f>
        <v>0</v>
      </c>
      <c r="M94" s="1503"/>
      <c r="N94" s="1989">
        <f>IFERROR(VLOOKUP(N$22,Tabla_Categorías,MATCH("Coste"&amp;$E94,Name_Tabla_Cat,FALSE),FALSE),0)</f>
        <v>0</v>
      </c>
      <c r="O94" s="1503"/>
      <c r="P94" s="1989">
        <f>IFERROR(VLOOKUP(P$22,Tabla_Categorías,MATCH("Coste"&amp;$E94,Name_Tabla_Cat,FALSE),FALSE),0)</f>
        <v>0</v>
      </c>
      <c r="Q94" s="1503"/>
      <c r="R94" s="1989">
        <f>IFERROR(VLOOKUP(R$22,Tabla_Categorías,MATCH("Coste"&amp;$E94,Name_Tabla_Cat,FALSE),FALSE),0)</f>
        <v>0</v>
      </c>
      <c r="S94" s="1503"/>
      <c r="T94" s="1989">
        <f>IFERROR(VLOOKUP(T$22,Tabla_Categorías,MATCH("Coste"&amp;$E94,Name_Tabla_Cat,FALSE),FALSE),0)</f>
        <v>0</v>
      </c>
      <c r="U94" s="1503"/>
      <c r="V94" s="54">
        <f>(IF(L94=0,0,TRUNC((M94/L94),0))+IF(N94=0,0,TRUNC((O94/N94),0))+IF(P94=0,0,TRUNC((Q94/P94),0))+IF(R94=0,0,TRUNC((S94/R94),0))+IF(T94=0,0,TRUNC((U94/T94),0)))*W94</f>
        <v>0</v>
      </c>
      <c r="W94" s="507">
        <f>IF(POD=0,0,VLOOKUP(POD,Tabla_Valores_Base,3))</f>
        <v>0</v>
      </c>
      <c r="X94" s="3794" t="s">
        <v>1456</v>
      </c>
      <c r="Y94" s="3794"/>
      <c r="Z94" s="2209"/>
      <c r="AA94" s="55">
        <f>MAX(0,Z94+W94+V94+IF(Mod_ATA&lt;0,MIN(0,TRUNC(Mod_ATA/2,0)),0))</f>
        <v>0</v>
      </c>
      <c r="AB94" s="1744"/>
      <c r="AC94" s="1418"/>
      <c r="AD94" s="3044"/>
      <c r="AE94" s="3061"/>
      <c r="AF94" s="3069"/>
      <c r="AG94" s="3061"/>
      <c r="AH94" s="3061"/>
      <c r="AI94" s="3061"/>
      <c r="AJ94" s="3061"/>
      <c r="AK94" s="3061"/>
      <c r="AL94" s="3055"/>
      <c r="AM94" s="3055"/>
      <c r="AN94" s="3055"/>
      <c r="AO94" s="3044"/>
      <c r="AP94" s="3055"/>
      <c r="AQ94" s="3055"/>
      <c r="AR94" s="3055"/>
      <c r="AS94" s="3055"/>
      <c r="AT94" s="3055"/>
      <c r="AU94" s="3055"/>
      <c r="AV94" s="3055"/>
    </row>
    <row r="95" spans="1:48" s="14" customFormat="1" ht="12" customHeight="1" x14ac:dyDescent="0.2">
      <c r="A95" s="4"/>
      <c r="B95" s="923"/>
      <c r="C95" s="3928"/>
      <c r="D95" s="3931"/>
      <c r="E95" s="3782" t="s">
        <v>1511</v>
      </c>
      <c r="F95" s="3783"/>
      <c r="G95" s="3783"/>
      <c r="H95" s="3783"/>
      <c r="I95" s="3783"/>
      <c r="J95" s="3783"/>
      <c r="K95" s="3784"/>
      <c r="L95" s="1984">
        <f>L$94/2</f>
        <v>0</v>
      </c>
      <c r="M95" s="1485"/>
      <c r="N95" s="1984">
        <f>N$94/2</f>
        <v>0</v>
      </c>
      <c r="O95" s="1485"/>
      <c r="P95" s="1984">
        <f>P$94/2</f>
        <v>0</v>
      </c>
      <c r="Q95" s="1485"/>
      <c r="R95" s="1984">
        <f>R$94/2</f>
        <v>0</v>
      </c>
      <c r="S95" s="1485"/>
      <c r="T95" s="1984">
        <f>T$94/2</f>
        <v>0</v>
      </c>
      <c r="U95" s="1485"/>
      <c r="V95" s="510">
        <f>(IF(L95=0,0,TRUNC((M95/L95),0))+IF(N95=0,0,TRUNC((O95/N95),0))+IF(P95=0,0,TRUNC((Q95/P95),0))+IF(R95=0,0,TRUNC((S95/R95),0))+IF(T95=0,0,TRUNC((U95/T95),0)))*W94</f>
        <v>0</v>
      </c>
      <c r="W95" s="510">
        <f>$AA$94+10*(Metamagia!$R$59+Metamagia!$X$63+Metamagia!$X$48)</f>
        <v>0</v>
      </c>
      <c r="X95" s="3795" t="s">
        <v>1456</v>
      </c>
      <c r="Y95" s="3795"/>
      <c r="Z95" s="2210"/>
      <c r="AA95" s="53">
        <f>W95+V95+Z95</f>
        <v>0</v>
      </c>
      <c r="AB95" s="1744"/>
      <c r="AC95" s="1418"/>
      <c r="AD95" s="3044"/>
      <c r="AE95" s="3061"/>
      <c r="AF95" s="3069"/>
      <c r="AG95" s="3061"/>
      <c r="AH95" s="3061"/>
      <c r="AI95" s="3061"/>
      <c r="AJ95" s="3061"/>
      <c r="AK95" s="3061"/>
      <c r="AL95" s="3055"/>
      <c r="AM95" s="3055"/>
      <c r="AN95" s="3055"/>
      <c r="AO95" s="3044"/>
      <c r="AP95" s="3055"/>
      <c r="AQ95" s="3055"/>
      <c r="AR95" s="3055"/>
      <c r="AS95" s="3055"/>
      <c r="AT95" s="3055"/>
      <c r="AU95" s="3055"/>
      <c r="AV95" s="3055"/>
    </row>
    <row r="96" spans="1:48" s="14" customFormat="1" ht="12" customHeight="1" x14ac:dyDescent="0.2">
      <c r="A96" s="4"/>
      <c r="B96" s="923"/>
      <c r="C96" s="3928"/>
      <c r="D96" s="3931"/>
      <c r="E96" s="3785" t="s">
        <v>1512</v>
      </c>
      <c r="F96" s="3786"/>
      <c r="G96" s="3786"/>
      <c r="H96" s="3786"/>
      <c r="I96" s="3786"/>
      <c r="J96" s="3786"/>
      <c r="K96" s="3787"/>
      <c r="L96" s="1989">
        <f>IFERROR(VLOOKUP(L$22,Tabla_Categorías,MATCH("Coste"&amp;$E96,Name_Tabla_Cat,FALSE),FALSE),0)</f>
        <v>0</v>
      </c>
      <c r="M96" s="1503"/>
      <c r="N96" s="1989">
        <f>IFERROR(VLOOKUP(N$22,Tabla_Categorías,MATCH("Coste"&amp;$E96,Name_Tabla_Cat,FALSE),FALSE),0)</f>
        <v>0</v>
      </c>
      <c r="O96" s="1503"/>
      <c r="P96" s="1989">
        <f>IFERROR(VLOOKUP(P$22,Tabla_Categorías,MATCH("Coste"&amp;$E96,Name_Tabla_Cat,FALSE),FALSE),0)</f>
        <v>0</v>
      </c>
      <c r="Q96" s="1503"/>
      <c r="R96" s="1989">
        <f>IFERROR(VLOOKUP(R$22,Tabla_Categorías,MATCH("Coste"&amp;$E96,Name_Tabla_Cat,FALSE),FALSE),0)</f>
        <v>0</v>
      </c>
      <c r="S96" s="1503"/>
      <c r="T96" s="1989">
        <f>IFERROR(VLOOKUP(T$22,Tabla_Categorías,MATCH("Coste"&amp;$E96,Name_Tabla_Cat,FALSE),FALSE),0)</f>
        <v>0</v>
      </c>
      <c r="U96" s="1503"/>
      <c r="V96" s="54">
        <f>IF(L96=0,0,TRUNC(M96/L96,0))+IF(N96=0,0,TRUNC(O96/N96,0))+IF(P96=0,0,TRUNC(Q96/P96,0))+IF(R96=0,0,TRUNC(S96/R96,0))+IF(T96=0,0,TRUNC(U96/T96,0))</f>
        <v>0</v>
      </c>
      <c r="W96" s="507">
        <f>Bono_Des</f>
        <v>0</v>
      </c>
      <c r="X96" s="3794" t="s">
        <v>1456</v>
      </c>
      <c r="Y96" s="3794"/>
      <c r="Z96" s="2209"/>
      <c r="AA96" s="55">
        <f>Z96+V96+W96+Mod_ATA</f>
        <v>0</v>
      </c>
      <c r="AB96" s="1744"/>
      <c r="AC96" s="1418"/>
      <c r="AD96" s="3044"/>
      <c r="AE96" s="3061"/>
      <c r="AF96" s="3069"/>
      <c r="AG96" s="3061"/>
      <c r="AH96" s="3061"/>
      <c r="AI96" s="3061"/>
      <c r="AJ96" s="3061"/>
      <c r="AK96" s="3061"/>
      <c r="AL96" s="3055"/>
      <c r="AM96" s="3055"/>
      <c r="AN96" s="3055"/>
      <c r="AO96" s="3044"/>
      <c r="AP96" s="3055"/>
      <c r="AQ96" s="3055"/>
      <c r="AR96" s="3055"/>
      <c r="AS96" s="3055"/>
      <c r="AT96" s="3055"/>
      <c r="AU96" s="3055"/>
      <c r="AV96" s="3055"/>
    </row>
    <row r="97" spans="1:48" s="14" customFormat="1" ht="12" customHeight="1" x14ac:dyDescent="0.2">
      <c r="A97" s="4"/>
      <c r="B97" s="923"/>
      <c r="C97" s="3928"/>
      <c r="D97" s="3932"/>
      <c r="E97" s="3782" t="s">
        <v>1513</v>
      </c>
      <c r="F97" s="3783"/>
      <c r="G97" s="3783"/>
      <c r="H97" s="3783"/>
      <c r="I97" s="3783"/>
      <c r="J97" s="3783"/>
      <c r="K97" s="3784"/>
      <c r="L97" s="1984">
        <v>5</v>
      </c>
      <c r="M97" s="1485"/>
      <c r="N97" s="1984">
        <v>5</v>
      </c>
      <c r="O97" s="1485"/>
      <c r="P97" s="1984">
        <v>5</v>
      </c>
      <c r="Q97" s="1485"/>
      <c r="R97" s="1984">
        <v>5</v>
      </c>
      <c r="S97" s="1485"/>
      <c r="T97" s="1984">
        <v>5</v>
      </c>
      <c r="U97" s="1485"/>
      <c r="V97" s="57">
        <f>(IF(L97=0,0,TRUNC(M97/L97,0))+IF(N97=0,0,TRUNC(O97/N97,0))+IF(P97=0,0,TRUNC(Q97/P97,0))+IF(R97=0,0,TRUNC(S97/R97,0))+IF(T97=0,0,TRUNC(U97/T97,0)))*5</f>
        <v>0</v>
      </c>
      <c r="W97" s="510">
        <f>IF(Principal!$AQ$15=0,0,VLOOKUP(Principal!$AQ$15,Tabla_NivelMagia,2))</f>
        <v>0</v>
      </c>
      <c r="X97" s="3795">
        <f>IF(Tablas!G449&gt;0,5*Nivel_Total,0)</f>
        <v>0</v>
      </c>
      <c r="Y97" s="3795"/>
      <c r="Z97" s="2210"/>
      <c r="AA97" s="64">
        <f>Z97+V97+W97+X97</f>
        <v>0</v>
      </c>
      <c r="AB97" s="1744"/>
      <c r="AC97" s="1418"/>
      <c r="AD97" s="3044"/>
      <c r="AE97" s="3061"/>
      <c r="AF97" s="3069"/>
      <c r="AG97" s="3061"/>
      <c r="AH97" s="3061"/>
      <c r="AI97" s="3061"/>
      <c r="AJ97" s="3061"/>
      <c r="AK97" s="3061"/>
      <c r="AL97" s="3055"/>
      <c r="AM97" s="3055"/>
      <c r="AN97" s="3055"/>
      <c r="AO97" s="3044"/>
      <c r="AP97" s="3055"/>
      <c r="AQ97" s="3055"/>
      <c r="AR97" s="3055"/>
      <c r="AS97" s="3055"/>
      <c r="AT97" s="3055"/>
      <c r="AU97" s="3055"/>
      <c r="AV97" s="3055"/>
    </row>
    <row r="98" spans="1:48" s="14" customFormat="1" ht="12" customHeight="1" x14ac:dyDescent="0.2">
      <c r="A98" s="4"/>
      <c r="B98" s="923"/>
      <c r="C98" s="3928"/>
      <c r="D98" s="3933" t="s">
        <v>1514</v>
      </c>
      <c r="E98" s="3958" t="s">
        <v>1515</v>
      </c>
      <c r="F98" s="3959"/>
      <c r="G98" s="3959"/>
      <c r="H98" s="3959"/>
      <c r="I98" s="3959"/>
      <c r="J98" s="3959"/>
      <c r="K98" s="3960"/>
      <c r="L98" s="2004">
        <f>IFERROR(VLOOKUP(L$22,Tabla_Categorías,MATCH("Coste"&amp;$E98,Name_Tabla_Cat,FALSE),FALSE),0)</f>
        <v>0</v>
      </c>
      <c r="M98" s="1523"/>
      <c r="N98" s="2004">
        <f>IFERROR(VLOOKUP(N$22,Tabla_Categorías,MATCH("Coste"&amp;$E98,Name_Tabla_Cat,FALSE),FALSE),0)</f>
        <v>0</v>
      </c>
      <c r="O98" s="1523"/>
      <c r="P98" s="2004">
        <f>IFERROR(VLOOKUP(P$22,Tabla_Categorías,MATCH("Coste"&amp;$E98,Name_Tabla_Cat,FALSE),FALSE),0)</f>
        <v>0</v>
      </c>
      <c r="Q98" s="1523"/>
      <c r="R98" s="2004">
        <f>IFERROR(VLOOKUP(R$22,Tabla_Categorías,MATCH("Coste"&amp;$E98,Name_Tabla_Cat,FALSE),FALSE),0)</f>
        <v>0</v>
      </c>
      <c r="S98" s="1523"/>
      <c r="T98" s="2004">
        <f>IFERROR(VLOOKUP(T$22,Tabla_Categorías,MATCH("Coste"&amp;$E98,Name_Tabla_Cat,FALSE),FALSE),0)</f>
        <v>0</v>
      </c>
      <c r="U98" s="1523"/>
      <c r="V98" s="530">
        <f>IF(L98=0,0,TRUNC(M98/L98,0))+IF(N98=0,0,TRUNC(O98/N98,0))+IF(P98=0,0,TRUNC(Q98/P98,0))+IF(R98=0,0,TRUNC(S98/R98,0))+IF(T98=0,0,TRUNC(U98/T98,0))</f>
        <v>0</v>
      </c>
      <c r="W98" s="547">
        <f>Bono_Pod</f>
        <v>0</v>
      </c>
      <c r="X98" s="4018">
        <f t="shared" ref="X98:Y101" si="25">HLOOKUP($E98,Bonos_Cat_Base,2,FALSE)</f>
        <v>0</v>
      </c>
      <c r="Y98" s="4018">
        <f t="shared" si="25"/>
        <v>0</v>
      </c>
      <c r="Z98" s="2223"/>
      <c r="AA98" s="65">
        <f>Z98+X98+V98+W98+IF(Mod_ATA&lt;0,Mod_ATA,0)+IF(Raza="Devah",10,0)+IF(Nephilim="Nephilim Devah",10,0)</f>
        <v>0</v>
      </c>
      <c r="AB98" s="1744"/>
      <c r="AC98" s="1418"/>
      <c r="AD98" s="3044"/>
      <c r="AE98" s="3061"/>
      <c r="AF98" s="3069"/>
      <c r="AG98" s="3061"/>
      <c r="AH98" s="3061"/>
      <c r="AI98" s="3061"/>
      <c r="AJ98" s="3061"/>
      <c r="AK98" s="3061"/>
      <c r="AL98" s="3055"/>
      <c r="AM98" s="3055"/>
      <c r="AN98" s="3055"/>
      <c r="AO98" s="3044"/>
      <c r="AP98" s="3055"/>
      <c r="AQ98" s="3055"/>
      <c r="AR98" s="3055"/>
      <c r="AS98" s="3055"/>
      <c r="AT98" s="3055"/>
      <c r="AU98" s="3055"/>
      <c r="AV98" s="3055"/>
    </row>
    <row r="99" spans="1:48" s="14" customFormat="1" ht="12" customHeight="1" x14ac:dyDescent="0.2">
      <c r="A99" s="4"/>
      <c r="B99" s="923"/>
      <c r="C99" s="3928"/>
      <c r="D99" s="3934"/>
      <c r="E99" s="3961" t="s">
        <v>6972</v>
      </c>
      <c r="F99" s="3962"/>
      <c r="G99" s="3962"/>
      <c r="H99" s="3962"/>
      <c r="I99" s="3962"/>
      <c r="J99" s="3962"/>
      <c r="K99" s="3963"/>
      <c r="L99" s="2001">
        <f>IFERROR(VLOOKUP(L$22,Tabla_Categorías,MATCH("Coste"&amp;$E99,Name_Tabla_Cat,FALSE),FALSE),0)</f>
        <v>0</v>
      </c>
      <c r="M99" s="1491"/>
      <c r="N99" s="2001">
        <f>IFERROR(VLOOKUP(N$22,Tabla_Categorías,MATCH("Coste"&amp;$E99,Name_Tabla_Cat,FALSE),FALSE),0)</f>
        <v>0</v>
      </c>
      <c r="O99" s="1491"/>
      <c r="P99" s="2001">
        <f>IFERROR(VLOOKUP(P$22,Tabla_Categorías,MATCH("Coste"&amp;$E99,Name_Tabla_Cat,FALSE),FALSE),0)</f>
        <v>0</v>
      </c>
      <c r="Q99" s="1491"/>
      <c r="R99" s="2001">
        <f>IFERROR(VLOOKUP(R$22,Tabla_Categorías,MATCH("Coste"&amp;$E99,Name_Tabla_Cat,FALSE),FALSE),0)</f>
        <v>0</v>
      </c>
      <c r="S99" s="1491"/>
      <c r="T99" s="2001">
        <f>IFERROR(VLOOKUP(T$22,Tabla_Categorías,MATCH("Coste"&amp;$E99,Name_Tabla_Cat,FALSE),FALSE),0)</f>
        <v>0</v>
      </c>
      <c r="U99" s="1491"/>
      <c r="V99" s="52">
        <f>IF(L99=0,0,TRUNC(M99/L99,0))+IF(N99=0,0,TRUNC(O99/N99,0))+IF(P99=0,0,TRUNC(Q99/P99,0))+IF(R99=0,0,TRUNC(S99/R99,0))+IF(T99=0,0,TRUNC(U99/T99,0))</f>
        <v>0</v>
      </c>
      <c r="W99" s="73">
        <f>Bono_Vol</f>
        <v>0</v>
      </c>
      <c r="X99" s="4019">
        <f t="shared" si="25"/>
        <v>0</v>
      </c>
      <c r="Y99" s="4019">
        <f t="shared" si="25"/>
        <v>0</v>
      </c>
      <c r="Z99" s="2224"/>
      <c r="AA99" s="506">
        <f>Z99+X99+V99+W99+IF(Mod_ATA&lt;0,Mod_ATA,0)+IF(Raza="Devah",10,0)+Tablas!$K$1813</f>
        <v>0</v>
      </c>
      <c r="AB99" s="1744"/>
      <c r="AC99" s="1418"/>
      <c r="AD99" s="3044"/>
      <c r="AE99" s="3061"/>
      <c r="AF99" s="3069"/>
      <c r="AG99" s="3061"/>
      <c r="AH99" s="3058"/>
      <c r="AI99" s="3061"/>
      <c r="AJ99" s="3061"/>
      <c r="AK99" s="3061"/>
      <c r="AL99" s="3055"/>
      <c r="AM99" s="3055"/>
      <c r="AN99" s="3055"/>
      <c r="AO99" s="3044"/>
      <c r="AP99" s="3055"/>
      <c r="AQ99" s="3055"/>
      <c r="AR99" s="3055"/>
      <c r="AS99" s="3055"/>
      <c r="AT99" s="3055"/>
      <c r="AU99" s="3055"/>
      <c r="AV99" s="3055"/>
    </row>
    <row r="100" spans="1:48" s="14" customFormat="1" ht="12" customHeight="1" x14ac:dyDescent="0.2">
      <c r="A100" s="4"/>
      <c r="B100" s="923"/>
      <c r="C100" s="3928"/>
      <c r="D100" s="3934"/>
      <c r="E100" s="3964" t="s">
        <v>386</v>
      </c>
      <c r="F100" s="3965"/>
      <c r="G100" s="3965"/>
      <c r="H100" s="3965"/>
      <c r="I100" s="3965"/>
      <c r="J100" s="3965"/>
      <c r="K100" s="3966"/>
      <c r="L100" s="2003">
        <f>IFERROR(VLOOKUP(L$22,Tabla_Categorías,MATCH("Coste"&amp;$E100,Name_Tabla_Cat,FALSE),FALSE),0)</f>
        <v>0</v>
      </c>
      <c r="M100" s="1524"/>
      <c r="N100" s="2003">
        <f>IFERROR(VLOOKUP(N$22,Tabla_Categorías,MATCH("Coste"&amp;$E100,Name_Tabla_Cat,FALSE),FALSE),0)</f>
        <v>0</v>
      </c>
      <c r="O100" s="1524"/>
      <c r="P100" s="2003">
        <f>IFERROR(VLOOKUP(P$22,Tabla_Categorías,MATCH("Coste"&amp;$E100,Name_Tabla_Cat,FALSE),FALSE),0)</f>
        <v>0</v>
      </c>
      <c r="Q100" s="1524"/>
      <c r="R100" s="2003">
        <f>IFERROR(VLOOKUP(R$22,Tabla_Categorías,MATCH("Coste"&amp;$E100,Name_Tabla_Cat,FALSE),FALSE),0)</f>
        <v>0</v>
      </c>
      <c r="S100" s="1524"/>
      <c r="T100" s="2003">
        <f>IFERROR(VLOOKUP(T$22,Tabla_Categorías,MATCH("Coste"&amp;$E100,Name_Tabla_Cat,FALSE),FALSE),0)</f>
        <v>0</v>
      </c>
      <c r="U100" s="1524"/>
      <c r="V100" s="54">
        <f>IF(L100=0,0,TRUNC(M100/L100,0))+IF(N100=0,0,TRUNC(O100/N100,0))+IF(P100=0,0,TRUNC(Q100/P100,0))+IF(R100=0,0,TRUNC(S100/R100,0))+IF(T100=0,0,TRUNC(U100/T100,0))</f>
        <v>0</v>
      </c>
      <c r="W100" s="264">
        <f>Bono_Pod</f>
        <v>0</v>
      </c>
      <c r="X100" s="4020">
        <f t="shared" si="25"/>
        <v>0</v>
      </c>
      <c r="Y100" s="4020">
        <f t="shared" si="25"/>
        <v>0</v>
      </c>
      <c r="Z100" s="2225"/>
      <c r="AA100" s="509">
        <f>Z100+X100+V100+W100+IF(Mod_ATA&lt;0,Mod_ATA,0)+IF(Raza="Devah",10,0)</f>
        <v>0</v>
      </c>
      <c r="AB100" s="1744"/>
      <c r="AC100" s="1418"/>
      <c r="AD100" s="3044"/>
      <c r="AE100" s="3061"/>
      <c r="AF100" s="3069"/>
      <c r="AG100" s="3061"/>
      <c r="AH100" s="3061"/>
      <c r="AI100" s="3061"/>
      <c r="AJ100" s="3061"/>
      <c r="AK100" s="3061"/>
      <c r="AL100" s="3055"/>
      <c r="AM100" s="3055"/>
      <c r="AN100" s="3055"/>
      <c r="AO100" s="3044"/>
      <c r="AP100" s="3055"/>
      <c r="AQ100" s="3055"/>
      <c r="AR100" s="3055"/>
      <c r="AS100" s="3055"/>
      <c r="AT100" s="3055"/>
      <c r="AU100" s="3055"/>
      <c r="AV100" s="3055"/>
    </row>
    <row r="101" spans="1:48" s="14" customFormat="1" ht="12" customHeight="1" x14ac:dyDescent="0.2">
      <c r="A101" s="4"/>
      <c r="B101" s="923"/>
      <c r="C101" s="3928"/>
      <c r="D101" s="3935"/>
      <c r="E101" s="3941" t="s">
        <v>1518</v>
      </c>
      <c r="F101" s="3942"/>
      <c r="G101" s="3942"/>
      <c r="H101" s="3942"/>
      <c r="I101" s="3942"/>
      <c r="J101" s="3942"/>
      <c r="K101" s="3943"/>
      <c r="L101" s="2002">
        <f>IFERROR(VLOOKUP(L$22,Tabla_Categorías,MATCH("Coste"&amp;$E101,Name_Tabla_Cat,FALSE),FALSE),0)</f>
        <v>0</v>
      </c>
      <c r="M101" s="1492"/>
      <c r="N101" s="2002">
        <f>IFERROR(VLOOKUP(N$22,Tabla_Categorías,MATCH("Coste"&amp;$E101,Name_Tabla_Cat,FALSE),FALSE),0)</f>
        <v>0</v>
      </c>
      <c r="O101" s="1492"/>
      <c r="P101" s="2002">
        <f>IFERROR(VLOOKUP(P$22,Tabla_Categorías,MATCH("Coste"&amp;$E101,Name_Tabla_Cat,FALSE),FALSE),0)</f>
        <v>0</v>
      </c>
      <c r="Q101" s="1492"/>
      <c r="R101" s="2002">
        <f>IFERROR(VLOOKUP(R$22,Tabla_Categorías,MATCH("Coste"&amp;$E101,Name_Tabla_Cat,FALSE),FALSE),0)</f>
        <v>0</v>
      </c>
      <c r="S101" s="1492"/>
      <c r="T101" s="2002">
        <f>IFERROR(VLOOKUP(T$22,Tabla_Categorías,MATCH("Coste"&amp;$E101,Name_Tabla_Cat,FALSE),FALSE),0)</f>
        <v>0</v>
      </c>
      <c r="U101" s="1492"/>
      <c r="V101" s="529">
        <f>IF(L101=0,0,TRUNC(M101/L101,0))+IF(N101=0,0,TRUNC(O101/N101,0))+IF(P101=0,0,TRUNC(Q101/P101,0))+IF(R101=0,0,TRUNC(S101/R101,0))+IF(T101=0,0,TRUNC(U101/T101,0))</f>
        <v>0</v>
      </c>
      <c r="W101" s="512">
        <f>Bono_Pod</f>
        <v>0</v>
      </c>
      <c r="X101" s="4023">
        <f t="shared" si="25"/>
        <v>0</v>
      </c>
      <c r="Y101" s="4023">
        <f t="shared" si="25"/>
        <v>0</v>
      </c>
      <c r="Z101" s="2226"/>
      <c r="AA101" s="66">
        <f>Z101+X101+V101+W101+IF(Mod_ATA&lt;0,Mod_ATA,0)+IF(Raza="Devah",10,0)+IF(Nephilim="Nephilim Devah",10,0)</f>
        <v>0</v>
      </c>
      <c r="AB101" s="1744"/>
      <c r="AC101" s="1418"/>
      <c r="AD101" s="3044"/>
      <c r="AE101" s="3061"/>
      <c r="AF101" s="3069"/>
      <c r="AG101" s="3061"/>
      <c r="AH101" s="3061"/>
      <c r="AI101" s="3061"/>
      <c r="AJ101" s="3061"/>
      <c r="AK101" s="3061"/>
      <c r="AL101" s="3055"/>
      <c r="AM101" s="3055"/>
      <c r="AN101" s="3055"/>
      <c r="AO101" s="3044"/>
      <c r="AP101" s="3055"/>
      <c r="AQ101" s="3055"/>
      <c r="AR101" s="3055"/>
      <c r="AS101" s="3055"/>
      <c r="AT101" s="3055"/>
      <c r="AU101" s="3055"/>
      <c r="AV101" s="3055"/>
    </row>
    <row r="102" spans="1:48" s="14" customFormat="1" ht="12" customHeight="1" x14ac:dyDescent="0.2">
      <c r="A102" s="4"/>
      <c r="B102" s="923"/>
      <c r="C102" s="3928"/>
      <c r="D102" s="3936" t="s">
        <v>1519</v>
      </c>
      <c r="E102" s="3944"/>
      <c r="F102" s="3945"/>
      <c r="G102" s="3945"/>
      <c r="H102" s="3945"/>
      <c r="I102" s="3945"/>
      <c r="J102" s="3945"/>
      <c r="K102" s="3946"/>
      <c r="L102" s="1989" t="str">
        <f>IF($E102=0,"",VLOOKUP($E102,Tabla_TablasSobrenat,2))</f>
        <v/>
      </c>
      <c r="M102" s="1507"/>
      <c r="N102" s="1989" t="str">
        <f>IF($E102=0,"",VLOOKUP($E102,Tabla_TablasSobrenat,2))</f>
        <v/>
      </c>
      <c r="O102" s="1507"/>
      <c r="P102" s="1989" t="str">
        <f>IF($E102=0,"",VLOOKUP($E102,Tabla_TablasSobrenat,2))</f>
        <v/>
      </c>
      <c r="Q102" s="1507"/>
      <c r="R102" s="1989" t="str">
        <f>IF($E102=0,"",VLOOKUP($E102,Tabla_TablasSobrenat,2))</f>
        <v/>
      </c>
      <c r="S102" s="1507"/>
      <c r="T102" s="1989" t="str">
        <f>IF($E102=0,"",VLOOKUP($E102,Tabla_TablasSobrenat,2))</f>
        <v/>
      </c>
      <c r="U102" s="1507"/>
      <c r="V102" s="3842" t="str">
        <f>IF($E102=0,"",VLOOKUP($E102,Tabla_TablasSobrenat,3))</f>
        <v/>
      </c>
      <c r="W102" s="3843">
        <f t="shared" ref="W102:AA103" si="26">IF($E102=0,0,VLOOKUP($E102,Tabla_TablasSobrenat,2))</f>
        <v>0</v>
      </c>
      <c r="X102" s="3843">
        <f t="shared" si="26"/>
        <v>0</v>
      </c>
      <c r="Y102" s="3843">
        <f t="shared" si="26"/>
        <v>0</v>
      </c>
      <c r="Z102" s="3843">
        <f t="shared" si="26"/>
        <v>0</v>
      </c>
      <c r="AA102" s="4017">
        <f t="shared" si="26"/>
        <v>0</v>
      </c>
      <c r="AB102" s="1744"/>
      <c r="AC102" s="1418"/>
      <c r="AD102" s="3044"/>
      <c r="AE102" s="3061"/>
      <c r="AF102" s="3069"/>
      <c r="AG102" s="3061"/>
      <c r="AH102" s="3061"/>
      <c r="AI102" s="3061"/>
      <c r="AJ102" s="3061"/>
      <c r="AK102" s="3061"/>
      <c r="AL102" s="3055"/>
      <c r="AM102" s="3055"/>
      <c r="AN102" s="3055"/>
      <c r="AO102" s="3044"/>
      <c r="AP102" s="3055"/>
      <c r="AQ102" s="3055"/>
      <c r="AR102" s="3055"/>
      <c r="AS102" s="3055"/>
      <c r="AT102" s="3055"/>
      <c r="AU102" s="3055"/>
      <c r="AV102" s="3055"/>
    </row>
    <row r="103" spans="1:48" s="14" customFormat="1" ht="12" customHeight="1" thickBot="1" x14ac:dyDescent="0.25">
      <c r="A103" s="4"/>
      <c r="B103" s="923"/>
      <c r="C103" s="3928"/>
      <c r="D103" s="3937"/>
      <c r="E103" s="3947"/>
      <c r="F103" s="3948"/>
      <c r="G103" s="3948"/>
      <c r="H103" s="3948"/>
      <c r="I103" s="3948"/>
      <c r="J103" s="3948"/>
      <c r="K103" s="3949"/>
      <c r="L103" s="1984" t="str">
        <f>IF($E103=0,"",VLOOKUP($E103,Tabla_TablasSobrenat,2))</f>
        <v/>
      </c>
      <c r="M103" s="1485"/>
      <c r="N103" s="1984" t="str">
        <f>IF($E103=0,"",VLOOKUP($E103,Tabla_TablasSobrenat,2))</f>
        <v/>
      </c>
      <c r="O103" s="1485"/>
      <c r="P103" s="1984" t="str">
        <f>IF($E103=0,"",VLOOKUP($E103,Tabla_TablasSobrenat,2))</f>
        <v/>
      </c>
      <c r="Q103" s="1485"/>
      <c r="R103" s="1984" t="str">
        <f>IF($E103=0,"",VLOOKUP($E103,Tabla_TablasSobrenat,2))</f>
        <v/>
      </c>
      <c r="S103" s="1485"/>
      <c r="T103" s="1984" t="str">
        <f>IF($E103=0,"",VLOOKUP($E103,Tabla_TablasSobrenat,2))</f>
        <v/>
      </c>
      <c r="U103" s="1485"/>
      <c r="V103" s="3864" t="str">
        <f>IF($E103=0,"",VLOOKUP($E103,Tabla_TablasSobrenat,3))</f>
        <v/>
      </c>
      <c r="W103" s="3865">
        <f t="shared" si="26"/>
        <v>0</v>
      </c>
      <c r="X103" s="3865">
        <f t="shared" si="26"/>
        <v>0</v>
      </c>
      <c r="Y103" s="3865">
        <f t="shared" si="26"/>
        <v>0</v>
      </c>
      <c r="Z103" s="3865">
        <f t="shared" si="26"/>
        <v>0</v>
      </c>
      <c r="AA103" s="3866">
        <f t="shared" si="26"/>
        <v>0</v>
      </c>
      <c r="AB103" s="1744"/>
      <c r="AC103" s="1418"/>
      <c r="AD103" s="3044"/>
      <c r="AE103" s="3061"/>
      <c r="AF103" s="3069"/>
      <c r="AG103" s="3061"/>
      <c r="AH103" s="3061"/>
      <c r="AI103" s="3061"/>
      <c r="AJ103" s="3061"/>
      <c r="AK103" s="3061"/>
      <c r="AL103" s="3055"/>
      <c r="AM103" s="3055"/>
      <c r="AN103" s="3055"/>
      <c r="AO103" s="3044"/>
      <c r="AP103" s="3055"/>
      <c r="AQ103" s="3055"/>
      <c r="AR103" s="3055"/>
      <c r="AS103" s="3055"/>
      <c r="AT103" s="3055"/>
      <c r="AU103" s="3055"/>
      <c r="AV103" s="3055"/>
    </row>
    <row r="104" spans="1:48" s="14" customFormat="1" ht="12" customHeight="1" x14ac:dyDescent="0.2">
      <c r="A104" s="29"/>
      <c r="B104" s="823"/>
      <c r="C104" s="3929"/>
      <c r="D104" s="3952" t="s">
        <v>1520</v>
      </c>
      <c r="E104" s="3953"/>
      <c r="F104" s="3953"/>
      <c r="G104" s="3953"/>
      <c r="H104" s="3953"/>
      <c r="I104" s="3953"/>
      <c r="J104" s="3953"/>
      <c r="K104" s="3954"/>
      <c r="L104" s="3939">
        <f>T$7*IF(Categoría_1=0,0.5,L106)</f>
        <v>200</v>
      </c>
      <c r="M104" s="3910">
        <f>SUM(M93:M103)</f>
        <v>0</v>
      </c>
      <c r="N104" s="3939">
        <f>IF(Limite_Primarias_Individual,$T$9*N106,IF(Categoría_2=0,0,(IF(OR(Limite_Primarias_Combinado,Limite_Primarias_MasConveniente),O106,SUM(T$7:T$9)*IF(Limite_Primarias_Maximo,MAX($L106,$N106),N106)))))</f>
        <v>0</v>
      </c>
      <c r="O104" s="3910">
        <f>(SUM(O93:O103)+IF(Limite_Primarias_Individual,0,M104))*IF(Categoría_2=0,0,1)</f>
        <v>0</v>
      </c>
      <c r="P104" s="3939">
        <f>IF(Limite_Primarias_Individual,$T$11*P106,IF(Categoría_3=0,0,(IF(OR(Limite_Primarias_Combinado,Limite_Primarias_MasConveniente),Q106,SUM(T$7:T$11)*IF(Limite_Primarias_Maximo,MAX($L106,$N106,$P106),P106)))))</f>
        <v>0</v>
      </c>
      <c r="Q104" s="3938">
        <f>(SUM(Q93:Q103)+IF(Limite_Primarias_Individual,0,O104))*IF(Categoría_3=0,0,1)</f>
        <v>0</v>
      </c>
      <c r="R104" s="3939">
        <f>IF(Limite_Primarias_Individual,$T$13*R106,IF(Categoría_4=0,0,(IF(OR(Limite_Primarias_Combinado,Limite_Primarias_MasConveniente),S106,SUM(T$7:T$13)*IF(Limite_Primarias_Maximo,MAX($L106,$N106,$P106,$R106),R106)))))</f>
        <v>0</v>
      </c>
      <c r="S104" s="3910">
        <f>(SUM(S93:S103)+IF(Limite_Primarias_Individual,0,Q104))*IF(Categoría_4=0,0,1)</f>
        <v>0</v>
      </c>
      <c r="T104" s="3939">
        <f>IF(Limite_Primarias_Individual,$T$15*T106,IF(Categoría_5=0,0,(IF(OR(Limite_Primarias_Combinado,Limite_Primarias_MasConveniente),U106,SUM(T$7:T$15)*IF(Limite_Primarias_Maximo,MAX($L106,$N106,$P106,$R106,$T106),T106)))))</f>
        <v>0</v>
      </c>
      <c r="U104" s="3855">
        <f>(SUM(U93:U103)+IF(Limite_Primarias_Individual,0,S104))*IF(Categoría_5=0,0,1)</f>
        <v>0</v>
      </c>
      <c r="V104" s="4011" t="str">
        <f>IF((M96+O96+Q96+S96+U96)*2&gt;MAX(L104,N104,P104,R104,T104),"Exceso en Proyección Mágica",IF(M97+O97+Q97+S97+U97&gt;0.1*$Z$194,"Exceso de PDs en Nivel de Magia",IF(OR(M104&gt;L104,O104&gt;N104,Q104&gt;P104,S104&gt;R104,U104&gt;T104),"Exceso de PDs en Habilidades Místicas","")))</f>
        <v/>
      </c>
      <c r="W104" s="4012"/>
      <c r="X104" s="4012"/>
      <c r="Y104" s="4012"/>
      <c r="Z104" s="4012"/>
      <c r="AA104" s="4013"/>
      <c r="AB104" s="1740"/>
      <c r="AC104" s="845"/>
      <c r="AD104" s="3044"/>
      <c r="AE104" s="3061"/>
      <c r="AF104" s="3069"/>
      <c r="AG104" s="3061"/>
      <c r="AH104" s="3061"/>
      <c r="AI104" s="3061"/>
      <c r="AJ104" s="3061"/>
      <c r="AK104" s="3061"/>
      <c r="AL104" s="3055"/>
      <c r="AM104" s="3055"/>
      <c r="AN104" s="3055"/>
      <c r="AO104" s="3044"/>
      <c r="AP104" s="3055"/>
      <c r="AQ104" s="3055"/>
      <c r="AR104" s="3055"/>
      <c r="AS104" s="3055"/>
      <c r="AT104" s="3055"/>
      <c r="AU104" s="3055"/>
      <c r="AV104" s="3055"/>
    </row>
    <row r="105" spans="1:48" s="14" customFormat="1" ht="12" customHeight="1" thickBot="1" x14ac:dyDescent="0.25">
      <c r="A105" s="29"/>
      <c r="B105" s="823"/>
      <c r="C105" s="3930"/>
      <c r="D105" s="3955"/>
      <c r="E105" s="3956"/>
      <c r="F105" s="3956"/>
      <c r="G105" s="3956"/>
      <c r="H105" s="3956"/>
      <c r="I105" s="3956"/>
      <c r="J105" s="3956"/>
      <c r="K105" s="3957"/>
      <c r="L105" s="3940"/>
      <c r="M105" s="3911"/>
      <c r="N105" s="3940"/>
      <c r="O105" s="3911"/>
      <c r="P105" s="3940"/>
      <c r="Q105" s="3633"/>
      <c r="R105" s="3940"/>
      <c r="S105" s="3911"/>
      <c r="T105" s="3940"/>
      <c r="U105" s="3856"/>
      <c r="V105" s="4014"/>
      <c r="W105" s="4015"/>
      <c r="X105" s="4015"/>
      <c r="Y105" s="4015"/>
      <c r="Z105" s="4015"/>
      <c r="AA105" s="4016"/>
      <c r="AB105" s="1740"/>
      <c r="AC105" s="845"/>
      <c r="AD105" s="3044"/>
      <c r="AE105" s="3061"/>
      <c r="AF105" s="3069"/>
      <c r="AG105" s="3061"/>
      <c r="AH105" s="3061"/>
      <c r="AI105" s="3061"/>
      <c r="AJ105" s="3061"/>
      <c r="AK105" s="3061"/>
      <c r="AL105" s="3055"/>
      <c r="AM105" s="3055"/>
      <c r="AN105" s="3055"/>
      <c r="AO105" s="3044"/>
      <c r="AP105" s="3055"/>
      <c r="AQ105" s="3055"/>
      <c r="AR105" s="3055"/>
      <c r="AS105" s="3055"/>
      <c r="AT105" s="3055"/>
      <c r="AU105" s="3055"/>
      <c r="AV105" s="3055"/>
    </row>
    <row r="106" spans="1:48" s="14" customFormat="1" ht="12" customHeight="1" x14ac:dyDescent="0.2">
      <c r="A106" s="29"/>
      <c r="B106" s="823"/>
      <c r="C106" s="21"/>
      <c r="D106" s="21"/>
      <c r="E106" s="21"/>
      <c r="F106" s="21"/>
      <c r="I106" s="21"/>
      <c r="J106" s="21"/>
      <c r="K106" s="21"/>
      <c r="L106" s="682">
        <f>IFERROR(VLOOKUP(Categoría_1,Tabla_Categorías,7,FALSE),0)</f>
        <v>0</v>
      </c>
      <c r="M106" s="682">
        <f>L106*$T$7</f>
        <v>0</v>
      </c>
      <c r="N106" s="682">
        <f>IFERROR(VLOOKUP(Categoría_2,Tabla_Categorías,7,FALSE),0)</f>
        <v>0</v>
      </c>
      <c r="O106" s="682">
        <f>IF(OR(Limite_Primarias_Combinado,N106&lt;=L106),N106*$T$9+M106,IF(Limite_Primarias_MasConveniente,N106*SUM($T$7:$T$9),0))</f>
        <v>0</v>
      </c>
      <c r="P106" s="682">
        <f>IFERROR(VLOOKUP(Categoría_3,Tabla_Categorías,7,FALSE),0)</f>
        <v>0</v>
      </c>
      <c r="Q106" s="682">
        <f>IF(OR(Limite_Primarias_Combinado,P106&lt;=N106),P106*$T$11+O106,IF(Limite_Primarias_MasConveniente,P106*SUM($T$7:$T$11),0))</f>
        <v>0</v>
      </c>
      <c r="R106" s="682">
        <f>IFERROR(VLOOKUP(Categoría_4,Tabla_Categorías,7,FALSE),0)</f>
        <v>0</v>
      </c>
      <c r="S106" s="682">
        <f>IF(OR(Limite_Primarias_Combinado,R106&lt;=P106),R106*$T$13+Q106,IF(Limite_Primarias_MasConveniente,R106*SUM($T$7:$T$13),0))</f>
        <v>0</v>
      </c>
      <c r="T106" s="682">
        <f>IFERROR(VLOOKUP(Categoría_5,Tabla_Categorías,7,FALSE),0)</f>
        <v>0</v>
      </c>
      <c r="U106" s="682">
        <f>IF(OR(Limite_Primarias_Combinado,T106&lt;=R106),T106*$T$15+S106,IF(Limite_Primarias_MasConveniente,T106*SUM($T$7:$T$15),0))</f>
        <v>0</v>
      </c>
      <c r="V106" s="21"/>
      <c r="W106" s="21"/>
      <c r="X106" s="21"/>
      <c r="Y106" s="21"/>
      <c r="Z106" s="21"/>
      <c r="AA106" s="21"/>
      <c r="AB106" s="1740"/>
      <c r="AC106" s="845"/>
      <c r="AD106" s="3044"/>
      <c r="AE106" s="3061"/>
      <c r="AF106" s="3069"/>
      <c r="AG106" s="3061"/>
      <c r="AH106" s="3061"/>
      <c r="AI106" s="3061"/>
      <c r="AJ106" s="3061"/>
      <c r="AK106" s="3061"/>
      <c r="AL106" s="3055"/>
      <c r="AM106" s="3055"/>
      <c r="AN106" s="3055"/>
      <c r="AO106" s="3044"/>
      <c r="AP106" s="3055"/>
      <c r="AQ106" s="3055"/>
      <c r="AR106" s="3055"/>
      <c r="AS106" s="3055"/>
      <c r="AT106" s="3055"/>
      <c r="AU106" s="3055"/>
      <c r="AV106" s="3055"/>
    </row>
    <row r="107" spans="1:48" s="14" customFormat="1" ht="12" customHeight="1" thickBot="1" x14ac:dyDescent="0.25">
      <c r="A107" s="29"/>
      <c r="B107" s="823"/>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40"/>
      <c r="AC107" s="845"/>
      <c r="AD107" s="3044"/>
      <c r="AE107" s="3061"/>
      <c r="AF107" s="3069"/>
      <c r="AG107" s="3061"/>
      <c r="AH107" s="3061"/>
      <c r="AI107" s="3061"/>
      <c r="AJ107" s="3061"/>
      <c r="AK107" s="3061"/>
      <c r="AL107" s="3055"/>
      <c r="AM107" s="3055"/>
      <c r="AN107" s="3055"/>
      <c r="AO107" s="3044"/>
      <c r="AP107" s="3055"/>
      <c r="AQ107" s="3055"/>
      <c r="AR107" s="3055"/>
      <c r="AS107" s="3055"/>
      <c r="AT107" s="3055"/>
      <c r="AU107" s="3055"/>
      <c r="AV107" s="3055"/>
    </row>
    <row r="108" spans="1:48" s="14" customFormat="1" ht="12" customHeight="1" x14ac:dyDescent="0.2">
      <c r="A108" s="29"/>
      <c r="B108" s="823"/>
      <c r="C108" s="21"/>
      <c r="D108" s="21"/>
      <c r="E108" s="21"/>
      <c r="F108" s="21"/>
      <c r="I108" s="21"/>
      <c r="J108" s="21"/>
      <c r="K108" s="21"/>
      <c r="L108" s="3836" t="str">
        <f>IF(Categoría_1=0,"",Categoría_1)</f>
        <v/>
      </c>
      <c r="M108" s="3837"/>
      <c r="N108" s="3840" t="str">
        <f>IF(Categoría_2=0,"",Categoría_2)</f>
        <v/>
      </c>
      <c r="O108" s="3837"/>
      <c r="P108" s="3840" t="str">
        <f>IF(Categoría_3=0,"",Categoría_3)</f>
        <v/>
      </c>
      <c r="Q108" s="3837"/>
      <c r="R108" s="3840" t="str">
        <f>IF(Categoría_4=0,"",Categoría_4)</f>
        <v/>
      </c>
      <c r="S108" s="3837"/>
      <c r="T108" s="3840" t="str">
        <f>IF(Categoría_5=0,"",Categoría_5)</f>
        <v/>
      </c>
      <c r="U108" s="3852"/>
      <c r="V108" s="21"/>
      <c r="W108" s="21"/>
      <c r="X108" s="21"/>
      <c r="Y108" s="21"/>
      <c r="Z108" s="21"/>
      <c r="AA108" s="21"/>
      <c r="AB108" s="1740"/>
      <c r="AC108" s="845"/>
      <c r="AD108" s="3044"/>
      <c r="AE108" s="3061"/>
      <c r="AF108" s="3069"/>
      <c r="AG108" s="3061"/>
      <c r="AH108" s="3061"/>
      <c r="AI108" s="3061"/>
      <c r="AJ108" s="3061"/>
      <c r="AK108" s="3061"/>
      <c r="AL108" s="3055"/>
      <c r="AM108" s="3055"/>
      <c r="AN108" s="3055"/>
      <c r="AO108" s="3044"/>
      <c r="AP108" s="3055"/>
      <c r="AQ108" s="3055"/>
      <c r="AR108" s="3055"/>
      <c r="AS108" s="3055"/>
      <c r="AT108" s="3055"/>
      <c r="AU108" s="3055"/>
      <c r="AV108" s="3055"/>
    </row>
    <row r="109" spans="1:48" s="14" customFormat="1" ht="12" customHeight="1" thickBot="1" x14ac:dyDescent="0.25">
      <c r="A109" s="29"/>
      <c r="B109" s="823"/>
      <c r="C109" s="21"/>
      <c r="D109" s="21"/>
      <c r="E109" s="21"/>
      <c r="F109" s="21"/>
      <c r="I109" s="21"/>
      <c r="J109" s="21"/>
      <c r="K109" s="21"/>
      <c r="L109" s="3905"/>
      <c r="M109" s="3906"/>
      <c r="N109" s="3853"/>
      <c r="O109" s="3906"/>
      <c r="P109" s="3853"/>
      <c r="Q109" s="3906"/>
      <c r="R109" s="3853"/>
      <c r="S109" s="3906"/>
      <c r="T109" s="3853"/>
      <c r="U109" s="3854"/>
      <c r="V109" s="21"/>
      <c r="W109" s="21"/>
      <c r="X109" s="21"/>
      <c r="Y109" s="21"/>
      <c r="Z109" s="21"/>
      <c r="AA109" s="21"/>
      <c r="AB109" s="1740"/>
      <c r="AC109" s="845"/>
      <c r="AD109" s="3044"/>
      <c r="AE109" s="3061"/>
      <c r="AF109" s="3069"/>
      <c r="AG109" s="3061"/>
      <c r="AH109" s="3061"/>
      <c r="AI109" s="3061"/>
      <c r="AJ109" s="3061"/>
      <c r="AK109" s="3061"/>
      <c r="AL109" s="3055"/>
      <c r="AM109" s="3055"/>
      <c r="AN109" s="3055"/>
      <c r="AO109" s="3044"/>
      <c r="AP109" s="3055"/>
      <c r="AQ109" s="3055"/>
      <c r="AR109" s="3055"/>
      <c r="AS109" s="3055"/>
      <c r="AT109" s="3055"/>
      <c r="AU109" s="3055"/>
      <c r="AV109" s="3055"/>
    </row>
    <row r="110" spans="1:48" ht="12" customHeight="1" thickBot="1" x14ac:dyDescent="0.25">
      <c r="A110" s="29"/>
      <c r="B110" s="823"/>
      <c r="C110" s="4090" t="s">
        <v>1521</v>
      </c>
      <c r="D110" s="1445" t="s">
        <v>1399</v>
      </c>
      <c r="E110" s="4041" t="s">
        <v>1375</v>
      </c>
      <c r="F110" s="4041"/>
      <c r="G110" s="4041"/>
      <c r="H110" s="4041"/>
      <c r="I110" s="4041"/>
      <c r="J110" s="4041"/>
      <c r="K110" s="4152"/>
      <c r="L110" s="1443" t="s">
        <v>1490</v>
      </c>
      <c r="M110" s="1444" t="s">
        <v>1377</v>
      </c>
      <c r="N110" s="1443" t="s">
        <v>1490</v>
      </c>
      <c r="O110" s="1444" t="s">
        <v>1377</v>
      </c>
      <c r="P110" s="1443" t="s">
        <v>1490</v>
      </c>
      <c r="Q110" s="1444" t="s">
        <v>1377</v>
      </c>
      <c r="R110" s="1443" t="s">
        <v>1490</v>
      </c>
      <c r="S110" s="1444" t="s">
        <v>1377</v>
      </c>
      <c r="T110" s="1443" t="s">
        <v>1490</v>
      </c>
      <c r="U110" s="1444" t="s">
        <v>1377</v>
      </c>
      <c r="V110" s="508" t="s">
        <v>1365</v>
      </c>
      <c r="W110" s="508" t="s">
        <v>1367</v>
      </c>
      <c r="X110" s="3851" t="s">
        <v>1489</v>
      </c>
      <c r="Y110" s="3851"/>
      <c r="Z110" s="508" t="s">
        <v>1418</v>
      </c>
      <c r="AA110" s="51" t="s">
        <v>1349</v>
      </c>
      <c r="AB110" s="1740"/>
      <c r="AC110" s="845"/>
      <c r="AD110" s="3044"/>
      <c r="AE110" s="3044"/>
      <c r="AF110" s="3069"/>
      <c r="AG110" s="3061"/>
      <c r="AH110" s="3061"/>
      <c r="AI110" s="3061"/>
      <c r="AJ110" s="3061"/>
      <c r="AK110" s="3061"/>
      <c r="AL110" s="3055"/>
      <c r="AM110" s="3055"/>
      <c r="AN110" s="3055"/>
      <c r="AO110" s="3044"/>
      <c r="AP110" s="3055"/>
      <c r="AQ110" s="1737"/>
      <c r="AR110" s="1737"/>
      <c r="AS110" s="1737"/>
      <c r="AT110" s="1737"/>
      <c r="AU110" s="1737"/>
      <c r="AV110" s="1737"/>
    </row>
    <row r="111" spans="1:48" ht="12" customHeight="1" x14ac:dyDescent="0.2">
      <c r="A111" s="29"/>
      <c r="B111" s="823"/>
      <c r="C111" s="3928"/>
      <c r="D111" s="4049" t="s">
        <v>1365</v>
      </c>
      <c r="E111" s="4135" t="s">
        <v>1522</v>
      </c>
      <c r="F111" s="3962"/>
      <c r="G111" s="3962"/>
      <c r="H111" s="3962"/>
      <c r="I111" s="3962"/>
      <c r="J111" s="3962"/>
      <c r="K111" s="3963"/>
      <c r="L111" s="2001">
        <f>IFERROR(VLOOKUP(L$22,Tabla_Categorías,MATCH("Coste"&amp;$E111,Name_Tabla_Cat,FALSE),FALSE),0)</f>
        <v>0</v>
      </c>
      <c r="M111" s="1485"/>
      <c r="N111" s="2001">
        <f>IFERROR(VLOOKUP(N$22,Tabla_Categorías,MATCH("Coste"&amp;$E111,Name_Tabla_Cat,FALSE),FALSE),0)</f>
        <v>0</v>
      </c>
      <c r="O111" s="1485"/>
      <c r="P111" s="2001">
        <f>IFERROR(VLOOKUP(P$22,Tabla_Categorías,MATCH("Coste"&amp;$E111,Name_Tabla_Cat,FALSE),FALSE),0)</f>
        <v>0</v>
      </c>
      <c r="Q111" s="1485"/>
      <c r="R111" s="2001">
        <f>IFERROR(VLOOKUP(R$22,Tabla_Categorías,MATCH("Coste"&amp;$E111,Name_Tabla_Cat,FALSE),FALSE),0)</f>
        <v>0</v>
      </c>
      <c r="S111" s="1485"/>
      <c r="T111" s="2001">
        <f>IFERROR(VLOOKUP(T$22,Tabla_Categorías,MATCH("Coste"&amp;$E111,Name_Tabla_Cat,FALSE),FALSE),0)</f>
        <v>0</v>
      </c>
      <c r="U111" s="1485"/>
      <c r="V111" s="52">
        <f>IF(L111=0,0,TRUNC(M111/L111,0))+IF(N111=0,0,TRUNC(O111/N111,0))+IF(P111=0,0,TRUNC(Q111/P111,0))+IF(R111=0,0,TRUNC(S111/R111,0))+IF(T111=0,0,TRUNC(U111/T111,0))</f>
        <v>0</v>
      </c>
      <c r="W111" s="513" t="s">
        <v>1456</v>
      </c>
      <c r="X111" s="4033">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4033"/>
      <c r="Z111" s="2221"/>
      <c r="AA111" s="63">
        <f>V111+Z111+X111</f>
        <v>0</v>
      </c>
      <c r="AB111" s="1740"/>
      <c r="AC111" s="845"/>
      <c r="AD111" s="3044"/>
      <c r="AE111" s="3061"/>
      <c r="AF111" s="3069"/>
      <c r="AG111" s="3061"/>
      <c r="AH111" s="3061"/>
      <c r="AI111" s="3061"/>
      <c r="AJ111" s="3061"/>
      <c r="AK111" s="3061"/>
      <c r="AL111" s="3055"/>
      <c r="AM111" s="3055"/>
      <c r="AN111" s="3055"/>
      <c r="AO111" s="3044"/>
      <c r="AP111" s="3055"/>
      <c r="AQ111" s="1737"/>
      <c r="AR111" s="1737"/>
      <c r="AS111" s="1737"/>
      <c r="AT111" s="1737"/>
      <c r="AU111" s="1737"/>
      <c r="AV111" s="1737"/>
    </row>
    <row r="112" spans="1:48" ht="12" customHeight="1" x14ac:dyDescent="0.2">
      <c r="A112" s="29"/>
      <c r="B112" s="823"/>
      <c r="C112" s="3928"/>
      <c r="D112" s="4050"/>
      <c r="E112" s="4136" t="s">
        <v>1523</v>
      </c>
      <c r="F112" s="3965"/>
      <c r="G112" s="3965"/>
      <c r="H112" s="3965"/>
      <c r="I112" s="3965"/>
      <c r="J112" s="3965"/>
      <c r="K112" s="3966"/>
      <c r="L112" s="2003">
        <f>IFERROR(VLOOKUP(L$22,Tabla_Categorías,MATCH("Coste"&amp;$E112,Name_Tabla_Cat,FALSE),FALSE),0)</f>
        <v>0</v>
      </c>
      <c r="M112" s="1503"/>
      <c r="N112" s="2003">
        <f>IFERROR(VLOOKUP(N$22,Tabla_Categorías,MATCH("Coste"&amp;$E112,Name_Tabla_Cat,FALSE),FALSE),0)</f>
        <v>0</v>
      </c>
      <c r="O112" s="1503"/>
      <c r="P112" s="2003">
        <f>IFERROR(VLOOKUP(P$22,Tabla_Categorías,MATCH("Coste"&amp;$E112,Name_Tabla_Cat,FALSE),FALSE),0)</f>
        <v>0</v>
      </c>
      <c r="Q112" s="1503"/>
      <c r="R112" s="2003">
        <f>IFERROR(VLOOKUP(R$22,Tabla_Categorías,MATCH("Coste"&amp;$E112,Name_Tabla_Cat,FALSE),FALSE),0)</f>
        <v>0</v>
      </c>
      <c r="S112" s="1503"/>
      <c r="T112" s="2003">
        <f>IFERROR(VLOOKUP(T$22,Tabla_Categorías,MATCH("Coste"&amp;$E112,Name_Tabla_Cat,FALSE),FALSE),0)</f>
        <v>0</v>
      </c>
      <c r="U112" s="1503"/>
      <c r="V112" s="54">
        <f>IF(L112=0,0,TRUNC(M112/L112,0))+IF(N112=0,0,TRUNC(O112/N112,0))+IF(P112=0,0,TRUNC(Q112/P112,0))+IF(R112=0,0,TRUNC(S112/R112,0))+IF(T112=0,0,TRUNC(U112/T112,0))</f>
        <v>0</v>
      </c>
      <c r="W112" s="59">
        <f>Bono_Des</f>
        <v>0</v>
      </c>
      <c r="X112" s="4034" t="s">
        <v>1456</v>
      </c>
      <c r="Y112" s="4034"/>
      <c r="Z112" s="2222"/>
      <c r="AA112" s="56">
        <f>V112+W112+Z112+Mod_ATA</f>
        <v>0</v>
      </c>
      <c r="AB112" s="1740"/>
      <c r="AC112" s="845"/>
      <c r="AD112" s="3044"/>
      <c r="AE112" s="3061"/>
      <c r="AF112" s="3069"/>
      <c r="AG112" s="3061"/>
      <c r="AH112" s="3061"/>
      <c r="AI112" s="3061"/>
      <c r="AJ112" s="3061"/>
      <c r="AK112" s="3061"/>
      <c r="AL112" s="3055"/>
      <c r="AM112" s="3055"/>
      <c r="AN112" s="3055"/>
      <c r="AO112" s="3044"/>
      <c r="AP112" s="3055"/>
      <c r="AQ112" s="1737"/>
      <c r="AR112" s="1737"/>
      <c r="AS112" s="1737"/>
      <c r="AT112" s="1737"/>
      <c r="AU112" s="1737"/>
      <c r="AV112" s="1737"/>
    </row>
    <row r="113" spans="1:48" ht="12" customHeight="1" x14ac:dyDescent="0.2">
      <c r="A113" s="29"/>
      <c r="B113" s="823"/>
      <c r="C113" s="3928"/>
      <c r="D113" s="548" t="s">
        <v>1519</v>
      </c>
      <c r="E113" s="4137"/>
      <c r="F113" s="4138"/>
      <c r="G113" s="4138"/>
      <c r="H113" s="4138"/>
      <c r="I113" s="4138"/>
      <c r="J113" s="4138"/>
      <c r="K113" s="4139"/>
      <c r="L113" s="2006">
        <f>IF($E113=0,0,VLOOKUP($E113,Tabla_TablasSobrenat,2))</f>
        <v>0</v>
      </c>
      <c r="M113" s="1493"/>
      <c r="N113" s="2006">
        <f>IF($E113=0,0,VLOOKUP($E113,Tabla_TablasSobrenat,2))</f>
        <v>0</v>
      </c>
      <c r="O113" s="1493"/>
      <c r="P113" s="2006">
        <f>IF($E113=0,0,VLOOKUP($E113,Tabla_TablasSobrenat,2))</f>
        <v>0</v>
      </c>
      <c r="Q113" s="1493"/>
      <c r="R113" s="2006">
        <f>IF($E113=0,0,VLOOKUP($E113,Tabla_TablasSobrenat,2))</f>
        <v>0</v>
      </c>
      <c r="S113" s="1493"/>
      <c r="T113" s="2006">
        <f>IF($E113=0,0,VLOOKUP($E113,Tabla_TablasSobrenat,2))</f>
        <v>0</v>
      </c>
      <c r="U113" s="1493"/>
      <c r="V113" s="4024" t="str">
        <f>IF($E113=0,"",VLOOKUP($E113,Tabla_TablasSobrenat,3))</f>
        <v/>
      </c>
      <c r="W113" s="4025">
        <f>IF($E113=0,0,VLOOKUP($E113,Tabla_TablasSobrenat,2))</f>
        <v>0</v>
      </c>
      <c r="X113" s="4025">
        <f>IF($E113=0,0,VLOOKUP($E113,Tabla_TablasSobrenat,2))</f>
        <v>0</v>
      </c>
      <c r="Y113" s="4025">
        <f>IF($E113=0,0,VLOOKUP($E113,Tabla_TablasSobrenat,2))</f>
        <v>0</v>
      </c>
      <c r="Z113" s="4025">
        <f>IF($E113=0,0,VLOOKUP($E113,Tabla_TablasSobrenat,2))</f>
        <v>0</v>
      </c>
      <c r="AA113" s="4026">
        <f>IF($E113=0,0,VLOOKUP($E113,Tabla_TablasSobrenat,2))</f>
        <v>0</v>
      </c>
      <c r="AB113" s="1740"/>
      <c r="AC113" s="845"/>
      <c r="AD113" s="3044" t="s">
        <v>10242</v>
      </c>
      <c r="AE113" s="3061" t="s">
        <v>10243</v>
      </c>
      <c r="AF113" s="3069" t="s">
        <v>10244</v>
      </c>
      <c r="AG113" s="3061"/>
      <c r="AH113" s="3061"/>
      <c r="AI113" s="3061"/>
      <c r="AJ113" s="3061"/>
      <c r="AK113" s="3061"/>
      <c r="AL113" s="3055"/>
      <c r="AM113" s="3055"/>
      <c r="AN113" s="3055"/>
      <c r="AO113" s="3044"/>
      <c r="AP113" s="3055"/>
      <c r="AQ113" s="1737"/>
      <c r="AR113" s="1737"/>
      <c r="AS113" s="1737"/>
      <c r="AT113" s="1737"/>
      <c r="AU113" s="1737"/>
      <c r="AV113" s="1737"/>
    </row>
    <row r="114" spans="1:48" ht="12" customHeight="1" x14ac:dyDescent="0.2">
      <c r="A114" s="29"/>
      <c r="B114" s="823"/>
      <c r="C114" s="3928"/>
      <c r="D114" s="3933" t="s">
        <v>1524</v>
      </c>
      <c r="E114" s="4140"/>
      <c r="F114" s="4141"/>
      <c r="G114" s="4141"/>
      <c r="H114" s="4141"/>
      <c r="I114" s="4141"/>
      <c r="J114" s="4141"/>
      <c r="K114" s="4142"/>
      <c r="L114" s="2005">
        <f>IF(E114=0,0,VLOOKUP(E114,Tablas!$D$1210:$R$1225,2,FALSE))</f>
        <v>0</v>
      </c>
      <c r="M114" s="1525"/>
      <c r="N114" s="2005">
        <f>IF(G114=0,0,VLOOKUP(G114,Tablas!$D$1210:$R$1225,2,FALSE))</f>
        <v>0</v>
      </c>
      <c r="O114" s="1525"/>
      <c r="P114" s="2005">
        <f>IF(I114=0,0,VLOOKUP(I114,Tablas!$D$1210:$R$1225,2,FALSE))</f>
        <v>0</v>
      </c>
      <c r="Q114" s="1525"/>
      <c r="R114" s="2005">
        <f>IF(K114=0,0,VLOOKUP(K114,Tablas!$D$1210:$R$1225,2,FALSE))</f>
        <v>0</v>
      </c>
      <c r="S114" s="1525"/>
      <c r="T114" s="2005">
        <f>IF(M114=0,0,VLOOKUP(M114,Tablas!$D$1210:$R$1225,2,FALSE))</f>
        <v>0</v>
      </c>
      <c r="U114" s="1525"/>
      <c r="V114" s="4027" t="str">
        <f>IF(E114=0,"",VLOOKUP(E114,Tablas!$D$1210:$R$1225,4,FALSE))</f>
        <v/>
      </c>
      <c r="W114" s="4028"/>
      <c r="X114" s="4028"/>
      <c r="Y114" s="4028"/>
      <c r="Z114" s="4028"/>
      <c r="AA114" s="4029"/>
      <c r="AB114" s="1740"/>
      <c r="AC114" s="845"/>
      <c r="AD114" s="3044" t="e">
        <f>VLOOKUP(E114,Tablas!$D$1210:$R$1225,5,FALSE)</f>
        <v>#N/A</v>
      </c>
      <c r="AE114" s="3061" t="str">
        <f t="shared" ref="AE114:AE119" si="27">IF(ISNUMBER(FIND("Cancelación:",E114)),SUBSTITUTE(E114,"Cancelación: ",""),"")</f>
        <v/>
      </c>
      <c r="AF114" s="3069"/>
      <c r="AG114" s="3069" t="b">
        <f>AE114&lt;&gt;""</f>
        <v>0</v>
      </c>
      <c r="AH114" s="3061"/>
      <c r="AI114" s="3061"/>
      <c r="AJ114" s="3061"/>
      <c r="AK114" s="3061"/>
      <c r="AL114" s="3055"/>
      <c r="AM114" s="3055"/>
      <c r="AN114" s="3055"/>
      <c r="AO114" s="3044"/>
      <c r="AP114" s="3055"/>
      <c r="AQ114" s="1737"/>
      <c r="AR114" s="1737"/>
      <c r="AS114" s="1737"/>
      <c r="AT114" s="1737"/>
      <c r="AU114" s="1737"/>
      <c r="AV114" s="1737"/>
    </row>
    <row r="115" spans="1:48" ht="12" customHeight="1" x14ac:dyDescent="0.2">
      <c r="A115" s="29"/>
      <c r="B115" s="823"/>
      <c r="C115" s="3928"/>
      <c r="D115" s="3934"/>
      <c r="E115" s="4002"/>
      <c r="F115" s="3948"/>
      <c r="G115" s="3948"/>
      <c r="H115" s="3948"/>
      <c r="I115" s="3948"/>
      <c r="J115" s="3948"/>
      <c r="K115" s="3949"/>
      <c r="L115" s="1982">
        <f>IF(E115=0,0,VLOOKUP(E115,Tablas!$D$1210:$R$1225,3,FALSE))</f>
        <v>0</v>
      </c>
      <c r="M115" s="1494"/>
      <c r="N115" s="1982">
        <f>IF(G115=0,0,VLOOKUP(G115,Tablas!$D$1210:$R$1225,3,FALSE))</f>
        <v>0</v>
      </c>
      <c r="O115" s="1494"/>
      <c r="P115" s="1982">
        <f>IF(I115=0,0,VLOOKUP(I115,Tablas!$D$1210:$R$1225,3,FALSE))</f>
        <v>0</v>
      </c>
      <c r="Q115" s="1494"/>
      <c r="R115" s="1982">
        <f>IF(K115=0,0,VLOOKUP(K115,Tablas!$D$1210:$R$1225,3,FALSE))</f>
        <v>0</v>
      </c>
      <c r="S115" s="1494"/>
      <c r="T115" s="1982">
        <f>IF(M115=0,0,VLOOKUP(M115,Tablas!$D$1210:$R$1225,3,FALSE))</f>
        <v>0</v>
      </c>
      <c r="U115" s="1494"/>
      <c r="V115" s="4030" t="str">
        <f>IF(E115=0,"",VLOOKUP(E115,Tablas!$D$1210:$R$1225,4,FALSE))</f>
        <v/>
      </c>
      <c r="W115" s="4031"/>
      <c r="X115" s="4031"/>
      <c r="Y115" s="4031"/>
      <c r="Z115" s="4031"/>
      <c r="AA115" s="4032"/>
      <c r="AB115" s="1740"/>
      <c r="AC115" s="845"/>
      <c r="AD115" s="3044" t="e">
        <f>VLOOKUP(E115,Tablas!$D$1210:$R$1225,5,FALSE)</f>
        <v>#N/A</v>
      </c>
      <c r="AE115" s="3061" t="str">
        <f t="shared" si="27"/>
        <v/>
      </c>
      <c r="AF115" s="3069" t="b">
        <f>AND(COUNTIF($E$114:$E114,AD115)&gt;0,COUNTIF($E$114:$E114,"Cancelación: "&amp;AD115)=0)</f>
        <v>0</v>
      </c>
      <c r="AG115" s="3061" t="b">
        <f>OR(COUNTIF($E$114:$E114,E115)&lt;&gt;COUNTIF($E$114:$E114,"Cancelación: "&amp;E115),AF115,IF(AE115="",FALSE,COUNTIF($E$114:$E114,AE115)=0))</f>
        <v>0</v>
      </c>
      <c r="AH115" s="3061"/>
      <c r="AI115" s="3061"/>
      <c r="AJ115" s="3061"/>
      <c r="AK115" s="3061"/>
      <c r="AL115" s="3055"/>
      <c r="AM115" s="3055"/>
      <c r="AN115" s="3055"/>
      <c r="AO115" s="3044"/>
      <c r="AP115" s="3055"/>
      <c r="AQ115" s="1737"/>
      <c r="AR115" s="1737"/>
      <c r="AS115" s="1737"/>
      <c r="AT115" s="1737"/>
      <c r="AU115" s="1737"/>
      <c r="AV115" s="1737"/>
    </row>
    <row r="116" spans="1:48" ht="12" customHeight="1" x14ac:dyDescent="0.2">
      <c r="A116" s="29"/>
      <c r="B116" s="823"/>
      <c r="C116" s="3928"/>
      <c r="D116" s="3934"/>
      <c r="E116" s="3967"/>
      <c r="F116" s="3945"/>
      <c r="G116" s="3945"/>
      <c r="H116" s="3945"/>
      <c r="I116" s="3945"/>
      <c r="J116" s="3945"/>
      <c r="K116" s="3946"/>
      <c r="L116" s="1988">
        <f>IF(E116=0,0,VLOOKUP(E116,Tablas!$D$1210:$R$1225,3,FALSE))</f>
        <v>0</v>
      </c>
      <c r="M116" s="1526"/>
      <c r="N116" s="1988">
        <f>IF(G116=0,0,VLOOKUP(G116,Tablas!$D$1210:$R$1225,3,FALSE))</f>
        <v>0</v>
      </c>
      <c r="O116" s="1526"/>
      <c r="P116" s="1988">
        <f>IF(I116=0,0,VLOOKUP(I116,Tablas!$D$1210:$R$1225,3,FALSE))</f>
        <v>0</v>
      </c>
      <c r="Q116" s="1526"/>
      <c r="R116" s="1988">
        <f>IF(K116=0,0,VLOOKUP(K116,Tablas!$D$1210:$R$1225,3,FALSE))</f>
        <v>0</v>
      </c>
      <c r="S116" s="1526"/>
      <c r="T116" s="1988">
        <f>IF(M116=0,0,VLOOKUP(M116,Tablas!$D$1210:$R$1225,3,FALSE))</f>
        <v>0</v>
      </c>
      <c r="U116" s="1526"/>
      <c r="V116" s="4035" t="str">
        <f>IF(E116=0,"",VLOOKUP(E116,Tablas!$D$1210:$R$1225,4,FALSE))</f>
        <v/>
      </c>
      <c r="W116" s="4036"/>
      <c r="X116" s="4036"/>
      <c r="Y116" s="4036"/>
      <c r="Z116" s="4036"/>
      <c r="AA116" s="4037"/>
      <c r="AB116" s="1740"/>
      <c r="AC116" s="845"/>
      <c r="AD116" s="3044" t="e">
        <f>VLOOKUP(E116,Tablas!$D$1210:$R$1225,5,FALSE)</f>
        <v>#N/A</v>
      </c>
      <c r="AE116" s="3061" t="str">
        <f t="shared" si="27"/>
        <v/>
      </c>
      <c r="AF116" s="3069" t="b">
        <f>AND(COUNTIF($E$114:$E115,AD116)&gt;0,COUNTIF($E$114:$E115,"Cancelación: "&amp;AD116)=0)</f>
        <v>0</v>
      </c>
      <c r="AG116" s="3061" t="b">
        <f>OR(COUNTIF($E$114:$E115,E116)&lt;&gt;COUNTIF($E$114:$E115,"Cancelación: "&amp;E116),AF116,IF(AE116="",FALSE,COUNTIF($E$114:$E115,AE116)=0))</f>
        <v>0</v>
      </c>
      <c r="AH116" s="3061"/>
      <c r="AI116" s="3061"/>
      <c r="AJ116" s="3061"/>
      <c r="AK116" s="3061"/>
      <c r="AL116" s="3055"/>
      <c r="AM116" s="3055"/>
      <c r="AN116" s="3055"/>
      <c r="AO116" s="3044"/>
      <c r="AP116" s="3055"/>
      <c r="AQ116" s="1737"/>
      <c r="AR116" s="1737"/>
      <c r="AS116" s="1737"/>
      <c r="AT116" s="1737"/>
      <c r="AU116" s="1737"/>
      <c r="AV116" s="1737"/>
    </row>
    <row r="117" spans="1:48" ht="12" customHeight="1" x14ac:dyDescent="0.2">
      <c r="A117" s="29"/>
      <c r="B117" s="823"/>
      <c r="C117" s="3928"/>
      <c r="D117" s="3934"/>
      <c r="E117" s="4002"/>
      <c r="F117" s="3948"/>
      <c r="G117" s="3948"/>
      <c r="H117" s="3948"/>
      <c r="I117" s="3948"/>
      <c r="J117" s="3948"/>
      <c r="K117" s="3949"/>
      <c r="L117" s="1982">
        <f>IF(E117=0,0,VLOOKUP(E117,Tablas!$D$1210:$R$1225,3,FALSE))</f>
        <v>0</v>
      </c>
      <c r="M117" s="1494"/>
      <c r="N117" s="1982">
        <f>IF(G117=0,0,VLOOKUP(G117,Tablas!$D$1210:$R$1225,3,FALSE))</f>
        <v>0</v>
      </c>
      <c r="O117" s="1494"/>
      <c r="P117" s="1982">
        <f>IF(I117=0,0,VLOOKUP(I117,Tablas!$D$1210:$R$1225,3,FALSE))</f>
        <v>0</v>
      </c>
      <c r="Q117" s="1494"/>
      <c r="R117" s="1982">
        <f>IF(K117=0,0,VLOOKUP(K117,Tablas!$D$1210:$R$1225,3,FALSE))</f>
        <v>0</v>
      </c>
      <c r="S117" s="1494"/>
      <c r="T117" s="1982">
        <f>IF(M117=0,0,VLOOKUP(M117,Tablas!$D$1210:$R$1225,3,FALSE))</f>
        <v>0</v>
      </c>
      <c r="U117" s="1494"/>
      <c r="V117" s="4030" t="str">
        <f>IF(E117=0,"",VLOOKUP(E117,Tablas!$D$1210:$R$1225,4,FALSE))</f>
        <v/>
      </c>
      <c r="W117" s="4031"/>
      <c r="X117" s="4031"/>
      <c r="Y117" s="4031"/>
      <c r="Z117" s="4031"/>
      <c r="AA117" s="4032"/>
      <c r="AB117" s="1740"/>
      <c r="AC117" s="845"/>
      <c r="AD117" s="3044" t="e">
        <f>VLOOKUP(E117,Tablas!$D$1210:$R$1225,5,FALSE)</f>
        <v>#N/A</v>
      </c>
      <c r="AE117" s="3061" t="str">
        <f t="shared" si="27"/>
        <v/>
      </c>
      <c r="AF117" s="3069" t="b">
        <f>AND(COUNTIF($E$114:$E116,AD117)&gt;0,COUNTIF($E$114:$E116,"Cancelación: "&amp;AD117)=0)</f>
        <v>0</v>
      </c>
      <c r="AG117" s="3061" t="b">
        <f>OR(COUNTIF($E$114:$E116,E117)&lt;&gt;COUNTIF($E$114:$E116,"Cancelación: "&amp;E117),AF117,IF(AE117="",FALSE,COUNTIF($E$114:$E116,AE117)=0))</f>
        <v>0</v>
      </c>
      <c r="AH117" s="3061"/>
      <c r="AI117" s="3061"/>
      <c r="AJ117" s="3061"/>
      <c r="AK117" s="3061"/>
      <c r="AL117" s="3055"/>
      <c r="AM117" s="3055"/>
      <c r="AN117" s="3055"/>
      <c r="AO117" s="3044"/>
      <c r="AP117" s="3055"/>
      <c r="AQ117" s="1737"/>
      <c r="AR117" s="1737"/>
      <c r="AS117" s="1737"/>
      <c r="AT117" s="1737"/>
      <c r="AU117" s="1737"/>
      <c r="AV117" s="1737"/>
    </row>
    <row r="118" spans="1:48" ht="12" customHeight="1" x14ac:dyDescent="0.2">
      <c r="A118" s="29"/>
      <c r="B118" s="823"/>
      <c r="C118" s="3928"/>
      <c r="D118" s="3934"/>
      <c r="E118" s="3967"/>
      <c r="F118" s="3945"/>
      <c r="G118" s="3945"/>
      <c r="H118" s="3945"/>
      <c r="I118" s="3945"/>
      <c r="J118" s="3945"/>
      <c r="K118" s="3946"/>
      <c r="L118" s="1988">
        <f>IF(E118=0,0,VLOOKUP(E118,Tablas!$D$1210:$R$1225,3,FALSE))</f>
        <v>0</v>
      </c>
      <c r="M118" s="1526"/>
      <c r="N118" s="1988">
        <f>IF(G118=0,0,VLOOKUP(G118,Tablas!$D$1210:$R$1225,3,FALSE))</f>
        <v>0</v>
      </c>
      <c r="O118" s="1526"/>
      <c r="P118" s="1988">
        <f>IF(I118=0,0,VLOOKUP(I118,Tablas!$D$1210:$R$1225,3,FALSE))</f>
        <v>0</v>
      </c>
      <c r="Q118" s="1526"/>
      <c r="R118" s="1988">
        <f>IF(K118=0,0,VLOOKUP(K118,Tablas!$D$1210:$R$1225,3,FALSE))</f>
        <v>0</v>
      </c>
      <c r="S118" s="1526"/>
      <c r="T118" s="1988">
        <f>IF(M118=0,0,VLOOKUP(M118,Tablas!$D$1210:$R$1225,3,FALSE))</f>
        <v>0</v>
      </c>
      <c r="U118" s="1526"/>
      <c r="V118" s="4035" t="str">
        <f>IF(E118=0,"",VLOOKUP(E118,Tablas!$D$1210:$R$1225,4,FALSE))</f>
        <v/>
      </c>
      <c r="W118" s="4036"/>
      <c r="X118" s="4036"/>
      <c r="Y118" s="4036"/>
      <c r="Z118" s="4036"/>
      <c r="AA118" s="4037"/>
      <c r="AB118" s="1740"/>
      <c r="AC118" s="845"/>
      <c r="AD118" s="3044" t="e">
        <f>VLOOKUP(E118,Tablas!$D$1210:$R$1225,5,FALSE)</f>
        <v>#N/A</v>
      </c>
      <c r="AE118" s="3061" t="str">
        <f t="shared" si="27"/>
        <v/>
      </c>
      <c r="AF118" s="3069" t="b">
        <f>AND(COUNTIF($E$114:$E117,AD118)&gt;0,COUNTIF($E$114:$E117,"Cancelación: "&amp;AD118)=0)</f>
        <v>0</v>
      </c>
      <c r="AG118" s="3061" t="b">
        <f>OR(COUNTIF($E$114:$E117,E118)&lt;&gt;COUNTIF($E$114:$E117,"Cancelación: "&amp;E118),AF118,IF(AE118="",FALSE,COUNTIF($E$114:$E117,AE118)=0))</f>
        <v>0</v>
      </c>
      <c r="AH118" s="3058"/>
      <c r="AI118" s="3061"/>
      <c r="AJ118" s="3061"/>
      <c r="AK118" s="3061"/>
      <c r="AL118" s="3055"/>
      <c r="AM118" s="3055"/>
      <c r="AN118" s="3055"/>
      <c r="AO118" s="3044"/>
      <c r="AP118" s="3055"/>
      <c r="AQ118" s="1737"/>
      <c r="AR118" s="1737"/>
      <c r="AS118" s="1737"/>
      <c r="AT118" s="1737"/>
      <c r="AU118" s="1737"/>
      <c r="AV118" s="1737"/>
    </row>
    <row r="119" spans="1:48" ht="12" customHeight="1" thickBot="1" x14ac:dyDescent="0.25">
      <c r="A119" s="29"/>
      <c r="B119" s="823"/>
      <c r="C119" s="3928"/>
      <c r="D119" s="3934"/>
      <c r="E119" s="4002"/>
      <c r="F119" s="3948"/>
      <c r="G119" s="3948"/>
      <c r="H119" s="3948"/>
      <c r="I119" s="3948"/>
      <c r="J119" s="3948"/>
      <c r="K119" s="3949"/>
      <c r="L119" s="1982">
        <f>IF(E119=0,0,VLOOKUP(E119,Tablas!$D$1210:$R$1225,3,FALSE))</f>
        <v>0</v>
      </c>
      <c r="M119" s="1494"/>
      <c r="N119" s="1982">
        <f>IF(G119=0,0,VLOOKUP(G119,Tablas!$D$1210:$R$1225,3,FALSE))</f>
        <v>0</v>
      </c>
      <c r="O119" s="1494"/>
      <c r="P119" s="1982">
        <f>IF(I119=0,0,VLOOKUP(I119,Tablas!$D$1210:$R$1225,3,FALSE))</f>
        <v>0</v>
      </c>
      <c r="Q119" s="1494"/>
      <c r="R119" s="1982">
        <f>IF(K119=0,0,VLOOKUP(K119,Tablas!$D$1210:$R$1225,3,FALSE))</f>
        <v>0</v>
      </c>
      <c r="S119" s="1494"/>
      <c r="T119" s="1982">
        <f>IF(M119=0,0,VLOOKUP(M119,Tablas!$D$1210:$R$1225,3,FALSE))</f>
        <v>0</v>
      </c>
      <c r="U119" s="1494"/>
      <c r="V119" s="4030" t="str">
        <f>IF(E119=0,"",VLOOKUP(E119,Tablas!$D$1210:$R$1225,4,FALSE))</f>
        <v/>
      </c>
      <c r="W119" s="4031"/>
      <c r="X119" s="4031"/>
      <c r="Y119" s="4031"/>
      <c r="Z119" s="4031"/>
      <c r="AA119" s="4032"/>
      <c r="AB119" s="1740"/>
      <c r="AC119" s="845"/>
      <c r="AD119" s="3044" t="e">
        <f>VLOOKUP(E119,Tablas!$D$1210:$R$1225,5,FALSE)</f>
        <v>#N/A</v>
      </c>
      <c r="AE119" s="3061" t="str">
        <f t="shared" si="27"/>
        <v/>
      </c>
      <c r="AF119" s="3069" t="b">
        <f>AND(COUNTIF($E$114:$E118,AD119)&gt;0,COUNTIF($E$114:$E118,"Cancelación: "&amp;AD119)=0)</f>
        <v>0</v>
      </c>
      <c r="AG119" s="3061" t="b">
        <f>OR(COUNTIF($E$114:$E118,E119)&lt;&gt;COUNTIF($E$114:$E118,"Cancelación: "&amp;E119),AF119,IF(AE119="",FALSE,COUNTIF($E$114:$E118,AE119)=0))</f>
        <v>0</v>
      </c>
      <c r="AH119" s="3061"/>
      <c r="AI119" s="3061"/>
      <c r="AJ119" s="3061"/>
      <c r="AK119" s="3061"/>
      <c r="AL119" s="3055"/>
      <c r="AM119" s="3055"/>
      <c r="AN119" s="3055"/>
      <c r="AO119" s="3044"/>
      <c r="AP119" s="3055"/>
      <c r="AQ119" s="1737"/>
      <c r="AR119" s="1737"/>
      <c r="AS119" s="1737"/>
      <c r="AT119" s="1737"/>
      <c r="AU119" s="1737"/>
      <c r="AV119" s="1737"/>
    </row>
    <row r="120" spans="1:48" ht="12" customHeight="1" x14ac:dyDescent="0.2">
      <c r="A120" s="29"/>
      <c r="B120" s="823"/>
      <c r="C120" s="3929"/>
      <c r="D120" s="3952" t="s">
        <v>1525</v>
      </c>
      <c r="E120" s="3953"/>
      <c r="F120" s="3953"/>
      <c r="G120" s="3953"/>
      <c r="H120" s="3953"/>
      <c r="I120" s="3953"/>
      <c r="J120" s="3953"/>
      <c r="K120" s="4006"/>
      <c r="L120" s="3939">
        <f>T$7*IF(Categoría_1=0,0.5,VLOOKUP(Categoría_1,Tabla_Categorías,8,FALSE))</f>
        <v>200</v>
      </c>
      <c r="M120" s="3910">
        <f>SUM(M111:M119)</f>
        <v>0</v>
      </c>
      <c r="N120" s="3939">
        <f>IF(Limite_Primarias_Individual,$T$9*N122,IF(Categoría_2=0,0,(IF(OR(Limite_Primarias_Combinado,Limite_Primarias_MasConveniente),O122,SUM(T$7:T$9)*IF(Limite_Primarias_Maximo,MAX($L122,$N122),N122)))))</f>
        <v>0</v>
      </c>
      <c r="O120" s="3910">
        <f>(SUM(O111:O119)+IF(Limite_Primarias_Individual,0,M120))*IF(Categoría_2=0,0,1)</f>
        <v>0</v>
      </c>
      <c r="P120" s="3939">
        <f>IF(Limite_Primarias_Individual,$T$11*P122,IF(Categoría_3=0,0,(IF(OR(Limite_Primarias_Combinado,Limite_Primarias_MasConveniente),Q122,SUM(T$7:T$11)*IF(Limite_Primarias_Maximo,MAX($L122,$N122,$P122),P122)))))</f>
        <v>0</v>
      </c>
      <c r="Q120" s="3938">
        <f>(SUM(Q111:Q119)+IF(Limite_Primarias_Individual,0,O120))*IF(Categoría_3=0,0,1)</f>
        <v>0</v>
      </c>
      <c r="R120" s="3939">
        <f>IF(Limite_Primarias_Individual,$T$13*R122,IF(Categoría_4=0,0,(IF(OR(Limite_Primarias_Combinado,Limite_Primarias_MasConveniente),S122,SUM(T$7:T$13)*IF(Limite_Primarias_Maximo,MAX($L122,$N122,$P122,$R122),R122)))))</f>
        <v>0</v>
      </c>
      <c r="S120" s="3910">
        <f>(SUM(S111:S119)+IF(Limite_Primarias_Individual,0,Q120))*IF(Categoría_4=0,0,1)</f>
        <v>0</v>
      </c>
      <c r="T120" s="3939">
        <f>IF(Limite_Primarias_Individual,$T$15*T122,IF(Categoría_5=0,0,(IF(OR(Limite_Primarias_Combinado,Limite_Primarias_MasConveniente),U122,SUM(T$7:T$15)*IF(Limite_Primarias_Maximo,MAX($L122,$N122,$P122,$R122,$T122),T122)))))</f>
        <v>0</v>
      </c>
      <c r="U120" s="3910">
        <f>(SUM(U111:U119)+IF(Limite_Primarias_Individual,0,S120))*IF(Categoría_5=0,0,1)</f>
        <v>0</v>
      </c>
      <c r="V120" s="3881" t="str">
        <f>IF((M112+O112+Q112+S112+U112)*2&gt;MAX(L120,N120,P120,R120,T120),"Exceso en Proyección Psíquica",IF(AF120,"Patrones opuestos seleccionados",IF(OR(M120&gt;L120,O120&gt;N120,Q120&gt;P120,S120&gt;R120,U120&gt;T120),"Exceso de PDs en Habilidades Psíquicas","")))</f>
        <v/>
      </c>
      <c r="W120" s="3882"/>
      <c r="X120" s="3882"/>
      <c r="Y120" s="3882"/>
      <c r="Z120" s="3882"/>
      <c r="AA120" s="3883"/>
      <c r="AB120" s="1740"/>
      <c r="AC120" s="845"/>
      <c r="AD120" s="3044"/>
      <c r="AE120" s="3061"/>
      <c r="AF120" s="3069" t="b">
        <f>OR(AF115:AF119)</f>
        <v>0</v>
      </c>
      <c r="AG120" s="3061"/>
      <c r="AH120" s="3061"/>
      <c r="AI120" s="3061"/>
      <c r="AJ120" s="3061"/>
      <c r="AK120" s="3061"/>
      <c r="AL120" s="3055"/>
      <c r="AM120" s="3055"/>
      <c r="AN120" s="3055"/>
      <c r="AO120" s="3044"/>
      <c r="AP120" s="3055"/>
      <c r="AQ120" s="1737"/>
      <c r="AR120" s="1737"/>
      <c r="AS120" s="1737"/>
      <c r="AT120" s="1737"/>
      <c r="AU120" s="1737"/>
      <c r="AV120" s="1737"/>
    </row>
    <row r="121" spans="1:48" ht="12" customHeight="1" thickBot="1" x14ac:dyDescent="0.25">
      <c r="A121" s="29"/>
      <c r="B121" s="823"/>
      <c r="C121" s="3930"/>
      <c r="D121" s="3955"/>
      <c r="E121" s="3956"/>
      <c r="F121" s="3956"/>
      <c r="G121" s="3956"/>
      <c r="H121" s="3956"/>
      <c r="I121" s="3956"/>
      <c r="J121" s="3956"/>
      <c r="K121" s="4007"/>
      <c r="L121" s="3940"/>
      <c r="M121" s="3911"/>
      <c r="N121" s="3940"/>
      <c r="O121" s="3911"/>
      <c r="P121" s="3940"/>
      <c r="Q121" s="3633"/>
      <c r="R121" s="3940"/>
      <c r="S121" s="3911"/>
      <c r="T121" s="3940"/>
      <c r="U121" s="3911"/>
      <c r="V121" s="3884"/>
      <c r="W121" s="3885"/>
      <c r="X121" s="3885"/>
      <c r="Y121" s="3885"/>
      <c r="Z121" s="3885"/>
      <c r="AA121" s="3886"/>
      <c r="AB121" s="1740"/>
      <c r="AC121" s="845"/>
      <c r="AD121" s="3044"/>
      <c r="AE121" s="3044"/>
      <c r="AF121" s="3069"/>
      <c r="AG121" s="3061"/>
      <c r="AH121" s="3061"/>
      <c r="AI121" s="3061"/>
      <c r="AJ121" s="3061"/>
      <c r="AK121" s="3061"/>
      <c r="AL121" s="3055"/>
      <c r="AM121" s="3055"/>
      <c r="AN121" s="3055"/>
      <c r="AO121" s="3044"/>
      <c r="AP121" s="3055"/>
      <c r="AQ121" s="1737"/>
      <c r="AR121" s="1737"/>
      <c r="AS121" s="1737"/>
      <c r="AT121" s="1737"/>
      <c r="AU121" s="1737"/>
      <c r="AV121" s="1737"/>
    </row>
    <row r="122" spans="1:48" ht="12" customHeight="1" x14ac:dyDescent="0.2">
      <c r="A122" s="29"/>
      <c r="B122" s="823"/>
      <c r="L122" s="682">
        <f>IFERROR(VLOOKUP(Categoría_1,Tabla_Categorías,8,FALSE),0)</f>
        <v>0</v>
      </c>
      <c r="M122" s="682">
        <f>L122*$T$7</f>
        <v>0</v>
      </c>
      <c r="N122" s="682">
        <f>IFERROR(VLOOKUP(Categoría_2,Tabla_Categorías,8,FALSE),0)</f>
        <v>0</v>
      </c>
      <c r="O122" s="682">
        <f>IF(OR(Limite_Primarias_Combinado,N122&lt;=L122),N122*$T$9+M122,IF(Limite_Primarias_MasConveniente,N122*SUM($T$7:$T$9),0))</f>
        <v>0</v>
      </c>
      <c r="P122" s="682">
        <f>IFERROR(VLOOKUP(Categoría_3,Tabla_Categorías,8,FALSE),0)</f>
        <v>0</v>
      </c>
      <c r="Q122" s="682">
        <f>IF(OR(Limite_Primarias_Combinado,P122&lt;=N122),P122*$T$11+O122,IF(Limite_Primarias_MasConveniente,P122*SUM($T$7:$T$11),0))</f>
        <v>0</v>
      </c>
      <c r="R122" s="682">
        <f>IFERROR(VLOOKUP(Categoría_4,Tabla_Categorías,8,FALSE),0)</f>
        <v>0</v>
      </c>
      <c r="S122" s="682">
        <f>IF(OR(Limite_Primarias_Combinado,R122&lt;=P122),R122*$T$13+Q122,IF(Limite_Primarias_MasConveniente,R122*SUM($T$7:$T$13),0))</f>
        <v>0</v>
      </c>
      <c r="T122" s="682">
        <f>IFERROR(VLOOKUP(Categoría_5,Tabla_Categorías,8,FALSE),0)</f>
        <v>0</v>
      </c>
      <c r="U122" s="682">
        <f>IF(OR(Limite_Primarias_Combinado,T122&lt;=R122),T122*$T$15+S122,IF(Limite_Primarias_MasConveniente,T122*SUM($T$7:$T$15),0))</f>
        <v>0</v>
      </c>
      <c r="AB122" s="1740"/>
      <c r="AC122" s="845"/>
      <c r="AD122" s="3044"/>
      <c r="AE122" s="3061"/>
      <c r="AF122" s="3069"/>
      <c r="AG122" s="3061"/>
      <c r="AH122" s="3061"/>
      <c r="AI122" s="3061"/>
      <c r="AJ122" s="3061"/>
      <c r="AK122" s="3061"/>
      <c r="AL122" s="3055"/>
      <c r="AM122" s="3055"/>
      <c r="AN122" s="3055"/>
      <c r="AO122" s="3055"/>
      <c r="AP122" s="3055"/>
      <c r="AQ122" s="1737"/>
      <c r="AR122" s="1737"/>
      <c r="AS122" s="1737"/>
      <c r="AT122" s="1737"/>
      <c r="AU122" s="1737"/>
      <c r="AV122" s="1737"/>
    </row>
    <row r="123" spans="1:48" ht="12" customHeight="1" thickBot="1" x14ac:dyDescent="0.25">
      <c r="A123" s="29"/>
      <c r="B123" s="92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45"/>
      <c r="AC123" s="845"/>
      <c r="AD123" s="3044"/>
      <c r="AE123" s="3061"/>
      <c r="AF123" s="3069"/>
      <c r="AG123" s="3061"/>
      <c r="AH123" s="3061"/>
      <c r="AI123" s="3061"/>
      <c r="AJ123" s="3061"/>
      <c r="AK123" s="3061"/>
      <c r="AL123" s="3055"/>
      <c r="AM123" s="3055"/>
      <c r="AN123" s="3055"/>
      <c r="AO123" s="3055"/>
      <c r="AP123" s="3055"/>
      <c r="AQ123" s="1737"/>
      <c r="AR123" s="1737"/>
      <c r="AS123" s="1737"/>
      <c r="AT123" s="1737"/>
      <c r="AU123" s="1737"/>
      <c r="AV123" s="1737"/>
    </row>
    <row r="124" spans="1:48" ht="12" customHeight="1" thickBot="1" x14ac:dyDescent="0.25">
      <c r="A124" s="29"/>
      <c r="B124" s="92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38"/>
      <c r="AC124" s="845"/>
      <c r="AD124" s="3044"/>
      <c r="AE124" s="3061"/>
      <c r="AF124" s="3069"/>
      <c r="AG124" s="3061"/>
      <c r="AH124" s="3061"/>
      <c r="AI124" s="3061"/>
      <c r="AJ124" s="3061"/>
      <c r="AK124" s="3061"/>
      <c r="AL124" s="3055"/>
      <c r="AM124" s="3055"/>
      <c r="AN124" s="3055"/>
      <c r="AO124" s="3055"/>
      <c r="AP124" s="3055"/>
      <c r="AQ124" s="1737"/>
      <c r="AR124" s="1737"/>
      <c r="AS124" s="1737"/>
      <c r="AT124" s="1737"/>
      <c r="AU124" s="1737"/>
      <c r="AV124" s="1737"/>
    </row>
    <row r="125" spans="1:48" ht="12" customHeight="1" thickBot="1" x14ac:dyDescent="0.25">
      <c r="A125" s="29"/>
      <c r="B125" s="823"/>
      <c r="AB125" s="1740"/>
      <c r="AC125" s="845"/>
      <c r="AD125" s="3044"/>
      <c r="AE125" s="3061"/>
      <c r="AF125" s="3069"/>
      <c r="AG125" s="3061"/>
      <c r="AH125" s="3061"/>
      <c r="AI125" s="3061"/>
      <c r="AJ125" s="3061"/>
      <c r="AK125" s="3061"/>
      <c r="AL125" s="3055"/>
      <c r="AM125" s="3055"/>
      <c r="AN125" s="3055"/>
      <c r="AO125" s="3055"/>
      <c r="AP125" s="3055"/>
      <c r="AQ125" s="1737"/>
      <c r="AR125" s="1737"/>
      <c r="AS125" s="1737"/>
      <c r="AT125" s="1737"/>
      <c r="AU125" s="1737"/>
      <c r="AV125" s="1737"/>
    </row>
    <row r="126" spans="1:48" ht="12" customHeight="1" thickBot="1" x14ac:dyDescent="0.25">
      <c r="A126" s="9"/>
      <c r="B126" s="823"/>
      <c r="J126" s="4148" t="str">
        <f>IF(Categoría_1=0,"",Categoría_1)</f>
        <v/>
      </c>
      <c r="K126" s="4047"/>
      <c r="L126" s="4043" t="str">
        <f>IF(Categoría_2=0,"",Categoría_2)</f>
        <v/>
      </c>
      <c r="M126" s="4047"/>
      <c r="N126" s="4043" t="str">
        <f>IF(Categoría_3=0,"",Categoría_3)</f>
        <v/>
      </c>
      <c r="O126" s="4047"/>
      <c r="P126" s="4043" t="str">
        <f>IF(Categoría_4=0,"",Categoría_4)</f>
        <v/>
      </c>
      <c r="Q126" s="4047"/>
      <c r="R126" s="4043" t="str">
        <f>IF(Categoría_5=0,"",Categoría_5)</f>
        <v/>
      </c>
      <c r="S126" s="4044"/>
      <c r="AB126" s="1740"/>
      <c r="AC126" s="845"/>
      <c r="AD126" s="3044"/>
      <c r="AE126" s="3044" t="s">
        <v>6970</v>
      </c>
      <c r="AF126" s="3055" t="b">
        <f>IF(Tablas!G487&gt;0,TRUE,IF(Personalización!E12&lt;&gt;"No",TRUE,FALSE))</f>
        <v>0</v>
      </c>
      <c r="AG126" s="3061"/>
      <c r="AH126" s="3061"/>
      <c r="AI126" s="3061"/>
      <c r="AJ126" s="3061"/>
      <c r="AK126" s="3061"/>
      <c r="AL126" s="3055"/>
      <c r="AM126" s="3055"/>
      <c r="AN126" s="3055"/>
      <c r="AO126" s="3055"/>
      <c r="AP126" s="3055"/>
      <c r="AQ126" s="1737"/>
      <c r="AR126" s="1737"/>
      <c r="AS126" s="1737"/>
      <c r="AT126" s="1737"/>
      <c r="AU126" s="1737"/>
      <c r="AV126" s="1737"/>
    </row>
    <row r="127" spans="1:48" ht="12" customHeight="1" thickBot="1" x14ac:dyDescent="0.25">
      <c r="A127" s="29"/>
      <c r="B127" s="823"/>
      <c r="J127" s="4149"/>
      <c r="K127" s="4048"/>
      <c r="L127" s="4045"/>
      <c r="M127" s="4048"/>
      <c r="N127" s="4045"/>
      <c r="O127" s="4048"/>
      <c r="P127" s="4045"/>
      <c r="Q127" s="4048"/>
      <c r="R127" s="4045"/>
      <c r="S127" s="4046"/>
      <c r="W127" s="4038" t="s">
        <v>1536</v>
      </c>
      <c r="X127" s="4039"/>
      <c r="AB127" s="1740"/>
      <c r="AC127" s="845"/>
      <c r="AD127" s="3044"/>
      <c r="AE127" s="3809" t="s">
        <v>2478</v>
      </c>
      <c r="AF127" s="3809"/>
      <c r="AG127" s="3809"/>
      <c r="AH127" s="3809"/>
      <c r="AI127" s="3809"/>
      <c r="AJ127" s="3809"/>
      <c r="AK127" s="3061"/>
      <c r="AL127" s="3809" t="s">
        <v>7294</v>
      </c>
      <c r="AM127" s="3809"/>
      <c r="AN127" s="3809"/>
      <c r="AO127" s="3809"/>
      <c r="AP127" s="3809"/>
      <c r="AQ127" s="3809"/>
      <c r="AR127" s="3809"/>
      <c r="AS127" s="3809"/>
      <c r="AT127" s="3809"/>
      <c r="AU127" s="1737"/>
      <c r="AV127" s="1737"/>
    </row>
    <row r="128" spans="1:48" ht="12" customHeight="1" thickBot="1" x14ac:dyDescent="0.25">
      <c r="A128" s="29"/>
      <c r="B128" s="823"/>
      <c r="C128" s="3580" t="s">
        <v>1395</v>
      </c>
      <c r="D128" s="2427" t="s">
        <v>1399</v>
      </c>
      <c r="E128" s="4040" t="s">
        <v>1375</v>
      </c>
      <c r="F128" s="4041"/>
      <c r="G128" s="4041"/>
      <c r="H128" s="4042"/>
      <c r="I128" s="793" t="s">
        <v>6283</v>
      </c>
      <c r="J128" s="510" t="s">
        <v>1490</v>
      </c>
      <c r="K128" s="1446" t="s">
        <v>1377</v>
      </c>
      <c r="L128" s="510" t="s">
        <v>1490</v>
      </c>
      <c r="M128" s="1447" t="s">
        <v>1377</v>
      </c>
      <c r="N128" s="499" t="s">
        <v>1490</v>
      </c>
      <c r="O128" s="1446" t="s">
        <v>1377</v>
      </c>
      <c r="P128" s="510" t="s">
        <v>1490</v>
      </c>
      <c r="Q128" s="1447" t="s">
        <v>1377</v>
      </c>
      <c r="R128" s="499" t="s">
        <v>1490</v>
      </c>
      <c r="S128" s="1446" t="s">
        <v>1377</v>
      </c>
      <c r="T128" s="532" t="s">
        <v>1365</v>
      </c>
      <c r="U128" s="532" t="s">
        <v>998</v>
      </c>
      <c r="V128" s="532" t="s">
        <v>1408</v>
      </c>
      <c r="W128" s="499" t="s">
        <v>1537</v>
      </c>
      <c r="X128" s="500" t="s">
        <v>1538</v>
      </c>
      <c r="Y128" s="532" t="s">
        <v>1539</v>
      </c>
      <c r="Z128" s="532" t="s">
        <v>1418</v>
      </c>
      <c r="AA128" s="555" t="s">
        <v>1349</v>
      </c>
      <c r="AB128" s="1740"/>
      <c r="AC128" s="845"/>
      <c r="AD128" s="3044" t="s">
        <v>6969</v>
      </c>
      <c r="AE128" s="3044" t="s">
        <v>6971</v>
      </c>
      <c r="AF128" s="3044" t="s">
        <v>6577</v>
      </c>
      <c r="AG128" s="3044" t="s">
        <v>6578</v>
      </c>
      <c r="AH128" s="3061" t="s">
        <v>1477</v>
      </c>
      <c r="AI128" s="3044" t="s">
        <v>6400</v>
      </c>
      <c r="AJ128" s="3044" t="s">
        <v>6385</v>
      </c>
      <c r="AK128" s="3061"/>
      <c r="AL128" s="3055" t="s">
        <v>7222</v>
      </c>
      <c r="AM128" s="3055"/>
      <c r="AN128" s="3055" t="s">
        <v>7220</v>
      </c>
      <c r="AO128" s="3055"/>
      <c r="AP128" s="3055" t="s">
        <v>7221</v>
      </c>
      <c r="AQ128" s="1737"/>
      <c r="AR128" s="3055" t="s">
        <v>7224</v>
      </c>
      <c r="AS128" s="1737"/>
      <c r="AT128" s="3055" t="s">
        <v>7223</v>
      </c>
      <c r="AU128" s="3055" t="s">
        <v>10010</v>
      </c>
      <c r="AV128" s="1737"/>
    </row>
    <row r="129" spans="1:48" ht="12" customHeight="1" x14ac:dyDescent="0.2">
      <c r="A129" s="29"/>
      <c r="B129" s="823" t="str">
        <f>D129</f>
        <v>Atléticas</v>
      </c>
      <c r="C129" s="3582"/>
      <c r="D129" s="4056" t="s">
        <v>1404</v>
      </c>
      <c r="E129" s="4150" t="s">
        <v>1405</v>
      </c>
      <c r="F129" s="4151"/>
      <c r="G129" s="4151"/>
      <c r="H129" s="794" t="s">
        <v>1373</v>
      </c>
      <c r="I129" s="1495"/>
      <c r="J129" s="2007">
        <f>IF(ISNA(AL129),0,MAX(MIN(AL129-VLOOKUP("Apto en campo: "&amp;$B129,Tabla_Ventajas,3,FALSE)-Tablas!$O281-2*Tablas!$Q281,3),1))</f>
        <v>0</v>
      </c>
      <c r="K129" s="1808"/>
      <c r="L129" s="2007">
        <f>IF(ISNA(AN129),0,MAX(MIN(AN129-VLOOKUP("Apto en campo: "&amp;$B129,Tabla_Ventajas,3,FALSE)-Tablas!$O281-2*Tablas!$Q281,3),1))</f>
        <v>0</v>
      </c>
      <c r="M129" s="1808"/>
      <c r="N129" s="2007">
        <f>IF(ISNA(AP129),0,MAX(MIN(AP129-VLOOKUP("Apto en campo: "&amp;$B129,Tabla_Ventajas,3,FALSE)-Tablas!$O281-2*Tablas!$Q281,3),1))</f>
        <v>0</v>
      </c>
      <c r="O129" s="1808"/>
      <c r="P129" s="2007">
        <f>IF(ISNA(AR129),0,MAX(MIN(AR129-VLOOKUP("Apto en campo: "&amp;$B129,Tabla_Ventajas,3,FALSE)-Tablas!$O281-2*Tablas!$Q281,3),1))</f>
        <v>0</v>
      </c>
      <c r="Q129" s="1808"/>
      <c r="R129" s="2007">
        <f>IF(ISNA(AT129),0,MAX(MIN(AT129-VLOOKUP("Apto en campo: "&amp;$B129,Tabla_Ventajas,3,FALSE)-Tablas!$O281-2*Tablas!$Q281,3),1))</f>
        <v>0</v>
      </c>
      <c r="S129" s="1808"/>
      <c r="T129" s="501">
        <f>IF(J129=0,0,TRUNC(K129/J129,0))+IF(L129=0,0,TRUNC(M129/L129,0))+IF(N129=0,0,TRUNC(O129/N129,0))+IF(P129=0,0,TRUNC(Q129/P129,0))+IF(R129=0,0,TRUNC(S129/R129,0))+IF(Personalización!$E$12="Como Base (no oficial)",AF129,0)</f>
        <v>0</v>
      </c>
      <c r="U129" s="501">
        <f t="shared" ref="U129:U160" si="28">MIN(VLOOKUP($H129,Tabla_Características,5,0)*(1+W129)+10*Con.TodasMaterias+10*X129,100)</f>
        <v>0</v>
      </c>
      <c r="V129" s="501">
        <f>IF(ISNA(HLOOKUP($E129,Bonos_Cat_Base,2,FALSE)),0,HLOOKUP($E129,Bonos_Cat_Base,2,FALSE))+Tablas!$X281*Nivel_Total+10*Y129</f>
        <v>0</v>
      </c>
      <c r="W129" s="1807"/>
      <c r="X129" s="1808"/>
      <c r="Y129" s="1807"/>
      <c r="Z129" s="2214"/>
      <c r="AA129" s="1306">
        <f>IF(AND(T129&lt;5,Tablas!G$310=0),-30,0)+T129+U129+V129+Z129+IF(I129="",0,40)+Mod_ATA+Mod_Fisico+AD129+IF(Personalización!$E$12="Como Base (no oficial)",0,AF129)</f>
        <v>-30</v>
      </c>
      <c r="AB129" s="1741">
        <f t="shared" ref="AB129:AB160" si="29">IF(AA129="-",0,IF(AA129&gt;VLOOKUP(Nivel_Total,Tabla_LímiteSecundarias,2),1,0))</f>
        <v>0</v>
      </c>
      <c r="AC129" s="845"/>
      <c r="AD129" s="3077">
        <f>MAX('Tablas psiquica'!AH53,'Tablas psiquica'!AH55)</f>
        <v>0</v>
      </c>
      <c r="AE129" s="3061"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069">
        <f>IF(AF$126,IF(OR(Region="",ClaseSocial="",Personalización!$AN$9),0,IF(OR(AND(AI129,AJ129),AND(NOT(AI129),NOT(AJ129))),LEFT(AG129,2)+LEFT(AH129,2),IF(AND(AI129,NOT(AJ129)),LEFT(AH129,2),0))),0)</f>
        <v>0</v>
      </c>
      <c r="AG129" s="3044">
        <f>HLOOKUP(Region&amp;ClaseSocial,Tabla_RaicesCulturales,Tablas!F142,FALSE)</f>
        <v>0</v>
      </c>
      <c r="AH129" s="3061">
        <f>IF(AND(E129="Historia",Personalización!$E$16="Historia (Local)"),20&amp;" "&amp;Personalización!$E$16,IF(E129=Personalización!$E$15,VLOOKUP(E129,Tablas!$L$136:$M$137,2,FALSE),IF(E129=Personalización!$E$16,VLOOKUP(E129,Tablas!$N$136:$O$137,2,FALSE),0)))</f>
        <v>0</v>
      </c>
      <c r="AI129" s="3061" t="b">
        <f t="shared" ref="AI129:AI146" si="30">OR(ISNUMBER(FIND("(",AG129)),ISNUMBER(FIND("(",AH129)))</f>
        <v>0</v>
      </c>
      <c r="AJ129" s="3061" t="b">
        <f t="shared" ref="AJ129:AJ146" si="31">AND(NOT(I129=""),OR(ISNUMBER(SEARCH(I129,AG129)),ISNUMBER(SEARCH(I129,AH129))))</f>
        <v>0</v>
      </c>
      <c r="AK129" s="3061"/>
      <c r="AL129" s="3055"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055"/>
      <c r="AN129" s="3055"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055"/>
      <c r="AP129" s="3055"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1737"/>
      <c r="AR129" s="3055"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1737"/>
      <c r="AT129" s="3055"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1737" t="str">
        <f>IF(AND($AF$126,OR(AG129&lt;&gt;0,AH129&lt;&gt;0)),E129&amp;" "&amp;IF(AND(ISNUMBER(AG129),ISNUMBER(VALUE(AH129))),AG129+AH129,IF(AH129&lt;&gt;0,VALUE(AH129)&amp;", "&amp;E129&amp;" ","")&amp;SUBSTITUTE(AG129,E129&amp;" ",""))&amp;", ","")</f>
        <v/>
      </c>
      <c r="AV129" s="1737"/>
    </row>
    <row r="130" spans="1:48" ht="12" customHeight="1" x14ac:dyDescent="0.2">
      <c r="A130" s="29"/>
      <c r="B130" s="823" t="str">
        <f t="shared" ref="B130:B135" si="36">B129</f>
        <v>Atléticas</v>
      </c>
      <c r="C130" s="3582"/>
      <c r="D130" s="4054"/>
      <c r="E130" s="3964" t="s">
        <v>1406</v>
      </c>
      <c r="F130" s="3965"/>
      <c r="G130" s="3965"/>
      <c r="H130" s="795" t="s">
        <v>1373</v>
      </c>
      <c r="I130" s="1527"/>
      <c r="J130" s="2010">
        <f>IF(ISNA(AL130),0,MAX(MIN(AL130-VLOOKUP("Apto en campo: "&amp;$B130,Tabla_Ventajas,3,FALSE)-Tablas!$O282-2*Tablas!$Q282,3),1))</f>
        <v>0</v>
      </c>
      <c r="K130" s="1810"/>
      <c r="L130" s="2010">
        <f>IF(ISNA(AN130),0,MAX(MIN(AN130-VLOOKUP("Apto en campo: "&amp;$B130,Tabla_Ventajas,3,FALSE)-Tablas!$O282-2*Tablas!$Q282,3),1))</f>
        <v>0</v>
      </c>
      <c r="M130" s="1810"/>
      <c r="N130" s="2010">
        <f>IF(ISNA(AP130),0,MAX(MIN(AP130-VLOOKUP("Apto en campo: "&amp;$B130,Tabla_Ventajas,3,FALSE)-Tablas!$O282-2*Tablas!$Q282,3),1))</f>
        <v>0</v>
      </c>
      <c r="O130" s="1810"/>
      <c r="P130" s="2010">
        <f>IF(ISNA(AR130),0,MAX(MIN(AR130-VLOOKUP("Apto en campo: "&amp;$B130,Tabla_Ventajas,3,FALSE)-Tablas!$O282-2*Tablas!$Q282,3),1))</f>
        <v>0</v>
      </c>
      <c r="Q130" s="1810"/>
      <c r="R130" s="2010">
        <f>IF(ISNA(AT130),0,MAX(MIN(AT130-VLOOKUP("Apto en campo: "&amp;$B130,Tabla_Ventajas,3,FALSE)-Tablas!$O282-2*Tablas!$Q282,3),1))</f>
        <v>0</v>
      </c>
      <c r="S130" s="1810"/>
      <c r="T130" s="494">
        <f>IF(J130=0,0,TRUNC(K130/J130,0))+IF(L130=0,0,TRUNC(M130/L130,0))+IF(N130=0,0,TRUNC(O130/N130,0))+IF(P130=0,0,TRUNC(Q130/P130,0))+IF(R130=0,0,TRUNC(S130/R130,0))+IF(Personalización!$E$12="Como Base (no oficial)",AF130,0)</f>
        <v>0</v>
      </c>
      <c r="U130" s="494">
        <f t="shared" si="28"/>
        <v>0</v>
      </c>
      <c r="V130" s="494">
        <f>IF(ISNA(HLOOKUP($E130,Bonos_Cat_Base,2,FALSE)),0,HLOOKUP($E130,Bonos_Cat_Base,2,FALSE))+Tablas!$X282*Nivel_Total+10*Y130</f>
        <v>0</v>
      </c>
      <c r="W130" s="1809"/>
      <c r="X130" s="1810"/>
      <c r="Y130" s="1809"/>
      <c r="Z130" s="2215"/>
      <c r="AA130" s="1307">
        <f>IF(AND(T130&lt;5,Tablas!G$310=0),-30,0)+T130+U130+V130+Z130+IF(I130="",0,40)+Mod_ATA+Mod_Fisico+AD130+IF(Personalización!$E$12="Como Base (no oficial)",0,AF130)</f>
        <v>-30</v>
      </c>
      <c r="AB130" s="1741">
        <f t="shared" si="29"/>
        <v>0</v>
      </c>
      <c r="AC130" s="845"/>
      <c r="AD130" s="3077">
        <f>'Tablas psiquica'!$AH$55</f>
        <v>0</v>
      </c>
      <c r="AE130" s="3061"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069">
        <f>IF(AF$126,IF(OR(Region="",ClaseSocial="",Personalización!$AN$9),0,IF(OR(AND(AI130,AJ130),AND(NOT(AI130),NOT(AJ130))),LEFT(AG130,2)+LEFT(AH130,2),IF(AND(AI130,NOT(AJ130)),LEFT(AH130,2),0))),0)</f>
        <v>0</v>
      </c>
      <c r="AG130" s="3044">
        <f>HLOOKUP(Region&amp;ClaseSocial,Tabla_RaicesCulturales,Tablas!F143,FALSE)</f>
        <v>0</v>
      </c>
      <c r="AH130" s="3061">
        <f>IF(AND(E130="Historia",Personalización!$E$16="Historia (Local)"),20&amp;" "&amp;Personalización!$E$16,IF(E130=Personalización!$E$15,VLOOKUP(E130,Tablas!$L$136:$M$137,2,FALSE),IF(E130=Personalización!$E$16,VLOOKUP(E130,Tablas!$N$136:$O$137,2,FALSE),0)))</f>
        <v>0</v>
      </c>
      <c r="AI130" s="3061" t="b">
        <f t="shared" si="30"/>
        <v>0</v>
      </c>
      <c r="AJ130" s="3061" t="b">
        <f t="shared" si="31"/>
        <v>0</v>
      </c>
      <c r="AK130" s="3061"/>
      <c r="AL130" s="3055"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055"/>
      <c r="AN130" s="3055" t="e">
        <f t="shared" si="32"/>
        <v>#N/A</v>
      </c>
      <c r="AO130" s="3055"/>
      <c r="AP130" s="3055" t="e">
        <f t="shared" si="33"/>
        <v>#N/A</v>
      </c>
      <c r="AQ130" s="1737"/>
      <c r="AR130" s="3055" t="e">
        <f t="shared" si="34"/>
        <v>#N/A</v>
      </c>
      <c r="AS130" s="1737"/>
      <c r="AT130" s="3055" t="e">
        <f t="shared" si="35"/>
        <v>#N/A</v>
      </c>
      <c r="AU130" s="1737" t="str">
        <f t="shared" ref="AU130:AU179" si="38">IF(AND($AF$126,OR(AG130&lt;&gt;0,AH130&lt;&gt;0)),E130&amp;" "&amp;IF(AND(ISNUMBER(AG130),ISNUMBER(VALUE(AH130))),AG130+AH130,IF(AH130&lt;&gt;0,VALUE(AH130)&amp;", "&amp;E130&amp;" ","")&amp;SUBSTITUTE(AG130,E130&amp;" ",""))&amp;", ","")</f>
        <v/>
      </c>
      <c r="AV130" s="1737"/>
    </row>
    <row r="131" spans="1:48" ht="12" customHeight="1" x14ac:dyDescent="0.2">
      <c r="A131" s="29"/>
      <c r="B131" s="823" t="str">
        <f t="shared" si="36"/>
        <v>Atléticas</v>
      </c>
      <c r="C131" s="3582"/>
      <c r="D131" s="4054"/>
      <c r="E131" s="3961" t="s">
        <v>1409</v>
      </c>
      <c r="F131" s="3962"/>
      <c r="G131" s="3962"/>
      <c r="H131" s="796" t="s">
        <v>1373</v>
      </c>
      <c r="I131" s="1496"/>
      <c r="J131" s="552">
        <f>IF(ISNA(AL131),0,MAX(MIN(AL131-VLOOKUP("Apto en campo: "&amp;$B131,Tabla_Ventajas,3,FALSE)-Tablas!$O283-2*Tablas!$Q283,3),1))</f>
        <v>0</v>
      </c>
      <c r="K131" s="1812"/>
      <c r="L131" s="552">
        <f>IF(ISNA(AN131),0,MAX(MIN(AN131-VLOOKUP("Apto en campo: "&amp;$B131,Tabla_Ventajas,3,FALSE)-Tablas!$O283-2*Tablas!$Q283,3),1))</f>
        <v>0</v>
      </c>
      <c r="M131" s="1812"/>
      <c r="N131" s="552">
        <f>IF(ISNA(AP131),0,MAX(MIN(AP131-VLOOKUP("Apto en campo: "&amp;$B131,Tabla_Ventajas,3,FALSE)-Tablas!$O283-2*Tablas!$Q283,3),1))</f>
        <v>0</v>
      </c>
      <c r="O131" s="1812"/>
      <c r="P131" s="552">
        <f>IF(ISNA(AR131),0,MAX(MIN(AR131-VLOOKUP("Apto en campo: "&amp;$B131,Tabla_Ventajas,3,FALSE)-Tablas!$O283-2*Tablas!$Q283,3),1))</f>
        <v>0</v>
      </c>
      <c r="Q131" s="1812"/>
      <c r="R131" s="552">
        <f>IF(ISNA(AT131),0,MAX(MIN(AT131-VLOOKUP("Apto en campo: "&amp;$B131,Tabla_Ventajas,3,FALSE)-Tablas!$O283-2*Tablas!$Q283,3),1))</f>
        <v>0</v>
      </c>
      <c r="S131" s="1812"/>
      <c r="T131" s="495">
        <f>IF(J131=0,0,TRUNC(K131/J131,0))+IF(L131=0,0,TRUNC(M131/L131,0))+IF(N131=0,0,TRUNC(O131/N131,0))+IF(P131=0,0,TRUNC(Q131/P131,0))+IF(R131=0,0,TRUNC(S131/R131,0))+IF(Personalización!$E$12="Como Base (no oficial)",AF131,0)</f>
        <v>0</v>
      </c>
      <c r="U131" s="495">
        <f t="shared" si="28"/>
        <v>0</v>
      </c>
      <c r="V131" s="495">
        <f>IF(ISNA(HLOOKUP($E131,Bonos_Cat_Base,2,FALSE)),0,HLOOKUP($E131,Bonos_Cat_Base,2,FALSE))+Tablas!$X283*Nivel_Total+10*Y131</f>
        <v>0</v>
      </c>
      <c r="W131" s="1811"/>
      <c r="X131" s="1812"/>
      <c r="Y131" s="1811"/>
      <c r="Z131" s="2216"/>
      <c r="AA131" s="1308">
        <f>IF(AND(T131&lt;5,Tablas!G$310=0),-30,0)+T131+U131+V131+Z131+IF(I131="",0,40)+Mod_ATA+Mod_Fisico+AD131+IF(Personalización!$E$12="Como Base (no oficial)",0,AF131)</f>
        <v>-30</v>
      </c>
      <c r="AB131" s="1741">
        <f t="shared" si="29"/>
        <v>0</v>
      </c>
      <c r="AC131" s="845"/>
      <c r="AD131" s="3077">
        <f>'Tablas psiquica'!$AH$55</f>
        <v>0</v>
      </c>
      <c r="AE131" s="3061"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069">
        <f>IF(AF$126,IF(OR(Region="",ClaseSocial="",Personalización!$AN$9),0,IF(OR(AND(AI131,AJ131),AND(NOT(AI131),NOT(AJ131))),LEFT(AG131,2)+LEFT(AH131,2),IF(AND(AI131,NOT(AJ131)),LEFT(AH131,2),0))),0)</f>
        <v>0</v>
      </c>
      <c r="AG131" s="3044">
        <f>HLOOKUP(Region&amp;ClaseSocial,Tabla_RaicesCulturales,Tablas!F144,FALSE)</f>
        <v>0</v>
      </c>
      <c r="AH131" s="3061">
        <f>IF(AND(E131="Historia",Personalización!$E$16="Historia (Local)"),20&amp;" "&amp;Personalización!$E$16,IF(E131=Personalización!$E$15,VLOOKUP(E131,Tablas!$L$136:$M$137,2,FALSE),IF(E131=Personalización!$E$16,VLOOKUP(E131,Tablas!$N$136:$O$137,2,FALSE),0)))</f>
        <v>0</v>
      </c>
      <c r="AI131" s="3061" t="b">
        <f t="shared" si="30"/>
        <v>0</v>
      </c>
      <c r="AJ131" s="3061" t="b">
        <f t="shared" si="31"/>
        <v>0</v>
      </c>
      <c r="AK131" s="3061"/>
      <c r="AL131" s="3055" t="e">
        <f t="shared" si="37"/>
        <v>#N/A</v>
      </c>
      <c r="AM131" s="3055"/>
      <c r="AN131" s="3055" t="e">
        <f t="shared" si="32"/>
        <v>#N/A</v>
      </c>
      <c r="AO131" s="3055"/>
      <c r="AP131" s="3055" t="e">
        <f t="shared" si="33"/>
        <v>#N/A</v>
      </c>
      <c r="AQ131" s="1737"/>
      <c r="AR131" s="3055" t="e">
        <f t="shared" si="34"/>
        <v>#N/A</v>
      </c>
      <c r="AS131" s="1737"/>
      <c r="AT131" s="3055" t="e">
        <f t="shared" si="35"/>
        <v>#N/A</v>
      </c>
      <c r="AU131" s="1737" t="str">
        <f t="shared" si="38"/>
        <v/>
      </c>
      <c r="AV131" s="1737"/>
    </row>
    <row r="132" spans="1:48" ht="12" customHeight="1" x14ac:dyDescent="0.2">
      <c r="A132" s="29"/>
      <c r="B132" s="823" t="str">
        <f t="shared" si="36"/>
        <v>Atléticas</v>
      </c>
      <c r="C132" s="3582"/>
      <c r="D132" s="4054"/>
      <c r="E132" s="3964" t="s">
        <v>1413</v>
      </c>
      <c r="F132" s="3965"/>
      <c r="G132" s="3965"/>
      <c r="H132" s="795" t="s">
        <v>1373</v>
      </c>
      <c r="I132" s="1527"/>
      <c r="J132" s="2010">
        <f>IF(ISNA(AL132),0,MAX(MIN(AL132-VLOOKUP("Apto en campo: "&amp;$B132,Tabla_Ventajas,3,FALSE)-Tablas!$O284-2*Tablas!$Q284,3),1))</f>
        <v>0</v>
      </c>
      <c r="K132" s="1810"/>
      <c r="L132" s="2010">
        <f>IF(ISNA(AN132),0,MAX(MIN(AN132-VLOOKUP("Apto en campo: "&amp;$B132,Tabla_Ventajas,3,FALSE)-Tablas!$O284-2*Tablas!$Q284,3),1))</f>
        <v>0</v>
      </c>
      <c r="M132" s="1810"/>
      <c r="N132" s="2010">
        <f>IF(ISNA(AP132),0,MAX(MIN(AP132-VLOOKUP("Apto en campo: "&amp;$B132,Tabla_Ventajas,3,FALSE)-Tablas!$O284-2*Tablas!$Q284,3),1))</f>
        <v>0</v>
      </c>
      <c r="O132" s="1810"/>
      <c r="P132" s="2010">
        <f>IF(ISNA(AR132),0,MAX(MIN(AR132-VLOOKUP("Apto en campo: "&amp;$B132,Tabla_Ventajas,3,FALSE)-Tablas!$O284-2*Tablas!$Q284,3),1))</f>
        <v>0</v>
      </c>
      <c r="Q132" s="1810"/>
      <c r="R132" s="2010">
        <f>IF(ISNA(AT132),0,MAX(MIN(AT132-VLOOKUP("Apto en campo: "&amp;$B132,Tabla_Ventajas,3,FALSE)-Tablas!$O284-2*Tablas!$Q284,3),1))</f>
        <v>0</v>
      </c>
      <c r="S132" s="1810"/>
      <c r="T132" s="494">
        <f>IF(J132=0,0,TRUNC(K132/J132,0))+IF(L132=0,0,TRUNC(M132/L132,0))+IF(N132=0,0,TRUNC(O132/N132,0))+IF(P132=0,0,TRUNC(Q132/P132,0))+IF(R132=0,0,TRUNC(S132/R132,0))+IF(Personalización!$E$12="Como Base (no oficial)",AF132,0)</f>
        <v>0</v>
      </c>
      <c r="U132" s="494">
        <f t="shared" si="28"/>
        <v>0</v>
      </c>
      <c r="V132" s="494">
        <f>IF(ISNA(HLOOKUP($E132,Bonos_Cat_Base,2,FALSE)),0,HLOOKUP($E132,Bonos_Cat_Base,2,FALSE))+Tablas!$X284*Nivel_Total+10*Y132</f>
        <v>0</v>
      </c>
      <c r="W132" s="1809"/>
      <c r="X132" s="1810"/>
      <c r="Y132" s="1809"/>
      <c r="Z132" s="2215"/>
      <c r="AA132" s="1307">
        <f>IF(AND(T132&lt;5,Tablas!G$310=0),-30,0)+T132+U132+V132+Z132+IF(I132="",0,40)+Mod_ATA+Mod_Fisico+AD132+IF(Personalización!$E$12="Como Base (no oficial)",0,AF132)</f>
        <v>-30</v>
      </c>
      <c r="AB132" s="1741">
        <f t="shared" si="29"/>
        <v>0</v>
      </c>
      <c r="AC132" s="845"/>
      <c r="AD132" s="3077">
        <f>'Tablas psiquica'!$AH$55</f>
        <v>0</v>
      </c>
      <c r="AE132" s="3061"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069">
        <f>IF(AF$126,IF(OR(Region="",ClaseSocial="",Personalización!$AN$9),0,IF(OR(AND(AI132,AJ132),AND(NOT(AI132),NOT(AJ132))),LEFT(AG132,2)+LEFT(AH132,2),IF(AND(AI132,NOT(AJ132)),LEFT(AH132,2),0))),0)</f>
        <v>0</v>
      </c>
      <c r="AG132" s="3044">
        <f>HLOOKUP(Region&amp;ClaseSocial,Tabla_RaicesCulturales,Tablas!F145,FALSE)</f>
        <v>0</v>
      </c>
      <c r="AH132" s="3061">
        <f>IF(AND(E132="Historia",Personalización!$E$16="Historia (Local)"),20&amp;" "&amp;Personalización!$E$16,IF(E132=Personalización!$E$15,VLOOKUP(E132,Tablas!$L$136:$M$137,2,FALSE),IF(E132=Personalización!$E$16,VLOOKUP(E132,Tablas!$N$136:$O$137,2,FALSE),0)))</f>
        <v>0</v>
      </c>
      <c r="AI132" s="3061" t="b">
        <f t="shared" si="30"/>
        <v>0</v>
      </c>
      <c r="AJ132" s="3061" t="b">
        <f t="shared" si="31"/>
        <v>0</v>
      </c>
      <c r="AK132" s="3061"/>
      <c r="AL132" s="3055" t="e">
        <f t="shared" si="37"/>
        <v>#N/A</v>
      </c>
      <c r="AM132" s="3055"/>
      <c r="AN132" s="3055" t="e">
        <f t="shared" si="32"/>
        <v>#N/A</v>
      </c>
      <c r="AO132" s="3055"/>
      <c r="AP132" s="3055" t="e">
        <f t="shared" si="33"/>
        <v>#N/A</v>
      </c>
      <c r="AQ132" s="1737"/>
      <c r="AR132" s="3055" t="e">
        <f t="shared" si="34"/>
        <v>#N/A</v>
      </c>
      <c r="AS132" s="1737"/>
      <c r="AT132" s="3055" t="e">
        <f t="shared" si="35"/>
        <v>#N/A</v>
      </c>
      <c r="AU132" s="1737" t="str">
        <f t="shared" si="38"/>
        <v/>
      </c>
      <c r="AV132" s="1737"/>
    </row>
    <row r="133" spans="1:48" ht="12" customHeight="1" x14ac:dyDescent="0.2">
      <c r="A133" s="29"/>
      <c r="B133" s="823" t="str">
        <f t="shared" si="36"/>
        <v>Atléticas</v>
      </c>
      <c r="C133" s="3582"/>
      <c r="D133" s="4054"/>
      <c r="E133" s="3961" t="s">
        <v>1416</v>
      </c>
      <c r="F133" s="3962"/>
      <c r="G133" s="3962"/>
      <c r="H133" s="796" t="s">
        <v>1373</v>
      </c>
      <c r="I133" s="1496"/>
      <c r="J133" s="552">
        <f>IF(ISNA(AL133),0,MAX(MIN(AL133-VLOOKUP("Apto en campo: "&amp;$B133,Tabla_Ventajas,3,FALSE)-Tablas!$O285-2*Tablas!$Q285,3),1))</f>
        <v>0</v>
      </c>
      <c r="K133" s="1812"/>
      <c r="L133" s="552">
        <f>IF(ISNA(AN133),0,MAX(MIN(AN133-VLOOKUP("Apto en campo: "&amp;$B133,Tabla_Ventajas,3,FALSE)-Tablas!$O285-2*Tablas!$Q285,3),1))</f>
        <v>0</v>
      </c>
      <c r="M133" s="1812"/>
      <c r="N133" s="552">
        <f>IF(ISNA(AP133),0,MAX(MIN(AP133-VLOOKUP("Apto en campo: "&amp;$B133,Tabla_Ventajas,3,FALSE)-Tablas!$O285-2*Tablas!$Q285,3),1))</f>
        <v>0</v>
      </c>
      <c r="O133" s="1812"/>
      <c r="P133" s="552">
        <f>IF(ISNA(AR133),0,MAX(MIN(AR133-VLOOKUP("Apto en campo: "&amp;$B133,Tabla_Ventajas,3,FALSE)-Tablas!$O285-2*Tablas!$Q285,3),1))</f>
        <v>0</v>
      </c>
      <c r="Q133" s="1812"/>
      <c r="R133" s="552">
        <f>IF(ISNA(AT133),0,MAX(MIN(AT133-VLOOKUP("Apto en campo: "&amp;$B133,Tabla_Ventajas,3,FALSE)-Tablas!$O285-2*Tablas!$Q285,3),1))</f>
        <v>0</v>
      </c>
      <c r="S133" s="1812"/>
      <c r="T133" s="495">
        <f>IF(J133=0,0,TRUNC(K133/J133,0))+IF(L133=0,0,TRUNC(M133/L133,0))+IF(N133=0,0,TRUNC(O133/N133,0))+IF(P133=0,0,TRUNC(Q133/P133,0))+IF(R133=0,0,TRUNC(S133/R133,0))+IF(Personalización!$E$12="Como Base (no oficial)",AF133,0)</f>
        <v>0</v>
      </c>
      <c r="U133" s="495">
        <f t="shared" si="28"/>
        <v>0</v>
      </c>
      <c r="V133" s="495">
        <f>IF(ISNA(HLOOKUP($E133,Bonos_Cat_Base,2,FALSE)),0,HLOOKUP($E133,Bonos_Cat_Base,2,FALSE))+Tablas!$X285*Nivel_Total+10*Y133</f>
        <v>0</v>
      </c>
      <c r="W133" s="1811"/>
      <c r="X133" s="1812"/>
      <c r="Y133" s="1811"/>
      <c r="Z133" s="2216"/>
      <c r="AA133" s="1308">
        <f>IF(AND(T133&lt;5,Tablas!G$310=0),-30,0)+T133+U133+V133+Z133+IF(I133="",0,40)+Mod_ATA+Mod_Fisico+AD133+IF(Personalización!$E$12="Como Base (no oficial)",0,AF133)</f>
        <v>-30</v>
      </c>
      <c r="AB133" s="1741">
        <f t="shared" si="29"/>
        <v>0</v>
      </c>
      <c r="AC133" s="845"/>
      <c r="AD133" s="3077">
        <f>'Tablas psiquica'!$AH$55</f>
        <v>0</v>
      </c>
      <c r="AE133" s="3061"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069">
        <f>IF(AF$126,IF(OR(Region="",ClaseSocial="",Personalización!$AN$9),0,IF(OR(AND(AI133,AJ133),AND(NOT(AI133),NOT(AJ133))),LEFT(AG133,2)+LEFT(AH133,2),IF(AND(AI133,NOT(AJ133)),LEFT(AH133,2),0))),0)</f>
        <v>0</v>
      </c>
      <c r="AG133" s="3044">
        <f>HLOOKUP(Region&amp;ClaseSocial,Tabla_RaicesCulturales,Tablas!F146,FALSE)</f>
        <v>0</v>
      </c>
      <c r="AH133" s="3061">
        <f>IF(AND(E133="Historia",Personalización!$E$16="Historia (Local)"),20&amp;" "&amp;Personalización!$E$16,IF(E133=Personalización!$E$15,VLOOKUP(E133,Tablas!$L$136:$M$137,2,FALSE),IF(E133=Personalización!$E$16,VLOOKUP(E133,Tablas!$N$136:$O$137,2,FALSE),0)))</f>
        <v>0</v>
      </c>
      <c r="AI133" s="3061" t="b">
        <f t="shared" si="30"/>
        <v>0</v>
      </c>
      <c r="AJ133" s="3061" t="b">
        <f t="shared" si="31"/>
        <v>0</v>
      </c>
      <c r="AK133" s="3061"/>
      <c r="AL133" s="3055" t="e">
        <f t="shared" si="37"/>
        <v>#N/A</v>
      </c>
      <c r="AM133" s="3055"/>
      <c r="AN133" s="3055" t="e">
        <f t="shared" si="32"/>
        <v>#N/A</v>
      </c>
      <c r="AO133" s="3055"/>
      <c r="AP133" s="3055" t="e">
        <f t="shared" si="33"/>
        <v>#N/A</v>
      </c>
      <c r="AQ133" s="1737"/>
      <c r="AR133" s="3055" t="e">
        <f t="shared" si="34"/>
        <v>#N/A</v>
      </c>
      <c r="AS133" s="1737"/>
      <c r="AT133" s="3055" t="e">
        <f t="shared" si="35"/>
        <v>#N/A</v>
      </c>
      <c r="AU133" s="1737" t="str">
        <f t="shared" si="38"/>
        <v/>
      </c>
      <c r="AV133" s="1737"/>
    </row>
    <row r="134" spans="1:48" ht="12" customHeight="1" x14ac:dyDescent="0.2">
      <c r="A134" s="29"/>
      <c r="B134" s="823" t="str">
        <f t="shared" si="36"/>
        <v>Atléticas</v>
      </c>
      <c r="C134" s="3582"/>
      <c r="D134" s="4054"/>
      <c r="E134" s="3964" t="s">
        <v>1419</v>
      </c>
      <c r="F134" s="3965"/>
      <c r="G134" s="3965"/>
      <c r="H134" s="795" t="s">
        <v>1383</v>
      </c>
      <c r="I134" s="1527"/>
      <c r="J134" s="2010">
        <f>IF(ISNA(AL134),0,MAX(MIN(AL134-VLOOKUP("Apto en campo: "&amp;$B134,Tabla_Ventajas,3,FALSE)-Tablas!$O286-2*Tablas!$Q286,3),1))</f>
        <v>0</v>
      </c>
      <c r="K134" s="1810"/>
      <c r="L134" s="2010">
        <f>IF(ISNA(AN134),0,MAX(MIN(AN134-VLOOKUP("Apto en campo: "&amp;$B134,Tabla_Ventajas,3,FALSE)-Tablas!$O286-2*Tablas!$Q286,3),1))</f>
        <v>0</v>
      </c>
      <c r="M134" s="1810"/>
      <c r="N134" s="2010">
        <f>IF(ISNA(AP134),0,MAX(MIN(AP134-VLOOKUP("Apto en campo: "&amp;$B134,Tabla_Ventajas,3,FALSE)-Tablas!$O286-2*Tablas!$Q286,3),1))</f>
        <v>0</v>
      </c>
      <c r="O134" s="1810"/>
      <c r="P134" s="2010">
        <f>IF(ISNA(AR134),0,MAX(MIN(AR134-VLOOKUP("Apto en campo: "&amp;$B134,Tabla_Ventajas,3,FALSE)-Tablas!$O286-2*Tablas!$Q286,3),1))</f>
        <v>0</v>
      </c>
      <c r="Q134" s="1810"/>
      <c r="R134" s="2010">
        <f>IF(ISNA(AT134),0,MAX(MIN(AT134-VLOOKUP("Apto en campo: "&amp;$B134,Tabla_Ventajas,3,FALSE)-Tablas!$O286-2*Tablas!$Q286,3),1))</f>
        <v>0</v>
      </c>
      <c r="S134" s="1810"/>
      <c r="T134" s="494">
        <f>IF(J134=0,0,TRUNC(K134/J134,0))+IF(L134=0,0,TRUNC(M134/L134,0))+IF(N134=0,0,TRUNC(O134/N134,0))+IF(P134=0,0,TRUNC(Q134/P134,0))+IF(R134=0,0,TRUNC(S134/R134,0))+IF(Personalización!$E$12="Como Base (no oficial)",AF134,0)</f>
        <v>0</v>
      </c>
      <c r="U134" s="494">
        <f t="shared" si="28"/>
        <v>0</v>
      </c>
      <c r="V134" s="494">
        <f>IF(ISNA(HLOOKUP($E134,Bonos_Cat_Base,2,FALSE)),0,HLOOKUP($E134,Bonos_Cat_Base,2,FALSE))+Tablas!$X286*Nivel_Total+10*Y134</f>
        <v>0</v>
      </c>
      <c r="W134" s="1809"/>
      <c r="X134" s="1810"/>
      <c r="Y134" s="1809"/>
      <c r="Z134" s="2215"/>
      <c r="AA134" s="1307">
        <f>IF(AND(T134&lt;5,Tablas!G$310=0),-30,0)+T134+U134+V134+Z134+IF(I134="",0,40)+Mod_ATA+Mod_Fisico+AD134+IF(Personalización!$E$12="Como Base (no oficial)",0,AF134)</f>
        <v>-30</v>
      </c>
      <c r="AB134" s="1741">
        <f t="shared" si="29"/>
        <v>0</v>
      </c>
      <c r="AC134" s="845"/>
      <c r="AD134" s="3077">
        <f>MAX('Tablas psiquica'!AH52,'Tablas psiquica'!$AH$55)</f>
        <v>0</v>
      </c>
      <c r="AE134" s="3061"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069">
        <f>IF(AF$126,IF(OR(Region="",ClaseSocial="",Personalización!$AN$9),0,IF(OR(AND(AI134,AJ134),AND(NOT(AI134),NOT(AJ134))),LEFT(AG134,2)+LEFT(AH134,2),IF(AND(AI134,NOT(AJ134)),LEFT(AH134,2),0))),0)</f>
        <v>0</v>
      </c>
      <c r="AG134" s="3044">
        <f>HLOOKUP(Region&amp;ClaseSocial,Tabla_RaicesCulturales,Tablas!F147,FALSE)</f>
        <v>0</v>
      </c>
      <c r="AH134" s="3061">
        <f>IF(AND(E134="Historia",Personalización!$E$16="Historia (Local)"),20&amp;" "&amp;Personalización!$E$16,IF(E134=Personalización!$E$15,VLOOKUP(E134,Tablas!$L$136:$M$137,2,FALSE),IF(E134=Personalización!$E$16,VLOOKUP(E134,Tablas!$N$136:$O$137,2,FALSE),0)))</f>
        <v>0</v>
      </c>
      <c r="AI134" s="3061" t="b">
        <f t="shared" si="30"/>
        <v>0</v>
      </c>
      <c r="AJ134" s="3061" t="b">
        <f t="shared" si="31"/>
        <v>0</v>
      </c>
      <c r="AK134" s="3061"/>
      <c r="AL134" s="3055" t="e">
        <f t="shared" si="37"/>
        <v>#N/A</v>
      </c>
      <c r="AM134" s="3055"/>
      <c r="AN134" s="3055" t="e">
        <f t="shared" si="32"/>
        <v>#N/A</v>
      </c>
      <c r="AO134" s="3055"/>
      <c r="AP134" s="3055" t="e">
        <f t="shared" si="33"/>
        <v>#N/A</v>
      </c>
      <c r="AQ134" s="1737"/>
      <c r="AR134" s="3055" t="e">
        <f t="shared" si="34"/>
        <v>#N/A</v>
      </c>
      <c r="AS134" s="1737"/>
      <c r="AT134" s="3055" t="e">
        <f t="shared" si="35"/>
        <v>#N/A</v>
      </c>
      <c r="AU134" s="1737" t="str">
        <f t="shared" si="38"/>
        <v/>
      </c>
      <c r="AV134" s="1737"/>
    </row>
    <row r="135" spans="1:48" ht="12" customHeight="1" x14ac:dyDescent="0.2">
      <c r="A135" s="29"/>
      <c r="B135" s="823" t="str">
        <f t="shared" si="36"/>
        <v>Atléticas</v>
      </c>
      <c r="C135" s="3582"/>
      <c r="D135" s="4054"/>
      <c r="E135" s="3961" t="s">
        <v>6278</v>
      </c>
      <c r="F135" s="3962"/>
      <c r="G135" s="3962"/>
      <c r="H135" s="796" t="s">
        <v>1378</v>
      </c>
      <c r="I135" s="1497"/>
      <c r="J135" s="552">
        <f>IF(ISNA(AL135),0,MAX(MIN(AL135-VLOOKUP("Apto en campo: "&amp;$B135,Tabla_Ventajas,3,FALSE)-Tablas!$O287-2*Tablas!$Q287,3),1))</f>
        <v>0</v>
      </c>
      <c r="K135" s="1812"/>
      <c r="L135" s="552">
        <f>IF(ISNA(AN135),0,MAX(MIN(AN135-VLOOKUP("Apto en campo: "&amp;$B135,Tabla_Ventajas,3,FALSE)-Tablas!$O287-2*Tablas!$Q287,3),1))</f>
        <v>0</v>
      </c>
      <c r="M135" s="1812"/>
      <c r="N135" s="552">
        <f>IF(ISNA(AP135),0,MAX(MIN(AP135-VLOOKUP("Apto en campo: "&amp;$B135,Tabla_Ventajas,3,FALSE)-Tablas!$O287-2*Tablas!$Q287,3),1))</f>
        <v>0</v>
      </c>
      <c r="O135" s="1812"/>
      <c r="P135" s="552">
        <f>IF(ISNA(AR135),0,MAX(MIN(AR135-VLOOKUP("Apto en campo: "&amp;$B135,Tabla_Ventajas,3,FALSE)-Tablas!$O287-2*Tablas!$Q287,3),1))</f>
        <v>0</v>
      </c>
      <c r="Q135" s="1812"/>
      <c r="R135" s="552">
        <f>IF(ISNA(AT135),0,MAX(MIN(AT135-VLOOKUP("Apto en campo: "&amp;$B135,Tabla_Ventajas,3,FALSE)-Tablas!$O287-2*Tablas!$Q287,3),1))</f>
        <v>0</v>
      </c>
      <c r="S135" s="1812"/>
      <c r="T135" s="495">
        <f>IF(J135=0,0,TRUNC(K135/J135,0))+IF(L135=0,0,TRUNC(M135/L135,0))+IF(N135=0,0,TRUNC(O135/N135,0))+IF(P135=0,0,TRUNC(Q135/P135,0))+IF(R135=0,0,TRUNC(S135/R135,0))+IF(Personalización!$E$12="Como Base (no oficial)",AF135,0)</f>
        <v>0</v>
      </c>
      <c r="U135" s="495">
        <f t="shared" si="28"/>
        <v>0</v>
      </c>
      <c r="V135" s="495">
        <f>IF(ISNA(HLOOKUP($E135,Bonos_Cat_Base,2,FALSE)),0,HLOOKUP($E135,Bonos_Cat_Base,2,FALSE))+Tablas!$X287*Nivel_Total+10*Y135</f>
        <v>0</v>
      </c>
      <c r="W135" s="1811"/>
      <c r="X135" s="1812"/>
      <c r="Y135" s="1811"/>
      <c r="Z135" s="2216"/>
      <c r="AA135" s="1308">
        <f>IF(AND(T135&lt;5,Tablas!G$310=0),-30,0)+T135+U135+V135+Z135+IF(I135="",0,40)+Mod_ATA+Mod_Fisico+AD135+IF(Personalización!$E$12="Como Base (no oficial)",0,AF135)</f>
        <v>-30</v>
      </c>
      <c r="AB135" s="1741">
        <f t="shared" si="29"/>
        <v>0</v>
      </c>
      <c r="AC135" s="845"/>
      <c r="AD135" s="3077">
        <f>'Tablas psiquica'!$AH$55</f>
        <v>0</v>
      </c>
      <c r="AE135" s="3061"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069">
        <f>IF(AF$126,IF(OR(Region="",ClaseSocial="",Personalización!$AN$9),0,IF(OR(AND(AI135,AJ135),AND(NOT(AI135),NOT(AJ135))),LEFT(AG135,2)+LEFT(AH135,2),IF(AND(AI135,NOT(AJ135)),LEFT(AH135,2),0))),0)</f>
        <v>0</v>
      </c>
      <c r="AG135" s="3044">
        <f>HLOOKUP(Region&amp;ClaseSocial,Tabla_RaicesCulturales,Tablas!F148,FALSE)</f>
        <v>0</v>
      </c>
      <c r="AH135" s="3061">
        <f>IF(AND(E135="Historia",Personalización!$E$16="Historia (Local)"),20&amp;" "&amp;Personalización!$E$16,IF(E135=Personalización!$E$15,VLOOKUP(E135,Tablas!$L$136:$M$137,2,FALSE),IF(E135=Personalización!$E$16,VLOOKUP(E135,Tablas!$N$136:$O$137,2,FALSE),0)))</f>
        <v>0</v>
      </c>
      <c r="AI135" s="3061" t="b">
        <f t="shared" si="30"/>
        <v>0</v>
      </c>
      <c r="AJ135" s="3061" t="b">
        <f t="shared" si="31"/>
        <v>0</v>
      </c>
      <c r="AK135" s="3061"/>
      <c r="AL135" s="3055" t="e">
        <f t="shared" si="37"/>
        <v>#N/A</v>
      </c>
      <c r="AM135" s="3055"/>
      <c r="AN135" s="3055" t="e">
        <f t="shared" si="32"/>
        <v>#N/A</v>
      </c>
      <c r="AO135" s="3055"/>
      <c r="AP135" s="3055" t="e">
        <f t="shared" si="33"/>
        <v>#N/A</v>
      </c>
      <c r="AQ135" s="1737"/>
      <c r="AR135" s="3055" t="e">
        <f t="shared" si="34"/>
        <v>#N/A</v>
      </c>
      <c r="AS135" s="1737"/>
      <c r="AT135" s="3055" t="e">
        <f t="shared" si="35"/>
        <v>#N/A</v>
      </c>
      <c r="AU135" s="1737" t="str">
        <f t="shared" si="38"/>
        <v/>
      </c>
      <c r="AV135" s="1737"/>
    </row>
    <row r="136" spans="1:48" ht="12" customHeight="1" x14ac:dyDescent="0.2">
      <c r="A136" s="29"/>
      <c r="B136" s="823" t="str">
        <f>D136</f>
        <v>Sociales</v>
      </c>
      <c r="C136" s="3582"/>
      <c r="D136" s="4053" t="s">
        <v>1422</v>
      </c>
      <c r="E136" s="3958" t="s">
        <v>1423</v>
      </c>
      <c r="F136" s="3959"/>
      <c r="G136" s="3959"/>
      <c r="H136" s="797" t="s">
        <v>1391</v>
      </c>
      <c r="I136" s="1528"/>
      <c r="J136" s="2011">
        <f>IF(ISNA(AL136),0,MAX(MIN(AL136-VLOOKUP("Apto en campo: "&amp;$B136,Tabla_Ventajas,3,FALSE)-Tablas!$O288-2*Tablas!$Q288,3),1))</f>
        <v>0</v>
      </c>
      <c r="K136" s="1814"/>
      <c r="L136" s="2011">
        <f>IF(ISNA(AN136),0,MAX(MIN(AN136-VLOOKUP("Apto en campo: "&amp;$B136,Tabla_Ventajas,3,FALSE)-Tablas!$O288-2*Tablas!$Q288,3),1))</f>
        <v>0</v>
      </c>
      <c r="M136" s="1814"/>
      <c r="N136" s="2011">
        <f>IF(ISNA(AP136),0,MAX(MIN(AP136-VLOOKUP("Apto en campo: "&amp;$B136,Tabla_Ventajas,3,FALSE)-Tablas!$O288-2*Tablas!$Q288,3),1))</f>
        <v>0</v>
      </c>
      <c r="O136" s="1814"/>
      <c r="P136" s="2011">
        <f>IF(ISNA(AR136),0,MAX(MIN(AR136-VLOOKUP("Apto en campo: "&amp;$B136,Tabla_Ventajas,3,FALSE)-Tablas!$O288-2*Tablas!$Q288,3),1))</f>
        <v>0</v>
      </c>
      <c r="Q136" s="1814"/>
      <c r="R136" s="2011">
        <f>IF(ISNA(AT136),0,MAX(MIN(AT136-VLOOKUP("Apto en campo: "&amp;$B136,Tabla_Ventajas,3,FALSE)-Tablas!$O288-2*Tablas!$Q288,3),1))</f>
        <v>0</v>
      </c>
      <c r="S136" s="1814"/>
      <c r="T136" s="497">
        <f>IF(J136=0,0,TRUNC(K136/J136,0))+IF(L136=0,0,TRUNC(M136/L136,0))+IF(N136=0,0,TRUNC(O136/N136,0))+IF(P136=0,0,TRUNC(Q136/P136,0))+IF(R136=0,0,TRUNC(S136/R136,0))+IF(Personalización!$E$12="Como Base (no oficial)",AF136,0)</f>
        <v>0</v>
      </c>
      <c r="U136" s="497">
        <f t="shared" si="28"/>
        <v>0</v>
      </c>
      <c r="V136" s="497">
        <f>IF(ISNA(HLOOKUP($E136,Bonos_Cat_Base,2,FALSE)),0,HLOOKUP($E136,Bonos_Cat_Base,2,FALSE))+Tablas!$X288*Nivel_Total+10*Y136</f>
        <v>0</v>
      </c>
      <c r="W136" s="1813"/>
      <c r="X136" s="1814"/>
      <c r="Y136" s="1813"/>
      <c r="Z136" s="2217"/>
      <c r="AA136" s="2334">
        <f>IF(AND(T136&lt;5,Tablas!G$310=0),-30,0)+T136+U136+V136+Z136+IF(I136="",0,40)+Mod_ATA+AD136+IF(Personalización!$E$12="Como Base (no oficial)",0,AF136)</f>
        <v>-30</v>
      </c>
      <c r="AB136" s="1741">
        <f t="shared" si="29"/>
        <v>0</v>
      </c>
      <c r="AC136" s="845"/>
      <c r="AD136" s="3044">
        <f>Tablas!$K$1903</f>
        <v>0</v>
      </c>
      <c r="AE136" s="3061"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069">
        <f>IF(AF$126,IF(OR(Region="",ClaseSocial="",Personalización!$AN$9),0,IF(OR(AND(AI136,AJ136),AND(NOT(AI136),NOT(AJ136))),LEFT(AG136,2)+LEFT(AH136,2),IF(AND(AI136,NOT(AJ136)),LEFT(AH136,2),0))),0)</f>
        <v>0</v>
      </c>
      <c r="AG136" s="3044">
        <f>HLOOKUP(Region&amp;ClaseSocial,Tabla_RaicesCulturales,Tablas!F149,FALSE)</f>
        <v>0</v>
      </c>
      <c r="AH136" s="3061">
        <f>IF(AND(E136="Historia",Personalización!$E$16="Historia (Local)"),20&amp;" "&amp;Personalización!$E$16,IF(E136=Personalización!$E$15,VLOOKUP(E136,Tablas!$L$136:$M$137,2,FALSE),IF(E136=Personalización!$E$16,VLOOKUP(E136,Tablas!$N$136:$O$137,2,FALSE),0)))</f>
        <v>0</v>
      </c>
      <c r="AI136" s="3061" t="b">
        <f t="shared" si="30"/>
        <v>0</v>
      </c>
      <c r="AJ136" s="3061" t="b">
        <f t="shared" si="31"/>
        <v>0</v>
      </c>
      <c r="AK136" s="3061"/>
      <c r="AL136" s="3055" t="e">
        <f t="shared" si="37"/>
        <v>#N/A</v>
      </c>
      <c r="AM136" s="3055"/>
      <c r="AN136" s="3055" t="e">
        <f t="shared" si="32"/>
        <v>#N/A</v>
      </c>
      <c r="AO136" s="3055"/>
      <c r="AP136" s="3055" t="e">
        <f t="shared" si="33"/>
        <v>#N/A</v>
      </c>
      <c r="AQ136" s="1737"/>
      <c r="AR136" s="3055" t="e">
        <f t="shared" si="34"/>
        <v>#N/A</v>
      </c>
      <c r="AS136" s="1737"/>
      <c r="AT136" s="3055" t="e">
        <f t="shared" si="35"/>
        <v>#N/A</v>
      </c>
      <c r="AU136" s="1737" t="str">
        <f t="shared" si="38"/>
        <v/>
      </c>
      <c r="AV136" s="1737"/>
    </row>
    <row r="137" spans="1:48" ht="12" customHeight="1" x14ac:dyDescent="0.2">
      <c r="A137" s="29"/>
      <c r="B137" s="823" t="str">
        <f t="shared" ref="B137:B142" si="39">B136</f>
        <v>Sociales</v>
      </c>
      <c r="C137" s="3582"/>
      <c r="D137" s="4054"/>
      <c r="E137" s="3961" t="s">
        <v>1425</v>
      </c>
      <c r="F137" s="3962"/>
      <c r="G137" s="3962"/>
      <c r="H137" s="796" t="s">
        <v>1392</v>
      </c>
      <c r="I137" s="1496"/>
      <c r="J137" s="552">
        <f>IF(ISNA(AL137),0,MAX(MIN(AL137-VLOOKUP("Apto en campo: "&amp;$B137,Tabla_Ventajas,3,FALSE)-Tablas!$O289-2*Tablas!$Q289,3),1))</f>
        <v>0</v>
      </c>
      <c r="K137" s="1812"/>
      <c r="L137" s="552">
        <f>IF(ISNA(AN137),0,MAX(MIN(AN137-VLOOKUP("Apto en campo: "&amp;$B137,Tabla_Ventajas,3,FALSE)-Tablas!$O289-2*Tablas!$Q289,3),1))</f>
        <v>0</v>
      </c>
      <c r="M137" s="1812"/>
      <c r="N137" s="552">
        <f>IF(ISNA(AP137),0,MAX(MIN(AP137-VLOOKUP("Apto en campo: "&amp;$B137,Tabla_Ventajas,3,FALSE)-Tablas!$O289-2*Tablas!$Q289,3),1))</f>
        <v>0</v>
      </c>
      <c r="O137" s="1812"/>
      <c r="P137" s="552">
        <f>IF(ISNA(AR137),0,MAX(MIN(AR137-VLOOKUP("Apto en campo: "&amp;$B137,Tabla_Ventajas,3,FALSE)-Tablas!$O289-2*Tablas!$Q289,3),1))</f>
        <v>0</v>
      </c>
      <c r="Q137" s="1812"/>
      <c r="R137" s="552">
        <f>IF(ISNA(AT137),0,MAX(MIN(AT137-VLOOKUP("Apto en campo: "&amp;$B137,Tabla_Ventajas,3,FALSE)-Tablas!$O289-2*Tablas!$Q289,3),1))</f>
        <v>0</v>
      </c>
      <c r="S137" s="1812"/>
      <c r="T137" s="495">
        <f>IF(J137=0,0,TRUNC(K137/J137,0))+IF(L137=0,0,TRUNC(M137/L137,0))+IF(N137=0,0,TRUNC(O137/N137,0))+IF(P137=0,0,TRUNC(Q137/P137,0))+IF(R137=0,0,TRUNC(S137/R137,0))+IF(Personalización!$E$12="Como Base (no oficial)",AF137,0)</f>
        <v>0</v>
      </c>
      <c r="U137" s="495">
        <f t="shared" si="28"/>
        <v>0</v>
      </c>
      <c r="V137" s="495">
        <f>IF(ISNA(HLOOKUP($E137,Bonos_Cat_Base,2,FALSE)),0,HLOOKUP($E137,Bonos_Cat_Base,2,FALSE))+Tablas!$X289*Nivel_Total+10*Y137</f>
        <v>0</v>
      </c>
      <c r="W137" s="1811"/>
      <c r="X137" s="1812"/>
      <c r="Y137" s="1811"/>
      <c r="Z137" s="2216"/>
      <c r="AA137" s="1308">
        <f>IF(AND(T137&lt;5,Tablas!G$310=0),-30,0)+T137+U137+V137+Z137+IF(I137="",0,40)+Mod_ATA+AD137+IF(Personalización!$E$12="Como Base (no oficial)",0,AF137)</f>
        <v>-30</v>
      </c>
      <c r="AB137" s="1741">
        <f t="shared" si="29"/>
        <v>0</v>
      </c>
      <c r="AC137" s="845"/>
      <c r="AD137" s="3044">
        <f>Tablas!$K$1867</f>
        <v>0</v>
      </c>
      <c r="AE137" s="3061"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069">
        <f>IF(AF$126,IF(OR(Region="",ClaseSocial="",Personalización!$AN$9),0,IF(OR(AND(AI137,AJ137),AND(NOT(AI137),NOT(AJ137))),LEFT(AG137,2)+LEFT(AH137,2),IF(AND(AI137,NOT(AJ137)),LEFT(AH137,2),0))),0)</f>
        <v>0</v>
      </c>
      <c r="AG137" s="3044">
        <f>HLOOKUP(Region&amp;ClaseSocial,Tabla_RaicesCulturales,Tablas!F150,FALSE)</f>
        <v>0</v>
      </c>
      <c r="AH137" s="3061">
        <f>IF(AND(E137="Historia",Personalización!$E$16="Historia (Local)"),20&amp;" "&amp;Personalización!$E$16,IF(E137=Personalización!$E$15,VLOOKUP(E137,Tablas!$L$136:$M$137,2,FALSE),IF(E137=Personalización!$E$16,VLOOKUP(E137,Tablas!$N$136:$O$137,2,FALSE),0)))</f>
        <v>0</v>
      </c>
      <c r="AI137" s="3061" t="b">
        <f t="shared" si="30"/>
        <v>0</v>
      </c>
      <c r="AJ137" s="3061" t="b">
        <f t="shared" si="31"/>
        <v>0</v>
      </c>
      <c r="AK137" s="3061"/>
      <c r="AL137" s="3055" t="e">
        <f t="shared" si="37"/>
        <v>#N/A</v>
      </c>
      <c r="AM137" s="3055"/>
      <c r="AN137" s="3055" t="e">
        <f t="shared" si="32"/>
        <v>#N/A</v>
      </c>
      <c r="AO137" s="3055"/>
      <c r="AP137" s="3055" t="e">
        <f t="shared" si="33"/>
        <v>#N/A</v>
      </c>
      <c r="AQ137" s="1737"/>
      <c r="AR137" s="3055" t="e">
        <f t="shared" si="34"/>
        <v>#N/A</v>
      </c>
      <c r="AS137" s="1737"/>
      <c r="AT137" s="3055" t="e">
        <f t="shared" si="35"/>
        <v>#N/A</v>
      </c>
      <c r="AU137" s="1737" t="str">
        <f t="shared" si="38"/>
        <v/>
      </c>
      <c r="AV137" s="1737"/>
    </row>
    <row r="138" spans="1:48" ht="12" customHeight="1" x14ac:dyDescent="0.2">
      <c r="A138" s="29"/>
      <c r="B138" s="823" t="str">
        <f t="shared" si="39"/>
        <v>Sociales</v>
      </c>
      <c r="C138" s="3582"/>
      <c r="D138" s="4054"/>
      <c r="E138" s="3964" t="s">
        <v>1428</v>
      </c>
      <c r="F138" s="3965"/>
      <c r="G138" s="3965"/>
      <c r="H138" s="795" t="s">
        <v>1391</v>
      </c>
      <c r="I138" s="1527"/>
      <c r="J138" s="2010">
        <f>IF(ISNA(AL138),0,MAX(MIN(AL138-VLOOKUP("Apto en campo: "&amp;$B138,Tabla_Ventajas,3,FALSE)-Tablas!$O290-2*Tablas!$Q290,3),1))</f>
        <v>0</v>
      </c>
      <c r="K138" s="1810"/>
      <c r="L138" s="2010">
        <f>IF(ISNA(AN138),0,MAX(MIN(AN138-VLOOKUP("Apto en campo: "&amp;$B138,Tabla_Ventajas,3,FALSE)-Tablas!$O290-2*Tablas!$Q290,3),1))</f>
        <v>0</v>
      </c>
      <c r="M138" s="1810"/>
      <c r="N138" s="2010">
        <f>IF(ISNA(AP138),0,MAX(MIN(AP138-VLOOKUP("Apto en campo: "&amp;$B138,Tabla_Ventajas,3,FALSE)-Tablas!$O290-2*Tablas!$Q290,3),1))</f>
        <v>0</v>
      </c>
      <c r="O138" s="1810"/>
      <c r="P138" s="2010">
        <f>IF(ISNA(AR138),0,MAX(MIN(AR138-VLOOKUP("Apto en campo: "&amp;$B138,Tabla_Ventajas,3,FALSE)-Tablas!$O290-2*Tablas!$Q290,3),1))</f>
        <v>0</v>
      </c>
      <c r="Q138" s="1810"/>
      <c r="R138" s="2010">
        <f>IF(ISNA(AT138),0,MAX(MIN(AT138-VLOOKUP("Apto en campo: "&amp;$B138,Tabla_Ventajas,3,FALSE)-Tablas!$O290-2*Tablas!$Q290,3),1))</f>
        <v>0</v>
      </c>
      <c r="S138" s="1810"/>
      <c r="T138" s="494">
        <f>IF(J138=0,0,TRUNC(K138/J138,0))+IF(L138=0,0,TRUNC(M138/L138,0))+IF(N138=0,0,TRUNC(O138/N138,0))+IF(P138=0,0,TRUNC(Q138/P138,0))+IF(R138=0,0,TRUNC(S138/R138,0))+IF(Personalización!$E$12="Como Base (no oficial)",AF138,0)</f>
        <v>0</v>
      </c>
      <c r="U138" s="494">
        <f t="shared" si="28"/>
        <v>0</v>
      </c>
      <c r="V138" s="494">
        <f>IF(ISNA(HLOOKUP($E138,Bonos_Cat_Base,2,FALSE)),0,HLOOKUP($E138,Bonos_Cat_Base,2,FALSE))+Tablas!$X290*Nivel_Total+10*Y138</f>
        <v>0</v>
      </c>
      <c r="W138" s="1809"/>
      <c r="X138" s="1810"/>
      <c r="Y138" s="1809"/>
      <c r="Z138" s="2215"/>
      <c r="AA138" s="1307">
        <f>IF(AND(T138&lt;5,Tablas!G$310=0),-30,0)+T138+U138+V138+Z138+IF(I138="",0,40)+Mod_ATA+AD138+IF(Personalización!$E$12="Como Base (no oficial)",0,AF138)</f>
        <v>-30</v>
      </c>
      <c r="AB138" s="1741">
        <f t="shared" si="29"/>
        <v>0</v>
      </c>
      <c r="AC138" s="845"/>
      <c r="AD138" s="3044">
        <f>Tablas!$K$1812+Tablas!$K$1878</f>
        <v>0</v>
      </c>
      <c r="AE138" s="3061"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069">
        <f>IF(AF$126,IF(OR(Region="",ClaseSocial="",Personalización!$AN$9),0,IF(OR(AND(AI138,AJ138),AND(NOT(AI138),NOT(AJ138))),LEFT(AG138,2)+LEFT(AH138,2),IF(AND(AI138,NOT(AJ138)),LEFT(AH138,2),0))),0)</f>
        <v>0</v>
      </c>
      <c r="AG138" s="3044">
        <f>HLOOKUP(Region&amp;ClaseSocial,Tabla_RaicesCulturales,Tablas!F151,FALSE)</f>
        <v>0</v>
      </c>
      <c r="AH138" s="3061">
        <f>IF(AND(E138="Historia",Personalización!$E$16="Historia (Local)"),20&amp;" "&amp;Personalización!$E$16,IF(E138=Personalización!$E$15,VLOOKUP(E138,Tablas!$L$136:$M$137,2,FALSE),IF(E138=Personalización!$E$16,VLOOKUP(E138,Tablas!$N$136:$O$137,2,FALSE),0)))</f>
        <v>0</v>
      </c>
      <c r="AI138" s="3061" t="b">
        <f t="shared" si="30"/>
        <v>0</v>
      </c>
      <c r="AJ138" s="3061" t="b">
        <f t="shared" si="31"/>
        <v>0</v>
      </c>
      <c r="AK138" s="3061"/>
      <c r="AL138" s="3055" t="e">
        <f t="shared" si="37"/>
        <v>#N/A</v>
      </c>
      <c r="AM138" s="3055"/>
      <c r="AN138" s="3055" t="e">
        <f t="shared" si="32"/>
        <v>#N/A</v>
      </c>
      <c r="AO138" s="3055"/>
      <c r="AP138" s="3055" t="e">
        <f t="shared" si="33"/>
        <v>#N/A</v>
      </c>
      <c r="AQ138" s="1737"/>
      <c r="AR138" s="3055" t="e">
        <f t="shared" si="34"/>
        <v>#N/A</v>
      </c>
      <c r="AS138" s="1737"/>
      <c r="AT138" s="3055" t="e">
        <f t="shared" si="35"/>
        <v>#N/A</v>
      </c>
      <c r="AU138" s="1737" t="str">
        <f t="shared" si="38"/>
        <v/>
      </c>
      <c r="AV138" s="1737"/>
    </row>
    <row r="139" spans="1:48" ht="12" customHeight="1" x14ac:dyDescent="0.2">
      <c r="A139" s="29"/>
      <c r="B139" s="823" t="str">
        <f t="shared" si="39"/>
        <v>Sociales</v>
      </c>
      <c r="C139" s="3582"/>
      <c r="D139" s="4054"/>
      <c r="E139" s="3961" t="s">
        <v>1430</v>
      </c>
      <c r="F139" s="3962"/>
      <c r="G139" s="3962"/>
      <c r="H139" s="796" t="s">
        <v>1386</v>
      </c>
      <c r="I139" s="1496"/>
      <c r="J139" s="552">
        <f>IF(ISNA(AL139),0,MAX(MIN(AL139-VLOOKUP("Apto en campo: "&amp;$B139,Tabla_Ventajas,3,FALSE)-Tablas!$O291-2*Tablas!$Q291,3),1))</f>
        <v>0</v>
      </c>
      <c r="K139" s="1812"/>
      <c r="L139" s="552">
        <f>IF(ISNA(AN139),0,MAX(MIN(AN139-VLOOKUP("Apto en campo: "&amp;$B139,Tabla_Ventajas,3,FALSE)-Tablas!$O291-2*Tablas!$Q291,3),1))</f>
        <v>0</v>
      </c>
      <c r="M139" s="1812"/>
      <c r="N139" s="552">
        <f>IF(ISNA(AP139),0,MAX(MIN(AP139-VLOOKUP("Apto en campo: "&amp;$B139,Tabla_Ventajas,3,FALSE)-Tablas!$O291-2*Tablas!$Q291,3),1))</f>
        <v>0</v>
      </c>
      <c r="O139" s="1812"/>
      <c r="P139" s="552">
        <f>IF(ISNA(AR139),0,MAX(MIN(AR139-VLOOKUP("Apto en campo: "&amp;$B139,Tabla_Ventajas,3,FALSE)-Tablas!$O291-2*Tablas!$Q291,3),1))</f>
        <v>0</v>
      </c>
      <c r="Q139" s="1812"/>
      <c r="R139" s="552">
        <f>IF(ISNA(AT139),0,MAX(MIN(AT139-VLOOKUP("Apto en campo: "&amp;$B139,Tabla_Ventajas,3,FALSE)-Tablas!$O291-2*Tablas!$Q291,3),1))</f>
        <v>0</v>
      </c>
      <c r="S139" s="1812"/>
      <c r="T139" s="495">
        <f>IF(J139=0,0,TRUNC(K139/J139,0))+IF(L139=0,0,TRUNC(M139/L139,0))+IF(N139=0,0,TRUNC(O139/N139,0))+IF(P139=0,0,TRUNC(Q139/P139,0))+IF(R139=0,0,TRUNC(S139/R139,0))+IF(Personalización!$E$12="Como Base (no oficial)",AF139,0)</f>
        <v>0</v>
      </c>
      <c r="U139" s="495">
        <f t="shared" si="28"/>
        <v>0</v>
      </c>
      <c r="V139" s="495">
        <f>IF(ISNA(HLOOKUP($E139,Bonos_Cat_Base,2,FALSE)),0,HLOOKUP($E139,Bonos_Cat_Base,2,FALSE))+Tablas!$X291*Nivel_Total+10*Y139</f>
        <v>0</v>
      </c>
      <c r="W139" s="1811"/>
      <c r="X139" s="1812"/>
      <c r="Y139" s="1811"/>
      <c r="Z139" s="2216"/>
      <c r="AA139" s="1308">
        <f>IF(AND(T139&lt;5,Tablas!G$310=0),-30,0)+T139+U139+V139+Z139+IF(I139="",0,40)+Mod_ATA+AD139+IF(Personalización!$E$12="Como Base (no oficial)",0,AF139)</f>
        <v>-30</v>
      </c>
      <c r="AB139" s="1741">
        <f t="shared" si="29"/>
        <v>0</v>
      </c>
      <c r="AC139" s="845"/>
      <c r="AD139" s="3044">
        <f>Tablas!$K$1812</f>
        <v>0</v>
      </c>
      <c r="AE139" s="3061"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069">
        <f>IF(AF$126,IF(OR(Region="",ClaseSocial="",Personalización!$AN$9),0,IF(OR(AND(AI139,AJ139),AND(NOT(AI139),NOT(AJ139))),LEFT(AG139,2)+LEFT(AH139,2),IF(AND(AI139,NOT(AJ139)),LEFT(AH139,2),0))),0)</f>
        <v>0</v>
      </c>
      <c r="AG139" s="3044">
        <f>HLOOKUP(Region&amp;ClaseSocial,Tabla_RaicesCulturales,Tablas!F152,FALSE)</f>
        <v>0</v>
      </c>
      <c r="AH139" s="3061">
        <f>IF(AND(E139="Historia",Personalización!$E$16="Historia (Local)"),20&amp;" "&amp;Personalización!$E$16,IF(E139=Personalización!$E$15,VLOOKUP(E139,Tablas!$L$136:$M$137,2,FALSE),IF(E139=Personalización!$E$16,VLOOKUP(E139,Tablas!$N$136:$O$137,2,FALSE),0)))</f>
        <v>0</v>
      </c>
      <c r="AI139" s="3061" t="b">
        <f t="shared" si="30"/>
        <v>0</v>
      </c>
      <c r="AJ139" s="3061" t="b">
        <f t="shared" si="31"/>
        <v>0</v>
      </c>
      <c r="AK139" s="3061"/>
      <c r="AL139" s="3055" t="e">
        <f t="shared" si="37"/>
        <v>#N/A</v>
      </c>
      <c r="AM139" s="3055"/>
      <c r="AN139" s="3055" t="e">
        <f t="shared" si="32"/>
        <v>#N/A</v>
      </c>
      <c r="AO139" s="3055"/>
      <c r="AP139" s="3055" t="e">
        <f t="shared" si="33"/>
        <v>#N/A</v>
      </c>
      <c r="AQ139" s="1737"/>
      <c r="AR139" s="3055" t="e">
        <f t="shared" si="34"/>
        <v>#N/A</v>
      </c>
      <c r="AS139" s="1737"/>
      <c r="AT139" s="3055" t="e">
        <f t="shared" si="35"/>
        <v>#N/A</v>
      </c>
      <c r="AU139" s="1737" t="str">
        <f t="shared" si="38"/>
        <v/>
      </c>
      <c r="AV139" s="1737"/>
    </row>
    <row r="140" spans="1:48" ht="12" customHeight="1" x14ac:dyDescent="0.2">
      <c r="A140" s="29"/>
      <c r="B140" s="823" t="str">
        <f t="shared" si="39"/>
        <v>Sociales</v>
      </c>
      <c r="C140" s="3582"/>
      <c r="D140" s="4054"/>
      <c r="E140" s="3964" t="s">
        <v>816</v>
      </c>
      <c r="F140" s="3965"/>
      <c r="G140" s="3965"/>
      <c r="H140" s="795" t="s">
        <v>1386</v>
      </c>
      <c r="I140" s="1529"/>
      <c r="J140" s="2010">
        <f>IF(ISNA(AL140),0,MAX(MIN(AL140-VLOOKUP("Apto en campo: "&amp;$B140,Tabla_Ventajas,3,FALSE)-Tablas!$O292-2*Tablas!$Q292,3),1))</f>
        <v>0</v>
      </c>
      <c r="K140" s="1810"/>
      <c r="L140" s="2010">
        <f>IF(ISNA(AN140),0,MAX(MIN(AN140-VLOOKUP("Apto en campo: "&amp;$B140,Tabla_Ventajas,3,FALSE)-Tablas!$O292-2*Tablas!$Q292,3),1))</f>
        <v>0</v>
      </c>
      <c r="M140" s="1810"/>
      <c r="N140" s="2010">
        <f>IF(ISNA(AP140),0,MAX(MIN(AP140-VLOOKUP("Apto en campo: "&amp;$B140,Tabla_Ventajas,3,FALSE)-Tablas!$O292-2*Tablas!$Q292,3),1))</f>
        <v>0</v>
      </c>
      <c r="O140" s="1810"/>
      <c r="P140" s="2010">
        <f>IF(ISNA(AR140),0,MAX(MIN(AR140-VLOOKUP("Apto en campo: "&amp;$B140,Tabla_Ventajas,3,FALSE)-Tablas!$O292-2*Tablas!$Q292,3),1))</f>
        <v>0</v>
      </c>
      <c r="Q140" s="1810"/>
      <c r="R140" s="2010">
        <f>IF(ISNA(AT140),0,MAX(MIN(AT140-VLOOKUP("Apto en campo: "&amp;$B140,Tabla_Ventajas,3,FALSE)-Tablas!$O292-2*Tablas!$Q292,3),1))</f>
        <v>0</v>
      </c>
      <c r="S140" s="1810"/>
      <c r="T140" s="494">
        <f>IF(J140=0,0,TRUNC(K140/J140,0))+IF(L140=0,0,TRUNC(M140/L140,0))+IF(N140=0,0,TRUNC(O140/N140,0))+IF(P140=0,0,TRUNC(Q140/P140,0))+IF(R140=0,0,TRUNC(S140/R140,0))+IF(Personalización!$E$12="Como Base (no oficial)",AF140,0)</f>
        <v>0</v>
      </c>
      <c r="U140" s="494">
        <f t="shared" si="28"/>
        <v>0</v>
      </c>
      <c r="V140" s="494">
        <f>IF(ISNA(HLOOKUP($E140,Bonos_Cat_Base,2,FALSE)),0,HLOOKUP($E140,Bonos_Cat_Base,2,FALSE))+Tablas!$X292*Nivel_Total+10*Y140</f>
        <v>0</v>
      </c>
      <c r="W140" s="1809"/>
      <c r="X140" s="1810"/>
      <c r="Y140" s="1809"/>
      <c r="Z140" s="2215"/>
      <c r="AA140" s="1307">
        <f>IF(AND(T140&lt;5,Tablas!G$310=0),-30,0)+T140+U140+V140+Z140+IF(I140="",0,40)+Mod_ATA+AD140+IF(Personalización!$E$12="Como Base (no oficial)",0,AF140)</f>
        <v>-30</v>
      </c>
      <c r="AB140" s="1741">
        <f t="shared" si="29"/>
        <v>0</v>
      </c>
      <c r="AC140" s="845"/>
      <c r="AD140" s="3044"/>
      <c r="AE140" s="3061"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069">
        <f>IF(AF$126,IF(OR(Region="",ClaseSocial="",Personalización!$AN$9),0,IF(OR(AND(AI140,AJ140),AND(NOT(AI140),NOT(AJ140))),LEFT(AG140,2)+LEFT(AH140,2),IF(AND(AI140,NOT(AJ140)),LEFT(AH140,2),0))),0)</f>
        <v>0</v>
      </c>
      <c r="AG140" s="3044">
        <f>HLOOKUP(Region&amp;ClaseSocial,Tabla_RaicesCulturales,Tablas!F153,FALSE)</f>
        <v>0</v>
      </c>
      <c r="AH140" s="3061">
        <f>IF(AND(E140="Historia",Personalización!$E$16="Historia (Local)"),20&amp;" "&amp;Personalización!$E$16,IF(E140=Personalización!$E$15,VLOOKUP(E140,Tablas!$L$136:$M$137,2,FALSE),IF(E140=Personalización!$E$16,VLOOKUP(E140,Tablas!$N$136:$O$137,2,FALSE),0)))</f>
        <v>0</v>
      </c>
      <c r="AI140" s="3061" t="b">
        <f t="shared" si="30"/>
        <v>0</v>
      </c>
      <c r="AJ140" s="3061" t="b">
        <f t="shared" si="31"/>
        <v>0</v>
      </c>
      <c r="AK140" s="3061"/>
      <c r="AL140" s="3055" t="e">
        <f t="shared" si="37"/>
        <v>#N/A</v>
      </c>
      <c r="AM140" s="3055"/>
      <c r="AN140" s="3055" t="e">
        <f t="shared" si="32"/>
        <v>#N/A</v>
      </c>
      <c r="AO140" s="3055"/>
      <c r="AP140" s="3055" t="e">
        <f t="shared" si="33"/>
        <v>#N/A</v>
      </c>
      <c r="AQ140" s="1737"/>
      <c r="AR140" s="3055" t="e">
        <f t="shared" si="34"/>
        <v>#N/A</v>
      </c>
      <c r="AS140" s="1737"/>
      <c r="AT140" s="3055" t="e">
        <f t="shared" si="35"/>
        <v>#N/A</v>
      </c>
      <c r="AU140" s="1737" t="str">
        <f t="shared" si="38"/>
        <v/>
      </c>
      <c r="AV140" s="1737"/>
    </row>
    <row r="141" spans="1:48" ht="12" customHeight="1" x14ac:dyDescent="0.2">
      <c r="A141" s="29"/>
      <c r="B141" s="823" t="str">
        <f t="shared" si="39"/>
        <v>Sociales</v>
      </c>
      <c r="C141" s="3582"/>
      <c r="D141" s="4054"/>
      <c r="E141" s="3961" t="s">
        <v>817</v>
      </c>
      <c r="F141" s="3962"/>
      <c r="G141" s="3962"/>
      <c r="H141" s="796" t="s">
        <v>1386</v>
      </c>
      <c r="I141" s="1496"/>
      <c r="J141" s="552">
        <f>IF(ISNA(AL141),0,MAX(MIN(AL141-VLOOKUP("Apto en campo: "&amp;$B141,Tabla_Ventajas,3,FALSE)-Tablas!$O293-2*Tablas!$Q293,3),1))</f>
        <v>0</v>
      </c>
      <c r="K141" s="1812"/>
      <c r="L141" s="552">
        <f>IF(ISNA(AN141),0,MAX(MIN(AN141-VLOOKUP("Apto en campo: "&amp;$B141,Tabla_Ventajas,3,FALSE)-Tablas!$O293-2*Tablas!$Q293,3),1))</f>
        <v>0</v>
      </c>
      <c r="M141" s="1812"/>
      <c r="N141" s="552">
        <f>IF(ISNA(AP141),0,MAX(MIN(AP141-VLOOKUP("Apto en campo: "&amp;$B141,Tabla_Ventajas,3,FALSE)-Tablas!$O293-2*Tablas!$Q293,3),1))</f>
        <v>0</v>
      </c>
      <c r="O141" s="1812"/>
      <c r="P141" s="552">
        <f>IF(ISNA(AR141),0,MAX(MIN(AR141-VLOOKUP("Apto en campo: "&amp;$B141,Tabla_Ventajas,3,FALSE)-Tablas!$O293-2*Tablas!$Q293,3),1))</f>
        <v>0</v>
      </c>
      <c r="Q141" s="1812"/>
      <c r="R141" s="552">
        <f>IF(ISNA(AT141),0,MAX(MIN(AT141-VLOOKUP("Apto en campo: "&amp;$B141,Tabla_Ventajas,3,FALSE)-Tablas!$O293-2*Tablas!$Q293,3),1))</f>
        <v>0</v>
      </c>
      <c r="S141" s="1812"/>
      <c r="T141" s="495">
        <f>IF(J141=0,0,TRUNC(K141/J141,0))+IF(L141=0,0,TRUNC(M141/L141,0))+IF(N141=0,0,TRUNC(O141/N141,0))+IF(P141=0,0,TRUNC(Q141/P141,0))+IF(R141=0,0,TRUNC(S141/R141,0))+IF(Personalización!$E$12="Como Base (no oficial)",AF141,0)</f>
        <v>0</v>
      </c>
      <c r="U141" s="495">
        <f t="shared" si="28"/>
        <v>0</v>
      </c>
      <c r="V141" s="495">
        <f>IF(ISNA(HLOOKUP($E141,Bonos_Cat_Base,2,FALSE)),0,HLOOKUP($E141,Bonos_Cat_Base,2,FALSE))+Tablas!$X293*Nivel_Total+10*Y141</f>
        <v>0</v>
      </c>
      <c r="W141" s="1811"/>
      <c r="X141" s="1812"/>
      <c r="Y141" s="1811"/>
      <c r="Z141" s="2216"/>
      <c r="AA141" s="1308">
        <f>IF(AND(T141&lt;5,Tablas!G$310=0),-30,0)+T141+U141+V141+Z141+IF(I141="",0,40)+Mod_ATA+AD141+IF(Personalización!$E$12="Como Base (no oficial)",0,AF141)</f>
        <v>-30</v>
      </c>
      <c r="AB141" s="1741">
        <f t="shared" si="29"/>
        <v>0</v>
      </c>
      <c r="AC141" s="845"/>
      <c r="AD141" s="3044"/>
      <c r="AE141" s="3061"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069">
        <f>IF(AF$126,IF(OR(Region="",ClaseSocial="",Personalización!$AN$9),0,IF(OR(AND(AI141,AJ141),AND(NOT(AI141),NOT(AJ141))),LEFT(AG141,2)+LEFT(AH141,2),IF(AND(AI141,NOT(AJ141)),LEFT(AH141,2),0))),0)</f>
        <v>0</v>
      </c>
      <c r="AG141" s="3044">
        <f>HLOOKUP(Region&amp;ClaseSocial,Tabla_RaicesCulturales,Tablas!F154,FALSE)</f>
        <v>0</v>
      </c>
      <c r="AH141" s="3061">
        <f>IF(AND(E141="Historia",Personalización!$E$16="Historia (Local)"),20&amp;" "&amp;Personalización!$E$16,IF(E141=Personalización!$E$15,VLOOKUP(E141,Tablas!$L$136:$M$137,2,FALSE),IF(E141=Personalización!$E$16,VLOOKUP(E141,Tablas!$N$136:$O$137,2,FALSE),0)))</f>
        <v>0</v>
      </c>
      <c r="AI141" s="3061" t="b">
        <f t="shared" si="30"/>
        <v>0</v>
      </c>
      <c r="AJ141" s="3061" t="b">
        <f t="shared" si="31"/>
        <v>0</v>
      </c>
      <c r="AK141" s="3061"/>
      <c r="AL141" s="3055" t="e">
        <f t="shared" si="37"/>
        <v>#N/A</v>
      </c>
      <c r="AM141" s="3055"/>
      <c r="AN141" s="3055" t="e">
        <f t="shared" si="32"/>
        <v>#N/A</v>
      </c>
      <c r="AO141" s="3055"/>
      <c r="AP141" s="3055" t="e">
        <f t="shared" si="33"/>
        <v>#N/A</v>
      </c>
      <c r="AQ141" s="1737"/>
      <c r="AR141" s="3055" t="e">
        <f t="shared" si="34"/>
        <v>#N/A</v>
      </c>
      <c r="AS141" s="1737"/>
      <c r="AT141" s="3055" t="e">
        <f t="shared" si="35"/>
        <v>#N/A</v>
      </c>
      <c r="AU141" s="1737" t="str">
        <f t="shared" si="38"/>
        <v/>
      </c>
      <c r="AV141" s="1737"/>
    </row>
    <row r="142" spans="1:48" ht="12" customHeight="1" x14ac:dyDescent="0.2">
      <c r="A142" s="29"/>
      <c r="B142" s="823" t="str">
        <f t="shared" si="39"/>
        <v>Sociales</v>
      </c>
      <c r="C142" s="3582"/>
      <c r="D142" s="4055"/>
      <c r="E142" s="4021" t="s">
        <v>818</v>
      </c>
      <c r="F142" s="4022"/>
      <c r="G142" s="4022"/>
      <c r="H142" s="798" t="s">
        <v>1386</v>
      </c>
      <c r="I142" s="1530"/>
      <c r="J142" s="2012">
        <f>IF(ISNA(AL142),0,MAX(MIN(AL142-VLOOKUP("Apto en campo: "&amp;$B142,Tabla_Ventajas,3,FALSE)-Tablas!$O294-2*Tablas!$Q294,3),1))</f>
        <v>0</v>
      </c>
      <c r="K142" s="1816"/>
      <c r="L142" s="2012">
        <f>IF(ISNA(AN142),0,MAX(MIN(AN142-VLOOKUP("Apto en campo: "&amp;$B142,Tabla_Ventajas,3,FALSE)-Tablas!$O294-2*Tablas!$Q294,3),1))</f>
        <v>0</v>
      </c>
      <c r="M142" s="1816"/>
      <c r="N142" s="2012">
        <f>IF(ISNA(AP142),0,MAX(MIN(AP142-VLOOKUP("Apto en campo: "&amp;$B142,Tabla_Ventajas,3,FALSE)-Tablas!$O294-2*Tablas!$Q294,3),1))</f>
        <v>0</v>
      </c>
      <c r="O142" s="1816"/>
      <c r="P142" s="2012">
        <f>IF(ISNA(AR142),0,MAX(MIN(AR142-VLOOKUP("Apto en campo: "&amp;$B142,Tabla_Ventajas,3,FALSE)-Tablas!$O294-2*Tablas!$Q294,3),1))</f>
        <v>0</v>
      </c>
      <c r="Q142" s="1816"/>
      <c r="R142" s="2012">
        <f>IF(ISNA(AT142),0,MAX(MIN(AT142-VLOOKUP("Apto en campo: "&amp;$B142,Tabla_Ventajas,3,FALSE)-Tablas!$O294-2*Tablas!$Q294,3),1))</f>
        <v>0</v>
      </c>
      <c r="S142" s="1816"/>
      <c r="T142" s="498">
        <f>IF(J142=0,0,TRUNC(K142/J142,0))+IF(L142=0,0,TRUNC(M142/L142,0))+IF(N142=0,0,TRUNC(O142/N142,0))+IF(P142=0,0,TRUNC(Q142/P142,0))+IF(R142=0,0,TRUNC(S142/R142,0))+IF(Personalización!$E$12="Como Base (no oficial)",AF142,0)</f>
        <v>0</v>
      </c>
      <c r="U142" s="498">
        <f t="shared" si="28"/>
        <v>0</v>
      </c>
      <c r="V142" s="498">
        <f>IF(ISNA(HLOOKUP($E142,Bonos_Cat_Base,2,FALSE)),0,HLOOKUP($E142,Bonos_Cat_Base,2,FALSE))+Tablas!$X294*Nivel_Total+10*Y142</f>
        <v>0</v>
      </c>
      <c r="W142" s="1815"/>
      <c r="X142" s="1816"/>
      <c r="Y142" s="1815"/>
      <c r="Z142" s="2218"/>
      <c r="AA142" s="2335">
        <f>IF(AND(T142&lt;5,Tablas!G$310=0),-30,0)+T142+U142+V142+Z142+IF(I142="",0,40)+Mod_ATA+AD142+IF(Personalización!$E$12="Como Base (no oficial)",0,AF142)</f>
        <v>-30</v>
      </c>
      <c r="AB142" s="1741">
        <f t="shared" si="29"/>
        <v>0</v>
      </c>
      <c r="AC142" s="845"/>
      <c r="AD142" s="3044"/>
      <c r="AE142" s="3061"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069">
        <f>IF(AF$126,IF(OR(Region="",ClaseSocial="",Personalización!$AN$9),0,IF(OR(AND(AI142,AJ142),AND(NOT(AI142),NOT(AJ142))),LEFT(AG142,2)+LEFT(AH142,2),IF(AND(AI142,NOT(AJ142)),LEFT(AH142,2),0))),0)</f>
        <v>0</v>
      </c>
      <c r="AG142" s="3044">
        <f>HLOOKUP(Region&amp;ClaseSocial,Tabla_RaicesCulturales,Tablas!F155,FALSE)</f>
        <v>0</v>
      </c>
      <c r="AH142" s="3061">
        <f>IF(AND(E142="Historia",Personalización!$E$16="Historia (Local)"),20&amp;" "&amp;Personalización!$E$16,IF(E142=Personalización!$E$15,VLOOKUP(E142,Tablas!$L$136:$M$137,2,FALSE),IF(E142=Personalización!$E$16,VLOOKUP(E142,Tablas!$N$136:$O$137,2,FALSE),0)))</f>
        <v>0</v>
      </c>
      <c r="AI142" s="3061" t="b">
        <f t="shared" si="30"/>
        <v>0</v>
      </c>
      <c r="AJ142" s="3061" t="b">
        <f t="shared" si="31"/>
        <v>0</v>
      </c>
      <c r="AK142" s="3061"/>
      <c r="AL142" s="3055" t="e">
        <f t="shared" si="37"/>
        <v>#N/A</v>
      </c>
      <c r="AM142" s="3055"/>
      <c r="AN142" s="3055" t="e">
        <f t="shared" si="32"/>
        <v>#N/A</v>
      </c>
      <c r="AO142" s="3055"/>
      <c r="AP142" s="3055" t="e">
        <f t="shared" si="33"/>
        <v>#N/A</v>
      </c>
      <c r="AQ142" s="1737"/>
      <c r="AR142" s="3055" t="e">
        <f t="shared" si="34"/>
        <v>#N/A</v>
      </c>
      <c r="AS142" s="1737"/>
      <c r="AT142" s="3055" t="e">
        <f t="shared" si="35"/>
        <v>#N/A</v>
      </c>
      <c r="AU142" s="1737" t="str">
        <f t="shared" si="38"/>
        <v/>
      </c>
      <c r="AV142" s="1737"/>
    </row>
    <row r="143" spans="1:48" ht="12" customHeight="1" x14ac:dyDescent="0.2">
      <c r="A143" s="29"/>
      <c r="B143" s="823" t="str">
        <f>"Perceptivas"</f>
        <v>Perceptivas</v>
      </c>
      <c r="C143" s="3582"/>
      <c r="D143" s="4054" t="s">
        <v>7095</v>
      </c>
      <c r="E143" s="3961" t="s">
        <v>1432</v>
      </c>
      <c r="F143" s="3962"/>
      <c r="G143" s="3962"/>
      <c r="H143" s="796" t="s">
        <v>1389</v>
      </c>
      <c r="I143" s="1496"/>
      <c r="J143" s="552">
        <f>IF(ISNA(AL143),0,MAX(MIN(AL143-VLOOKUP("Apto en campo: "&amp;$B143,Tabla_Ventajas,3,FALSE)-Tablas!$O295-2*Tablas!$Q295,3),1))</f>
        <v>0</v>
      </c>
      <c r="K143" s="1812"/>
      <c r="L143" s="552">
        <f>IF(ISNA(AN143),0,MAX(MIN(AN143-VLOOKUP("Apto en campo: "&amp;$B143,Tabla_Ventajas,3,FALSE)-Tablas!$O295-2*Tablas!$Q295,3),1))</f>
        <v>0</v>
      </c>
      <c r="M143" s="1812"/>
      <c r="N143" s="552">
        <f>IF(ISNA(AP143),0,MAX(MIN(AP143-VLOOKUP("Apto en campo: "&amp;$B143,Tabla_Ventajas,3,FALSE)-Tablas!$O295-2*Tablas!$Q295,3),1))</f>
        <v>0</v>
      </c>
      <c r="O143" s="1812"/>
      <c r="P143" s="552">
        <f>IF(ISNA(AR143),0,MAX(MIN(AR143-VLOOKUP("Apto en campo: "&amp;$B143,Tabla_Ventajas,3,FALSE)-Tablas!$O295-2*Tablas!$Q295,3),1))</f>
        <v>0</v>
      </c>
      <c r="Q143" s="1812"/>
      <c r="R143" s="552">
        <f>IF(ISNA(AT143),0,MAX(MIN(AT143-VLOOKUP("Apto en campo: "&amp;$B143,Tabla_Ventajas,3,FALSE)-Tablas!$O295-2*Tablas!$Q295,3),1))</f>
        <v>0</v>
      </c>
      <c r="S143" s="1812"/>
      <c r="T143" s="495">
        <f>IF(J143=0,0,TRUNC(K143/J143,0))+IF(L143=0,0,TRUNC(M143/L143,0))+IF(N143=0,0,TRUNC(O143/N143,0))+IF(P143=0,0,TRUNC(Q143/P143,0))+IF(R143=0,0,TRUNC(S143/R143,0))+IF(Personalización!$E$12="Como Base (no oficial)",AF143,0)</f>
        <v>0</v>
      </c>
      <c r="U143" s="495">
        <f t="shared" si="28"/>
        <v>0</v>
      </c>
      <c r="V143" s="495">
        <f>IF(ISNA(HLOOKUP($E143,Bonos_Cat_Base,2,FALSE)),0,HLOOKUP($E143,Bonos_Cat_Base,2,FALSE))+Tablas!$X295*Nivel_Total+10*Y143</f>
        <v>0</v>
      </c>
      <c r="W143" s="1811"/>
      <c r="X143" s="1812"/>
      <c r="Y143" s="1811"/>
      <c r="Z143" s="2216"/>
      <c r="AA143" s="1308">
        <f>IF(AND(T143&lt;5,Tablas!G$310=0),-30,0)+T143+U143+V143+Z143+IF(I143="",0,40)+Mod_ATA+AD143+IF(Personalización!$E$12="Como Base (no oficial)",0,AF143)</f>
        <v>-30</v>
      </c>
      <c r="AB143" s="1741">
        <f t="shared" si="29"/>
        <v>0</v>
      </c>
      <c r="AC143" s="845"/>
      <c r="AD143" s="3044">
        <f>IF(Raza="Tuan Dalyr",80,50)*Tablas!G279+IF(Raza="Turak",IF(COUNTIF(Cercanía_Dragón,"Ojos de cazador")&gt;0,20,0),0)</f>
        <v>0</v>
      </c>
      <c r="AE143" s="3061"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069">
        <f>IF(AF$126,IF(OR(Region="",ClaseSocial="",Personalización!$AN$9),0,IF(OR(AND(AI143,AJ143),AND(NOT(AI143),NOT(AJ143))),LEFT(AG143,2)+LEFT(AH143,2),IF(AND(AI143,NOT(AJ143)),LEFT(AH143,2),0))),0)</f>
        <v>0</v>
      </c>
      <c r="AG143" s="3044">
        <f>HLOOKUP(Region&amp;ClaseSocial,Tabla_RaicesCulturales,Tablas!F156,FALSE)</f>
        <v>0</v>
      </c>
      <c r="AH143" s="3061">
        <f>IF(AND(E143="Historia",Personalización!$E$16="Historia (Local)"),20&amp;" "&amp;Personalización!$E$16,IF(E143=Personalización!$E$15,VLOOKUP(E143,Tablas!$L$136:$M$137,2,FALSE),IF(E143=Personalización!$E$16,VLOOKUP(E143,Tablas!$N$136:$O$137,2,FALSE),0)))</f>
        <v>0</v>
      </c>
      <c r="AI143" s="3061" t="b">
        <f t="shared" si="30"/>
        <v>0</v>
      </c>
      <c r="AJ143" s="3061" t="b">
        <f t="shared" si="31"/>
        <v>0</v>
      </c>
      <c r="AK143" s="3061"/>
      <c r="AL143" s="3055" t="e">
        <f t="shared" si="37"/>
        <v>#N/A</v>
      </c>
      <c r="AM143" s="3055"/>
      <c r="AN143" s="3055" t="e">
        <f t="shared" si="32"/>
        <v>#N/A</v>
      </c>
      <c r="AO143" s="3055"/>
      <c r="AP143" s="3055" t="e">
        <f t="shared" si="33"/>
        <v>#N/A</v>
      </c>
      <c r="AQ143" s="1737"/>
      <c r="AR143" s="3055" t="e">
        <f t="shared" si="34"/>
        <v>#N/A</v>
      </c>
      <c r="AS143" s="1737"/>
      <c r="AT143" s="3055" t="e">
        <f t="shared" si="35"/>
        <v>#N/A</v>
      </c>
      <c r="AU143" s="1737" t="str">
        <f t="shared" si="38"/>
        <v/>
      </c>
      <c r="AV143" s="1737"/>
    </row>
    <row r="144" spans="1:48" ht="12" customHeight="1" x14ac:dyDescent="0.2">
      <c r="A144" s="29"/>
      <c r="B144" s="823" t="str">
        <f>B143</f>
        <v>Perceptivas</v>
      </c>
      <c r="C144" s="3582"/>
      <c r="D144" s="4054"/>
      <c r="E144" s="3964" t="s">
        <v>1433</v>
      </c>
      <c r="F144" s="3965"/>
      <c r="G144" s="3965"/>
      <c r="H144" s="795" t="s">
        <v>1389</v>
      </c>
      <c r="I144" s="1527"/>
      <c r="J144" s="2010">
        <f>IF(ISNA(AL144),0,MAX(MIN(AL144-VLOOKUP("Apto en campo: "&amp;$B144,Tabla_Ventajas,3,FALSE)-Tablas!$O296-2*Tablas!$Q296,3),1))</f>
        <v>0</v>
      </c>
      <c r="K144" s="1810"/>
      <c r="L144" s="2010">
        <f>IF(ISNA(AN144),0,MAX(MIN(AN144-VLOOKUP("Apto en campo: "&amp;$B144,Tabla_Ventajas,3,FALSE)-Tablas!$O296-2*Tablas!$Q296,3),1))</f>
        <v>0</v>
      </c>
      <c r="M144" s="1810"/>
      <c r="N144" s="2010">
        <f>IF(ISNA(AP144),0,MAX(MIN(AP144-VLOOKUP("Apto en campo: "&amp;$B144,Tabla_Ventajas,3,FALSE)-Tablas!$O296-2*Tablas!$Q296,3),1))</f>
        <v>0</v>
      </c>
      <c r="O144" s="1810"/>
      <c r="P144" s="2010">
        <f>IF(ISNA(AR144),0,MAX(MIN(AR144-VLOOKUP("Apto en campo: "&amp;$B144,Tabla_Ventajas,3,FALSE)-Tablas!$O296-2*Tablas!$Q296,3),1))</f>
        <v>0</v>
      </c>
      <c r="Q144" s="1810"/>
      <c r="R144" s="2010">
        <f>IF(ISNA(AT144),0,MAX(MIN(AT144-VLOOKUP("Apto en campo: "&amp;$B144,Tabla_Ventajas,3,FALSE)-Tablas!$O296-2*Tablas!$Q296,3),1))</f>
        <v>0</v>
      </c>
      <c r="S144" s="1810"/>
      <c r="T144" s="494">
        <f>IF(J144=0,0,TRUNC(K144/J144,0))+IF(L144=0,0,TRUNC(M144/L144,0))+IF(N144=0,0,TRUNC(O144/N144,0))+IF(P144=0,0,TRUNC(Q144/P144,0))+IF(R144=0,0,TRUNC(S144/R144,0))+IF(Personalización!$E$12="Como Base (no oficial)",AF144,0)</f>
        <v>0</v>
      </c>
      <c r="U144" s="494">
        <f t="shared" si="28"/>
        <v>0</v>
      </c>
      <c r="V144" s="494">
        <f>IF(ISNA(HLOOKUP($E144,Bonos_Cat_Base,2,FALSE)),0,HLOOKUP($E144,Bonos_Cat_Base,2,FALSE))+Tablas!$X296*Nivel_Total+10*Y144</f>
        <v>0</v>
      </c>
      <c r="W144" s="1809"/>
      <c r="X144" s="1810"/>
      <c r="Y144" s="1809"/>
      <c r="Z144" s="2215"/>
      <c r="AA144" s="1307">
        <f>IF(AND(T144&lt;5,Tablas!G$310=0),-30,0)+T144+U144+V144+Z144+IF(I144="",0,40)+Mod_ATA+AD144+IF(Personalización!$E$12="Como Base (no oficial)",0,AF144)</f>
        <v>-30</v>
      </c>
      <c r="AB144" s="1741">
        <f t="shared" si="29"/>
        <v>0</v>
      </c>
      <c r="AC144" s="845"/>
      <c r="AD144" s="3044">
        <f>IF(Raza="Tuan Dalyr",80,50)*Tablas!G279</f>
        <v>0</v>
      </c>
      <c r="AE144" s="3061"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069">
        <f>IF(AF$126,IF(OR(Region="",ClaseSocial="",Personalización!$AN$9),0,IF(OR(AND(AI144,AJ144),AND(NOT(AI144),NOT(AJ144))),LEFT(AG144,2)+LEFT(AH144,2),IF(AND(AI144,NOT(AJ144)),LEFT(AH144,2),0))),0)</f>
        <v>0</v>
      </c>
      <c r="AG144" s="3044">
        <f>HLOOKUP(Region&amp;ClaseSocial,Tabla_RaicesCulturales,Tablas!F157,FALSE)</f>
        <v>0</v>
      </c>
      <c r="AH144" s="3061">
        <f>IF(AND(E144="Historia",Personalización!$E$16="Historia (Local)"),20&amp;" "&amp;Personalización!$E$16,IF(E144=Personalización!$E$15,VLOOKUP(E144,Tablas!$L$136:$M$137,2,FALSE),IF(E144=Personalización!$E$16,VLOOKUP(E144,Tablas!$N$136:$O$137,2,FALSE),0)))</f>
        <v>0</v>
      </c>
      <c r="AI144" s="3061" t="b">
        <f t="shared" si="30"/>
        <v>0</v>
      </c>
      <c r="AJ144" s="3061" t="b">
        <f t="shared" si="31"/>
        <v>0</v>
      </c>
      <c r="AK144" s="3061"/>
      <c r="AL144" s="3055" t="e">
        <f t="shared" si="37"/>
        <v>#N/A</v>
      </c>
      <c r="AM144" s="3055"/>
      <c r="AN144" s="3055" t="e">
        <f t="shared" si="32"/>
        <v>#N/A</v>
      </c>
      <c r="AO144" s="3055"/>
      <c r="AP144" s="3055" t="e">
        <f t="shared" si="33"/>
        <v>#N/A</v>
      </c>
      <c r="AQ144" s="1737"/>
      <c r="AR144" s="3055" t="e">
        <f t="shared" si="34"/>
        <v>#N/A</v>
      </c>
      <c r="AS144" s="1737"/>
      <c r="AT144" s="3055" t="e">
        <f t="shared" si="35"/>
        <v>#N/A</v>
      </c>
      <c r="AU144" s="1737" t="str">
        <f t="shared" si="38"/>
        <v/>
      </c>
      <c r="AV144" s="1737"/>
    </row>
    <row r="145" spans="1:48" ht="12" customHeight="1" x14ac:dyDescent="0.2">
      <c r="A145" s="29"/>
      <c r="B145" s="823" t="str">
        <f>B144</f>
        <v>Perceptivas</v>
      </c>
      <c r="C145" s="3582"/>
      <c r="D145" s="4054"/>
      <c r="E145" s="3961" t="s">
        <v>1434</v>
      </c>
      <c r="F145" s="3962"/>
      <c r="G145" s="3962"/>
      <c r="H145" s="796" t="s">
        <v>1389</v>
      </c>
      <c r="I145" s="1496"/>
      <c r="J145" s="552">
        <f>IF(ISNA(AL145),0,MAX(MIN(AL145-VLOOKUP("Apto en campo: "&amp;$B145,Tabla_Ventajas,3,FALSE)-Tablas!$O297-2*Tablas!$Q297,3),1))</f>
        <v>0</v>
      </c>
      <c r="K145" s="1812"/>
      <c r="L145" s="552">
        <f>IF(ISNA(AN145),0,MAX(MIN(AN145-VLOOKUP("Apto en campo: "&amp;$B145,Tabla_Ventajas,3,FALSE)-Tablas!$O297-2*Tablas!$Q297,3),1))</f>
        <v>0</v>
      </c>
      <c r="M145" s="1812"/>
      <c r="N145" s="552">
        <f>IF(ISNA(AP145),0,MAX(MIN(AP145-VLOOKUP("Apto en campo: "&amp;$B145,Tabla_Ventajas,3,FALSE)-Tablas!$O297-2*Tablas!$Q297,3),1))</f>
        <v>0</v>
      </c>
      <c r="O145" s="1812"/>
      <c r="P145" s="552">
        <f>IF(ISNA(AR145),0,MAX(MIN(AR145-VLOOKUP("Apto en campo: "&amp;$B145,Tabla_Ventajas,3,FALSE)-Tablas!$O297-2*Tablas!$Q297,3),1))</f>
        <v>0</v>
      </c>
      <c r="Q145" s="1812"/>
      <c r="R145" s="552">
        <f>IF(ISNA(AT145),0,MAX(MIN(AT145-VLOOKUP("Apto en campo: "&amp;$B145,Tabla_Ventajas,3,FALSE)-Tablas!$O297-2*Tablas!$Q297,3),1))</f>
        <v>0</v>
      </c>
      <c r="S145" s="1812"/>
      <c r="T145" s="495">
        <f>IF(J145=0,0,TRUNC(K145/J145,0))+IF(L145=0,0,TRUNC(M145/L145,0))+IF(N145=0,0,TRUNC(O145/N145,0))+IF(P145=0,0,TRUNC(Q145/P145,0))+IF(R145=0,0,TRUNC(S145/R145,0))+IF(Personalización!$E$12="Como Base (no oficial)",AF145,0)</f>
        <v>0</v>
      </c>
      <c r="U145" s="495">
        <f t="shared" si="28"/>
        <v>0</v>
      </c>
      <c r="V145" s="495">
        <f>IF(ISNA(HLOOKUP($E145,Bonos_Cat_Base,2,FALSE)),0,HLOOKUP($E145,Bonos_Cat_Base,2,FALSE))+Tablas!$X297*Nivel_Total+10*Y145</f>
        <v>0</v>
      </c>
      <c r="W145" s="1811"/>
      <c r="X145" s="1812"/>
      <c r="Y145" s="1811"/>
      <c r="Z145" s="2216"/>
      <c r="AA145" s="1308">
        <f>IF(AND(T145&lt;5,Tablas!G$310=0),-30,0)+T145+U145+V145+Z145+IF(I145="",0,40)+Mod_ATA+AD145+IF(Personalización!$E$12="Como Base (no oficial)",0,AF145)</f>
        <v>-30</v>
      </c>
      <c r="AB145" s="1741">
        <f t="shared" si="29"/>
        <v>0</v>
      </c>
      <c r="AC145" s="845"/>
      <c r="AD145" s="3044"/>
      <c r="AE145" s="3061"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069">
        <f>IF(AF$126,IF(OR(Region="",ClaseSocial="",Personalización!$AN$9),0,IF(OR(AND(AI145,AJ145),AND(NOT(AI145),NOT(AJ145))),LEFT(AG145,2)+LEFT(AH145,2),IF(AND(AI145,NOT(AJ145)),LEFT(AH145,2),0))),0)</f>
        <v>0</v>
      </c>
      <c r="AG145" s="3044">
        <f>HLOOKUP(Region&amp;ClaseSocial,Tabla_RaicesCulturales,Tablas!F158,FALSE)</f>
        <v>0</v>
      </c>
      <c r="AH145" s="3061">
        <f>IF(AND(E145="Historia",Personalización!$E$16="Historia (Local)"),20&amp;" "&amp;Personalización!$E$16,IF(E145=Personalización!$E$15,VLOOKUP(E145,Tablas!$L$136:$M$137,2,FALSE),IF(E145=Personalización!$E$16,VLOOKUP(E145,Tablas!$N$136:$O$137,2,FALSE),0)))</f>
        <v>0</v>
      </c>
      <c r="AI145" s="3061" t="b">
        <f t="shared" si="30"/>
        <v>0</v>
      </c>
      <c r="AJ145" s="3061" t="b">
        <f t="shared" si="31"/>
        <v>0</v>
      </c>
      <c r="AK145" s="3061"/>
      <c r="AL145" s="3055" t="e">
        <f t="shared" si="37"/>
        <v>#N/A</v>
      </c>
      <c r="AM145" s="3055"/>
      <c r="AN145" s="3055" t="e">
        <f t="shared" si="32"/>
        <v>#N/A</v>
      </c>
      <c r="AO145" s="3055"/>
      <c r="AP145" s="3055" t="e">
        <f t="shared" si="33"/>
        <v>#N/A</v>
      </c>
      <c r="AQ145" s="1737"/>
      <c r="AR145" s="3055" t="e">
        <f t="shared" si="34"/>
        <v>#N/A</v>
      </c>
      <c r="AS145" s="1737"/>
      <c r="AT145" s="3055" t="e">
        <f t="shared" si="35"/>
        <v>#N/A</v>
      </c>
      <c r="AU145" s="1737" t="str">
        <f t="shared" si="38"/>
        <v/>
      </c>
      <c r="AV145" s="1737"/>
    </row>
    <row r="146" spans="1:48" ht="12" customHeight="1" x14ac:dyDescent="0.2">
      <c r="A146" s="29"/>
      <c r="B146" s="823" t="str">
        <f>D146</f>
        <v>Intelectuales</v>
      </c>
      <c r="C146" s="3582"/>
      <c r="D146" s="4053" t="s">
        <v>1435</v>
      </c>
      <c r="E146" s="3958" t="s">
        <v>1436</v>
      </c>
      <c r="F146" s="3959"/>
      <c r="G146" s="3959"/>
      <c r="H146" s="797" t="s">
        <v>1386</v>
      </c>
      <c r="I146" s="1531"/>
      <c r="J146" s="2011">
        <f>IF(ISNA(AL146),0,MAX(MIN(AL146-VLOOKUP("Apto en campo: "&amp;$B146,Tabla_Ventajas,3,FALSE)-Tablas!$O298-2*Tablas!$Q298,3),1))</f>
        <v>0</v>
      </c>
      <c r="K146" s="1814"/>
      <c r="L146" s="2011">
        <f>IF(ISNA(AN146),0,MAX(MIN(AN146-VLOOKUP("Apto en campo: "&amp;$B146,Tabla_Ventajas,3,FALSE)-Tablas!$O298-2*Tablas!$Q298,3),1))</f>
        <v>0</v>
      </c>
      <c r="M146" s="1814"/>
      <c r="N146" s="2011">
        <f>IF(ISNA(AP146),0,MAX(MIN(AP146-VLOOKUP("Apto en campo: "&amp;$B146,Tabla_Ventajas,3,FALSE)-Tablas!$O298-2*Tablas!$Q298,3),1))</f>
        <v>0</v>
      </c>
      <c r="O146" s="1814"/>
      <c r="P146" s="2011">
        <f>IF(ISNA(AR146),0,MAX(MIN(AR146-VLOOKUP("Apto en campo: "&amp;$B146,Tabla_Ventajas,3,FALSE)-Tablas!$O298-2*Tablas!$Q298,3),1))</f>
        <v>0</v>
      </c>
      <c r="Q146" s="1814"/>
      <c r="R146" s="2011">
        <f>IF(ISNA(AT146),0,MAX(MIN(AT146-VLOOKUP("Apto en campo: "&amp;$B146,Tabla_Ventajas,3,FALSE)-Tablas!$O298-2*Tablas!$Q298,3),1))</f>
        <v>0</v>
      </c>
      <c r="S146" s="1814"/>
      <c r="T146" s="497">
        <f>IF(J146=0,0,TRUNC(K146/J146,0))+IF(L146=0,0,TRUNC(M146/L146,0))+IF(N146=0,0,TRUNC(O146/N146,0))+IF(P146=0,0,TRUNC(Q146/P146,0))+IF(R146=0,0,TRUNC(S146/R146,0))+IF(Personalización!$E$12="Como Base (no oficial)",AF146,0)</f>
        <v>0</v>
      </c>
      <c r="U146" s="497">
        <f t="shared" si="28"/>
        <v>0</v>
      </c>
      <c r="V146" s="497">
        <f>IF(ISNA(HLOOKUP($E146,Bonos_Cat_Base,2,FALSE)),0,HLOOKUP($E146,Bonos_Cat_Base,2,FALSE))+Tablas!$X298*Nivel_Total+10*Y146</f>
        <v>0</v>
      </c>
      <c r="W146" s="1813"/>
      <c r="X146" s="1814"/>
      <c r="Y146" s="1813"/>
      <c r="Z146" s="2217"/>
      <c r="AA146" s="2334">
        <f>IF(AND(T146&lt;5,Tablas!G$310=0),-30,0)+T146+U146+V146+Z146+IF(I146="",0,40)+Mod_ATA+AD146+IF(Personalización!$E$12="Como Base (no oficial)",0,AF146)</f>
        <v>-30</v>
      </c>
      <c r="AB146" s="1741">
        <f t="shared" si="29"/>
        <v>0</v>
      </c>
      <c r="AC146" s="845"/>
      <c r="AD146" s="3044">
        <f>Tablas!$K$1816+Tablas!$K$1853</f>
        <v>0</v>
      </c>
      <c r="AE146" s="3061"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069">
        <f>IF(AF$126,IF(OR(Region="",ClaseSocial="",Personalización!$AN$9),0,IF(OR(AND(AI146,AJ146),AND(NOT(AI146),NOT(AJ146))),LEFT(AG146,2)+LEFT(AH146,2),IF(AND(AI146,NOT(AJ146)),LEFT(AH146,2),0))),0)</f>
        <v>0</v>
      </c>
      <c r="AG146" s="3044">
        <f>HLOOKUP(Region&amp;ClaseSocial,Tabla_RaicesCulturales,Tablas!F159,FALSE)</f>
        <v>0</v>
      </c>
      <c r="AH146" s="3061">
        <f>IF(AND(E146="Historia",Personalización!$E$16="Historia (Local)"),20&amp;" "&amp;Personalización!$E$16,IF(E146=Personalización!$E$15,VLOOKUP(E146,Tablas!$L$136:$M$137,2,FALSE),IF(E146=Personalización!$E$16,VLOOKUP(E146,Tablas!$N$136:$O$137,2,FALSE),0)))</f>
        <v>0</v>
      </c>
      <c r="AI146" s="3061" t="b">
        <f t="shared" si="30"/>
        <v>0</v>
      </c>
      <c r="AJ146" s="3061" t="b">
        <f t="shared" si="31"/>
        <v>0</v>
      </c>
      <c r="AK146" s="3061"/>
      <c r="AL146" s="3055" t="e">
        <f t="shared" si="37"/>
        <v>#N/A</v>
      </c>
      <c r="AM146" s="3055"/>
      <c r="AN146" s="3055" t="e">
        <f t="shared" si="32"/>
        <v>#N/A</v>
      </c>
      <c r="AO146" s="3055"/>
      <c r="AP146" s="3055" t="e">
        <f t="shared" si="33"/>
        <v>#N/A</v>
      </c>
      <c r="AQ146" s="1737"/>
      <c r="AR146" s="3055" t="e">
        <f t="shared" si="34"/>
        <v>#N/A</v>
      </c>
      <c r="AS146" s="1737"/>
      <c r="AT146" s="3055" t="e">
        <f t="shared" si="35"/>
        <v>#N/A</v>
      </c>
      <c r="AU146" s="1737" t="str">
        <f t="shared" si="38"/>
        <v/>
      </c>
      <c r="AV146" s="1737"/>
    </row>
    <row r="147" spans="1:48" ht="12" customHeight="1" x14ac:dyDescent="0.2">
      <c r="A147" s="29"/>
      <c r="B147" s="823" t="str">
        <f t="shared" ref="B147:B157" si="40">B146</f>
        <v>Intelectuales</v>
      </c>
      <c r="C147" s="3582"/>
      <c r="D147" s="4054"/>
      <c r="E147" s="3961" t="s">
        <v>1437</v>
      </c>
      <c r="F147" s="3962"/>
      <c r="G147" s="3962"/>
      <c r="H147" s="796" t="s">
        <v>1386</v>
      </c>
      <c r="I147" s="1497"/>
      <c r="J147" s="552">
        <f>IF(ISNA(AL147),0,MAX(MIN(AL147-VLOOKUP("Apto en campo: "&amp;$B147,Tabla_Ventajas,3,FALSE)-Tablas!$O299-2*Tablas!$Q299,3),1))</f>
        <v>0</v>
      </c>
      <c r="K147" s="1812"/>
      <c r="L147" s="552">
        <f>IF(ISNA(AN147),0,MAX(MIN(AN147-VLOOKUP("Apto en campo: "&amp;$B147,Tabla_Ventajas,3,FALSE)-Tablas!$O299-2*Tablas!$Q299,3),1))</f>
        <v>0</v>
      </c>
      <c r="M147" s="1812"/>
      <c r="N147" s="552">
        <f>IF(ISNA(AP147),0,MAX(MIN(AP147-VLOOKUP("Apto en campo: "&amp;$B147,Tabla_Ventajas,3,FALSE)-Tablas!$O299-2*Tablas!$Q299,3),1))</f>
        <v>0</v>
      </c>
      <c r="O147" s="1812"/>
      <c r="P147" s="552">
        <f>IF(ISNA(AR147),0,MAX(MIN(AR147-VLOOKUP("Apto en campo: "&amp;$B147,Tabla_Ventajas,3,FALSE)-Tablas!$O299-2*Tablas!$Q299,3),1))</f>
        <v>0</v>
      </c>
      <c r="Q147" s="1812"/>
      <c r="R147" s="552">
        <f>IF(ISNA(AT147),0,MAX(MIN(AT147-VLOOKUP("Apto en campo: "&amp;$B147,Tabla_Ventajas,3,FALSE)-Tablas!$O299-2*Tablas!$Q299,3),1))</f>
        <v>0</v>
      </c>
      <c r="S147" s="1812"/>
      <c r="T147" s="495">
        <f>IF(J147=0,0,TRUNC(K147/J147,0))+IF(L147=0,0,TRUNC(M147/L147,0))+IF(N147=0,0,TRUNC(O147/N147,0))+IF(P147=0,0,TRUNC(Q147/P147,0))+IF(R147=0,0,TRUNC(S147/R147,0))+IF(Personalización!$E$12="Como Base (no oficial)",AF147,0)</f>
        <v>0</v>
      </c>
      <c r="U147" s="495">
        <f t="shared" si="28"/>
        <v>0</v>
      </c>
      <c r="V147" s="495">
        <f>IF(ISNA(HLOOKUP($E147,Bonos_Cat_Base,2,FALSE)),0,HLOOKUP($E147,Bonos_Cat_Base,2,FALSE))+Tablas!$X299*Nivel_Total+10*Y147</f>
        <v>0</v>
      </c>
      <c r="W147" s="1811"/>
      <c r="X147" s="1812"/>
      <c r="Y147" s="1811"/>
      <c r="Z147" s="2216"/>
      <c r="AA147" s="503" t="str">
        <f>IF(AND(T147&lt;5,Tablas!G$310=0),"-",T147+U147+V147+Z147+IF(I147="",0,40)+Mod_ATA+AD147+IF(Personalización!$E$12="Como Base (no oficial)",0,AF147))</f>
        <v>-</v>
      </c>
      <c r="AB147" s="1741">
        <f t="shared" si="29"/>
        <v>0</v>
      </c>
      <c r="AC147" s="845"/>
      <c r="AD147" s="3044">
        <f>Tablas!$K$1816+Tablas!$K$1905</f>
        <v>0</v>
      </c>
      <c r="AE147" s="3061"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069">
        <f>IF(AF$126,IF(OR(Region="",ClaseSocial="",Personalización!$AN$9),0,IF(OR(AND(AI147,AJ147),AND(NOT(AI147),NOT(AJ147))),LEFT(AG147,2)+LEFT(AH147,2),IF(AND(AI147,NOT(AJ147)),LEFT(AH147,2),0))),0)</f>
        <v>0</v>
      </c>
      <c r="AG147" s="3044">
        <f>HLOOKUP(Region&amp;ClaseSocial,Tabla_RaicesCulturales,Tablas!F160,FALSE)</f>
        <v>0</v>
      </c>
      <c r="AH147" s="3061">
        <f>IF(AND(E147="Historia",Personalización!$E$16="Historia (Local)"),20&amp;" "&amp;Personalización!$E$16,IF(E147=Personalización!$E$15,VLOOKUP(E147,Tablas!$L$136:$M$137,2,FALSE),IF(E147=Personalización!$E$16,VLOOKUP(E147,Tablas!$N$136:$O$137,2,FALSE),0)))</f>
        <v>0</v>
      </c>
      <c r="AI147" s="3061" t="b">
        <f t="shared" ref="AI147:AI160" si="41">OR(ISNUMBER(FIND("(",AG147)),ISNUMBER(FIND("(",AH147)))</f>
        <v>0</v>
      </c>
      <c r="AJ147" s="3061" t="b">
        <f t="shared" ref="AJ147:AJ160" si="42">AND(NOT(I147=""),OR(ISNUMBER(SEARCH(I147,AG147)),ISNUMBER(SEARCH(I147,AH147))))</f>
        <v>0</v>
      </c>
      <c r="AK147" s="3061"/>
      <c r="AL147" s="3055" t="e">
        <f t="shared" si="37"/>
        <v>#N/A</v>
      </c>
      <c r="AM147" s="3055"/>
      <c r="AN147" s="3055" t="e">
        <f t="shared" si="32"/>
        <v>#N/A</v>
      </c>
      <c r="AO147" s="3055"/>
      <c r="AP147" s="3055" t="e">
        <f t="shared" si="33"/>
        <v>#N/A</v>
      </c>
      <c r="AQ147" s="1737"/>
      <c r="AR147" s="3055" t="e">
        <f t="shared" si="34"/>
        <v>#N/A</v>
      </c>
      <c r="AS147" s="1737"/>
      <c r="AT147" s="3055" t="e">
        <f t="shared" si="35"/>
        <v>#N/A</v>
      </c>
      <c r="AU147" s="1737" t="str">
        <f t="shared" si="38"/>
        <v/>
      </c>
      <c r="AV147" s="1737"/>
    </row>
    <row r="148" spans="1:48" ht="12" customHeight="1" x14ac:dyDescent="0.2">
      <c r="A148" s="29"/>
      <c r="B148" s="823" t="str">
        <f t="shared" si="40"/>
        <v>Intelectuales</v>
      </c>
      <c r="C148" s="3582"/>
      <c r="D148" s="4054"/>
      <c r="E148" s="3964" t="s">
        <v>2567</v>
      </c>
      <c r="F148" s="3965"/>
      <c r="G148" s="3965"/>
      <c r="H148" s="795" t="s">
        <v>1386</v>
      </c>
      <c r="I148" s="1527"/>
      <c r="J148" s="2010">
        <f>IF(ISNA(AL148),0,MAX(MIN(AL148-VLOOKUP("Apto en campo: "&amp;$B148,Tabla_Ventajas,3,FALSE)-Tablas!$O300-2*Tablas!$Q300,3),1))</f>
        <v>0</v>
      </c>
      <c r="K148" s="1810"/>
      <c r="L148" s="2010">
        <f>IF(ISNA(AN148),0,MAX(MIN(AN148-VLOOKUP("Apto en campo: "&amp;$B148,Tabla_Ventajas,3,FALSE)-Tablas!$O300-2*Tablas!$Q300,3),1))</f>
        <v>0</v>
      </c>
      <c r="M148" s="1810"/>
      <c r="N148" s="2010">
        <f>IF(ISNA(AP148),0,MAX(MIN(AP148-VLOOKUP("Apto en campo: "&amp;$B148,Tabla_Ventajas,3,FALSE)-Tablas!$O300-2*Tablas!$Q300,3),1))</f>
        <v>0</v>
      </c>
      <c r="O148" s="1810"/>
      <c r="P148" s="2010">
        <f>IF(ISNA(AR148),0,MAX(MIN(AR148-VLOOKUP("Apto en campo: "&amp;$B148,Tabla_Ventajas,3,FALSE)-Tablas!$O300-2*Tablas!$Q300,3),1))</f>
        <v>0</v>
      </c>
      <c r="Q148" s="1810"/>
      <c r="R148" s="2010">
        <f>IF(ISNA(AT148),0,MAX(MIN(AT148-VLOOKUP("Apto en campo: "&amp;$B148,Tabla_Ventajas,3,FALSE)-Tablas!$O300-2*Tablas!$Q300,3),1))</f>
        <v>0</v>
      </c>
      <c r="S148" s="1810"/>
      <c r="T148" s="494">
        <f>IF(J148=0,0,TRUNC(K148/J148,0))+IF(L148=0,0,TRUNC(M148/L148,0))+IF(N148=0,0,TRUNC(O148/N148,0))+IF(P148=0,0,TRUNC(Q148/P148,0))+IF(R148=0,0,TRUNC(S148/R148,0))+IF(Personalización!$E$12="Como Base (no oficial)",AF148,0)</f>
        <v>0</v>
      </c>
      <c r="U148" s="494">
        <f t="shared" si="28"/>
        <v>0</v>
      </c>
      <c r="V148" s="494">
        <f>IF(ISNA(HLOOKUP($E148,Bonos_Cat_Base,2,FALSE)),0,HLOOKUP($E148,Bonos_Cat_Base,2,FALSE))+Tablas!$X300*Nivel_Total+10*Y148</f>
        <v>0</v>
      </c>
      <c r="W148" s="1809"/>
      <c r="X148" s="1810"/>
      <c r="Y148" s="1809"/>
      <c r="Z148" s="2215"/>
      <c r="AA148" s="1307">
        <f>IF(AND(T148&lt;5,Tablas!G$310=0),-30,0)+T148+U148+V148+Z148+IF(I148="",0,40)+Mod_ATA+AD148+IF(Personalización!$E$12="Como Base (no oficial)",0,AF148)</f>
        <v>-30</v>
      </c>
      <c r="AB148" s="1741">
        <f t="shared" si="29"/>
        <v>0</v>
      </c>
      <c r="AC148" s="845"/>
      <c r="AD148" s="3044">
        <f>Tablas!$K$1816</f>
        <v>0</v>
      </c>
      <c r="AE148" s="3061"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069">
        <f>IF(AF$126,IF(OR(Region="",ClaseSocial="",Personalización!$AN$9),0,IF(OR(AND(AI148,AJ148),AND(NOT(AI148),NOT(AJ148))),LEFT(AG148,2)+LEFT(AH148,2),IF(AND(AI148,NOT(AJ148)),LEFT(AH148,2),0))),0)</f>
        <v>0</v>
      </c>
      <c r="AG148" s="3044">
        <f>HLOOKUP(Region&amp;ClaseSocial,Tabla_RaicesCulturales,Tablas!F161,FALSE)</f>
        <v>0</v>
      </c>
      <c r="AH148" s="3061">
        <f>IF(AND(E148="Historia",Personalización!$E$16="Historia (Local)"),20&amp;" "&amp;Personalización!$E$16,IF(E148=Personalización!$E$15,VLOOKUP(E148,Tablas!$L$136:$M$137,2,FALSE),IF(E148=Personalización!$E$16,VLOOKUP(E148,Tablas!$N$136:$O$137,2,FALSE),0)))</f>
        <v>0</v>
      </c>
      <c r="AI148" s="3061" t="b">
        <f t="shared" si="41"/>
        <v>0</v>
      </c>
      <c r="AJ148" s="3061" t="b">
        <f t="shared" si="42"/>
        <v>0</v>
      </c>
      <c r="AK148" s="3061"/>
      <c r="AL148" s="3055" t="e">
        <f t="shared" si="37"/>
        <v>#N/A</v>
      </c>
      <c r="AM148" s="3055"/>
      <c r="AN148" s="3055" t="e">
        <f t="shared" si="32"/>
        <v>#N/A</v>
      </c>
      <c r="AO148" s="3055"/>
      <c r="AP148" s="3055" t="e">
        <f t="shared" si="33"/>
        <v>#N/A</v>
      </c>
      <c r="AQ148" s="1737"/>
      <c r="AR148" s="3055" t="e">
        <f t="shared" si="34"/>
        <v>#N/A</v>
      </c>
      <c r="AS148" s="1737"/>
      <c r="AT148" s="3055" t="e">
        <f t="shared" si="35"/>
        <v>#N/A</v>
      </c>
      <c r="AU148" s="1737" t="str">
        <f t="shared" si="38"/>
        <v/>
      </c>
      <c r="AV148" s="1737"/>
    </row>
    <row r="149" spans="1:48" ht="12" customHeight="1" x14ac:dyDescent="0.2">
      <c r="A149" s="29"/>
      <c r="B149" s="823" t="str">
        <f t="shared" si="40"/>
        <v>Intelectuales</v>
      </c>
      <c r="C149" s="3582"/>
      <c r="D149" s="4054"/>
      <c r="E149" s="3961" t="s">
        <v>1438</v>
      </c>
      <c r="F149" s="3962"/>
      <c r="G149" s="3962"/>
      <c r="H149" s="796" t="s">
        <v>1386</v>
      </c>
      <c r="I149" s="1496"/>
      <c r="J149" s="552">
        <f>IF(ISNA(AL149),0,MAX(MIN(AL149-VLOOKUP("Apto en campo: "&amp;$B149,Tabla_Ventajas,3,FALSE)-Tablas!$O301-2*Tablas!$Q301,3),1))</f>
        <v>0</v>
      </c>
      <c r="K149" s="1812"/>
      <c r="L149" s="552">
        <f>IF(ISNA(AN149),0,MAX(MIN(AN149-VLOOKUP("Apto en campo: "&amp;$B149,Tabla_Ventajas,3,FALSE)-Tablas!$O301-2*Tablas!$Q301,3),1))</f>
        <v>0</v>
      </c>
      <c r="M149" s="1812"/>
      <c r="N149" s="552">
        <f>IF(ISNA(AP149),0,MAX(MIN(AP149-VLOOKUP("Apto en campo: "&amp;$B149,Tabla_Ventajas,3,FALSE)-Tablas!$O301-2*Tablas!$Q301,3),1))</f>
        <v>0</v>
      </c>
      <c r="O149" s="1812"/>
      <c r="P149" s="552">
        <f>IF(ISNA(AR149),0,MAX(MIN(AR149-VLOOKUP("Apto en campo: "&amp;$B149,Tabla_Ventajas,3,FALSE)-Tablas!$O301-2*Tablas!$Q301,3),1))</f>
        <v>0</v>
      </c>
      <c r="Q149" s="1812"/>
      <c r="R149" s="552">
        <f>IF(ISNA(AT149),0,MAX(MIN(AT149-VLOOKUP("Apto en campo: "&amp;$B149,Tabla_Ventajas,3,FALSE)-Tablas!$O301-2*Tablas!$Q301,3),1))</f>
        <v>0</v>
      </c>
      <c r="S149" s="1812"/>
      <c r="T149" s="495">
        <f>IF(J149=0,0,TRUNC(K149/J149,0))+IF(L149=0,0,TRUNC(M149/L149,0))+IF(N149=0,0,TRUNC(O149/N149,0))+IF(P149=0,0,TRUNC(Q149/P149,0))+IF(R149=0,0,TRUNC(S149/R149,0))+IF(Personalización!$E$12="Como Base (no oficial)",AF149,0)</f>
        <v>0</v>
      </c>
      <c r="U149" s="495">
        <f t="shared" si="28"/>
        <v>0</v>
      </c>
      <c r="V149" s="495">
        <f>IF(ISNA(HLOOKUP($E149,Bonos_Cat_Base,2,FALSE)),0,HLOOKUP($E149,Bonos_Cat_Base,2,FALSE))+Tablas!$X301*Nivel_Total+10*Y149</f>
        <v>0</v>
      </c>
      <c r="W149" s="1811"/>
      <c r="X149" s="1812"/>
      <c r="Y149" s="1811"/>
      <c r="Z149" s="2216"/>
      <c r="AA149" s="1308">
        <f>IF(AND(T149&lt;5,Tablas!G$310=0),-30,0)+T149+U149+V149+Z149+IF(I149="",0,40)+Mod_ATA+AD149+IF(Personalización!$E$12="Como Base (no oficial)",0,AF149)</f>
        <v>-30</v>
      </c>
      <c r="AB149" s="1741">
        <f t="shared" si="29"/>
        <v>0</v>
      </c>
      <c r="AC149" s="845"/>
      <c r="AD149" s="3044">
        <f>Tablas!$K$1816+Tablas!$K1852</f>
        <v>0</v>
      </c>
      <c r="AE149" s="3061"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069">
        <f>IF(AF$126,IF(OR(Region="",ClaseSocial="",Personalización!$AN$9),0,IF(OR(AND(AI149,AJ149),AND(NOT(AI149),NOT(AJ149))),LEFT(AG149,2)+LEFT(AH149,2),IF(AND(AI149,NOT(AJ149)),LEFT(AH149,2),0))),0)</f>
        <v>0</v>
      </c>
      <c r="AG149" s="3044">
        <f>HLOOKUP(Region&amp;ClaseSocial,Tabla_RaicesCulturales,Tablas!F162,FALSE)</f>
        <v>0</v>
      </c>
      <c r="AH149" s="3061">
        <f>IF(AND(E149="Historia",Personalización!$E$16="Historia (Local)"),20&amp;" "&amp;Personalización!$E$16,IF(E149=Personalización!$E$15,VLOOKUP(E149,Tablas!$L$136:$M$137,2,FALSE),IF(E149=Personalización!$E$16,VLOOKUP(E149,Tablas!$N$136:$O$137,2,FALSE),0)))</f>
        <v>0</v>
      </c>
      <c r="AI149" s="3061" t="b">
        <f t="shared" si="41"/>
        <v>0</v>
      </c>
      <c r="AJ149" s="3061" t="b">
        <f t="shared" si="42"/>
        <v>0</v>
      </c>
      <c r="AK149" s="3061"/>
      <c r="AL149" s="3055" t="e">
        <f t="shared" si="37"/>
        <v>#N/A</v>
      </c>
      <c r="AM149" s="3055"/>
      <c r="AN149" s="3055" t="e">
        <f t="shared" si="32"/>
        <v>#N/A</v>
      </c>
      <c r="AO149" s="3055"/>
      <c r="AP149" s="3055" t="e">
        <f t="shared" si="33"/>
        <v>#N/A</v>
      </c>
      <c r="AQ149" s="1737"/>
      <c r="AR149" s="3055" t="e">
        <f t="shared" si="34"/>
        <v>#N/A</v>
      </c>
      <c r="AS149" s="1737"/>
      <c r="AT149" s="3055" t="e">
        <f t="shared" si="35"/>
        <v>#N/A</v>
      </c>
      <c r="AU149" s="1737" t="str">
        <f t="shared" si="38"/>
        <v/>
      </c>
      <c r="AV149" s="1737"/>
    </row>
    <row r="150" spans="1:48" ht="12" customHeight="1" x14ac:dyDescent="0.2">
      <c r="A150" s="29"/>
      <c r="B150" s="823" t="str">
        <f t="shared" si="40"/>
        <v>Intelectuales</v>
      </c>
      <c r="C150" s="3582"/>
      <c r="D150" s="4054"/>
      <c r="E150" s="3964" t="s">
        <v>1440</v>
      </c>
      <c r="F150" s="3965"/>
      <c r="G150" s="3965"/>
      <c r="H150" s="795" t="s">
        <v>1386</v>
      </c>
      <c r="I150" s="1529"/>
      <c r="J150" s="2010">
        <f>IF(ISNA(AL150),0,MAX(MIN(AL150-VLOOKUP("Apto en campo: "&amp;$B150,Tabla_Ventajas,3,FALSE)-Tablas!$O302-2*Tablas!$Q302,3),1))</f>
        <v>0</v>
      </c>
      <c r="K150" s="1810"/>
      <c r="L150" s="2010">
        <f>IF(ISNA(AN150),0,MAX(MIN(AN150-VLOOKUP("Apto en campo: "&amp;$B150,Tabla_Ventajas,3,FALSE)-Tablas!$O302-2*Tablas!$Q302,3),1))</f>
        <v>0</v>
      </c>
      <c r="M150" s="1810"/>
      <c r="N150" s="2010">
        <f>IF(ISNA(AP150),0,MAX(MIN(AP150-VLOOKUP("Apto en campo: "&amp;$B150,Tabla_Ventajas,3,FALSE)-Tablas!$O302-2*Tablas!$Q302,3),1))</f>
        <v>0</v>
      </c>
      <c r="O150" s="1810"/>
      <c r="P150" s="2010">
        <f>IF(ISNA(AR150),0,MAX(MIN(AR150-VLOOKUP("Apto en campo: "&amp;$B150,Tabla_Ventajas,3,FALSE)-Tablas!$O302-2*Tablas!$Q302,3),1))</f>
        <v>0</v>
      </c>
      <c r="Q150" s="1810"/>
      <c r="R150" s="2010">
        <f>IF(ISNA(AT150),0,MAX(MIN(AT150-VLOOKUP("Apto en campo: "&amp;$B150,Tabla_Ventajas,3,FALSE)-Tablas!$O302-2*Tablas!$Q302,3),1))</f>
        <v>0</v>
      </c>
      <c r="S150" s="1810"/>
      <c r="T150" s="494">
        <f>IF(J150=0,0,TRUNC(K150/J150,0))+IF(L150=0,0,TRUNC(M150/L150,0))+IF(N150=0,0,TRUNC(O150/N150,0))+IF(P150=0,0,TRUNC(Q150/P150,0))+IF(R150=0,0,TRUNC(S150/R150,0))+IF(Personalización!$E$12="Como Base (no oficial)",AF150,0)</f>
        <v>0</v>
      </c>
      <c r="U150" s="494">
        <f t="shared" si="28"/>
        <v>0</v>
      </c>
      <c r="V150" s="494">
        <f>IF(ISNA(HLOOKUP($E150,Bonos_Cat_Base,2,FALSE)),0,HLOOKUP($E150,Bonos_Cat_Base,2,FALSE))+Tablas!$X302*Nivel_Total+10*Y150</f>
        <v>0</v>
      </c>
      <c r="W150" s="1809"/>
      <c r="X150" s="1810"/>
      <c r="Y150" s="1809"/>
      <c r="Z150" s="2215"/>
      <c r="AA150" s="502" t="str">
        <f>IF(AND(T150&lt;5,Tablas!G$310=0),"-",T150+U150+V150+Z150+IF(I150="",0,40)+Mod_ATA+AD150+IF(Personalización!$E$12="Como Base (no oficial)",0,AF150))</f>
        <v>-</v>
      </c>
      <c r="AB150" s="1741">
        <f t="shared" si="29"/>
        <v>0</v>
      </c>
      <c r="AC150" s="845"/>
      <c r="AD150" s="3044">
        <f>Tablas!$K$1816</f>
        <v>0</v>
      </c>
      <c r="AE150" s="3061"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069">
        <f>IF(AF$126,IF(OR(Region="",ClaseSocial="",Personalización!$AN$9),0,IF(OR(AND(AI150,AJ150),AND(NOT(AI150),NOT(AJ150))),LEFT(AG150,2)+LEFT(AH150,2),IF(AND(AI150,NOT(AJ150)),LEFT(AH150,2),0))),0)</f>
        <v>0</v>
      </c>
      <c r="AG150" s="3044">
        <f>HLOOKUP(Region&amp;ClaseSocial,Tabla_RaicesCulturales,Tablas!F163,FALSE)</f>
        <v>0</v>
      </c>
      <c r="AH150" s="3061">
        <f>IF(AND(E150="Historia",Personalización!$E$16="Historia (Local)"),20&amp;" "&amp;Personalización!$E$16,IF(E150=Personalización!$E$15,VLOOKUP(E150,Tablas!$L$136:$M$137,2,FALSE),IF(E150=Personalización!$E$16,VLOOKUP(E150,Tablas!$N$136:$O$137,2,FALSE),0)))</f>
        <v>0</v>
      </c>
      <c r="AI150" s="3061" t="b">
        <f>OR(ISNUMBER(FIND("(",AG150)),ISNUMBER(FIND("(",AH150)))</f>
        <v>0</v>
      </c>
      <c r="AJ150" s="3061" t="b">
        <f>AND(NOT(I150=""),OR(ISNUMBER(SEARCH(I150,AG150)),ISNUMBER(SEARCH(I150,AH150))))</f>
        <v>0</v>
      </c>
      <c r="AK150" s="3061"/>
      <c r="AL150" s="3055" t="e">
        <f t="shared" si="37"/>
        <v>#N/A</v>
      </c>
      <c r="AM150" s="3055"/>
      <c r="AN150" s="3055" t="e">
        <f t="shared" si="32"/>
        <v>#N/A</v>
      </c>
      <c r="AO150" s="3055"/>
      <c r="AP150" s="3055" t="e">
        <f t="shared" si="33"/>
        <v>#N/A</v>
      </c>
      <c r="AQ150" s="1737"/>
      <c r="AR150" s="3055" t="e">
        <f t="shared" si="34"/>
        <v>#N/A</v>
      </c>
      <c r="AS150" s="1737"/>
      <c r="AT150" s="3055" t="e">
        <f t="shared" si="35"/>
        <v>#N/A</v>
      </c>
      <c r="AU150" s="1737" t="str">
        <f t="shared" si="38"/>
        <v/>
      </c>
      <c r="AV150" s="1737"/>
    </row>
    <row r="151" spans="1:48" ht="12" customHeight="1" x14ac:dyDescent="0.2">
      <c r="A151" s="29"/>
      <c r="B151" s="823" t="str">
        <f t="shared" si="40"/>
        <v>Intelectuales</v>
      </c>
      <c r="C151" s="3582"/>
      <c r="D151" s="4054"/>
      <c r="E151" s="3961" t="s">
        <v>819</v>
      </c>
      <c r="F151" s="3962"/>
      <c r="G151" s="3962"/>
      <c r="H151" s="796" t="s">
        <v>1386</v>
      </c>
      <c r="I151" s="1496"/>
      <c r="J151" s="552">
        <f>IF(ISNA(AL151),0,MAX(MIN(AL151-VLOOKUP("Apto en campo: "&amp;$B151,Tabla_Ventajas,3,FALSE)-Tablas!$O303-2*Tablas!$Q303,3),1))</f>
        <v>0</v>
      </c>
      <c r="K151" s="1812"/>
      <c r="L151" s="552">
        <f>IF(ISNA(AN151),0,MAX(MIN(AN151-VLOOKUP("Apto en campo: "&amp;$B151,Tabla_Ventajas,3,FALSE)-Tablas!$O303-2*Tablas!$Q303,3),1))</f>
        <v>0</v>
      </c>
      <c r="M151" s="1812"/>
      <c r="N151" s="552">
        <f>IF(ISNA(AP151),0,MAX(MIN(AP151-VLOOKUP("Apto en campo: "&amp;$B151,Tabla_Ventajas,3,FALSE)-Tablas!$O303-2*Tablas!$Q303,3),1))</f>
        <v>0</v>
      </c>
      <c r="O151" s="1812"/>
      <c r="P151" s="552">
        <f>IF(ISNA(AR151),0,MAX(MIN(AR151-VLOOKUP("Apto en campo: "&amp;$B151,Tabla_Ventajas,3,FALSE)-Tablas!$O303-2*Tablas!$Q303,3),1))</f>
        <v>0</v>
      </c>
      <c r="Q151" s="1812"/>
      <c r="R151" s="552">
        <f>IF(ISNA(AT151),0,MAX(MIN(AT151-VLOOKUP("Apto en campo: "&amp;$B151,Tabla_Ventajas,3,FALSE)-Tablas!$O303-2*Tablas!$Q303,3),1))</f>
        <v>0</v>
      </c>
      <c r="S151" s="1812"/>
      <c r="T151" s="495">
        <f>IF(J151=0,0,TRUNC(K151/J151,0))+IF(L151=0,0,TRUNC(M151/L151,0))+IF(N151=0,0,TRUNC(O151/N151,0))+IF(P151=0,0,TRUNC(Q151/P151,0))+IF(R151=0,0,TRUNC(S151/R151,0))+IF(Personalización!$E$12="Como Base (no oficial)",AF151,0)</f>
        <v>0</v>
      </c>
      <c r="U151" s="495">
        <f t="shared" si="28"/>
        <v>0</v>
      </c>
      <c r="V151" s="495">
        <f>IF(ISNA(HLOOKUP($E151,Bonos_Cat_Base,2,FALSE)),0,HLOOKUP($E151,Bonos_Cat_Base,2,FALSE))+Tablas!$X303*Nivel_Total+10*Y151</f>
        <v>0</v>
      </c>
      <c r="W151" s="1811"/>
      <c r="X151" s="1812"/>
      <c r="Y151" s="1811"/>
      <c r="Z151" s="2216"/>
      <c r="AA151" s="1308">
        <f>IF(AND(T151&lt;5,Tablas!G$310=0),-30,0)+T151+U151+V151+Z151+IF(I151="",0,40)+Mod_ATA+AD151+IF(Personalización!$E$12="Como Base (no oficial)",0,AF151)</f>
        <v>-30</v>
      </c>
      <c r="AB151" s="1741">
        <f t="shared" si="29"/>
        <v>0</v>
      </c>
      <c r="AC151" s="845"/>
      <c r="AD151" s="3044">
        <f>Tablas!$K$1816</f>
        <v>0</v>
      </c>
      <c r="AE151" s="3061"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069">
        <f>IF(AF$126,IF(OR(Region="",ClaseSocial="",Personalización!$AN$9),0,IF(OR(AND(AI151,AJ151),AND(NOT(AI151),NOT(AJ151))),LEFT(AG151,2)+LEFT(AH151,2),IF(AND(AI151,NOT(AJ151)),LEFT(AH151,2),0))),0)</f>
        <v>0</v>
      </c>
      <c r="AG151" s="3044">
        <f>HLOOKUP(Region&amp;ClaseSocial,Tabla_RaicesCulturales,Tablas!F164,FALSE)</f>
        <v>0</v>
      </c>
      <c r="AH151" s="3061">
        <f>IF(AND(E151="Historia",Personalización!$E$16="Historia (Local)"),20&amp;" "&amp;Personalización!$E$16,IF(E151=Personalización!$E$15,VLOOKUP(E151,Tablas!$L$136:$M$137,2,FALSE),IF(E151=Personalización!$E$16,VLOOKUP(E151,Tablas!$N$136:$O$137,2,FALSE),0)))</f>
        <v>0</v>
      </c>
      <c r="AI151" s="3061" t="b">
        <f t="shared" si="41"/>
        <v>0</v>
      </c>
      <c r="AJ151" s="3061" t="b">
        <f t="shared" si="42"/>
        <v>0</v>
      </c>
      <c r="AK151" s="3061"/>
      <c r="AL151" s="3055" t="e">
        <f t="shared" si="37"/>
        <v>#N/A</v>
      </c>
      <c r="AM151" s="3055"/>
      <c r="AN151" s="3055" t="e">
        <f t="shared" si="32"/>
        <v>#N/A</v>
      </c>
      <c r="AO151" s="3055"/>
      <c r="AP151" s="3055" t="e">
        <f t="shared" si="33"/>
        <v>#N/A</v>
      </c>
      <c r="AQ151" s="1737"/>
      <c r="AR151" s="3055" t="e">
        <f t="shared" si="34"/>
        <v>#N/A</v>
      </c>
      <c r="AS151" s="1737"/>
      <c r="AT151" s="3055" t="e">
        <f t="shared" si="35"/>
        <v>#N/A</v>
      </c>
      <c r="AU151" s="1737" t="str">
        <f t="shared" si="38"/>
        <v/>
      </c>
      <c r="AV151" s="1737"/>
    </row>
    <row r="152" spans="1:48" ht="12" customHeight="1" x14ac:dyDescent="0.2">
      <c r="A152" s="29"/>
      <c r="B152" s="823" t="str">
        <f t="shared" si="40"/>
        <v>Intelectuales</v>
      </c>
      <c r="C152" s="3582"/>
      <c r="D152" s="4054"/>
      <c r="E152" s="3964" t="s">
        <v>1443</v>
      </c>
      <c r="F152" s="3965"/>
      <c r="G152" s="3965"/>
      <c r="H152" s="795" t="s">
        <v>1386</v>
      </c>
      <c r="I152" s="1529"/>
      <c r="J152" s="2010">
        <f>IF(ISNA(AL152),0,MAX(MIN(AL152-VLOOKUP("Apto en campo: "&amp;$B152,Tabla_Ventajas,3,FALSE)-Tablas!$O304-2*Tablas!$Q304,3),1))</f>
        <v>0</v>
      </c>
      <c r="K152" s="1810"/>
      <c r="L152" s="2010">
        <f>IF(ISNA(AN152),0,MAX(MIN(AN152-VLOOKUP("Apto en campo: "&amp;$B152,Tabla_Ventajas,3,FALSE)-Tablas!$O304-2*Tablas!$Q304,3),1))</f>
        <v>0</v>
      </c>
      <c r="M152" s="1810"/>
      <c r="N152" s="2010">
        <f>IF(ISNA(AP152),0,MAX(MIN(AP152-VLOOKUP("Apto en campo: "&amp;$B152,Tabla_Ventajas,3,FALSE)-Tablas!$O304-2*Tablas!$Q304,3),1))</f>
        <v>0</v>
      </c>
      <c r="O152" s="1810"/>
      <c r="P152" s="2010">
        <f>IF(ISNA(AR152),0,MAX(MIN(AR152-VLOOKUP("Apto en campo: "&amp;$B152,Tabla_Ventajas,3,FALSE)-Tablas!$O304-2*Tablas!$Q304,3),1))</f>
        <v>0</v>
      </c>
      <c r="Q152" s="1810"/>
      <c r="R152" s="2010">
        <f>IF(ISNA(AT152),0,MAX(MIN(AT152-VLOOKUP("Apto en campo: "&amp;$B152,Tabla_Ventajas,3,FALSE)-Tablas!$O304-2*Tablas!$Q304,3),1))</f>
        <v>0</v>
      </c>
      <c r="S152" s="1810"/>
      <c r="T152" s="494">
        <f>IF(J152=0,0,TRUNC(K152/J152,0))+IF(L152=0,0,TRUNC(M152/L152,0))+IF(N152=0,0,TRUNC(O152/N152,0))+IF(P152=0,0,TRUNC(Q152/P152,0))+IF(R152=0,0,TRUNC(S152/R152,0))+IF(Personalización!$E$12="Como Base (no oficial)",AF152,0)</f>
        <v>0</v>
      </c>
      <c r="U152" s="494">
        <f t="shared" si="28"/>
        <v>0</v>
      </c>
      <c r="V152" s="494">
        <f>IF(ISNA(HLOOKUP($E152,Bonos_Cat_Base,2,FALSE)),0,HLOOKUP($E152,Bonos_Cat_Base,2,FALSE))+Tablas!$X304*Nivel_Total+10*Y152</f>
        <v>0</v>
      </c>
      <c r="W152" s="1809"/>
      <c r="X152" s="1810"/>
      <c r="Y152" s="1809"/>
      <c r="Z152" s="2215"/>
      <c r="AA152" s="502" t="str">
        <f>IF(AND(T152&lt;5,Tablas!G$310=0),"-",T152+U152+V152+Z152+IF(I152="",0,40)+Mod_ATA+AD152+IF(Personalización!$E$12="Como Base (no oficial)",0,AF152))</f>
        <v>-</v>
      </c>
      <c r="AB152" s="1741">
        <f t="shared" si="29"/>
        <v>0</v>
      </c>
      <c r="AC152" s="845"/>
      <c r="AD152" s="3044">
        <f>Tablas!$K$1816</f>
        <v>0</v>
      </c>
      <c r="AE152" s="3061"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069">
        <f>IF(AF$126,IF(OR(Region="",ClaseSocial="",Personalización!$AN$9),0,IF(OR(AND(AI152,AJ152),AND(NOT(AI152),NOT(AJ152))),LEFT(AG152,2)+LEFT(AH152,2),IF(AND(AI152,NOT(AJ152)),LEFT(AH152,2),0))),0)</f>
        <v>0</v>
      </c>
      <c r="AG152" s="3044">
        <f>HLOOKUP(Region&amp;ClaseSocial,Tabla_RaicesCulturales,Tablas!F165,FALSE)</f>
        <v>0</v>
      </c>
      <c r="AH152" s="3061">
        <f>IF(AND(E152="Historia",Personalización!$E$16="Historia (Local)"),20&amp;" "&amp;Personalización!$E$16,IF(E152=Personalización!$E$15,VLOOKUP(E152,Tablas!$L$136:$M$137,2,FALSE),IF(E152=Personalización!$E$16,VLOOKUP(E152,Tablas!$N$136:$O$137,2,FALSE),0)))</f>
        <v>0</v>
      </c>
      <c r="AI152" s="3061" t="b">
        <f t="shared" si="41"/>
        <v>0</v>
      </c>
      <c r="AJ152" s="3061" t="b">
        <f t="shared" si="42"/>
        <v>0</v>
      </c>
      <c r="AK152" s="3061"/>
      <c r="AL152" s="3055" t="e">
        <f t="shared" si="37"/>
        <v>#N/A</v>
      </c>
      <c r="AM152" s="3055"/>
      <c r="AN152" s="3055" t="e">
        <f t="shared" si="32"/>
        <v>#N/A</v>
      </c>
      <c r="AO152" s="3055"/>
      <c r="AP152" s="3055" t="e">
        <f t="shared" si="33"/>
        <v>#N/A</v>
      </c>
      <c r="AQ152" s="1737"/>
      <c r="AR152" s="3055" t="e">
        <f t="shared" si="34"/>
        <v>#N/A</v>
      </c>
      <c r="AS152" s="1737"/>
      <c r="AT152" s="3055" t="e">
        <f t="shared" si="35"/>
        <v>#N/A</v>
      </c>
      <c r="AU152" s="1737" t="str">
        <f t="shared" si="38"/>
        <v/>
      </c>
      <c r="AV152" s="1737"/>
    </row>
    <row r="153" spans="1:48" ht="12" customHeight="1" x14ac:dyDescent="0.2">
      <c r="A153" s="29"/>
      <c r="B153" s="823" t="str">
        <f t="shared" si="40"/>
        <v>Intelectuales</v>
      </c>
      <c r="C153" s="3582"/>
      <c r="D153" s="4054"/>
      <c r="E153" s="3961" t="s">
        <v>1444</v>
      </c>
      <c r="F153" s="3962"/>
      <c r="G153" s="3962"/>
      <c r="H153" s="796" t="s">
        <v>1386</v>
      </c>
      <c r="I153" s="1496"/>
      <c r="J153" s="552">
        <f>IF(ISNA(AL153),0,MAX(MIN(AL153-VLOOKUP("Apto en campo: "&amp;$B153,Tabla_Ventajas,3,FALSE)-Tablas!$O305-2*Tablas!$Q305,3),1))</f>
        <v>0</v>
      </c>
      <c r="K153" s="1812"/>
      <c r="L153" s="552">
        <f>IF(ISNA(AN153),0,MAX(MIN(AN153-VLOOKUP("Apto en campo: "&amp;$B153,Tabla_Ventajas,3,FALSE)-Tablas!$O305-2*Tablas!$Q305,3),1))</f>
        <v>0</v>
      </c>
      <c r="M153" s="1812"/>
      <c r="N153" s="552">
        <f>IF(ISNA(AP153),0,MAX(MIN(AP153-VLOOKUP("Apto en campo: "&amp;$B153,Tabla_Ventajas,3,FALSE)-Tablas!$O305-2*Tablas!$Q305,3),1))</f>
        <v>0</v>
      </c>
      <c r="O153" s="1812"/>
      <c r="P153" s="552">
        <f>IF(ISNA(AR153),0,MAX(MIN(AR153-VLOOKUP("Apto en campo: "&amp;$B153,Tabla_Ventajas,3,FALSE)-Tablas!$O305-2*Tablas!$Q305,3),1))</f>
        <v>0</v>
      </c>
      <c r="Q153" s="1812"/>
      <c r="R153" s="552">
        <f>IF(ISNA(AT153),0,MAX(MIN(AT153-VLOOKUP("Apto en campo: "&amp;$B153,Tabla_Ventajas,3,FALSE)-Tablas!$O305-2*Tablas!$Q305,3),1))</f>
        <v>0</v>
      </c>
      <c r="S153" s="1812"/>
      <c r="T153" s="495">
        <f>IF(J153=0,0,TRUNC(K153/J153,0))+IF(L153=0,0,TRUNC(M153/L153,0))+IF(N153=0,0,TRUNC(O153/N153,0))+IF(P153=0,0,TRUNC(Q153/P153,0))+IF(R153=0,0,TRUNC(S153/R153,0))+IF(Personalización!$E$12="Como Base (no oficial)",AF153,0)</f>
        <v>0</v>
      </c>
      <c r="U153" s="495">
        <f t="shared" si="28"/>
        <v>0</v>
      </c>
      <c r="V153" s="495">
        <f>IF(ISNA(HLOOKUP($E153,Bonos_Cat_Base,2,FALSE)),0,HLOOKUP($E153,Bonos_Cat_Base,2,FALSE))+Tablas!$X305*Nivel_Total+10*Y153</f>
        <v>0</v>
      </c>
      <c r="W153" s="1811"/>
      <c r="X153" s="1812"/>
      <c r="Y153" s="1811"/>
      <c r="Z153" s="2216"/>
      <c r="AA153" s="1308">
        <f>IF(AND(T153&lt;5,Tablas!G$310=0),-30,0)+T153+U153+V153+Z153+IF(I153="",0,40)+Mod_ATA+AD153+IF(Personalización!$E$12="Como Base (no oficial)",0,AF153)</f>
        <v>-30</v>
      </c>
      <c r="AB153" s="1741">
        <f t="shared" si="29"/>
        <v>0</v>
      </c>
      <c r="AC153" s="845"/>
      <c r="AD153" s="3044">
        <f>Tablas!$K$1816</f>
        <v>0</v>
      </c>
      <c r="AE153" s="3061"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069">
        <f>IF(AF$126,IF(OR(Region="",ClaseSocial="",Personalización!$AN$9),0,IF(OR(AND(AI153,AJ153),AND(NOT(AI153),NOT(AJ153))),LEFT(AG153,2)+LEFT(AH153,2),IF(AND(AI153,NOT(AJ153)),LEFT(AH153,2),0))),0)</f>
        <v>0</v>
      </c>
      <c r="AG153" s="3044">
        <f>HLOOKUP(Region&amp;ClaseSocial,Tabla_RaicesCulturales,Tablas!F166,FALSE)</f>
        <v>0</v>
      </c>
      <c r="AH153" s="3061">
        <f>IF(AND(E153="Historia",Personalización!$E$16="Historia (Local)"),20&amp;" "&amp;Personalización!$E$16,IF(E153=Personalización!$E$15,VLOOKUP(E153,Tablas!$L$136:$M$137,2,FALSE),IF(E153=Personalización!$E$16,VLOOKUP(E153,Tablas!$N$136:$O$137,2,FALSE),0)))</f>
        <v>0</v>
      </c>
      <c r="AI153" s="3061" t="b">
        <f t="shared" si="41"/>
        <v>0</v>
      </c>
      <c r="AJ153" s="3061" t="b">
        <f t="shared" si="42"/>
        <v>0</v>
      </c>
      <c r="AK153" s="3061"/>
      <c r="AL153" s="3055" t="e">
        <f t="shared" si="37"/>
        <v>#N/A</v>
      </c>
      <c r="AM153" s="3055"/>
      <c r="AN153" s="3055" t="e">
        <f t="shared" si="32"/>
        <v>#N/A</v>
      </c>
      <c r="AO153" s="3055"/>
      <c r="AP153" s="3055" t="e">
        <f t="shared" si="33"/>
        <v>#N/A</v>
      </c>
      <c r="AQ153" s="1737"/>
      <c r="AR153" s="3055" t="e">
        <f t="shared" si="34"/>
        <v>#N/A</v>
      </c>
      <c r="AS153" s="1737"/>
      <c r="AT153" s="3055" t="e">
        <f t="shared" si="35"/>
        <v>#N/A</v>
      </c>
      <c r="AU153" s="1737" t="str">
        <f t="shared" si="38"/>
        <v/>
      </c>
      <c r="AV153" s="1737"/>
    </row>
    <row r="154" spans="1:48" ht="12" customHeight="1" x14ac:dyDescent="0.2">
      <c r="A154" s="29"/>
      <c r="B154" s="823" t="str">
        <f t="shared" si="40"/>
        <v>Intelectuales</v>
      </c>
      <c r="C154" s="3582"/>
      <c r="D154" s="4054"/>
      <c r="E154" s="3964" t="s">
        <v>1445</v>
      </c>
      <c r="F154" s="3965"/>
      <c r="G154" s="3965"/>
      <c r="H154" s="795" t="s">
        <v>1386</v>
      </c>
      <c r="I154" s="1527"/>
      <c r="J154" s="2010">
        <f>IF(ISNA(AL154),0,MAX(MIN(AL154-VLOOKUP("Apto en campo: "&amp;$B154,Tabla_Ventajas,3,FALSE)-Tablas!$O306-2*Tablas!$Q306,3),1))</f>
        <v>0</v>
      </c>
      <c r="K154" s="1810"/>
      <c r="L154" s="2010">
        <f>IF(ISNA(AN154),0,MAX(MIN(AN154-VLOOKUP("Apto en campo: "&amp;$B154,Tabla_Ventajas,3,FALSE)-Tablas!$O306-2*Tablas!$Q306,3),1))</f>
        <v>0</v>
      </c>
      <c r="M154" s="1810"/>
      <c r="N154" s="2010">
        <f>IF(ISNA(AP154),0,MAX(MIN(AP154-VLOOKUP("Apto en campo: "&amp;$B154,Tabla_Ventajas,3,FALSE)-Tablas!$O306-2*Tablas!$Q306,3),1))</f>
        <v>0</v>
      </c>
      <c r="O154" s="1810"/>
      <c r="P154" s="2010">
        <f>IF(ISNA(AR154),0,MAX(MIN(AR154-VLOOKUP("Apto en campo: "&amp;$B154,Tabla_Ventajas,3,FALSE)-Tablas!$O306-2*Tablas!$Q306,3),1))</f>
        <v>0</v>
      </c>
      <c r="Q154" s="1810"/>
      <c r="R154" s="2010">
        <f>IF(ISNA(AT154),0,MAX(MIN(AT154-VLOOKUP("Apto en campo: "&amp;$B154,Tabla_Ventajas,3,FALSE)-Tablas!$O306-2*Tablas!$Q306,3),1))</f>
        <v>0</v>
      </c>
      <c r="S154" s="1810"/>
      <c r="T154" s="494">
        <f>IF(J154=0,0,TRUNC(K154/J154,0))+IF(L154=0,0,TRUNC(M154/L154,0))+IF(N154=0,0,TRUNC(O154/N154,0))+IF(P154=0,0,TRUNC(Q154/P154,0))+IF(R154=0,0,TRUNC(S154/R154,0))+IF(Personalización!$E$12="Como Base (no oficial)",AF154,0)</f>
        <v>0</v>
      </c>
      <c r="U154" s="494">
        <f t="shared" si="28"/>
        <v>0</v>
      </c>
      <c r="V154" s="494">
        <f>IF(ISNA(HLOOKUP($E154,Bonos_Cat_Base,2,FALSE)),0,HLOOKUP($E154,Bonos_Cat_Base,2,FALSE))+Tablas!$X306*Nivel_Total+10*Y154</f>
        <v>0</v>
      </c>
      <c r="W154" s="1809"/>
      <c r="X154" s="1810"/>
      <c r="Y154" s="1809"/>
      <c r="Z154" s="2215"/>
      <c r="AA154" s="1307">
        <f>IF(AND(T154&lt;5,Tablas!G$310=0),-30,0)+T154+U154+V154+Z154+IF(I154="",0,40)+Mod_ATA+AD154+IF(Personalización!$E$12="Como Base (no oficial)",0,AF154)</f>
        <v>-30</v>
      </c>
      <c r="AB154" s="1741">
        <f t="shared" si="29"/>
        <v>0</v>
      </c>
      <c r="AC154" s="845"/>
      <c r="AD154" s="3044">
        <f>Tablas!$K$1816</f>
        <v>0</v>
      </c>
      <c r="AE154" s="3061"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069">
        <f>IF(AF$126,IF(OR(Region="",ClaseSocial="",Personalización!$AN$9),0,IF(OR(AND(AI154,AJ154),AND(NOT(AI154),NOT(AJ154))),LEFT(AG154,2)+LEFT(AH154,2),IF(AND(AI154,NOT(AJ154)),LEFT(AH154,2),0))),0)</f>
        <v>0</v>
      </c>
      <c r="AG154" s="3044">
        <f>HLOOKUP(Region&amp;ClaseSocial,Tabla_RaicesCulturales,Tablas!F167,FALSE)</f>
        <v>0</v>
      </c>
      <c r="AH154" s="3061">
        <f>IF(AND(E154="Historia",Personalización!$E$16="Historia (Local)"),20&amp;" "&amp;Personalización!$E$16,IF(E154=Personalización!$E$15,VLOOKUP(E154,Tablas!$L$136:$M$137,2,FALSE),IF(E154=Personalización!$E$16,VLOOKUP(E154,Tablas!$N$136:$O$137,2,FALSE),0)))</f>
        <v>0</v>
      </c>
      <c r="AI154" s="3061" t="b">
        <f t="shared" si="41"/>
        <v>0</v>
      </c>
      <c r="AJ154" s="3061" t="b">
        <f t="shared" si="42"/>
        <v>0</v>
      </c>
      <c r="AK154" s="3061"/>
      <c r="AL154" s="3055" t="e">
        <f t="shared" si="37"/>
        <v>#N/A</v>
      </c>
      <c r="AM154" s="3055"/>
      <c r="AN154" s="3055" t="e">
        <f t="shared" si="32"/>
        <v>#N/A</v>
      </c>
      <c r="AO154" s="3055"/>
      <c r="AP154" s="3055" t="e">
        <f t="shared" si="33"/>
        <v>#N/A</v>
      </c>
      <c r="AQ154" s="1737"/>
      <c r="AR154" s="3055" t="e">
        <f t="shared" si="34"/>
        <v>#N/A</v>
      </c>
      <c r="AS154" s="1737"/>
      <c r="AT154" s="3055" t="e">
        <f t="shared" si="35"/>
        <v>#N/A</v>
      </c>
      <c r="AU154" s="1737" t="str">
        <f t="shared" si="38"/>
        <v/>
      </c>
      <c r="AV154" s="1737"/>
    </row>
    <row r="155" spans="1:48" ht="12" customHeight="1" x14ac:dyDescent="0.2">
      <c r="A155" s="29"/>
      <c r="B155" s="823" t="str">
        <f t="shared" si="40"/>
        <v>Intelectuales</v>
      </c>
      <c r="C155" s="3582"/>
      <c r="D155" s="4054"/>
      <c r="E155" s="3961" t="s">
        <v>1446</v>
      </c>
      <c r="F155" s="3962"/>
      <c r="G155" s="3962"/>
      <c r="H155" s="796" t="s">
        <v>1386</v>
      </c>
      <c r="I155" s="1497"/>
      <c r="J155" s="552">
        <f>IF(ISNA(AL155),0,MAX(MIN(AL155-VLOOKUP("Apto en campo: "&amp;$B155,Tabla_Ventajas,3,FALSE)-Tablas!$O307-2*Tablas!$Q307,3),1))</f>
        <v>0</v>
      </c>
      <c r="K155" s="1812"/>
      <c r="L155" s="552">
        <f>IF(ISNA(AN155),0,MAX(MIN(AN155-VLOOKUP("Apto en campo: "&amp;$B155,Tabla_Ventajas,3,FALSE)-Tablas!$O307-2*Tablas!$Q307,3),1))</f>
        <v>0</v>
      </c>
      <c r="M155" s="1812"/>
      <c r="N155" s="552">
        <f>IF(ISNA(AP155),0,MAX(MIN(AP155-VLOOKUP("Apto en campo: "&amp;$B155,Tabla_Ventajas,3,FALSE)-Tablas!$O307-2*Tablas!$Q307,3),1))</f>
        <v>0</v>
      </c>
      <c r="O155" s="1812"/>
      <c r="P155" s="552">
        <f>IF(ISNA(AR155),0,MAX(MIN(AR155-VLOOKUP("Apto en campo: "&amp;$B155,Tabla_Ventajas,3,FALSE)-Tablas!$O307-2*Tablas!$Q307,3),1))</f>
        <v>0</v>
      </c>
      <c r="Q155" s="1812"/>
      <c r="R155" s="552">
        <f>IF(ISNA(AT155),0,MAX(MIN(AT155-VLOOKUP("Apto en campo: "&amp;$B155,Tabla_Ventajas,3,FALSE)-Tablas!$O307-2*Tablas!$Q307,3),1))</f>
        <v>0</v>
      </c>
      <c r="S155" s="1812"/>
      <c r="T155" s="495">
        <f>IF(J155=0,0,TRUNC(K155/J155,0))+IF(L155=0,0,TRUNC(M155/L155,0))+IF(N155=0,0,TRUNC(O155/N155,0))+IF(P155=0,0,TRUNC(Q155/P155,0))+IF(R155=0,0,TRUNC(S155/R155,0))+IF(Personalización!$E$12="Como Base (no oficial)",AF155,0)</f>
        <v>0</v>
      </c>
      <c r="U155" s="495">
        <f t="shared" si="28"/>
        <v>0</v>
      </c>
      <c r="V155" s="495">
        <f>IF(ISNA(HLOOKUP($E155,Bonos_Cat_Base,2,FALSE)),0,HLOOKUP($E155,Bonos_Cat_Base,2,FALSE))+Tablas!$X307*Nivel_Total+10*Y155</f>
        <v>0</v>
      </c>
      <c r="W155" s="1811"/>
      <c r="X155" s="1812"/>
      <c r="Y155" s="1811"/>
      <c r="Z155" s="2216"/>
      <c r="AA155" s="1308">
        <f>IF(AND(T155&lt;5,Tablas!G$310=0),-30,0)+T155+U155+V155+Z155+IF(I155="",0,40)+Mod_ATA+AD155+IF(Personalización!$E$12="Como Base (no oficial)",0,AF155)</f>
        <v>-30</v>
      </c>
      <c r="AB155" s="1741">
        <f t="shared" si="29"/>
        <v>0</v>
      </c>
      <c r="AC155" s="845"/>
      <c r="AD155" s="3044">
        <f>Tablas!$K$1816+Tablas!$K$1866</f>
        <v>0</v>
      </c>
      <c r="AE155" s="3061"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069">
        <f>IF(AF$126,IF(OR(Region="",ClaseSocial="",Personalización!$AN$9),0,IF(OR(AND(AI155,AJ155),AND(NOT(AI155),NOT(AJ155))),LEFT(AG155,2)+LEFT(AH155,2),IF(AND(AI155,NOT(AJ155)),LEFT(AH155,2),0))),0)</f>
        <v>0</v>
      </c>
      <c r="AG155" s="3044">
        <f>HLOOKUP(Region&amp;ClaseSocial,Tabla_RaicesCulturales,Tablas!F168,FALSE)</f>
        <v>0</v>
      </c>
      <c r="AH155" s="3061">
        <f>IF(AND(E155="Historia",Personalización!$E$16="Historia (Local)"),20&amp;" "&amp;Personalización!$E$16,IF(E155=Personalización!$E$15,VLOOKUP(E155,Tablas!$L$136:$M$137,2,FALSE),IF(E155=Personalización!$E$16,VLOOKUP(E155,Tablas!$N$136:$O$137,2,FALSE),0)))</f>
        <v>0</v>
      </c>
      <c r="AI155" s="3061" t="b">
        <f t="shared" si="41"/>
        <v>0</v>
      </c>
      <c r="AJ155" s="3061" t="b">
        <f t="shared" si="42"/>
        <v>0</v>
      </c>
      <c r="AK155" s="3061"/>
      <c r="AL155" s="3055" t="e">
        <f t="shared" si="37"/>
        <v>#N/A</v>
      </c>
      <c r="AM155" s="3055"/>
      <c r="AN155" s="3055" t="e">
        <f t="shared" si="32"/>
        <v>#N/A</v>
      </c>
      <c r="AO155" s="3055"/>
      <c r="AP155" s="3055" t="e">
        <f t="shared" si="33"/>
        <v>#N/A</v>
      </c>
      <c r="AQ155" s="1737"/>
      <c r="AR155" s="3055" t="e">
        <f t="shared" si="34"/>
        <v>#N/A</v>
      </c>
      <c r="AS155" s="1737"/>
      <c r="AT155" s="3055" t="e">
        <f t="shared" si="35"/>
        <v>#N/A</v>
      </c>
      <c r="AU155" s="1737" t="str">
        <f t="shared" si="38"/>
        <v/>
      </c>
      <c r="AV155" s="1737"/>
    </row>
    <row r="156" spans="1:48" ht="12" customHeight="1" x14ac:dyDescent="0.2">
      <c r="A156" s="29"/>
      <c r="B156" s="823" t="str">
        <f t="shared" si="40"/>
        <v>Intelectuales</v>
      </c>
      <c r="C156" s="3582"/>
      <c r="D156" s="4054"/>
      <c r="E156" s="3964" t="s">
        <v>1447</v>
      </c>
      <c r="F156" s="3965"/>
      <c r="G156" s="3965"/>
      <c r="H156" s="795" t="s">
        <v>1386</v>
      </c>
      <c r="I156" s="1527"/>
      <c r="J156" s="2010">
        <f>IF(ISNA(AL156),0,MAX(MIN(AL156-VLOOKUP("Apto en campo: "&amp;$B156,Tabla_Ventajas,3,FALSE)-Tablas!$O308-2*Tablas!$Q308,3),1))</f>
        <v>0</v>
      </c>
      <c r="K156" s="1810"/>
      <c r="L156" s="2010">
        <f>IF(ISNA(AN156),0,MAX(MIN(AN156-VLOOKUP("Apto en campo: "&amp;$B156,Tabla_Ventajas,3,FALSE)-Tablas!$O308-2*Tablas!$Q308,3),1))</f>
        <v>0</v>
      </c>
      <c r="M156" s="1810"/>
      <c r="N156" s="2010">
        <f>IF(ISNA(AP156),0,MAX(MIN(AP156-VLOOKUP("Apto en campo: "&amp;$B156,Tabla_Ventajas,3,FALSE)-Tablas!$O308-2*Tablas!$Q308,3),1))</f>
        <v>0</v>
      </c>
      <c r="O156" s="1810"/>
      <c r="P156" s="2010">
        <f>IF(ISNA(AR156),0,MAX(MIN(AR156-VLOOKUP("Apto en campo: "&amp;$B156,Tabla_Ventajas,3,FALSE)-Tablas!$O308-2*Tablas!$Q308,3),1))</f>
        <v>0</v>
      </c>
      <c r="Q156" s="1810"/>
      <c r="R156" s="2010">
        <f>IF(ISNA(AT156),0,MAX(MIN(AT156-VLOOKUP("Apto en campo: "&amp;$B156,Tabla_Ventajas,3,FALSE)-Tablas!$O308-2*Tablas!$Q308,3),1))</f>
        <v>0</v>
      </c>
      <c r="S156" s="1810"/>
      <c r="T156" s="494">
        <f>IF(J156=0,0,TRUNC(K156/J156,0))+IF(L156=0,0,TRUNC(M156/L156,0))+IF(N156=0,0,TRUNC(O156/N156,0))+IF(P156=0,0,TRUNC(Q156/P156,0))+IF(R156=0,0,TRUNC(S156/R156,0))+IF(Personalización!$E$12="Como Base (no oficial)",AF156,0)</f>
        <v>0</v>
      </c>
      <c r="U156" s="494">
        <f t="shared" si="28"/>
        <v>0</v>
      </c>
      <c r="V156" s="494">
        <f>IF(ISNA(HLOOKUP($E156,Bonos_Cat_Base,2,FALSE)),0,HLOOKUP($E156,Bonos_Cat_Base,2,FALSE))+Tablas!$X308*Nivel_Total+10*Y156</f>
        <v>0</v>
      </c>
      <c r="W156" s="1809"/>
      <c r="X156" s="1810"/>
      <c r="Y156" s="1809"/>
      <c r="Z156" s="2215"/>
      <c r="AA156" s="502" t="str">
        <f>IF(AND(T156&lt;5,Tablas!G$310=0),"-",T156+U156+V156+Z156+IF(I156="",0,40)+Mod_ATA+AD156+IF(Personalización!$E$12="Como Base (no oficial)",0,AF156))</f>
        <v>-</v>
      </c>
      <c r="AB156" s="1741">
        <f t="shared" si="29"/>
        <v>0</v>
      </c>
      <c r="AC156" s="845"/>
      <c r="AD156" s="3044">
        <f>Tablas!$K$1816</f>
        <v>0</v>
      </c>
      <c r="AE156" s="3061"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069">
        <f>IF(AF$126,IF(OR(Region="",ClaseSocial="",Personalización!$AN$9),0,IF(OR(AND(AI156,AJ156),AND(NOT(AI156),NOT(AJ156))),LEFT(AG156,2)+LEFT(AH156,2),IF(AND(AI156,NOT(AJ156)),LEFT(AH156,2),0))),0)</f>
        <v>0</v>
      </c>
      <c r="AG156" s="3044">
        <f>HLOOKUP(Region&amp;ClaseSocial,Tabla_RaicesCulturales,Tablas!F169,FALSE)</f>
        <v>0</v>
      </c>
      <c r="AH156" s="3061">
        <f>IF(AND(E156="Historia",Personalización!$E$16="Historia (Local)"),20&amp;" "&amp;Personalización!$E$16,IF(E156=Personalización!$E$15,VLOOKUP(E156,Tablas!$L$136:$M$137,2,FALSE),IF(E156=Personalización!$E$16,VLOOKUP(E156,Tablas!$N$136:$O$137,2,FALSE),0)))</f>
        <v>0</v>
      </c>
      <c r="AI156" s="3061" t="b">
        <f t="shared" si="41"/>
        <v>0</v>
      </c>
      <c r="AJ156" s="3061" t="b">
        <f t="shared" si="42"/>
        <v>0</v>
      </c>
      <c r="AK156" s="3061"/>
      <c r="AL156" s="3055" t="e">
        <f t="shared" si="37"/>
        <v>#N/A</v>
      </c>
      <c r="AM156" s="3055"/>
      <c r="AN156" s="3055" t="e">
        <f t="shared" si="32"/>
        <v>#N/A</v>
      </c>
      <c r="AO156" s="3055"/>
      <c r="AP156" s="3055" t="e">
        <f t="shared" si="33"/>
        <v>#N/A</v>
      </c>
      <c r="AQ156" s="1737"/>
      <c r="AR156" s="3055" t="e">
        <f t="shared" si="34"/>
        <v>#N/A</v>
      </c>
      <c r="AS156" s="1737"/>
      <c r="AT156" s="3055" t="e">
        <f t="shared" si="35"/>
        <v>#N/A</v>
      </c>
      <c r="AU156" s="1737" t="str">
        <f t="shared" si="38"/>
        <v/>
      </c>
      <c r="AV156" s="1737"/>
    </row>
    <row r="157" spans="1:48" ht="12" customHeight="1" x14ac:dyDescent="0.2">
      <c r="A157" s="29"/>
      <c r="B157" s="823" t="str">
        <f t="shared" si="40"/>
        <v>Intelectuales</v>
      </c>
      <c r="C157" s="3582"/>
      <c r="D157" s="4055"/>
      <c r="E157" s="3941" t="s">
        <v>1448</v>
      </c>
      <c r="F157" s="3942"/>
      <c r="G157" s="3942"/>
      <c r="H157" s="799" t="s">
        <v>1391</v>
      </c>
      <c r="I157" s="1498"/>
      <c r="J157" s="2008">
        <f>IF(ISNA(AL157),0,MAX(MIN(AL157-VLOOKUP("Apto en campo: "&amp;$B157,Tabla_Ventajas,3,FALSE)-Tablas!$O309-2*Tablas!$Q309,3),1))</f>
        <v>0</v>
      </c>
      <c r="K157" s="1818"/>
      <c r="L157" s="2008">
        <f>IF(ISNA(AN157),0,MAX(MIN(AN157-VLOOKUP("Apto en campo: "&amp;$B157,Tabla_Ventajas,3,FALSE)-Tablas!$O309-2*Tablas!$Q309,3),1))</f>
        <v>0</v>
      </c>
      <c r="M157" s="1818"/>
      <c r="N157" s="2008">
        <f>IF(ISNA(AP157),0,MAX(MIN(AP157-VLOOKUP("Apto en campo: "&amp;$B157,Tabla_Ventajas,3,FALSE)-Tablas!$O309-2*Tablas!$Q309,3),1))</f>
        <v>0</v>
      </c>
      <c r="O157" s="1818"/>
      <c r="P157" s="2008">
        <f>IF(ISNA(AR157),0,MAX(MIN(AR157-VLOOKUP("Apto en campo: "&amp;$B157,Tabla_Ventajas,3,FALSE)-Tablas!$O309-2*Tablas!$Q309,3),1))</f>
        <v>0</v>
      </c>
      <c r="Q157" s="1818"/>
      <c r="R157" s="2008">
        <f>IF(ISNA(AT157),0,MAX(MIN(AT157-VLOOKUP("Apto en campo: "&amp;$B157,Tabla_Ventajas,3,FALSE)-Tablas!$O309-2*Tablas!$Q309,3),1))</f>
        <v>0</v>
      </c>
      <c r="S157" s="1818"/>
      <c r="T157" s="496">
        <f>IF(J157=0,0,TRUNC(K157/J157,0))+IF(L157=0,0,TRUNC(M157/L157,0))+IF(N157=0,0,TRUNC(O157/N157,0))+IF(P157=0,0,TRUNC(Q157/P157,0))+IF(R157=0,0,TRUNC(S157/R157,0))+IF(Personalización!$E$12="Como Base (no oficial)",AF157,0)</f>
        <v>0</v>
      </c>
      <c r="U157" s="496">
        <f t="shared" si="28"/>
        <v>0</v>
      </c>
      <c r="V157" s="496">
        <f>IF(ISNA(HLOOKUP($E157,Bonos_Cat_Base,2,FALSE)),0,HLOOKUP($E157,Bonos_Cat_Base,2,FALSE))+Tablas!$X309*Nivel_Total+10*Y157</f>
        <v>0</v>
      </c>
      <c r="W157" s="1817"/>
      <c r="X157" s="1818"/>
      <c r="Y157" s="1817"/>
      <c r="Z157" s="2219"/>
      <c r="AA157" s="2332" t="str">
        <f>IF(AND(T157&lt;5,Tablas!G$310=0),"-",T157+U157+V157+Z157+IF(I157="",0,40)+Mod_ATA+AD157+IF(Personalización!$E$12="Como Base (no oficial)",0,AF157))</f>
        <v>-</v>
      </c>
      <c r="AB157" s="1741">
        <f t="shared" si="29"/>
        <v>0</v>
      </c>
      <c r="AC157" s="845"/>
      <c r="AD157" s="3044">
        <f>Tablas!$K$1816</f>
        <v>0</v>
      </c>
      <c r="AE157" s="3061"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069">
        <f>IF(AF$126,IF(OR(Region="",ClaseSocial="",Personalización!$AN$9),0,IF(OR(AND(AI157,AJ157),AND(NOT(AI157),NOT(AJ157))),LEFT(AG157,2)+LEFT(AH157,2),IF(AND(AI157,NOT(AJ157)),LEFT(AH157,2),0))),0)</f>
        <v>0</v>
      </c>
      <c r="AG157" s="3044">
        <f>HLOOKUP(Region&amp;ClaseSocial,Tabla_RaicesCulturales,Tablas!F170,FALSE)</f>
        <v>0</v>
      </c>
      <c r="AH157" s="3061">
        <f>IF(AND(E157="Historia",Personalización!$E$16="Historia (Local)"),20&amp;" "&amp;Personalización!$E$16,IF(E157=Personalización!$E$15,VLOOKUP(E157,Tablas!$L$136:$M$137,2,FALSE),IF(E157=Personalización!$E$16,VLOOKUP(E157,Tablas!$N$136:$O$137,2,FALSE),0)))</f>
        <v>0</v>
      </c>
      <c r="AI157" s="3061" t="b">
        <f t="shared" si="41"/>
        <v>0</v>
      </c>
      <c r="AJ157" s="3061" t="b">
        <f t="shared" si="42"/>
        <v>0</v>
      </c>
      <c r="AK157" s="3061"/>
      <c r="AL157" s="3055" t="e">
        <f t="shared" si="37"/>
        <v>#N/A</v>
      </c>
      <c r="AM157" s="3055"/>
      <c r="AN157" s="3055" t="e">
        <f t="shared" si="32"/>
        <v>#N/A</v>
      </c>
      <c r="AO157" s="3055"/>
      <c r="AP157" s="3055" t="e">
        <f t="shared" si="33"/>
        <v>#N/A</v>
      </c>
      <c r="AQ157" s="1737"/>
      <c r="AR157" s="3055" t="e">
        <f t="shared" si="34"/>
        <v>#N/A</v>
      </c>
      <c r="AS157" s="1737"/>
      <c r="AT157" s="3055" t="e">
        <f t="shared" si="35"/>
        <v>#N/A</v>
      </c>
      <c r="AU157" s="1737" t="str">
        <f t="shared" si="38"/>
        <v/>
      </c>
      <c r="AV157" s="1737"/>
    </row>
    <row r="158" spans="1:48" ht="12" customHeight="1" x14ac:dyDescent="0.2">
      <c r="A158" s="29"/>
      <c r="B158" s="823" t="str">
        <f>D158</f>
        <v>Vigor</v>
      </c>
      <c r="C158" s="3582"/>
      <c r="D158" s="4054" t="s">
        <v>1449</v>
      </c>
      <c r="E158" s="3964" t="s">
        <v>1450</v>
      </c>
      <c r="F158" s="3965"/>
      <c r="G158" s="3965"/>
      <c r="H158" s="795" t="s">
        <v>1392</v>
      </c>
      <c r="I158" s="1527"/>
      <c r="J158" s="2010">
        <f>IF(ISNA(AL158),0,MAX(MIN(AL158-VLOOKUP("Apto en campo: "&amp;$B158,Tabla_Ventajas,3,FALSE)-Tablas!$O310-2*Tablas!$Q310,3),1))</f>
        <v>0</v>
      </c>
      <c r="K158" s="1810"/>
      <c r="L158" s="2010">
        <f>IF(ISNA(AN158),0,MAX(MIN(AN158-VLOOKUP("Apto en campo: "&amp;$B158,Tabla_Ventajas,3,FALSE)-Tablas!$O310-2*Tablas!$Q310,3),1))</f>
        <v>0</v>
      </c>
      <c r="M158" s="1810"/>
      <c r="N158" s="2010">
        <f>IF(ISNA(AP158),0,MAX(MIN(AP158-VLOOKUP("Apto en campo: "&amp;$B158,Tabla_Ventajas,3,FALSE)-Tablas!$O310-2*Tablas!$Q310,3),1))</f>
        <v>0</v>
      </c>
      <c r="O158" s="1810"/>
      <c r="P158" s="2010">
        <f>IF(ISNA(AR158),0,MAX(MIN(AR158-VLOOKUP("Apto en campo: "&amp;$B158,Tabla_Ventajas,3,FALSE)-Tablas!$O310-2*Tablas!$Q310,3),1))</f>
        <v>0</v>
      </c>
      <c r="Q158" s="1810"/>
      <c r="R158" s="2010">
        <f>IF(ISNA(AT158),0,MAX(MIN(AT158-VLOOKUP("Apto en campo: "&amp;$B158,Tabla_Ventajas,3,FALSE)-Tablas!$O310-2*Tablas!$Q310,3),1))</f>
        <v>0</v>
      </c>
      <c r="S158" s="1810"/>
      <c r="T158" s="494">
        <f>IF(J158=0,0,TRUNC(K158/J158,0))+IF(L158=0,0,TRUNC(M158/L158,0))+IF(N158=0,0,TRUNC(O158/N158,0))+IF(P158=0,0,TRUNC(Q158/P158,0))+IF(R158=0,0,TRUNC(S158/R158,0))+IF(Personalización!$E$12="Como Base (no oficial)",AF158,0)</f>
        <v>0</v>
      </c>
      <c r="U158" s="494">
        <f t="shared" si="28"/>
        <v>0</v>
      </c>
      <c r="V158" s="494">
        <f>IF(ISNA(HLOOKUP($E158,Bonos_Cat_Base,2,FALSE)),0,HLOOKUP($E158,Bonos_Cat_Base,2,FALSE))+Tablas!$X310*Nivel_Total+10*Y158</f>
        <v>0</v>
      </c>
      <c r="W158" s="1809"/>
      <c r="X158" s="1810"/>
      <c r="Y158" s="1809"/>
      <c r="Z158" s="2215"/>
      <c r="AA158" s="1307">
        <f>IF(AND(T158&lt;5,Tablas!G$310=0),-30,0)+T158+U158+V158+Z158+IF(I158="",0,40)+Mod_ATA+AD158+IF(Personalización!$E$12="Como Base (no oficial)",0,AF158)</f>
        <v>-30</v>
      </c>
      <c r="AB158" s="1741">
        <f t="shared" si="29"/>
        <v>0</v>
      </c>
      <c r="AC158" s="845"/>
      <c r="AD158" s="3044">
        <f>Tablas!$K$1879+Tablas!$K$1941+IF(Tablas!$G$374&gt;0,60,0)</f>
        <v>0</v>
      </c>
      <c r="AE158" s="3061"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069">
        <f>IF(AF$126,IF(OR(Region="",ClaseSocial="",Personalización!$AN$9),0,IF(OR(AND(AI158,AJ158),AND(NOT(AI158),NOT(AJ158))),LEFT(AG158,2)+LEFT(AH158,2),IF(AND(AI158,NOT(AJ158)),LEFT(AH158,2),0))),0)</f>
        <v>0</v>
      </c>
      <c r="AG158" s="3044">
        <f>HLOOKUP(Region&amp;ClaseSocial,Tabla_RaicesCulturales,Tablas!F171,FALSE)</f>
        <v>0</v>
      </c>
      <c r="AH158" s="3061">
        <f>IF(AND(E158="Historia",Personalización!$E$16="Historia (Local)"),20&amp;" "&amp;Personalización!$E$16,IF(E158=Personalización!$E$15,VLOOKUP(E158,Tablas!$L$136:$M$137,2,FALSE),IF(E158=Personalización!$E$16,VLOOKUP(E158,Tablas!$N$136:$O$137,2,FALSE),0)))</f>
        <v>0</v>
      </c>
      <c r="AI158" s="3061" t="b">
        <f t="shared" si="41"/>
        <v>0</v>
      </c>
      <c r="AJ158" s="3061" t="b">
        <f t="shared" si="42"/>
        <v>0</v>
      </c>
      <c r="AK158" s="3061"/>
      <c r="AL158" s="3055" t="e">
        <f t="shared" si="37"/>
        <v>#N/A</v>
      </c>
      <c r="AM158" s="3055"/>
      <c r="AN158" s="3055" t="e">
        <f t="shared" si="32"/>
        <v>#N/A</v>
      </c>
      <c r="AO158" s="3055"/>
      <c r="AP158" s="3055" t="e">
        <f t="shared" si="33"/>
        <v>#N/A</v>
      </c>
      <c r="AQ158" s="1737"/>
      <c r="AR158" s="3055" t="e">
        <f t="shared" si="34"/>
        <v>#N/A</v>
      </c>
      <c r="AS158" s="1737"/>
      <c r="AT158" s="3055" t="e">
        <f t="shared" si="35"/>
        <v>#N/A</v>
      </c>
      <c r="AU158" s="1737" t="str">
        <f t="shared" si="38"/>
        <v/>
      </c>
      <c r="AV158" s="1737"/>
    </row>
    <row r="159" spans="1:48" ht="12" customHeight="1" x14ac:dyDescent="0.2">
      <c r="A159" s="29"/>
      <c r="B159" s="823" t="str">
        <f>B158</f>
        <v>Vigor</v>
      </c>
      <c r="C159" s="3582"/>
      <c r="D159" s="4054"/>
      <c r="E159" s="3961" t="s">
        <v>1451</v>
      </c>
      <c r="F159" s="3962"/>
      <c r="G159" s="3962"/>
      <c r="H159" s="796" t="s">
        <v>1383</v>
      </c>
      <c r="I159" s="1496"/>
      <c r="J159" s="552">
        <f>IF(ISNA(AL159),0,MAX(MIN(AL159-VLOOKUP("Apto en campo: "&amp;$B159,Tabla_Ventajas,3,FALSE)-Tablas!$O311-2*Tablas!$Q311,3),1))</f>
        <v>0</v>
      </c>
      <c r="K159" s="1812"/>
      <c r="L159" s="552">
        <f>IF(ISNA(AN159),0,MAX(MIN(AN159-VLOOKUP("Apto en campo: "&amp;$B159,Tabla_Ventajas,3,FALSE)-Tablas!$O311-2*Tablas!$Q311,3),1))</f>
        <v>0</v>
      </c>
      <c r="M159" s="1812"/>
      <c r="N159" s="552">
        <f>IF(ISNA(AP159),0,MAX(MIN(AP159-VLOOKUP("Apto en campo: "&amp;$B159,Tabla_Ventajas,3,FALSE)-Tablas!$O311-2*Tablas!$Q311,3),1))</f>
        <v>0</v>
      </c>
      <c r="O159" s="1812"/>
      <c r="P159" s="552">
        <f>IF(ISNA(AR159),0,MAX(MIN(AR159-VLOOKUP("Apto en campo: "&amp;$B159,Tabla_Ventajas,3,FALSE)-Tablas!$O311-2*Tablas!$Q311,3),1))</f>
        <v>0</v>
      </c>
      <c r="Q159" s="1812"/>
      <c r="R159" s="552">
        <f>IF(ISNA(AT159),0,MAX(MIN(AT159-VLOOKUP("Apto en campo: "&amp;$B159,Tabla_Ventajas,3,FALSE)-Tablas!$O311-2*Tablas!$Q311,3),1))</f>
        <v>0</v>
      </c>
      <c r="S159" s="1812"/>
      <c r="T159" s="495">
        <f>IF(J159=0,0,TRUNC(K159/J159,0))+IF(L159=0,0,TRUNC(M159/L159,0))+IF(N159=0,0,TRUNC(O159/N159,0))+IF(P159=0,0,TRUNC(Q159/P159,0))+IF(R159=0,0,TRUNC(S159/R159,0))+IF(Personalización!$E$12="Como Base (no oficial)",AF159,0)</f>
        <v>0</v>
      </c>
      <c r="U159" s="495">
        <f t="shared" si="28"/>
        <v>0</v>
      </c>
      <c r="V159" s="495">
        <f>IF(ISNA(HLOOKUP($E159,Bonos_Cat_Base,2,FALSE)),0,HLOOKUP($E159,Bonos_Cat_Base,2,FALSE))+Tablas!$X311*Nivel_Total+10*Y159</f>
        <v>0</v>
      </c>
      <c r="W159" s="1811"/>
      <c r="X159" s="1812"/>
      <c r="Y159" s="1811"/>
      <c r="Z159" s="2216"/>
      <c r="AA159" s="1308">
        <f>IF(AND(T159&lt;5,Tablas!G$310=0),-30,0)+T159+U159+V159+Z159+IF(I159="",0,40)+Mod_ATA+AD159+IF(Personalización!$E$12="Como Base (no oficial)",0,AF159)</f>
        <v>-30</v>
      </c>
      <c r="AB159" s="1741">
        <f t="shared" si="29"/>
        <v>0</v>
      </c>
      <c r="AC159" s="845"/>
      <c r="AD159" s="3044"/>
      <c r="AE159" s="3061"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069">
        <f>IF(AF$126,IF(OR(Region="",ClaseSocial="",Personalización!$AN$9),0,IF(OR(AND(AI159,AJ159),AND(NOT(AI159),NOT(AJ159))),LEFT(AG159,2)+LEFT(AH159,2),IF(AND(AI159,NOT(AJ159)),LEFT(AH159,2),0))),0)</f>
        <v>0</v>
      </c>
      <c r="AG159" s="3044">
        <f>HLOOKUP(Region&amp;ClaseSocial,Tabla_RaicesCulturales,Tablas!F172,FALSE)</f>
        <v>0</v>
      </c>
      <c r="AH159" s="3061">
        <f>IF(AND(E159="Historia",Personalización!$E$16="Historia (Local)"),20&amp;" "&amp;Personalización!$E$16,IF(E159=Personalización!$E$15,VLOOKUP(E159,Tablas!$L$136:$M$137,2,FALSE),IF(E159=Personalización!$E$16,VLOOKUP(E159,Tablas!$N$136:$O$137,2,FALSE),0)))</f>
        <v>0</v>
      </c>
      <c r="AI159" s="3061" t="b">
        <f t="shared" si="41"/>
        <v>0</v>
      </c>
      <c r="AJ159" s="3061" t="b">
        <f t="shared" si="42"/>
        <v>0</v>
      </c>
      <c r="AK159" s="3061"/>
      <c r="AL159" s="3055" t="e">
        <f t="shared" si="37"/>
        <v>#N/A</v>
      </c>
      <c r="AM159" s="3055"/>
      <c r="AN159" s="3055" t="e">
        <f t="shared" si="32"/>
        <v>#N/A</v>
      </c>
      <c r="AO159" s="3055"/>
      <c r="AP159" s="3055" t="e">
        <f t="shared" si="33"/>
        <v>#N/A</v>
      </c>
      <c r="AQ159" s="1737"/>
      <c r="AR159" s="3055" t="e">
        <f t="shared" si="34"/>
        <v>#N/A</v>
      </c>
      <c r="AS159" s="1737"/>
      <c r="AT159" s="3055" t="e">
        <f t="shared" si="35"/>
        <v>#N/A</v>
      </c>
      <c r="AU159" s="1737" t="str">
        <f t="shared" si="38"/>
        <v/>
      </c>
      <c r="AV159" s="1737"/>
    </row>
    <row r="160" spans="1:48" ht="12" customHeight="1" x14ac:dyDescent="0.2">
      <c r="A160" s="29"/>
      <c r="B160" s="823" t="str">
        <f>B159</f>
        <v>Vigor</v>
      </c>
      <c r="C160" s="3582"/>
      <c r="D160" s="4054"/>
      <c r="E160" s="3964" t="s">
        <v>1454</v>
      </c>
      <c r="F160" s="3965"/>
      <c r="G160" s="3965"/>
      <c r="H160" s="795" t="s">
        <v>1392</v>
      </c>
      <c r="I160" s="1527"/>
      <c r="J160" s="2010">
        <f>IF(ISNA(AL160),0,MAX(MIN(AL160-VLOOKUP("Apto en campo: "&amp;$B160,Tabla_Ventajas,3,FALSE)-Tablas!$O312-2*Tablas!$Q312,3),1))</f>
        <v>0</v>
      </c>
      <c r="K160" s="1810"/>
      <c r="L160" s="2010">
        <f>IF(ISNA(AN160),0,MAX(MIN(AN160-VLOOKUP("Apto en campo: "&amp;$B160,Tabla_Ventajas,3,FALSE)-Tablas!$O312-2*Tablas!$Q312,3),1))</f>
        <v>0</v>
      </c>
      <c r="M160" s="1810"/>
      <c r="N160" s="2010">
        <f>IF(ISNA(AP160),0,MAX(MIN(AP160-VLOOKUP("Apto en campo: "&amp;$B160,Tabla_Ventajas,3,FALSE)-Tablas!$O312-2*Tablas!$Q312,3),1))</f>
        <v>0</v>
      </c>
      <c r="O160" s="1810"/>
      <c r="P160" s="2010">
        <f>IF(ISNA(AR160),0,MAX(MIN(AR160-VLOOKUP("Apto en campo: "&amp;$B160,Tabla_Ventajas,3,FALSE)-Tablas!$O312-2*Tablas!$Q312,3),1))</f>
        <v>0</v>
      </c>
      <c r="Q160" s="1810"/>
      <c r="R160" s="2010">
        <f>IF(ISNA(AT160),0,MAX(MIN(AT160-VLOOKUP("Apto en campo: "&amp;$B160,Tabla_Ventajas,3,FALSE)-Tablas!$O312-2*Tablas!$Q312,3),1))</f>
        <v>0</v>
      </c>
      <c r="S160" s="1810"/>
      <c r="T160" s="494">
        <f>IF(J160=0,0,TRUNC(K160/J160,0))+IF(L160=0,0,TRUNC(M160/L160,0))+IF(N160=0,0,TRUNC(O160/N160,0))+IF(P160=0,0,TRUNC(Q160/P160,0))+IF(R160=0,0,TRUNC(S160/R160,0))+IF(Personalización!$E$12="Como Base (no oficial)",AF160,0)</f>
        <v>0</v>
      </c>
      <c r="U160" s="494">
        <f t="shared" si="28"/>
        <v>0</v>
      </c>
      <c r="V160" s="494">
        <f>IF(ISNA(HLOOKUP($E160,Bonos_Cat_Base,2,FALSE)),0,HLOOKUP($E160,Bonos_Cat_Base,2,FALSE))+Tablas!$X312*Nivel_Total+10*Y160</f>
        <v>0</v>
      </c>
      <c r="W160" s="1809"/>
      <c r="X160" s="1810"/>
      <c r="Y160" s="1809"/>
      <c r="Z160" s="2215"/>
      <c r="AA160" s="1307">
        <f>IF(AND(T160&lt;5,Tablas!G$310=0),-30,0)+T160+U160+V160+Z160+IF(I160="",0,40)+Mod_ATA+AD160+IF(Personalización!$E$12="Como Base (no oficial)",0,AF160)</f>
        <v>-30</v>
      </c>
      <c r="AB160" s="1741">
        <f t="shared" si="29"/>
        <v>0</v>
      </c>
      <c r="AC160" s="845"/>
      <c r="AD160" s="3044">
        <f>Tablas!$K$1941</f>
        <v>0</v>
      </c>
      <c r="AE160" s="3061"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069">
        <f>IF(AF$126,IF(OR(Region="",ClaseSocial="",Personalización!$AN$9),0,IF(OR(AND(AI160,AJ160),AND(NOT(AI160),NOT(AJ160))),LEFT(AG160,2)+LEFT(AH160,2),IF(AND(AI160,NOT(AJ160)),LEFT(AH160,2),0))),0)</f>
        <v>0</v>
      </c>
      <c r="AG160" s="3044">
        <f>HLOOKUP(Region&amp;ClaseSocial,Tabla_RaicesCulturales,Tablas!F173,FALSE)</f>
        <v>0</v>
      </c>
      <c r="AH160" s="3061">
        <f>IF(AND(E160="Historia",Personalización!$E$16="Historia (Local)"),20&amp;" "&amp;Personalización!$E$16,IF(E160=Personalización!$E$15,VLOOKUP(E160,Tablas!$L$136:$M$137,2,FALSE),IF(E160=Personalización!$E$16,VLOOKUP(E160,Tablas!$N$136:$O$137,2,FALSE),0)))</f>
        <v>0</v>
      </c>
      <c r="AI160" s="3061" t="b">
        <f t="shared" si="41"/>
        <v>0</v>
      </c>
      <c r="AJ160" s="3061" t="b">
        <f t="shared" si="42"/>
        <v>0</v>
      </c>
      <c r="AK160" s="3061"/>
      <c r="AL160" s="3055" t="e">
        <f t="shared" si="37"/>
        <v>#N/A</v>
      </c>
      <c r="AM160" s="3055"/>
      <c r="AN160" s="3055" t="e">
        <f t="shared" si="32"/>
        <v>#N/A</v>
      </c>
      <c r="AO160" s="3055"/>
      <c r="AP160" s="3055" t="e">
        <f t="shared" si="33"/>
        <v>#N/A</v>
      </c>
      <c r="AQ160" s="1737"/>
      <c r="AR160" s="3055" t="e">
        <f t="shared" si="34"/>
        <v>#N/A</v>
      </c>
      <c r="AS160" s="1737"/>
      <c r="AT160" s="3055" t="e">
        <f t="shared" si="35"/>
        <v>#N/A</v>
      </c>
      <c r="AU160" s="1737" t="str">
        <f t="shared" si="38"/>
        <v/>
      </c>
      <c r="AV160" s="1737"/>
    </row>
    <row r="161" spans="1:48" ht="12" customHeight="1" x14ac:dyDescent="0.2">
      <c r="A161" s="29"/>
      <c r="B161" s="823" t="str">
        <f>D161</f>
        <v>Subterfugio</v>
      </c>
      <c r="C161" s="3582"/>
      <c r="D161" s="4053" t="s">
        <v>1457</v>
      </c>
      <c r="E161" s="4096" t="s">
        <v>1458</v>
      </c>
      <c r="F161" s="3991"/>
      <c r="G161" s="3991"/>
      <c r="H161" s="800" t="s">
        <v>1378</v>
      </c>
      <c r="I161" s="1499"/>
      <c r="J161" s="2009">
        <f>IF(ISNA(AL161),0,MAX(MIN(AL161-VLOOKUP("Apto en campo: "&amp;$B161,Tabla_Ventajas,3,FALSE)-Tablas!$O313-2*Tablas!$Q313,3),1))</f>
        <v>0</v>
      </c>
      <c r="K161" s="1820"/>
      <c r="L161" s="2009">
        <f>IF(ISNA(AN161),0,MAX(MIN(AN161-VLOOKUP("Apto en campo: "&amp;$B161,Tabla_Ventajas,3,FALSE)-Tablas!$O313-2*Tablas!$Q313,3),1))</f>
        <v>0</v>
      </c>
      <c r="M161" s="1820"/>
      <c r="N161" s="2009">
        <f>IF(ISNA(AP161),0,MAX(MIN(AP161-VLOOKUP("Apto en campo: "&amp;$B161,Tabla_Ventajas,3,FALSE)-Tablas!$O313-2*Tablas!$Q313,3),1))</f>
        <v>0</v>
      </c>
      <c r="O161" s="1820"/>
      <c r="P161" s="2009">
        <f>IF(ISNA(AR161),0,MAX(MIN(AR161-VLOOKUP("Apto en campo: "&amp;$B161,Tabla_Ventajas,3,FALSE)-Tablas!$O313-2*Tablas!$Q313,3),1))</f>
        <v>0</v>
      </c>
      <c r="Q161" s="1820"/>
      <c r="R161" s="2009">
        <f>IF(ISNA(AT161),0,MAX(MIN(AT161-VLOOKUP("Apto en campo: "&amp;$B161,Tabla_Ventajas,3,FALSE)-Tablas!$O313-2*Tablas!$Q313,3),1))</f>
        <v>0</v>
      </c>
      <c r="S161" s="1820"/>
      <c r="T161" s="493">
        <f>IF(J161=0,0,TRUNC(K161/J161,0))+IF(L161=0,0,TRUNC(M161/L161,0))+IF(N161=0,0,TRUNC(O161/N161,0))+IF(P161=0,0,TRUNC(Q161/P161,0))+IF(R161=0,0,TRUNC(S161/R161,0))+IF(Personalización!$E$12="Como Base (no oficial)",AF161,0)</f>
        <v>0</v>
      </c>
      <c r="U161" s="493">
        <f t="shared" ref="U161:U179" si="43">MIN(VLOOKUP($H161,Tabla_Características,5,0)*(1+W161)+10*Con.TodasMaterias+10*X161,100)</f>
        <v>0</v>
      </c>
      <c r="V161" s="493">
        <f>IF(ISNA(HLOOKUP($E161,Bonos_Cat_Base,2,FALSE)),0,HLOOKUP($E161,Bonos_Cat_Base,2,FALSE))+Tablas!$X313*Nivel_Total+10*Y161</f>
        <v>0</v>
      </c>
      <c r="W161" s="1819"/>
      <c r="X161" s="1820"/>
      <c r="Y161" s="1819"/>
      <c r="Z161" s="2220"/>
      <c r="AA161" s="2336">
        <f>IF(AND(T161&lt;5,Tablas!G$310=0),-30,0)+T161+U161+V161+Z161+IF(I161="",0,40)+Mod_ATA+AD161+IF(Personalización!$E$12="Como Base (no oficial)",0,AF161)</f>
        <v>-30</v>
      </c>
      <c r="AB161" s="1741">
        <f t="shared" ref="AB161:AB184" si="44">IF(AA161="-",0,IF(AA161&gt;VLOOKUP(Nivel_Total,Tabla_LímiteSecundarias,2),1,0))</f>
        <v>0</v>
      </c>
      <c r="AC161" s="845"/>
      <c r="AD161" s="3044"/>
      <c r="AE161" s="3061"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069">
        <f>IF(AF$126,IF(OR(Region="",ClaseSocial="",Personalización!$AN$9),0,IF(OR(AND(AI161,AJ161),AND(NOT(AI161),NOT(AJ161))),LEFT(AG161,2)+LEFT(AH161,2),IF(AND(AI161,NOT(AJ161)),LEFT(AH161,2),0))),0)</f>
        <v>0</v>
      </c>
      <c r="AG161" s="3044">
        <f>HLOOKUP(Region&amp;ClaseSocial,Tabla_RaicesCulturales,Tablas!F174,FALSE)</f>
        <v>0</v>
      </c>
      <c r="AH161" s="3061">
        <f>IF(AND(E161="Historia",Personalización!$E$16="Historia (Local)"),20&amp;" "&amp;Personalización!$E$16,IF(E161=Personalización!$E$15,VLOOKUP(E161,Tablas!$L$136:$M$137,2,FALSE),IF(E161=Personalización!$E$16,VLOOKUP(E161,Tablas!$N$136:$O$137,2,FALSE),0)))</f>
        <v>0</v>
      </c>
      <c r="AI161" s="3061" t="b">
        <f t="shared" ref="AI161:AI179" si="45">OR(ISNUMBER(FIND("(",AG161)),ISNUMBER(FIND("(",AH161)))</f>
        <v>0</v>
      </c>
      <c r="AJ161" s="3061" t="b">
        <f t="shared" ref="AJ161:AJ179" si="46">AND(NOT(I161=""),OR(ISNUMBER(SEARCH(I161,AG161)),ISNUMBER(SEARCH(I161,AH161))))</f>
        <v>0</v>
      </c>
      <c r="AK161" s="3061"/>
      <c r="AL161" s="3055"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055"/>
      <c r="AN161" s="3055"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055"/>
      <c r="AP161" s="3055"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1737"/>
      <c r="AR161" s="3055"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1737"/>
      <c r="AT161" s="3055"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1737" t="str">
        <f t="shared" si="38"/>
        <v/>
      </c>
      <c r="AV161" s="1737"/>
    </row>
    <row r="162" spans="1:48" ht="12" customHeight="1" x14ac:dyDescent="0.2">
      <c r="A162" s="29"/>
      <c r="B162" s="823" t="str">
        <f t="shared" ref="B162:B167" si="52">B161</f>
        <v>Subterfugio</v>
      </c>
      <c r="C162" s="3582"/>
      <c r="D162" s="4054"/>
      <c r="E162" s="3964" t="s">
        <v>1460</v>
      </c>
      <c r="F162" s="3965"/>
      <c r="G162" s="3965"/>
      <c r="H162" s="795" t="s">
        <v>1378</v>
      </c>
      <c r="I162" s="1527"/>
      <c r="J162" s="2010">
        <f>IF(ISNA(AL162),0,MAX(MIN(AL162-VLOOKUP("Apto en campo: "&amp;$B162,Tabla_Ventajas,3,FALSE)-Tablas!$O314-2*Tablas!$Q314,3),1))</f>
        <v>0</v>
      </c>
      <c r="K162" s="1810"/>
      <c r="L162" s="2010">
        <f>IF(ISNA(AN162),0,MAX(MIN(AN162-VLOOKUP("Apto en campo: "&amp;$B162,Tabla_Ventajas,3,FALSE)-Tablas!$O314-2*Tablas!$Q314,3),1))</f>
        <v>0</v>
      </c>
      <c r="M162" s="1810"/>
      <c r="N162" s="2010">
        <f>IF(ISNA(AP162),0,MAX(MIN(AP162-VLOOKUP("Apto en campo: "&amp;$B162,Tabla_Ventajas,3,FALSE)-Tablas!$O314-2*Tablas!$Q314,3),1))</f>
        <v>0</v>
      </c>
      <c r="O162" s="1810"/>
      <c r="P162" s="2010">
        <f>IF(ISNA(AR162),0,MAX(MIN(AR162-VLOOKUP("Apto en campo: "&amp;$B162,Tabla_Ventajas,3,FALSE)-Tablas!$O314-2*Tablas!$Q314,3),1))</f>
        <v>0</v>
      </c>
      <c r="Q162" s="1810"/>
      <c r="R162" s="2010">
        <f>IF(ISNA(AT162),0,MAX(MIN(AT162-VLOOKUP("Apto en campo: "&amp;$B162,Tabla_Ventajas,3,FALSE)-Tablas!$O314-2*Tablas!$Q314,3),1))</f>
        <v>0</v>
      </c>
      <c r="S162" s="1810"/>
      <c r="T162" s="494">
        <f>IF(J162=0,0,TRUNC(K162/J162,0))+IF(L162=0,0,TRUNC(M162/L162,0))+IF(N162=0,0,TRUNC(O162/N162,0))+IF(P162=0,0,TRUNC(Q162/P162,0))+IF(R162=0,0,TRUNC(S162/R162,0))+IF(Personalización!$E$12="Como Base (no oficial)",AF162,0)</f>
        <v>0</v>
      </c>
      <c r="U162" s="494">
        <f t="shared" si="43"/>
        <v>0</v>
      </c>
      <c r="V162" s="494">
        <f>IF(ISNA(HLOOKUP($E162,Bonos_Cat_Base,2,FALSE)),0,HLOOKUP($E162,Bonos_Cat_Base,2,FALSE))+Tablas!$X314*Nivel_Total+10*Y162</f>
        <v>0</v>
      </c>
      <c r="W162" s="1809"/>
      <c r="X162" s="1810"/>
      <c r="Y162" s="1809"/>
      <c r="Z162" s="2215"/>
      <c r="AA162" s="1307">
        <f>IF(AND(T162&lt;5,Tablas!G$310=0),-30,0)+T162+U162+V162+Z162+IF(I162="",0,40)+Mod_ATA+AD162+IF(Personalización!$E$12="Como Base (no oficial)",0,AF162)</f>
        <v>-30</v>
      </c>
      <c r="AB162" s="1741">
        <f t="shared" si="44"/>
        <v>0</v>
      </c>
      <c r="AC162" s="845"/>
      <c r="AD162" s="3044"/>
      <c r="AE162" s="3061"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069">
        <f>IF(AF$126,IF(OR(Region="",ClaseSocial="",Personalización!$AN$9),0,IF(OR(AND(AI162,AJ162),AND(NOT(AI162),NOT(AJ162))),LEFT(AG162,2)+LEFT(AH162,2),IF(AND(AI162,NOT(AJ162)),LEFT(AH162,2),0))),0)</f>
        <v>0</v>
      </c>
      <c r="AG162" s="3044">
        <f>HLOOKUP(Region&amp;ClaseSocial,Tabla_RaicesCulturales,Tablas!F175,FALSE)</f>
        <v>0</v>
      </c>
      <c r="AH162" s="3061">
        <f>IF(AND(E162="Historia",Personalización!$E$16="Historia (Local)"),20&amp;" "&amp;Personalización!$E$16,IF(E162=Personalización!$E$15,VLOOKUP(E162,Tablas!$L$136:$M$137,2,FALSE),IF(E162=Personalización!$E$16,VLOOKUP(E162,Tablas!$N$136:$O$137,2,FALSE),0)))</f>
        <v>0</v>
      </c>
      <c r="AI162" s="3061" t="b">
        <f t="shared" si="45"/>
        <v>0</v>
      </c>
      <c r="AJ162" s="3061" t="b">
        <f t="shared" si="46"/>
        <v>0</v>
      </c>
      <c r="AK162" s="3061"/>
      <c r="AL162" s="3055" t="e">
        <f t="shared" si="47"/>
        <v>#N/A</v>
      </c>
      <c r="AM162" s="3055"/>
      <c r="AN162" s="3055" t="e">
        <f t="shared" si="48"/>
        <v>#N/A</v>
      </c>
      <c r="AO162" s="3055"/>
      <c r="AP162" s="3055" t="e">
        <f t="shared" si="49"/>
        <v>#N/A</v>
      </c>
      <c r="AQ162" s="1737"/>
      <c r="AR162" s="3055" t="e">
        <f t="shared" si="50"/>
        <v>#N/A</v>
      </c>
      <c r="AS162" s="1737"/>
      <c r="AT162" s="3055" t="e">
        <f t="shared" si="51"/>
        <v>#N/A</v>
      </c>
      <c r="AU162" s="1737" t="str">
        <f t="shared" si="38"/>
        <v/>
      </c>
      <c r="AV162" s="1737"/>
    </row>
    <row r="163" spans="1:48" ht="12" customHeight="1" x14ac:dyDescent="0.2">
      <c r="A163" s="29"/>
      <c r="B163" s="823" t="str">
        <f t="shared" si="52"/>
        <v>Subterfugio</v>
      </c>
      <c r="C163" s="3582"/>
      <c r="D163" s="4054"/>
      <c r="E163" s="3961" t="s">
        <v>1462</v>
      </c>
      <c r="F163" s="3962"/>
      <c r="G163" s="3962"/>
      <c r="H163" s="796" t="s">
        <v>1389</v>
      </c>
      <c r="I163" s="1496"/>
      <c r="J163" s="552">
        <f>IF(ISNA(AL163),0,MAX(MIN(AL163-VLOOKUP("Apto en campo: "&amp;$B163,Tabla_Ventajas,3,FALSE)-Tablas!$O315-2*Tablas!$Q315,3),1))</f>
        <v>0</v>
      </c>
      <c r="K163" s="1812"/>
      <c r="L163" s="552">
        <f>IF(ISNA(AN163),0,MAX(MIN(AN163-VLOOKUP("Apto en campo: "&amp;$B163,Tabla_Ventajas,3,FALSE)-Tablas!$O315-2*Tablas!$Q315,3),1))</f>
        <v>0</v>
      </c>
      <c r="M163" s="1812"/>
      <c r="N163" s="552">
        <f>IF(ISNA(AP163),0,MAX(MIN(AP163-VLOOKUP("Apto en campo: "&amp;$B163,Tabla_Ventajas,3,FALSE)-Tablas!$O315-2*Tablas!$Q315,3),1))</f>
        <v>0</v>
      </c>
      <c r="O163" s="1812"/>
      <c r="P163" s="552">
        <f>IF(ISNA(AR163),0,MAX(MIN(AR163-VLOOKUP("Apto en campo: "&amp;$B163,Tabla_Ventajas,3,FALSE)-Tablas!$O315-2*Tablas!$Q315,3),1))</f>
        <v>0</v>
      </c>
      <c r="Q163" s="1812"/>
      <c r="R163" s="552">
        <f>IF(ISNA(AT163),0,MAX(MIN(AT163-VLOOKUP("Apto en campo: "&amp;$B163,Tabla_Ventajas,3,FALSE)-Tablas!$O315-2*Tablas!$Q315,3),1))</f>
        <v>0</v>
      </c>
      <c r="S163" s="1812"/>
      <c r="T163" s="495">
        <f>IF(J163=0,0,TRUNC(K163/J163,0))+IF(L163=0,0,TRUNC(M163/L163,0))+IF(N163=0,0,TRUNC(O163/N163,0))+IF(P163=0,0,TRUNC(Q163/P163,0))+IF(R163=0,0,TRUNC(S163/R163,0))+IF(Personalización!$E$12="Como Base (no oficial)",AF163,0)</f>
        <v>0</v>
      </c>
      <c r="U163" s="495">
        <f t="shared" si="43"/>
        <v>0</v>
      </c>
      <c r="V163" s="495">
        <f>IF(ISNA(HLOOKUP($E163,Bonos_Cat_Base,2,FALSE)),0,HLOOKUP($E163,Bonos_Cat_Base,2,FALSE))+Tablas!$X315*Nivel_Total+10*Y163</f>
        <v>0</v>
      </c>
      <c r="W163" s="1811"/>
      <c r="X163" s="1812"/>
      <c r="Y163" s="1811"/>
      <c r="Z163" s="2216"/>
      <c r="AA163" s="1308">
        <f>IF(AND(T163&lt;5,Tablas!G$310=0),-30,0)+T163+U163+V163+Z163+IF(I163="",0,40)+Mod_ATA+AD163+IF(Personalización!$E$12="Como Base (no oficial)",0,AF163)</f>
        <v>-30</v>
      </c>
      <c r="AB163" s="1741">
        <f t="shared" si="44"/>
        <v>0</v>
      </c>
      <c r="AC163" s="845"/>
      <c r="AD163" s="3044"/>
      <c r="AE163" s="3061"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069">
        <f>IF(AF$126,IF(OR(Region="",ClaseSocial="",Personalización!$AN$9),0,IF(OR(AND(AI163,AJ163),AND(NOT(AI163),NOT(AJ163))),LEFT(AG163,2)+LEFT(AH163,2),IF(AND(AI163,NOT(AJ163)),LEFT(AH163,2),0))),0)</f>
        <v>0</v>
      </c>
      <c r="AG163" s="3044">
        <f>HLOOKUP(Region&amp;ClaseSocial,Tabla_RaicesCulturales,Tablas!F176,FALSE)</f>
        <v>0</v>
      </c>
      <c r="AH163" s="3061">
        <f>IF(AND(E163="Historia",Personalización!$E$16="Historia (Local)"),20&amp;" "&amp;Personalización!$E$16,IF(E163=Personalización!$E$15,VLOOKUP(E163,Tablas!$L$136:$M$137,2,FALSE),IF(E163=Personalización!$E$16,VLOOKUP(E163,Tablas!$N$136:$O$137,2,FALSE),0)))</f>
        <v>0</v>
      </c>
      <c r="AI163" s="3061" t="b">
        <f t="shared" si="45"/>
        <v>0</v>
      </c>
      <c r="AJ163" s="3061" t="b">
        <f t="shared" si="46"/>
        <v>0</v>
      </c>
      <c r="AK163" s="3061"/>
      <c r="AL163" s="3055" t="e">
        <f t="shared" si="47"/>
        <v>#N/A</v>
      </c>
      <c r="AM163" s="3055"/>
      <c r="AN163" s="3055" t="e">
        <f t="shared" si="48"/>
        <v>#N/A</v>
      </c>
      <c r="AO163" s="3055"/>
      <c r="AP163" s="3055" t="e">
        <f t="shared" si="49"/>
        <v>#N/A</v>
      </c>
      <c r="AQ163" s="1737"/>
      <c r="AR163" s="3055" t="e">
        <f t="shared" si="50"/>
        <v>#N/A</v>
      </c>
      <c r="AS163" s="1737"/>
      <c r="AT163" s="3055" t="e">
        <f t="shared" si="51"/>
        <v>#N/A</v>
      </c>
      <c r="AU163" s="1737" t="str">
        <f t="shared" si="38"/>
        <v/>
      </c>
      <c r="AV163" s="1737"/>
    </row>
    <row r="164" spans="1:48" ht="12" customHeight="1" x14ac:dyDescent="0.2">
      <c r="A164" s="29"/>
      <c r="B164" s="823" t="str">
        <f t="shared" si="52"/>
        <v>Subterfugio</v>
      </c>
      <c r="C164" s="3582"/>
      <c r="D164" s="4054"/>
      <c r="E164" s="3964" t="s">
        <v>1464</v>
      </c>
      <c r="F164" s="3965"/>
      <c r="G164" s="3965"/>
      <c r="H164" s="795" t="s">
        <v>1378</v>
      </c>
      <c r="I164" s="1527"/>
      <c r="J164" s="2010">
        <f>IF(ISNA(AL164),0,MAX(MIN(AL164-VLOOKUP("Apto en campo: "&amp;$B164,Tabla_Ventajas,3,FALSE)-Tablas!$O316-2*Tablas!$Q316,3),1))</f>
        <v>0</v>
      </c>
      <c r="K164" s="1810"/>
      <c r="L164" s="2010">
        <f>IF(ISNA(AN164),0,MAX(MIN(AN164-VLOOKUP("Apto en campo: "&amp;$B164,Tabla_Ventajas,3,FALSE)-Tablas!$O316-2*Tablas!$Q316,3),1))</f>
        <v>0</v>
      </c>
      <c r="M164" s="1810"/>
      <c r="N164" s="2010">
        <f>IF(ISNA(AP164),0,MAX(MIN(AP164-VLOOKUP("Apto en campo: "&amp;$B164,Tabla_Ventajas,3,FALSE)-Tablas!$O316-2*Tablas!$Q316,3),1))</f>
        <v>0</v>
      </c>
      <c r="O164" s="1810"/>
      <c r="P164" s="2010">
        <f>IF(ISNA(AR164),0,MAX(MIN(AR164-VLOOKUP("Apto en campo: "&amp;$B164,Tabla_Ventajas,3,FALSE)-Tablas!$O316-2*Tablas!$Q316,3),1))</f>
        <v>0</v>
      </c>
      <c r="Q164" s="1810"/>
      <c r="R164" s="2010">
        <f>IF(ISNA(AT164),0,MAX(MIN(AT164-VLOOKUP("Apto en campo: "&amp;$B164,Tabla_Ventajas,3,FALSE)-Tablas!$O316-2*Tablas!$Q316,3),1))</f>
        <v>0</v>
      </c>
      <c r="S164" s="1810"/>
      <c r="T164" s="494">
        <f>IF(J164=0,0,TRUNC(K164/J164,0))+IF(L164=0,0,TRUNC(M164/L164,0))+IF(N164=0,0,TRUNC(O164/N164,0))+IF(P164=0,0,TRUNC(Q164/P164,0))+IF(R164=0,0,TRUNC(S164/R164,0))+IF(Personalización!$E$12="Como Base (no oficial)",AF164,0)</f>
        <v>0</v>
      </c>
      <c r="U164" s="494">
        <f t="shared" si="43"/>
        <v>0</v>
      </c>
      <c r="V164" s="494">
        <f>IF(ISNA(HLOOKUP($E164,Bonos_Cat_Base,2,FALSE)),0,HLOOKUP($E164,Bonos_Cat_Base,2,FALSE))+Tablas!$X316*Nivel_Total+10*Y164</f>
        <v>0</v>
      </c>
      <c r="W164" s="1809"/>
      <c r="X164" s="1810"/>
      <c r="Y164" s="1809"/>
      <c r="Z164" s="2215"/>
      <c r="AA164" s="1307">
        <f>IF(AND(T164&lt;5,Tablas!G$310=0),-30,0)+T164+U164+V164+Z164+IF(I164="",0,40)+Mod_ATA+AD164+IF(Personalización!$E$12="Como Base (no oficial)",0,AF164)</f>
        <v>-30</v>
      </c>
      <c r="AB164" s="1741">
        <f t="shared" si="44"/>
        <v>0</v>
      </c>
      <c r="AC164" s="845"/>
      <c r="AD164" s="3044"/>
      <c r="AE164" s="3061"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069">
        <f>IF(AF$126,IF(OR(Region="",ClaseSocial="",Personalización!$AN$9),0,IF(OR(AND(AI164,AJ164),AND(NOT(AI164),NOT(AJ164))),LEFT(AG164,2)+LEFT(AH164,2),IF(AND(AI164,NOT(AJ164)),LEFT(AH164,2),0))),0)</f>
        <v>0</v>
      </c>
      <c r="AG164" s="3044">
        <f>HLOOKUP(Region&amp;ClaseSocial,Tabla_RaicesCulturales,Tablas!F177,FALSE)</f>
        <v>0</v>
      </c>
      <c r="AH164" s="3061">
        <f>IF(AND(E164="Historia",Personalización!$E$16="Historia (Local)"),20&amp;" "&amp;Personalización!$E$16,IF(E164=Personalización!$E$15,VLOOKUP(E164,Tablas!$L$136:$M$137,2,FALSE),IF(E164=Personalización!$E$16,VLOOKUP(E164,Tablas!$N$136:$O$137,2,FALSE),0)))</f>
        <v>0</v>
      </c>
      <c r="AI164" s="3061" t="b">
        <f t="shared" si="45"/>
        <v>0</v>
      </c>
      <c r="AJ164" s="3061" t="b">
        <f t="shared" si="46"/>
        <v>0</v>
      </c>
      <c r="AK164" s="3061"/>
      <c r="AL164" s="3055" t="e">
        <f t="shared" si="47"/>
        <v>#N/A</v>
      </c>
      <c r="AM164" s="3055"/>
      <c r="AN164" s="3055" t="e">
        <f t="shared" si="48"/>
        <v>#N/A</v>
      </c>
      <c r="AO164" s="3055"/>
      <c r="AP164" s="3055" t="e">
        <f t="shared" si="49"/>
        <v>#N/A</v>
      </c>
      <c r="AQ164" s="1737"/>
      <c r="AR164" s="3055" t="e">
        <f t="shared" si="50"/>
        <v>#N/A</v>
      </c>
      <c r="AS164" s="1737"/>
      <c r="AT164" s="3055" t="e">
        <f t="shared" si="51"/>
        <v>#N/A</v>
      </c>
      <c r="AU164" s="1737" t="str">
        <f t="shared" si="38"/>
        <v/>
      </c>
      <c r="AV164" s="1737"/>
    </row>
    <row r="165" spans="1:48" ht="12" customHeight="1" x14ac:dyDescent="0.2">
      <c r="A165" s="29"/>
      <c r="B165" s="823" t="str">
        <f t="shared" si="52"/>
        <v>Subterfugio</v>
      </c>
      <c r="C165" s="3582"/>
      <c r="D165" s="4054"/>
      <c r="E165" s="3961" t="s">
        <v>1466</v>
      </c>
      <c r="F165" s="3962"/>
      <c r="G165" s="3962"/>
      <c r="H165" s="796" t="s">
        <v>1373</v>
      </c>
      <c r="I165" s="1496"/>
      <c r="J165" s="552">
        <f>IF(ISNA(AL165),0,MAX(MIN(AL165-VLOOKUP("Apto en campo: "&amp;$B165,Tabla_Ventajas,3,FALSE)-Tablas!$O317-2*Tablas!$Q317,3),1))</f>
        <v>0</v>
      </c>
      <c r="K165" s="1812"/>
      <c r="L165" s="552">
        <f>IF(ISNA(AN165),0,MAX(MIN(AN165-VLOOKUP("Apto en campo: "&amp;$B165,Tabla_Ventajas,3,FALSE)-Tablas!$O317-2*Tablas!$Q317,3),1))</f>
        <v>0</v>
      </c>
      <c r="M165" s="1812"/>
      <c r="N165" s="552">
        <f>IF(ISNA(AP165),0,MAX(MIN(AP165-VLOOKUP("Apto en campo: "&amp;$B165,Tabla_Ventajas,3,FALSE)-Tablas!$O317-2*Tablas!$Q317,3),1))</f>
        <v>0</v>
      </c>
      <c r="O165" s="1812"/>
      <c r="P165" s="552">
        <f>IF(ISNA(AR165),0,MAX(MIN(AR165-VLOOKUP("Apto en campo: "&amp;$B165,Tabla_Ventajas,3,FALSE)-Tablas!$O317-2*Tablas!$Q317,3),1))</f>
        <v>0</v>
      </c>
      <c r="Q165" s="1812"/>
      <c r="R165" s="552">
        <f>IF(ISNA(AT165),0,MAX(MIN(AT165-VLOOKUP("Apto en campo: "&amp;$B165,Tabla_Ventajas,3,FALSE)-Tablas!$O317-2*Tablas!$Q317,3),1))</f>
        <v>0</v>
      </c>
      <c r="S165" s="1812"/>
      <c r="T165" s="495">
        <f>IF(J165=0,0,TRUNC(K165/J165,0))+IF(L165=0,0,TRUNC(M165/L165,0))+IF(N165=0,0,TRUNC(O165/N165,0))+IF(P165=0,0,TRUNC(Q165/P165,0))+IF(R165=0,0,TRUNC(S165/R165,0))+IF(Personalización!$E$12="Como Base (no oficial)",AF165,0)</f>
        <v>0</v>
      </c>
      <c r="U165" s="495">
        <f t="shared" si="43"/>
        <v>0</v>
      </c>
      <c r="V165" s="495">
        <f>IF(ISNA(HLOOKUP($E165,Bonos_Cat_Base,2,FALSE)),0,HLOOKUP($E165,Bonos_Cat_Base,2,FALSE))+Tablas!$X317*Nivel_Total+10*Y165</f>
        <v>0</v>
      </c>
      <c r="W165" s="1811"/>
      <c r="X165" s="1812"/>
      <c r="Y165" s="1811"/>
      <c r="Z165" s="2216"/>
      <c r="AA165" s="1308">
        <f>IF(AND(T165&lt;5,Tablas!G$310=0),-30,0)+T165+U165+V165+Z165+IF(I165="",0,40)+Mod_ATA+AD165+IF(Personalización!$E$12="Como Base (no oficial)",0,AF165)</f>
        <v>-30</v>
      </c>
      <c r="AB165" s="1741">
        <f t="shared" si="44"/>
        <v>0</v>
      </c>
      <c r="AC165" s="845"/>
      <c r="AD165" s="3044"/>
      <c r="AE165" s="3061"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069">
        <f>IF(AF$126,IF(OR(Region="",ClaseSocial="",Personalización!$AN$9),0,IF(OR(AND(AI165,AJ165),AND(NOT(AI165),NOT(AJ165))),LEFT(AG165,2)+LEFT(AH165,2),IF(AND(AI165,NOT(AJ165)),LEFT(AH165,2),0))),0)</f>
        <v>0</v>
      </c>
      <c r="AG165" s="3044">
        <f>HLOOKUP(Region&amp;ClaseSocial,Tabla_RaicesCulturales,Tablas!F178,FALSE)</f>
        <v>0</v>
      </c>
      <c r="AH165" s="3061">
        <f>IF(AND(E165="Historia",Personalización!$E$16="Historia (Local)"),20&amp;" "&amp;Personalización!$E$16,IF(E165=Personalización!$E$15,VLOOKUP(E165,Tablas!$L$136:$M$137,2,FALSE),IF(E165=Personalización!$E$16,VLOOKUP(E165,Tablas!$N$136:$O$137,2,FALSE),0)))</f>
        <v>0</v>
      </c>
      <c r="AI165" s="3061" t="b">
        <f t="shared" si="45"/>
        <v>0</v>
      </c>
      <c r="AJ165" s="3061" t="b">
        <f t="shared" si="46"/>
        <v>0</v>
      </c>
      <c r="AK165" s="3061"/>
      <c r="AL165" s="3055" t="e">
        <f t="shared" si="47"/>
        <v>#N/A</v>
      </c>
      <c r="AM165" s="3055"/>
      <c r="AN165" s="3055" t="e">
        <f t="shared" si="48"/>
        <v>#N/A</v>
      </c>
      <c r="AO165" s="3055"/>
      <c r="AP165" s="3055" t="e">
        <f t="shared" si="49"/>
        <v>#N/A</v>
      </c>
      <c r="AQ165" s="1737"/>
      <c r="AR165" s="3055" t="e">
        <f t="shared" si="50"/>
        <v>#N/A</v>
      </c>
      <c r="AS165" s="1737"/>
      <c r="AT165" s="3055" t="e">
        <f t="shared" si="51"/>
        <v>#N/A</v>
      </c>
      <c r="AU165" s="1737" t="str">
        <f t="shared" si="38"/>
        <v/>
      </c>
      <c r="AV165" s="1737"/>
    </row>
    <row r="166" spans="1:48" ht="12" customHeight="1" x14ac:dyDescent="0.2">
      <c r="A166" s="29"/>
      <c r="B166" s="823" t="str">
        <f t="shared" si="52"/>
        <v>Subterfugio</v>
      </c>
      <c r="C166" s="3582"/>
      <c r="D166" s="4054"/>
      <c r="E166" s="3964" t="s">
        <v>1468</v>
      </c>
      <c r="F166" s="3965"/>
      <c r="G166" s="3965"/>
      <c r="H166" s="795" t="s">
        <v>1378</v>
      </c>
      <c r="I166" s="1527"/>
      <c r="J166" s="2010">
        <f>IF(ISNA(AL166),0,MAX(MIN(AL166-VLOOKUP("Apto en campo: "&amp;$B166,Tabla_Ventajas,3,FALSE)-Tablas!$O318-2*Tablas!$Q318,3),1))</f>
        <v>0</v>
      </c>
      <c r="K166" s="1810"/>
      <c r="L166" s="2010">
        <f>IF(ISNA(AN166),0,MAX(MIN(AN166-VLOOKUP("Apto en campo: "&amp;$B166,Tabla_Ventajas,3,FALSE)-Tablas!$O318-2*Tablas!$Q318,3),1))</f>
        <v>0</v>
      </c>
      <c r="M166" s="1810"/>
      <c r="N166" s="2010">
        <f>IF(ISNA(AP166),0,MAX(MIN(AP166-VLOOKUP("Apto en campo: "&amp;$B166,Tabla_Ventajas,3,FALSE)-Tablas!$O318-2*Tablas!$Q318,3),1))</f>
        <v>0</v>
      </c>
      <c r="O166" s="1810"/>
      <c r="P166" s="2010">
        <f>IF(ISNA(AR166),0,MAX(MIN(AR166-VLOOKUP("Apto en campo: "&amp;$B166,Tabla_Ventajas,3,FALSE)-Tablas!$O318-2*Tablas!$Q318,3),1))</f>
        <v>0</v>
      </c>
      <c r="Q166" s="1810"/>
      <c r="R166" s="2010">
        <f>IF(ISNA(AT166),0,MAX(MIN(AT166-VLOOKUP("Apto en campo: "&amp;$B166,Tabla_Ventajas,3,FALSE)-Tablas!$O318-2*Tablas!$Q318,3),1))</f>
        <v>0</v>
      </c>
      <c r="S166" s="1810"/>
      <c r="T166" s="494">
        <f>IF(J166=0,0,TRUNC(K166/J166,0))+IF(L166=0,0,TRUNC(M166/L166,0))+IF(N166=0,0,TRUNC(O166/N166,0))+IF(P166=0,0,TRUNC(Q166/P166,0))+IF(R166=0,0,TRUNC(S166/R166,0))+IF(Personalización!$E$12="Como Base (no oficial)",AF166,0)</f>
        <v>0</v>
      </c>
      <c r="U166" s="494">
        <f t="shared" si="43"/>
        <v>0</v>
      </c>
      <c r="V166" s="494">
        <f>IF(ISNA(HLOOKUP($E166,Bonos_Cat_Base,2,FALSE)),0,HLOOKUP($E166,Bonos_Cat_Base,2,FALSE))+Tablas!$X318*Nivel_Total+10*Y166</f>
        <v>0</v>
      </c>
      <c r="W166" s="1809"/>
      <c r="X166" s="1810"/>
      <c r="Y166" s="1809"/>
      <c r="Z166" s="2215"/>
      <c r="AA166" s="1307">
        <f>IF(AND(T166&lt;5,Tablas!G$310=0),-30,0)+T166+U166+V166+Z166+IF(I166="",0,40)+Mod_ATA+AD166+IF(Personalización!$E$12="Como Base (no oficial)",0,AF166)</f>
        <v>-30</v>
      </c>
      <c r="AB166" s="1741">
        <f t="shared" si="44"/>
        <v>0</v>
      </c>
      <c r="AC166" s="845"/>
      <c r="AD166" s="3044"/>
      <c r="AE166" s="3061"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069">
        <f>IF(AF$126,IF(OR(Region="",ClaseSocial="",Personalización!$AN$9),0,IF(OR(AND(AI166,AJ166),AND(NOT(AI166),NOT(AJ166))),LEFT(AG166,2)+LEFT(AH166,2),IF(AND(AI166,NOT(AJ166)),LEFT(AH166,2),0))),0)</f>
        <v>0</v>
      </c>
      <c r="AG166" s="3044">
        <f>HLOOKUP(Region&amp;ClaseSocial,Tabla_RaicesCulturales,Tablas!F179,FALSE)</f>
        <v>0</v>
      </c>
      <c r="AH166" s="3061">
        <f>IF(AND(E166="Historia",Personalización!$E$16="Historia (Local)"),20&amp;" "&amp;Personalización!$E$16,IF(E166=Personalización!$E$15,VLOOKUP(E166,Tablas!$L$136:$M$137,2,FALSE),IF(E166=Personalización!$E$16,VLOOKUP(E166,Tablas!$N$136:$O$137,2,FALSE),0)))</f>
        <v>0</v>
      </c>
      <c r="AI166" s="3061" t="b">
        <f t="shared" si="45"/>
        <v>0</v>
      </c>
      <c r="AJ166" s="3061" t="b">
        <f t="shared" si="46"/>
        <v>0</v>
      </c>
      <c r="AK166" s="3061"/>
      <c r="AL166" s="3055" t="e">
        <f t="shared" si="47"/>
        <v>#N/A</v>
      </c>
      <c r="AM166" s="3055"/>
      <c r="AN166" s="3055" t="e">
        <f t="shared" si="48"/>
        <v>#N/A</v>
      </c>
      <c r="AO166" s="3055"/>
      <c r="AP166" s="3055" t="e">
        <f t="shared" si="49"/>
        <v>#N/A</v>
      </c>
      <c r="AQ166" s="1737"/>
      <c r="AR166" s="3055" t="e">
        <f t="shared" si="50"/>
        <v>#N/A</v>
      </c>
      <c r="AS166" s="1737"/>
      <c r="AT166" s="3055" t="e">
        <f t="shared" si="51"/>
        <v>#N/A</v>
      </c>
      <c r="AU166" s="1737" t="str">
        <f t="shared" si="38"/>
        <v/>
      </c>
      <c r="AV166" s="1737"/>
    </row>
    <row r="167" spans="1:48" ht="12" customHeight="1" x14ac:dyDescent="0.2">
      <c r="A167" s="29"/>
      <c r="B167" s="823" t="str">
        <f t="shared" si="52"/>
        <v>Subterfugio</v>
      </c>
      <c r="C167" s="3582"/>
      <c r="D167" s="4055"/>
      <c r="E167" s="3941" t="s">
        <v>1469</v>
      </c>
      <c r="F167" s="3942"/>
      <c r="G167" s="3942"/>
      <c r="H167" s="796" t="s">
        <v>1386</v>
      </c>
      <c r="I167" s="1496"/>
      <c r="J167" s="2008">
        <f>IF(ISNA(AL167),0,MAX(MIN(AL167-VLOOKUP("Apto en campo: "&amp;$B167,Tabla_Ventajas,3,FALSE)-Tablas!$O319-2*Tablas!$Q319,3),1))</f>
        <v>0</v>
      </c>
      <c r="K167" s="1812"/>
      <c r="L167" s="2008">
        <f>IF(ISNA(AN167),0,MAX(MIN(AN167-VLOOKUP("Apto en campo: "&amp;$B167,Tabla_Ventajas,3,FALSE)-Tablas!$O319-2*Tablas!$Q319,3),1))</f>
        <v>0</v>
      </c>
      <c r="M167" s="1812"/>
      <c r="N167" s="2008">
        <f>IF(ISNA(AP167),0,MAX(MIN(AP167-VLOOKUP("Apto en campo: "&amp;$B167,Tabla_Ventajas,3,FALSE)-Tablas!$O319-2*Tablas!$Q319,3),1))</f>
        <v>0</v>
      </c>
      <c r="O167" s="1812"/>
      <c r="P167" s="2008">
        <f>IF(ISNA(AR167),0,MAX(MIN(AR167-VLOOKUP("Apto en campo: "&amp;$B167,Tabla_Ventajas,3,FALSE)-Tablas!$O319-2*Tablas!$Q319,3),1))</f>
        <v>0</v>
      </c>
      <c r="Q167" s="1812"/>
      <c r="R167" s="2008">
        <f>IF(ISNA(AT167),0,MAX(MIN(AT167-VLOOKUP("Apto en campo: "&amp;$B167,Tabla_Ventajas,3,FALSE)-Tablas!$O319-2*Tablas!$Q319,3),1))</f>
        <v>0</v>
      </c>
      <c r="S167" s="1812"/>
      <c r="T167" s="496">
        <f>IF(J167=0,0,TRUNC(K167/J167,0))+IF(L167=0,0,TRUNC(M167/L167,0))+IF(N167=0,0,TRUNC(O167/N167,0))+IF(P167=0,0,TRUNC(Q167/P167,0))+IF(R167=0,0,TRUNC(S167/R167,0))+IF(Personalización!$E$12="Como Base (no oficial)",AF167,0)</f>
        <v>0</v>
      </c>
      <c r="U167" s="496">
        <f t="shared" si="43"/>
        <v>0</v>
      </c>
      <c r="V167" s="496">
        <f>IF(ISNA(HLOOKUP($E167,Bonos_Cat_Base,2,FALSE)),0,HLOOKUP($E167,Bonos_Cat_Base,2,FALSE))+Tablas!$X319*Nivel_Total+10*Y167</f>
        <v>0</v>
      </c>
      <c r="W167" s="1817"/>
      <c r="X167" s="1812"/>
      <c r="Y167" s="1817"/>
      <c r="Z167" s="2216"/>
      <c r="AA167" s="2333" t="str">
        <f>IF(AND(T167&lt;5,Tablas!G$310=0),"-",+T167+U167+V167+Z167+IF(I167="",0,40)+Mod_ATA+AD167+IF(Personalización!$E$12="Como Base (no oficial)",0,AF167))</f>
        <v>-</v>
      </c>
      <c r="AB167" s="1741">
        <f t="shared" si="44"/>
        <v>0</v>
      </c>
      <c r="AC167" s="845"/>
      <c r="AD167" s="3044"/>
      <c r="AE167" s="3061"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069">
        <f>IF(AF$126,IF(OR(Region="",ClaseSocial="",Personalización!$AN$9),0,IF(OR(AND(AI167,AJ167),AND(NOT(AI167),NOT(AJ167))),LEFT(AG167,2)+LEFT(AH167,2),IF(AND(AI167,NOT(AJ167)),LEFT(AH167,2),0))),0)</f>
        <v>0</v>
      </c>
      <c r="AG167" s="3044">
        <f>HLOOKUP(Region&amp;ClaseSocial,Tabla_RaicesCulturales,Tablas!F180,FALSE)</f>
        <v>0</v>
      </c>
      <c r="AH167" s="3061">
        <f>IF(AND(E167="Historia",Personalización!$E$16="Historia (Local)"),20&amp;" "&amp;Personalización!$E$16,IF(E167=Personalización!$E$15,VLOOKUP(E167,Tablas!$L$136:$M$137,2,FALSE),IF(E167=Personalización!$E$16,VLOOKUP(E167,Tablas!$N$136:$O$137,2,FALSE),0)))</f>
        <v>0</v>
      </c>
      <c r="AI167" s="3061" t="b">
        <f t="shared" si="45"/>
        <v>0</v>
      </c>
      <c r="AJ167" s="3061" t="b">
        <f t="shared" si="46"/>
        <v>0</v>
      </c>
      <c r="AK167" s="3061"/>
      <c r="AL167" s="3055" t="e">
        <f t="shared" si="47"/>
        <v>#N/A</v>
      </c>
      <c r="AM167" s="3055"/>
      <c r="AN167" s="3055" t="e">
        <f t="shared" si="48"/>
        <v>#N/A</v>
      </c>
      <c r="AO167" s="3055"/>
      <c r="AP167" s="3055" t="e">
        <f t="shared" si="49"/>
        <v>#N/A</v>
      </c>
      <c r="AQ167" s="1737"/>
      <c r="AR167" s="3055" t="e">
        <f t="shared" si="50"/>
        <v>#N/A</v>
      </c>
      <c r="AS167" s="1737"/>
      <c r="AT167" s="3055" t="e">
        <f t="shared" si="51"/>
        <v>#N/A</v>
      </c>
      <c r="AU167" s="1737" t="str">
        <f t="shared" si="38"/>
        <v/>
      </c>
      <c r="AV167" s="1737"/>
    </row>
    <row r="168" spans="1:48" ht="12" customHeight="1" x14ac:dyDescent="0.2">
      <c r="A168" s="29"/>
      <c r="B168" s="823" t="str">
        <f>D168</f>
        <v>Creativas</v>
      </c>
      <c r="C168" s="3582"/>
      <c r="D168" s="4054" t="s">
        <v>1470</v>
      </c>
      <c r="E168" s="3964" t="s">
        <v>1471</v>
      </c>
      <c r="F168" s="3965"/>
      <c r="G168" s="3965"/>
      <c r="H168" s="797" t="s">
        <v>1391</v>
      </c>
      <c r="I168" s="1531"/>
      <c r="J168" s="2010">
        <f>IF(ISNA(AL168),0,MAX(MIN(AL168-VLOOKUP("Apto en campo: "&amp;$B168,Tabla_Ventajas,3,FALSE)-Tablas!$O320-2*Tablas!$Q320,3),1))</f>
        <v>0</v>
      </c>
      <c r="K168" s="1814"/>
      <c r="L168" s="2010">
        <f>IF(ISNA(AN168),0,MAX(MIN(AN168-VLOOKUP("Apto en campo: "&amp;$B168,Tabla_Ventajas,3,FALSE)-Tablas!$O320-2*Tablas!$Q320,3),1))</f>
        <v>0</v>
      </c>
      <c r="M168" s="1814"/>
      <c r="N168" s="2010">
        <f>IF(ISNA(AP168),0,MAX(MIN(AP168-VLOOKUP("Apto en campo: "&amp;$B168,Tabla_Ventajas,3,FALSE)-Tablas!$O320-2*Tablas!$Q320,3),1))</f>
        <v>0</v>
      </c>
      <c r="O168" s="1814"/>
      <c r="P168" s="2010">
        <f>IF(ISNA(AR168),0,MAX(MIN(AR168-VLOOKUP("Apto en campo: "&amp;$B168,Tabla_Ventajas,3,FALSE)-Tablas!$O320-2*Tablas!$Q320,3),1))</f>
        <v>0</v>
      </c>
      <c r="Q168" s="1814"/>
      <c r="R168" s="2010">
        <f>IF(ISNA(AT168),0,MAX(MIN(AT168-VLOOKUP("Apto en campo: "&amp;$B168,Tabla_Ventajas,3,FALSE)-Tablas!$O320-2*Tablas!$Q320,3),1))</f>
        <v>0</v>
      </c>
      <c r="S168" s="1814"/>
      <c r="T168" s="494">
        <f>IF(J168=0,0,TRUNC(K168/J168,0))+IF(L168=0,0,TRUNC(M168/L168,0))+IF(N168=0,0,TRUNC(O168/N168,0))+IF(P168=0,0,TRUNC(Q168/P168,0))+IF(R168=0,0,TRUNC(S168/R168,0))+IF(Personalización!$E$12="Como Base (no oficial)",AF168,0)</f>
        <v>0</v>
      </c>
      <c r="U168" s="494">
        <f t="shared" si="43"/>
        <v>0</v>
      </c>
      <c r="V168" s="494">
        <f>IF(ISNA(HLOOKUP($E168,Bonos_Cat_Base,2,FALSE)),0,HLOOKUP($E168,Bonos_Cat_Base,2,FALSE))+Tablas!$X320*Nivel_Total+10*Y168</f>
        <v>0</v>
      </c>
      <c r="W168" s="1809"/>
      <c r="X168" s="1814"/>
      <c r="Y168" s="1809"/>
      <c r="Z168" s="2217"/>
      <c r="AA168" s="1307">
        <f>IF(AND(T168&lt;5,Tablas!G$310=0),-30,0)+T168+U168+V168+Z168+IF(I168="",0,40)+Mod_ATA+AD168+IF(Personalización!$E$12="Como Base (no oficial)",0,AF168)</f>
        <v>-30</v>
      </c>
      <c r="AB168" s="1741">
        <f t="shared" si="44"/>
        <v>0</v>
      </c>
      <c r="AC168" s="845"/>
      <c r="AD168" s="3044">
        <f>Tablas!$K$1826</f>
        <v>0</v>
      </c>
      <c r="AE168" s="3061"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069">
        <f>IF(AF$126,IF(OR(Region="",ClaseSocial="",Personalización!$AN$9),0,IF(OR(AND(AI168,AJ168),AND(NOT(AI168),NOT(AJ168))),LEFT(AG168,2)+LEFT(AH168,2),IF(AND(AI168,NOT(AJ168)),LEFT(AH168,2),0))),0)</f>
        <v>0</v>
      </c>
      <c r="AG168" s="3044">
        <f>HLOOKUP(Region&amp;ClaseSocial,Tabla_RaicesCulturales,Tablas!F181,FALSE)</f>
        <v>0</v>
      </c>
      <c r="AH168" s="3061">
        <f>IF(AND(E168="Historia",Personalización!$E$16="Historia (Local)"),20&amp;" "&amp;Personalización!$E$16,IF(E168=Personalización!$E$15,VLOOKUP(E168,Tablas!$L$136:$M$137,2,FALSE),IF(E168=Personalización!$E$16,VLOOKUP(E168,Tablas!$N$136:$O$137,2,FALSE),0)))</f>
        <v>0</v>
      </c>
      <c r="AI168" s="3061" t="b">
        <f t="shared" si="45"/>
        <v>0</v>
      </c>
      <c r="AJ168" s="3061" t="b">
        <f t="shared" si="46"/>
        <v>0</v>
      </c>
      <c r="AK168" s="3061"/>
      <c r="AL168" s="3055" t="e">
        <f t="shared" si="47"/>
        <v>#N/A</v>
      </c>
      <c r="AM168" s="3055"/>
      <c r="AN168" s="3055" t="e">
        <f t="shared" si="48"/>
        <v>#N/A</v>
      </c>
      <c r="AO168" s="3055"/>
      <c r="AP168" s="3055" t="e">
        <f t="shared" si="49"/>
        <v>#N/A</v>
      </c>
      <c r="AQ168" s="1737"/>
      <c r="AR168" s="3055" t="e">
        <f t="shared" si="50"/>
        <v>#N/A</v>
      </c>
      <c r="AS168" s="1737"/>
      <c r="AT168" s="3055" t="e">
        <f t="shared" si="51"/>
        <v>#N/A</v>
      </c>
      <c r="AU168" s="1737" t="str">
        <f t="shared" si="38"/>
        <v/>
      </c>
      <c r="AV168" s="1737"/>
    </row>
    <row r="169" spans="1:48" ht="12" customHeight="1" x14ac:dyDescent="0.2">
      <c r="A169" s="29"/>
      <c r="B169" s="823" t="str">
        <f>B168</f>
        <v>Creativas</v>
      </c>
      <c r="C169" s="3582"/>
      <c r="D169" s="4054"/>
      <c r="E169" s="3961" t="s">
        <v>1472</v>
      </c>
      <c r="F169" s="3962"/>
      <c r="G169" s="3962"/>
      <c r="H169" s="796" t="s">
        <v>1373</v>
      </c>
      <c r="I169" s="1497"/>
      <c r="J169" s="552">
        <f>IF(ISNA(AL169),0,MAX(MIN(AL169-VLOOKUP("Apto en campo: "&amp;$B169,Tabla_Ventajas,3,FALSE)-Tablas!$O321-2*Tablas!$Q321,3),1))</f>
        <v>0</v>
      </c>
      <c r="K169" s="1812"/>
      <c r="L169" s="552">
        <f>IF(ISNA(AN169),0,MAX(MIN(AN169-VLOOKUP("Apto en campo: "&amp;$B169,Tabla_Ventajas,3,FALSE)-Tablas!$O321-2*Tablas!$Q321,3),1))</f>
        <v>0</v>
      </c>
      <c r="M169" s="1812"/>
      <c r="N169" s="552">
        <f>IF(ISNA(AP169),0,MAX(MIN(AP169-VLOOKUP("Apto en campo: "&amp;$B169,Tabla_Ventajas,3,FALSE)-Tablas!$O321-2*Tablas!$Q321,3),1))</f>
        <v>0</v>
      </c>
      <c r="O169" s="1812"/>
      <c r="P169" s="552">
        <f>IF(ISNA(AR169),0,MAX(MIN(AR169-VLOOKUP("Apto en campo: "&amp;$B169,Tabla_Ventajas,3,FALSE)-Tablas!$O321-2*Tablas!$Q321,3),1))</f>
        <v>0</v>
      </c>
      <c r="Q169" s="1812"/>
      <c r="R169" s="552">
        <f>IF(ISNA(AT169),0,MAX(MIN(AT169-VLOOKUP("Apto en campo: "&amp;$B169,Tabla_Ventajas,3,FALSE)-Tablas!$O321-2*Tablas!$Q321,3),1))</f>
        <v>0</v>
      </c>
      <c r="S169" s="1812"/>
      <c r="T169" s="495">
        <f>IF(J169=0,0,TRUNC(K169/J169,0))+IF(L169=0,0,TRUNC(M169/L169,0))+IF(N169=0,0,TRUNC(O169/N169,0))+IF(P169=0,0,TRUNC(Q169/P169,0))+IF(R169=0,0,TRUNC(S169/R169,0))+IF(Personalización!$E$12="Como Base (no oficial)",AF169,0)</f>
        <v>0</v>
      </c>
      <c r="U169" s="495">
        <f t="shared" si="43"/>
        <v>0</v>
      </c>
      <c r="V169" s="495">
        <f>IF(ISNA(HLOOKUP($E169,Bonos_Cat_Base,2,FALSE)),0,HLOOKUP($E169,Bonos_Cat_Base,2,FALSE))+Tablas!$X321*Nivel_Total+10*Y169</f>
        <v>0</v>
      </c>
      <c r="W169" s="1811"/>
      <c r="X169" s="1812"/>
      <c r="Y169" s="1811"/>
      <c r="Z169" s="2216"/>
      <c r="AA169" s="503" t="str">
        <f>IF(AND(T169&lt;5,Tablas!G$310=0),"-",T169+U169+V169+Z169+IF(I169="",0,40)+Mod_ATA+AD169+IF(Personalización!$E$12="Como Base (no oficial)",0,AF169))</f>
        <v>-</v>
      </c>
      <c r="AB169" s="1741">
        <f t="shared" si="44"/>
        <v>0</v>
      </c>
      <c r="AC169" s="845"/>
      <c r="AD169" s="3044"/>
      <c r="AE169" s="3061"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069">
        <f>IF(AF$126,IF(OR(Region="",ClaseSocial="",Personalización!$AN$9),0,IF(OR(AND(AI169,AJ169),AND(NOT(AI169),NOT(AJ169))),LEFT(AG169,2)+LEFT(AH169,2),IF(AND(AI169,NOT(AJ169)),LEFT(AH169,2),0))),0)</f>
        <v>0</v>
      </c>
      <c r="AG169" s="3044">
        <f>HLOOKUP(Region&amp;ClaseSocial,Tabla_RaicesCulturales,Tablas!F182,FALSE)</f>
        <v>0</v>
      </c>
      <c r="AH169" s="3061">
        <f>IF(AND(E169="Historia",Personalización!$E$16="Historia (Local)"),20&amp;" "&amp;Personalización!$E$16,IF(E169=Personalización!$E$15,VLOOKUP(E169,Tablas!$L$136:$M$137,2,FALSE),IF(E169=Personalización!$E$16,VLOOKUP(E169,Tablas!$N$136:$O$137,2,FALSE),0)))</f>
        <v>0</v>
      </c>
      <c r="AI169" s="3061" t="b">
        <f t="shared" si="45"/>
        <v>0</v>
      </c>
      <c r="AJ169" s="3061" t="b">
        <f t="shared" si="46"/>
        <v>0</v>
      </c>
      <c r="AK169" s="3061"/>
      <c r="AL169" s="3055" t="e">
        <f t="shared" si="47"/>
        <v>#N/A</v>
      </c>
      <c r="AM169" s="3055"/>
      <c r="AN169" s="3055" t="e">
        <f t="shared" si="48"/>
        <v>#N/A</v>
      </c>
      <c r="AO169" s="3055"/>
      <c r="AP169" s="3055" t="e">
        <f t="shared" si="49"/>
        <v>#N/A</v>
      </c>
      <c r="AQ169" s="1737"/>
      <c r="AR169" s="3055" t="e">
        <f t="shared" si="50"/>
        <v>#N/A</v>
      </c>
      <c r="AS169" s="1737"/>
      <c r="AT169" s="3055" t="e">
        <f t="shared" si="51"/>
        <v>#N/A</v>
      </c>
      <c r="AU169" s="1737" t="str">
        <f t="shared" si="38"/>
        <v/>
      </c>
      <c r="AV169" s="1737"/>
    </row>
    <row r="170" spans="1:48" ht="12" customHeight="1" x14ac:dyDescent="0.2">
      <c r="A170" s="29"/>
      <c r="B170" s="823" t="str">
        <f t="shared" ref="B170:B179" si="53">B169</f>
        <v>Creativas</v>
      </c>
      <c r="C170" s="3582"/>
      <c r="D170" s="4054"/>
      <c r="E170" s="3964" t="s">
        <v>1473</v>
      </c>
      <c r="F170" s="3965"/>
      <c r="G170" s="3965"/>
      <c r="H170" s="795" t="s">
        <v>1378</v>
      </c>
      <c r="I170" s="1529"/>
      <c r="J170" s="2010">
        <f>IF(ISNA(AL170),0,MAX(MIN(AL170-VLOOKUP("Apto en campo: "&amp;$B170,Tabla_Ventajas,3,FALSE)-Tablas!$O322-2*Tablas!$Q322,3),1))</f>
        <v>0</v>
      </c>
      <c r="K170" s="1810"/>
      <c r="L170" s="2010">
        <f>IF(ISNA(AN170),0,MAX(MIN(AN170-VLOOKUP("Apto en campo: "&amp;$B170,Tabla_Ventajas,3,FALSE)-Tablas!$O322-2*Tablas!$Q322,3),1))</f>
        <v>0</v>
      </c>
      <c r="M170" s="1810"/>
      <c r="N170" s="2010">
        <f>IF(ISNA(AP170),0,MAX(MIN(AP170-VLOOKUP("Apto en campo: "&amp;$B170,Tabla_Ventajas,3,FALSE)-Tablas!$O322-2*Tablas!$Q322,3),1))</f>
        <v>0</v>
      </c>
      <c r="O170" s="1810"/>
      <c r="P170" s="2010">
        <f>IF(ISNA(AR170),0,MAX(MIN(AR170-VLOOKUP("Apto en campo: "&amp;$B170,Tabla_Ventajas,3,FALSE)-Tablas!$O322-2*Tablas!$Q322,3),1))</f>
        <v>0</v>
      </c>
      <c r="Q170" s="1810"/>
      <c r="R170" s="2010">
        <f>IF(ISNA(AT170),0,MAX(MIN(AT170-VLOOKUP("Apto en campo: "&amp;$B170,Tabla_Ventajas,3,FALSE)-Tablas!$O322-2*Tablas!$Q322,3),1))</f>
        <v>0</v>
      </c>
      <c r="S170" s="1810"/>
      <c r="T170" s="494">
        <f>IF(J170=0,0,TRUNC(K170/J170,0))+IF(L170=0,0,TRUNC(M170/L170,0))+IF(N170=0,0,TRUNC(O170/N170,0))+IF(P170=0,0,TRUNC(Q170/P170,0))+IF(R170=0,0,TRUNC(S170/R170,0))+IF(Personalización!$E$12="Como Base (no oficial)",AF170,0)</f>
        <v>0</v>
      </c>
      <c r="U170" s="494">
        <f t="shared" si="43"/>
        <v>0</v>
      </c>
      <c r="V170" s="494">
        <f>IF(ISNA(HLOOKUP($E170,Bonos_Cat_Base,2,FALSE)),0,HLOOKUP($E170,Bonos_Cat_Base,2,FALSE))+Tablas!$X322*Nivel_Total+10*Y170</f>
        <v>0</v>
      </c>
      <c r="W170" s="1809"/>
      <c r="X170" s="1810"/>
      <c r="Y170" s="1809"/>
      <c r="Z170" s="2215"/>
      <c r="AA170" s="502" t="str">
        <f>IF(AND(T170&lt;5,Tablas!G$310=0),"-",T170+U170+V170+Z170+IF(I170="",0,40)+Mod_ATA+AD170+IF(Personalización!$E$12="Como Base (no oficial)",0,AF170))</f>
        <v>-</v>
      </c>
      <c r="AB170" s="1741">
        <f t="shared" si="44"/>
        <v>0</v>
      </c>
      <c r="AC170" s="845"/>
      <c r="AD170" s="3044"/>
      <c r="AE170" s="3061"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069">
        <f>IF(AF$126,IF(OR(Region="",ClaseSocial="",Personalización!$AN$9),0,IF(OR(AND(AI170,AJ170),AND(NOT(AI170),NOT(AJ170))),LEFT(AG170,2)+LEFT(AH170,2),IF(AND(AI170,NOT(AJ170)),LEFT(AH170,2),0))),0)</f>
        <v>0</v>
      </c>
      <c r="AG170" s="3044">
        <f>HLOOKUP(Region&amp;ClaseSocial,Tabla_RaicesCulturales,Tablas!F183,FALSE)</f>
        <v>0</v>
      </c>
      <c r="AH170" s="3061">
        <f>IF(AND(E170="Historia",Personalización!$E$16="Historia (Local)"),20&amp;" "&amp;Personalización!$E$16,IF(E170=Personalización!$E$15,VLOOKUP(E170,Tablas!$L$136:$M$137,2,FALSE),IF(E170=Personalización!$E$16,VLOOKUP(E170,Tablas!$N$136:$O$137,2,FALSE),0)))</f>
        <v>0</v>
      </c>
      <c r="AI170" s="3061" t="b">
        <f t="shared" si="45"/>
        <v>0</v>
      </c>
      <c r="AJ170" s="3061" t="b">
        <f t="shared" si="46"/>
        <v>0</v>
      </c>
      <c r="AK170" s="3061"/>
      <c r="AL170" s="3055" t="e">
        <f t="shared" si="47"/>
        <v>#N/A</v>
      </c>
      <c r="AM170" s="3055"/>
      <c r="AN170" s="3055" t="e">
        <f t="shared" si="48"/>
        <v>#N/A</v>
      </c>
      <c r="AO170" s="3055"/>
      <c r="AP170" s="3055" t="e">
        <f t="shared" si="49"/>
        <v>#N/A</v>
      </c>
      <c r="AQ170" s="1737"/>
      <c r="AR170" s="3055" t="e">
        <f t="shared" si="50"/>
        <v>#N/A</v>
      </c>
      <c r="AS170" s="1737"/>
      <c r="AT170" s="3055" t="e">
        <f t="shared" si="51"/>
        <v>#N/A</v>
      </c>
      <c r="AU170" s="1737" t="str">
        <f t="shared" si="38"/>
        <v/>
      </c>
      <c r="AV170" s="1737"/>
    </row>
    <row r="171" spans="1:48" ht="12" customHeight="1" x14ac:dyDescent="0.2">
      <c r="A171" s="29"/>
      <c r="B171" s="823" t="str">
        <f t="shared" si="53"/>
        <v>Creativas</v>
      </c>
      <c r="C171" s="3582"/>
      <c r="D171" s="4054"/>
      <c r="E171" s="3961" t="s">
        <v>813</v>
      </c>
      <c r="F171" s="3962"/>
      <c r="G171" s="3962"/>
      <c r="H171" s="796" t="s">
        <v>1378</v>
      </c>
      <c r="I171" s="1496"/>
      <c r="J171" s="552">
        <f>IF(ISNA(AL171),0,MAX(MIN(AL171-VLOOKUP("Apto en campo: "&amp;$B171,Tabla_Ventajas,3,FALSE)-Tablas!$O323-2*Tablas!$Q323,3),1))</f>
        <v>0</v>
      </c>
      <c r="K171" s="1812"/>
      <c r="L171" s="552">
        <f>IF(ISNA(AN171),0,MAX(MIN(AN171-VLOOKUP("Apto en campo: "&amp;$B171,Tabla_Ventajas,3,FALSE)-Tablas!$O323-2*Tablas!$Q323,3),1))</f>
        <v>0</v>
      </c>
      <c r="M171" s="1812"/>
      <c r="N171" s="552">
        <f>IF(ISNA(AP171),0,MAX(MIN(AP171-VLOOKUP("Apto en campo: "&amp;$B171,Tabla_Ventajas,3,FALSE)-Tablas!$O323-2*Tablas!$Q323,3),1))</f>
        <v>0</v>
      </c>
      <c r="O171" s="1812"/>
      <c r="P171" s="552">
        <f>IF(ISNA(AR171),0,MAX(MIN(AR171-VLOOKUP("Apto en campo: "&amp;$B171,Tabla_Ventajas,3,FALSE)-Tablas!$O323-2*Tablas!$Q323,3),1))</f>
        <v>0</v>
      </c>
      <c r="Q171" s="1812"/>
      <c r="R171" s="552">
        <f>IF(ISNA(AT171),0,MAX(MIN(AT171-VLOOKUP("Apto en campo: "&amp;$B171,Tabla_Ventajas,3,FALSE)-Tablas!$O323-2*Tablas!$Q323,3),1))</f>
        <v>0</v>
      </c>
      <c r="S171" s="1812"/>
      <c r="T171" s="495">
        <f>IF(J171=0,0,TRUNC(K171/J171,0))+IF(L171=0,0,TRUNC(M171/L171,0))+IF(N171=0,0,TRUNC(O171/N171,0))+IF(P171=0,0,TRUNC(Q171/P171,0))+IF(R171=0,0,TRUNC(S171/R171,0))+IF(Personalización!$E$12="Como Base (no oficial)",AF171,0)</f>
        <v>0</v>
      </c>
      <c r="U171" s="495">
        <f t="shared" si="43"/>
        <v>0</v>
      </c>
      <c r="V171" s="495">
        <f>IF(ISNA(HLOOKUP($E171,Bonos_Cat_Base,2,FALSE)),0,HLOOKUP($E171,Bonos_Cat_Base,2,FALSE))+Tablas!$X323*Nivel_Total+10*Y171</f>
        <v>0</v>
      </c>
      <c r="W171" s="1811"/>
      <c r="X171" s="1812"/>
      <c r="Y171" s="1811"/>
      <c r="Z171" s="2216"/>
      <c r="AA171" s="1308">
        <f>IF(AND(T171&lt;5,Tablas!G$310=0),-30,0)+T171+U171+V171+Z171+IF(I171="",0,40)+Mod_ATA+AD171+IF(Personalización!$E$12="Como Base (no oficial)",0,AF171)</f>
        <v>-30</v>
      </c>
      <c r="AB171" s="1741">
        <f t="shared" si="44"/>
        <v>0</v>
      </c>
      <c r="AC171" s="845"/>
      <c r="AD171" s="3044"/>
      <c r="AE171" s="3061"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069">
        <f>IF(AF$126,IF(OR(Region="",ClaseSocial="",Personalización!$AN$9),0,IF(OR(AND(AI171,AJ171),AND(NOT(AI171),NOT(AJ171))),LEFT(AG171,2)+LEFT(AH171,2),IF(AND(AI171,NOT(AJ171)),LEFT(AH171,2),0))),0)</f>
        <v>0</v>
      </c>
      <c r="AG171" s="3044">
        <f>HLOOKUP(Region&amp;ClaseSocial,Tabla_RaicesCulturales,Tablas!F184,FALSE)</f>
        <v>0</v>
      </c>
      <c r="AH171" s="3061">
        <f>IF(AND(E171="Historia",Personalización!$E$16="Historia (Local)"),20&amp;" "&amp;Personalización!$E$16,IF(E171=Personalización!$E$15,VLOOKUP(E171,Tablas!$L$136:$M$137,2,FALSE),IF(E171=Personalización!$E$16,VLOOKUP(E171,Tablas!$N$136:$O$137,2,FALSE),0)))</f>
        <v>0</v>
      </c>
      <c r="AI171" s="3061" t="b">
        <f t="shared" si="45"/>
        <v>0</v>
      </c>
      <c r="AJ171" s="3061" t="b">
        <f t="shared" si="46"/>
        <v>0</v>
      </c>
      <c r="AK171" s="3061"/>
      <c r="AL171" s="3055" t="e">
        <f t="shared" si="47"/>
        <v>#N/A</v>
      </c>
      <c r="AM171" s="3055"/>
      <c r="AN171" s="3055" t="e">
        <f t="shared" si="48"/>
        <v>#N/A</v>
      </c>
      <c r="AO171" s="3055"/>
      <c r="AP171" s="3055" t="e">
        <f t="shared" si="49"/>
        <v>#N/A</v>
      </c>
      <c r="AQ171" s="1737"/>
      <c r="AR171" s="3055" t="e">
        <f t="shared" si="50"/>
        <v>#N/A</v>
      </c>
      <c r="AS171" s="1737"/>
      <c r="AT171" s="3055" t="e">
        <f t="shared" si="51"/>
        <v>#N/A</v>
      </c>
      <c r="AU171" s="1737" t="str">
        <f t="shared" si="38"/>
        <v/>
      </c>
      <c r="AV171" s="1737"/>
    </row>
    <row r="172" spans="1:48" ht="12" customHeight="1" x14ac:dyDescent="0.2">
      <c r="A172" s="29"/>
      <c r="B172" s="823" t="str">
        <f t="shared" si="53"/>
        <v>Creativas</v>
      </c>
      <c r="C172" s="3582"/>
      <c r="D172" s="4054"/>
      <c r="E172" s="3964" t="s">
        <v>814</v>
      </c>
      <c r="F172" s="3965"/>
      <c r="G172" s="3965"/>
      <c r="H172" s="795" t="s">
        <v>1386</v>
      </c>
      <c r="I172" s="1527"/>
      <c r="J172" s="2010">
        <f>IF(ISNA(AL172),0,MAX(MIN(AL172-VLOOKUP("Apto en campo: "&amp;$B172,Tabla_Ventajas,3,FALSE)-Tablas!$O324-2*Tablas!$Q324,3),1))</f>
        <v>0</v>
      </c>
      <c r="K172" s="1810"/>
      <c r="L172" s="2010">
        <f>IF(ISNA(AN172),0,MAX(MIN(AN172-VLOOKUP("Apto en campo: "&amp;$B172,Tabla_Ventajas,3,FALSE)-Tablas!$O324-2*Tablas!$Q324,3),1))</f>
        <v>0</v>
      </c>
      <c r="M172" s="1810"/>
      <c r="N172" s="2010">
        <f>IF(ISNA(AP172),0,MAX(MIN(AP172-VLOOKUP("Apto en campo: "&amp;$B172,Tabla_Ventajas,3,FALSE)-Tablas!$O324-2*Tablas!$Q324,3),1))</f>
        <v>0</v>
      </c>
      <c r="O172" s="1810"/>
      <c r="P172" s="2010">
        <f>IF(ISNA(AR172),0,MAX(MIN(AR172-VLOOKUP("Apto en campo: "&amp;$B172,Tabla_Ventajas,3,FALSE)-Tablas!$O324-2*Tablas!$Q324,3),1))</f>
        <v>0</v>
      </c>
      <c r="Q172" s="1810"/>
      <c r="R172" s="2010">
        <f>IF(ISNA(AT172),0,MAX(MIN(AT172-VLOOKUP("Apto en campo: "&amp;$B172,Tabla_Ventajas,3,FALSE)-Tablas!$O324-2*Tablas!$Q324,3),1))</f>
        <v>0</v>
      </c>
      <c r="S172" s="1810"/>
      <c r="T172" s="494">
        <f>IF(J172=0,0,TRUNC(K172/J172,0))+IF(L172=0,0,TRUNC(M172/L172,0))+IF(N172=0,0,TRUNC(O172/N172,0))+IF(P172=0,0,TRUNC(Q172/P172,0))+IF(R172=0,0,TRUNC(S172/R172,0))+IF(Personalización!$E$12="Como Base (no oficial)",AF172,0)</f>
        <v>0</v>
      </c>
      <c r="U172" s="494">
        <f t="shared" si="43"/>
        <v>0</v>
      </c>
      <c r="V172" s="494">
        <f>IF(ISNA(HLOOKUP($E172,Bonos_Cat_Base,2,FALSE)),0,HLOOKUP($E172,Bonos_Cat_Base,2,FALSE))+Tablas!$X324*Nivel_Total+10*Y172</f>
        <v>0</v>
      </c>
      <c r="W172" s="1809"/>
      <c r="X172" s="1810"/>
      <c r="Y172" s="1809"/>
      <c r="Z172" s="2215"/>
      <c r="AA172" s="1307">
        <f>IF(AND(T172&lt;5,Tablas!G$310=0),-30,0)+T172+U172+V172+Z172+IF(I172="",0,40)+Mod_ATA+AD172+IF(Personalización!$E$12="Como Base (no oficial)",0,AF172)</f>
        <v>-30</v>
      </c>
      <c r="AB172" s="1741">
        <f t="shared" si="44"/>
        <v>0</v>
      </c>
      <c r="AC172" s="845"/>
      <c r="AD172" s="3044"/>
      <c r="AE172" s="3061"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069">
        <f>IF(AF$126,IF(OR(Region="",ClaseSocial="",Personalización!$AN$9),0,IF(OR(AND(AI172,AJ172),AND(NOT(AI172),NOT(AJ172))),LEFT(AG172,2)+LEFT(AH172,2),IF(AND(AI172,NOT(AJ172)),LEFT(AH172,2),0))),0)</f>
        <v>0</v>
      </c>
      <c r="AG172" s="3044">
        <f>HLOOKUP(Region&amp;ClaseSocial,Tabla_RaicesCulturales,Tablas!F185,FALSE)</f>
        <v>0</v>
      </c>
      <c r="AH172" s="3061">
        <f>IF(AND(E172="Historia",Personalización!$E$16="Historia (Local)"),20&amp;" "&amp;Personalización!$E$16,IF(E172=Personalización!$E$15,VLOOKUP(E172,Tablas!$L$136:$M$137,2,FALSE),IF(E172=Personalización!$E$16,VLOOKUP(E172,Tablas!$N$136:$O$137,2,FALSE),0)))</f>
        <v>0</v>
      </c>
      <c r="AI172" s="3061" t="b">
        <f>OR(ISNUMBER(FIND("(",AG172)),ISNUMBER(FIND("(",AH172)))</f>
        <v>0</v>
      </c>
      <c r="AJ172" s="3061" t="b">
        <f>AND(NOT(I172=""),OR(ISNUMBER(SEARCH(I172,AG172)),ISNUMBER(SEARCH(I172,AH172))))</f>
        <v>0</v>
      </c>
      <c r="AK172" s="3061"/>
      <c r="AL172" s="3055" t="e">
        <f t="shared" si="47"/>
        <v>#N/A</v>
      </c>
      <c r="AM172" s="3055"/>
      <c r="AN172" s="3055" t="e">
        <f t="shared" si="48"/>
        <v>#N/A</v>
      </c>
      <c r="AO172" s="3055"/>
      <c r="AP172" s="3055" t="e">
        <f t="shared" si="49"/>
        <v>#N/A</v>
      </c>
      <c r="AQ172" s="1737"/>
      <c r="AR172" s="3055" t="e">
        <f t="shared" si="50"/>
        <v>#N/A</v>
      </c>
      <c r="AS172" s="1737"/>
      <c r="AT172" s="3055" t="e">
        <f t="shared" si="51"/>
        <v>#N/A</v>
      </c>
      <c r="AU172" s="1737" t="str">
        <f t="shared" si="38"/>
        <v/>
      </c>
      <c r="AV172" s="1737"/>
    </row>
    <row r="173" spans="1:48" ht="12" customHeight="1" x14ac:dyDescent="0.2">
      <c r="A173" s="29"/>
      <c r="B173" s="823" t="str">
        <f t="shared" si="53"/>
        <v>Creativas</v>
      </c>
      <c r="C173" s="3582"/>
      <c r="D173" s="4054"/>
      <c r="E173" s="3961" t="s">
        <v>815</v>
      </c>
      <c r="F173" s="3962"/>
      <c r="G173" s="3962"/>
      <c r="H173" s="796" t="s">
        <v>1391</v>
      </c>
      <c r="I173" s="1496"/>
      <c r="J173" s="552">
        <f>IF(ISNA(AL173),0,MAX(MIN(AL173-VLOOKUP("Apto en campo: "&amp;$B173,Tabla_Ventajas,3,FALSE)-Tablas!$O325-2*Tablas!$Q325,3),1))</f>
        <v>0</v>
      </c>
      <c r="K173" s="1812"/>
      <c r="L173" s="552">
        <f>IF(ISNA(AN173),0,MAX(MIN(AN173-VLOOKUP("Apto en campo: "&amp;$B173,Tabla_Ventajas,3,FALSE)-Tablas!$O325-2*Tablas!$Q325,3),1))</f>
        <v>0</v>
      </c>
      <c r="M173" s="1812"/>
      <c r="N173" s="552">
        <f>IF(ISNA(AP173),0,MAX(MIN(AP173-VLOOKUP("Apto en campo: "&amp;$B173,Tabla_Ventajas,3,FALSE)-Tablas!$O325-2*Tablas!$Q325,3),1))</f>
        <v>0</v>
      </c>
      <c r="O173" s="1812"/>
      <c r="P173" s="552">
        <f>IF(ISNA(AR173),0,MAX(MIN(AR173-VLOOKUP("Apto en campo: "&amp;$B173,Tabla_Ventajas,3,FALSE)-Tablas!$O325-2*Tablas!$Q325,3),1))</f>
        <v>0</v>
      </c>
      <c r="Q173" s="1812"/>
      <c r="R173" s="552">
        <f>IF(ISNA(AT173),0,MAX(MIN(AT173-VLOOKUP("Apto en campo: "&amp;$B173,Tabla_Ventajas,3,FALSE)-Tablas!$O325-2*Tablas!$Q325,3),1))</f>
        <v>0</v>
      </c>
      <c r="S173" s="1812"/>
      <c r="T173" s="495">
        <f>IF(J173=0,0,TRUNC(K173/J173,0))+IF(L173=0,0,TRUNC(M173/L173,0))+IF(N173=0,0,TRUNC(O173/N173,0))+IF(P173=0,0,TRUNC(Q173/P173,0))+IF(R173=0,0,TRUNC(S173/R173,0))+IF(Personalización!$E$12="Como Base (no oficial)",AF173,0)</f>
        <v>0</v>
      </c>
      <c r="U173" s="495">
        <f t="shared" si="43"/>
        <v>0</v>
      </c>
      <c r="V173" s="495">
        <f>IF(ISNA(HLOOKUP($E173,Bonos_Cat_Base,2,FALSE)),0,HLOOKUP($E173,Bonos_Cat_Base,2,FALSE))+Tablas!$X325*Nivel_Total+10*Y173</f>
        <v>0</v>
      </c>
      <c r="W173" s="1811"/>
      <c r="X173" s="1812"/>
      <c r="Y173" s="1811"/>
      <c r="Z173" s="2216"/>
      <c r="AA173" s="1308">
        <f>IF(AND(T173&lt;5,Tablas!G$310=0),-30,0)+T173+U173+V173+Z173+IF(I173="",0,40)+Mod_ATA+AD173+IF(Personalización!$E$12="Como Base (no oficial)",0,AF173)</f>
        <v>-30</v>
      </c>
      <c r="AB173" s="1741">
        <f t="shared" si="44"/>
        <v>0</v>
      </c>
      <c r="AC173" s="845"/>
      <c r="AD173" s="3044"/>
      <c r="AE173" s="3061"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069">
        <f>IF(AF$126,IF(OR(Region="",ClaseSocial="",Personalización!$AN$9),0,IF(OR(AND(AI173,AJ173),AND(NOT(AI173),NOT(AJ173))),LEFT(AG173,2)+LEFT(AH173,2),IF(AND(AI173,NOT(AJ173)),LEFT(AH173,2),0))),0)</f>
        <v>0</v>
      </c>
      <c r="AG173" s="3044">
        <f>HLOOKUP(Region&amp;ClaseSocial,Tabla_RaicesCulturales,Tablas!F186,FALSE)</f>
        <v>0</v>
      </c>
      <c r="AH173" s="3061">
        <f>IF(AND(E173="Historia",Personalización!$E$16="Historia (Local)"),20&amp;" "&amp;Personalización!$E$16,IF(E173=Personalización!$E$15,VLOOKUP(E173,Tablas!$L$136:$M$137,2,FALSE),IF(E173=Personalización!$E$16,VLOOKUP(E173,Tablas!$N$136:$O$137,2,FALSE),0)))</f>
        <v>0</v>
      </c>
      <c r="AI173" s="3061" t="b">
        <f>OR(ISNUMBER(FIND("(",AG173)),ISNUMBER(FIND("(",AH173)))</f>
        <v>0</v>
      </c>
      <c r="AJ173" s="3061" t="b">
        <f>AND(NOT(I173=""),OR(ISNUMBER(SEARCH(I173,AG173)),ISNUMBER(SEARCH(I173,AH173))))</f>
        <v>0</v>
      </c>
      <c r="AK173" s="3061"/>
      <c r="AL173" s="3055" t="e">
        <f t="shared" si="47"/>
        <v>#N/A</v>
      </c>
      <c r="AM173" s="3055"/>
      <c r="AN173" s="3055" t="e">
        <f t="shared" si="48"/>
        <v>#N/A</v>
      </c>
      <c r="AO173" s="3055"/>
      <c r="AP173" s="3055" t="e">
        <f t="shared" si="49"/>
        <v>#N/A</v>
      </c>
      <c r="AQ173" s="1737"/>
      <c r="AR173" s="3055" t="e">
        <f t="shared" si="50"/>
        <v>#N/A</v>
      </c>
      <c r="AS173" s="1737"/>
      <c r="AT173" s="3055" t="e">
        <f t="shared" si="51"/>
        <v>#N/A</v>
      </c>
      <c r="AU173" s="1737" t="str">
        <f t="shared" si="38"/>
        <v/>
      </c>
      <c r="AV173" s="1737"/>
    </row>
    <row r="174" spans="1:48" ht="12" customHeight="1" x14ac:dyDescent="0.2">
      <c r="A174" s="29"/>
      <c r="B174" s="823" t="str">
        <f t="shared" si="53"/>
        <v>Creativas</v>
      </c>
      <c r="C174" s="3582"/>
      <c r="D174" s="4054"/>
      <c r="E174" s="3964" t="s">
        <v>1474</v>
      </c>
      <c r="F174" s="3965"/>
      <c r="G174" s="3965"/>
      <c r="H174" s="795" t="s">
        <v>1391</v>
      </c>
      <c r="I174" s="1529"/>
      <c r="J174" s="2010">
        <f>IF(ISNA(AL174),0,MAX(MIN(AL174-VLOOKUP("Apto en campo: "&amp;$B174,Tabla_Ventajas,3,FALSE)-Tablas!$O326-2*Tablas!$Q326,3),1))</f>
        <v>0</v>
      </c>
      <c r="K174" s="1810"/>
      <c r="L174" s="2010">
        <f>IF(ISNA(AN174),0,MAX(MIN(AN174-VLOOKUP("Apto en campo: "&amp;$B174,Tabla_Ventajas,3,FALSE)-Tablas!$O326-2*Tablas!$Q326,3),1))</f>
        <v>0</v>
      </c>
      <c r="M174" s="1810"/>
      <c r="N174" s="2010">
        <f>IF(ISNA(AP174),0,MAX(MIN(AP174-VLOOKUP("Apto en campo: "&amp;$B174,Tabla_Ventajas,3,FALSE)-Tablas!$O326-2*Tablas!$Q326,3),1))</f>
        <v>0</v>
      </c>
      <c r="O174" s="1810"/>
      <c r="P174" s="2010">
        <f>IF(ISNA(AR174),0,MAX(MIN(AR174-VLOOKUP("Apto en campo: "&amp;$B174,Tabla_Ventajas,3,FALSE)-Tablas!$O326-2*Tablas!$Q326,3),1))</f>
        <v>0</v>
      </c>
      <c r="Q174" s="1810"/>
      <c r="R174" s="2010">
        <f>IF(ISNA(AT174),0,MAX(MIN(AT174-VLOOKUP("Apto en campo: "&amp;$B174,Tabla_Ventajas,3,FALSE)-Tablas!$O326-2*Tablas!$Q326,3),1))</f>
        <v>0</v>
      </c>
      <c r="S174" s="1810"/>
      <c r="T174" s="494">
        <f>IF(J174=0,0,TRUNC(K174/J174,0))+IF(L174=0,0,TRUNC(M174/L174,0))+IF(N174=0,0,TRUNC(O174/N174,0))+IF(P174=0,0,TRUNC(Q174/P174,0))+IF(R174=0,0,TRUNC(S174/R174,0))+IF(Personalización!$E$12="Como Base (no oficial)",AF174,0)</f>
        <v>0</v>
      </c>
      <c r="U174" s="494">
        <f t="shared" si="43"/>
        <v>0</v>
      </c>
      <c r="V174" s="494">
        <f>IF(ISNA(HLOOKUP($E174,Bonos_Cat_Base,2,FALSE)),0,HLOOKUP($E174,Bonos_Cat_Base,2,FALSE))+Tablas!$X326*Nivel_Total+10*Y174</f>
        <v>0</v>
      </c>
      <c r="W174" s="1809"/>
      <c r="X174" s="1810"/>
      <c r="Y174" s="1809"/>
      <c r="Z174" s="2215"/>
      <c r="AA174" s="502" t="str">
        <f>IF(AND(T174&lt;5,Tablas!G$310=0),"-",T174+U174+V174+Z174+IF(I174="",0,40)+Mod_ATA+AD174+IF(Personalización!$E$12="Como Base (no oficial)",0,AF174))</f>
        <v>-</v>
      </c>
      <c r="AB174" s="1741">
        <f t="shared" si="44"/>
        <v>0</v>
      </c>
      <c r="AC174" s="845"/>
      <c r="AD174" s="3044">
        <f>Tablas!$K$1826</f>
        <v>0</v>
      </c>
      <c r="AE174" s="3061"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069">
        <f>IF(AF$126,IF(OR(Region="",ClaseSocial="",Personalización!$AN$9),0,IF(OR(AND(AI174,AJ174),AND(NOT(AI174),NOT(AJ174))),LEFT(AG174,2)+LEFT(AH174,2),IF(AND(AI174,NOT(AJ174)),LEFT(AH174,2),0))),0)</f>
        <v>0</v>
      </c>
      <c r="AG174" s="3044">
        <f>HLOOKUP(Region&amp;ClaseSocial,Tabla_RaicesCulturales,Tablas!F187,FALSE)</f>
        <v>0</v>
      </c>
      <c r="AH174" s="3061">
        <f>IF(AND(E174="Historia",Personalización!$E$16="Historia (Local)"),20&amp;" "&amp;Personalización!$E$16,IF(E174=Personalización!$E$15,VLOOKUP(E174,Tablas!$L$136:$M$137,2,FALSE),IF(E174=Personalización!$E$16,VLOOKUP(E174,Tablas!$N$136:$O$137,2,FALSE),0)))</f>
        <v>0</v>
      </c>
      <c r="AI174" s="3061" t="b">
        <f t="shared" si="45"/>
        <v>0</v>
      </c>
      <c r="AJ174" s="3061" t="b">
        <f t="shared" si="46"/>
        <v>0</v>
      </c>
      <c r="AK174" s="3061"/>
      <c r="AL174" s="3055" t="e">
        <f t="shared" si="47"/>
        <v>#N/A</v>
      </c>
      <c r="AM174" s="3055"/>
      <c r="AN174" s="3055" t="e">
        <f t="shared" si="48"/>
        <v>#N/A</v>
      </c>
      <c r="AO174" s="3055"/>
      <c r="AP174" s="3055" t="e">
        <f t="shared" si="49"/>
        <v>#N/A</v>
      </c>
      <c r="AQ174" s="1737"/>
      <c r="AR174" s="3055" t="e">
        <f t="shared" si="50"/>
        <v>#N/A</v>
      </c>
      <c r="AS174" s="1737"/>
      <c r="AT174" s="3055" t="e">
        <f t="shared" si="51"/>
        <v>#N/A</v>
      </c>
      <c r="AU174" s="1737" t="str">
        <f t="shared" si="38"/>
        <v/>
      </c>
      <c r="AV174" s="1737"/>
    </row>
    <row r="175" spans="1:48" ht="12" customHeight="1" x14ac:dyDescent="0.2">
      <c r="A175" s="29"/>
      <c r="B175" s="823" t="str">
        <f t="shared" si="53"/>
        <v>Creativas</v>
      </c>
      <c r="C175" s="3582"/>
      <c r="D175" s="4054"/>
      <c r="E175" s="3961" t="s">
        <v>1476</v>
      </c>
      <c r="F175" s="3962"/>
      <c r="G175" s="3962"/>
      <c r="H175" s="796" t="s">
        <v>1378</v>
      </c>
      <c r="I175" s="1497"/>
      <c r="J175" s="552">
        <f>IF(ISNA(AL175),0,MAX(MIN(AL175-VLOOKUP("Apto en campo: "&amp;$B175,Tabla_Ventajas,3,FALSE)-Tablas!$O327-2*Tablas!$Q327,3),1))</f>
        <v>0</v>
      </c>
      <c r="K175" s="1812"/>
      <c r="L175" s="552">
        <f>IF(ISNA(AN175),0,MAX(MIN(AN175-VLOOKUP("Apto en campo: "&amp;$B175,Tabla_Ventajas,3,FALSE)-Tablas!$O327-2*Tablas!$Q327,3),1))</f>
        <v>0</v>
      </c>
      <c r="M175" s="1812"/>
      <c r="N175" s="552">
        <f>IF(ISNA(AP175),0,MAX(MIN(AP175-VLOOKUP("Apto en campo: "&amp;$B175,Tabla_Ventajas,3,FALSE)-Tablas!$O327-2*Tablas!$Q327,3),1))</f>
        <v>0</v>
      </c>
      <c r="O175" s="1812"/>
      <c r="P175" s="552">
        <f>IF(ISNA(AR175),0,MAX(MIN(AR175-VLOOKUP("Apto en campo: "&amp;$B175,Tabla_Ventajas,3,FALSE)-Tablas!$O327-2*Tablas!$Q327,3),1))</f>
        <v>0</v>
      </c>
      <c r="Q175" s="1812"/>
      <c r="R175" s="552">
        <f>IF(ISNA(AT175),0,MAX(MIN(AT175-VLOOKUP("Apto en campo: "&amp;$B175,Tabla_Ventajas,3,FALSE)-Tablas!$O327-2*Tablas!$Q327,3),1))</f>
        <v>0</v>
      </c>
      <c r="S175" s="1812"/>
      <c r="T175" s="495">
        <f>IF(J175=0,0,TRUNC(K175/J175,0))+IF(L175=0,0,TRUNC(M175/L175,0))+IF(N175=0,0,TRUNC(O175/N175,0))+IF(P175=0,0,TRUNC(Q175/P175,0))+IF(R175=0,0,TRUNC(S175/R175,0))+IF(Personalización!$E$12="Como Base (no oficial)",AF175,0)</f>
        <v>0</v>
      </c>
      <c r="U175" s="495">
        <f t="shared" si="43"/>
        <v>0</v>
      </c>
      <c r="V175" s="495">
        <f>IF(ISNA(HLOOKUP($E175,Bonos_Cat_Base,2,FALSE)),0,HLOOKUP($E175,Bonos_Cat_Base,2,FALSE))+Tablas!$X327*Nivel_Total+10*Y175</f>
        <v>0</v>
      </c>
      <c r="W175" s="1811"/>
      <c r="X175" s="1812"/>
      <c r="Y175" s="1811"/>
      <c r="Z175" s="2216"/>
      <c r="AA175" s="1308">
        <f>IF(AND(T175&lt;5,Tablas!G$310=0),-30,0)+T175+U175+V175+Z175+IF(I175="",0,40)+Mod_ATA+AD175+IF(Personalización!$E$12="Como Base (no oficial)",0,AF175)</f>
        <v>-30</v>
      </c>
      <c r="AB175" s="1741">
        <f t="shared" si="44"/>
        <v>0</v>
      </c>
      <c r="AC175" s="845"/>
      <c r="AD175" s="3044">
        <f>IF(Tablas!$G$375&gt;0,30,0)</f>
        <v>0</v>
      </c>
      <c r="AE175" s="3061"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069">
        <f>IF(AF$126,IF(OR(Region="",ClaseSocial="",Personalización!$AN$9),0,IF(OR(AND(AI175,AJ175),AND(NOT(AI175),NOT(AJ175))),LEFT(AG175,2)+LEFT(AH175,2),IF(AND(AI175,NOT(AJ175)),LEFT(AH175,2),0))),0)</f>
        <v>0</v>
      </c>
      <c r="AG175" s="3044">
        <f>HLOOKUP(Region&amp;ClaseSocial,Tabla_RaicesCulturales,Tablas!F188,FALSE)</f>
        <v>0</v>
      </c>
      <c r="AH175" s="3061">
        <f>IF(AND(E175="Historia",Personalización!$E$16="Historia (Local)"),20&amp;" "&amp;Personalización!$E$16,IF(E175=Personalización!$E$15,VLOOKUP(E175,Tablas!$L$136:$M$137,2,FALSE),IF(E175=Personalización!$E$16,VLOOKUP(E175,Tablas!$N$136:$O$137,2,FALSE),0)))</f>
        <v>0</v>
      </c>
      <c r="AI175" s="3061" t="b">
        <f t="shared" si="45"/>
        <v>0</v>
      </c>
      <c r="AJ175" s="3061" t="b">
        <f t="shared" si="46"/>
        <v>0</v>
      </c>
      <c r="AK175" s="3061"/>
      <c r="AL175" s="3055" t="e">
        <f t="shared" si="47"/>
        <v>#N/A</v>
      </c>
      <c r="AM175" s="3055"/>
      <c r="AN175" s="3055" t="e">
        <f t="shared" si="48"/>
        <v>#N/A</v>
      </c>
      <c r="AO175" s="3055"/>
      <c r="AP175" s="3055" t="e">
        <f t="shared" si="49"/>
        <v>#N/A</v>
      </c>
      <c r="AQ175" s="1737"/>
      <c r="AR175" s="3055" t="e">
        <f t="shared" si="50"/>
        <v>#N/A</v>
      </c>
      <c r="AS175" s="1737"/>
      <c r="AT175" s="3055" t="e">
        <f t="shared" si="51"/>
        <v>#N/A</v>
      </c>
      <c r="AU175" s="1737" t="str">
        <f t="shared" si="38"/>
        <v/>
      </c>
      <c r="AV175" s="1737"/>
    </row>
    <row r="176" spans="1:48" ht="12" customHeight="1" x14ac:dyDescent="0.2">
      <c r="A176" s="29"/>
      <c r="B176" s="823" t="str">
        <f t="shared" si="53"/>
        <v>Creativas</v>
      </c>
      <c r="C176" s="3582"/>
      <c r="D176" s="4054"/>
      <c r="E176" s="3964" t="s">
        <v>6279</v>
      </c>
      <c r="F176" s="3965"/>
      <c r="G176" s="3965"/>
      <c r="H176" s="795" t="s">
        <v>1378</v>
      </c>
      <c r="I176" s="1527"/>
      <c r="J176" s="2010">
        <f>IF(ISNA(AL176),0,MAX(MIN(AL176-VLOOKUP("Apto en campo: "&amp;$B176,Tabla_Ventajas,3,FALSE)-Tablas!$O328-2*Tablas!$Q328,3),1))</f>
        <v>0</v>
      </c>
      <c r="K176" s="1810"/>
      <c r="L176" s="2010">
        <f>IF(ISNA(AN176),0,MAX(MIN(AN176-VLOOKUP("Apto en campo: "&amp;$B176,Tabla_Ventajas,3,FALSE)-Tablas!$O328-2*Tablas!$Q328,3),1))</f>
        <v>0</v>
      </c>
      <c r="M176" s="1810"/>
      <c r="N176" s="2010">
        <f>IF(ISNA(AP176),0,MAX(MIN(AP176-VLOOKUP("Apto en campo: "&amp;$B176,Tabla_Ventajas,3,FALSE)-Tablas!$O328-2*Tablas!$Q328,3),1))</f>
        <v>0</v>
      </c>
      <c r="O176" s="1810"/>
      <c r="P176" s="2010">
        <f>IF(ISNA(AR176),0,MAX(MIN(AR176-VLOOKUP("Apto en campo: "&amp;$B176,Tabla_Ventajas,3,FALSE)-Tablas!$O328-2*Tablas!$Q328,3),1))</f>
        <v>0</v>
      </c>
      <c r="Q176" s="1810"/>
      <c r="R176" s="2010">
        <f>IF(ISNA(AT176),0,MAX(MIN(AT176-VLOOKUP("Apto en campo: "&amp;$B176,Tabla_Ventajas,3,FALSE)-Tablas!$O328-2*Tablas!$Q328,3),1))</f>
        <v>0</v>
      </c>
      <c r="S176" s="1810"/>
      <c r="T176" s="494">
        <f>IF(J176=0,0,TRUNC(K176/J176,0))+IF(L176=0,0,TRUNC(M176/L176,0))+IF(N176=0,0,TRUNC(O176/N176,0))+IF(P176=0,0,TRUNC(Q176/P176,0))+IF(R176=0,0,TRUNC(S176/R176,0))+IF(Personalización!$E$12="Como Base (no oficial)",AF176,0)</f>
        <v>0</v>
      </c>
      <c r="U176" s="494">
        <f t="shared" si="43"/>
        <v>0</v>
      </c>
      <c r="V176" s="494">
        <f>IF(ISNA(HLOOKUP($E176,Bonos_Cat_Base,2,FALSE)),0,HLOOKUP($E176,Bonos_Cat_Base,2,FALSE))+Tablas!$X328*Nivel_Total+10*Y176</f>
        <v>0</v>
      </c>
      <c r="W176" s="1809"/>
      <c r="X176" s="1810"/>
      <c r="Y176" s="1809"/>
      <c r="Z176" s="2215"/>
      <c r="AA176" s="1307">
        <f>IF(AND(T176&lt;5,Tablas!G$310=0),-30,0)+T176+U176+V176+Z176+IF(I176="",0,40)+Mod_ATA+AD176+IF(Personalización!$E$12="Como Base (no oficial)",0,AF176)</f>
        <v>-30</v>
      </c>
      <c r="AB176" s="1741">
        <f t="shared" si="44"/>
        <v>0</v>
      </c>
      <c r="AC176" s="845"/>
      <c r="AD176" s="3044"/>
      <c r="AE176" s="3061"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069">
        <f>IF(AF$126,IF(OR(Region="",ClaseSocial="",Personalización!$AN$9),0,IF(OR(AND(AI176,AJ176),AND(NOT(AI176),NOT(AJ176))),LEFT(AG176,2)+LEFT(AH176,2),IF(AND(AI176,NOT(AJ176)),LEFT(AH176,2),0))),0)</f>
        <v>0</v>
      </c>
      <c r="AG176" s="3044">
        <f>HLOOKUP(Region&amp;ClaseSocial,Tabla_RaicesCulturales,Tablas!F189,FALSE)</f>
        <v>0</v>
      </c>
      <c r="AH176" s="3061">
        <f>IF(AND(E176="Historia",Personalización!$E$16="Historia (Local)"),20&amp;" "&amp;Personalización!$E$16,IF(E176=Personalización!$E$15,VLOOKUP(E176,Tablas!$L$136:$M$137,2,FALSE),IF(E176=Personalización!$E$16,VLOOKUP(E176,Tablas!$N$136:$O$137,2,FALSE),0)))</f>
        <v>0</v>
      </c>
      <c r="AI176" s="3061" t="b">
        <f t="shared" si="45"/>
        <v>0</v>
      </c>
      <c r="AJ176" s="3061" t="b">
        <f t="shared" si="46"/>
        <v>0</v>
      </c>
      <c r="AK176" s="3061"/>
      <c r="AL176" s="3055" t="e">
        <f t="shared" si="47"/>
        <v>#N/A</v>
      </c>
      <c r="AM176" s="3055"/>
      <c r="AN176" s="3055" t="e">
        <f t="shared" si="48"/>
        <v>#N/A</v>
      </c>
      <c r="AO176" s="3055"/>
      <c r="AP176" s="3055" t="e">
        <f t="shared" si="49"/>
        <v>#N/A</v>
      </c>
      <c r="AQ176" s="1737"/>
      <c r="AR176" s="3055" t="e">
        <f t="shared" si="50"/>
        <v>#N/A</v>
      </c>
      <c r="AS176" s="1737"/>
      <c r="AT176" s="3055" t="e">
        <f t="shared" si="51"/>
        <v>#N/A</v>
      </c>
      <c r="AU176" s="1737" t="str">
        <f t="shared" si="38"/>
        <v/>
      </c>
      <c r="AV176" s="1737"/>
    </row>
    <row r="177" spans="1:48" ht="12" customHeight="1" x14ac:dyDescent="0.2">
      <c r="A177" s="29"/>
      <c r="B177" s="823" t="str">
        <f t="shared" si="53"/>
        <v>Creativas</v>
      </c>
      <c r="C177" s="3582"/>
      <c r="D177" s="4054"/>
      <c r="E177" s="3961" t="s">
        <v>6280</v>
      </c>
      <c r="F177" s="3962"/>
      <c r="G177" s="3962"/>
      <c r="H177" s="796" t="s">
        <v>1378</v>
      </c>
      <c r="I177" s="1497"/>
      <c r="J177" s="552">
        <f>IF(ISNA(AL177),0,MAX(MIN(AL177-VLOOKUP("Apto en campo: "&amp;$B177,Tabla_Ventajas,3,FALSE)-Tablas!$O329-2*Tablas!$Q329,3),1))</f>
        <v>0</v>
      </c>
      <c r="K177" s="1812"/>
      <c r="L177" s="552">
        <f>IF(ISNA(AN177),0,MAX(MIN(AN177-VLOOKUP("Apto en campo: "&amp;$B177,Tabla_Ventajas,3,FALSE)-Tablas!$O329-2*Tablas!$Q329,3),1))</f>
        <v>0</v>
      </c>
      <c r="M177" s="1812"/>
      <c r="N177" s="552">
        <f>IF(ISNA(AP177),0,MAX(MIN(AP177-VLOOKUP("Apto en campo: "&amp;$B177,Tabla_Ventajas,3,FALSE)-Tablas!$O329-2*Tablas!$Q329,3),1))</f>
        <v>0</v>
      </c>
      <c r="O177" s="1812"/>
      <c r="P177" s="552">
        <f>IF(ISNA(AR177),0,MAX(MIN(AR177-VLOOKUP("Apto en campo: "&amp;$B177,Tabla_Ventajas,3,FALSE)-Tablas!$O329-2*Tablas!$Q329,3),1))</f>
        <v>0</v>
      </c>
      <c r="Q177" s="1812"/>
      <c r="R177" s="552">
        <f>IF(ISNA(AT177),0,MAX(MIN(AT177-VLOOKUP("Apto en campo: "&amp;$B177,Tabla_Ventajas,3,FALSE)-Tablas!$O329-2*Tablas!$Q329,3),1))</f>
        <v>0</v>
      </c>
      <c r="S177" s="1812"/>
      <c r="T177" s="495">
        <f>IF(J177=0,0,TRUNC(K177/J177,0))+IF(L177=0,0,TRUNC(M177/L177,0))+IF(N177=0,0,TRUNC(O177/N177,0))+IF(P177=0,0,TRUNC(Q177/P177,0))+IF(R177=0,0,TRUNC(S177/R177,0))+IF(Personalización!$E$12="Como Base (no oficial)",AF177,0)</f>
        <v>0</v>
      </c>
      <c r="U177" s="495">
        <f t="shared" si="43"/>
        <v>0</v>
      </c>
      <c r="V177" s="495">
        <f>IF(ISNA(HLOOKUP($E177,Bonos_Cat_Base,2,FALSE)),0,HLOOKUP($E177,Bonos_Cat_Base,2,FALSE))+Tablas!$X329*Nivel_Total+10*Y177</f>
        <v>0</v>
      </c>
      <c r="W177" s="1811"/>
      <c r="X177" s="1812"/>
      <c r="Y177" s="1811"/>
      <c r="Z177" s="2216"/>
      <c r="AA177" s="1308">
        <f>IF(AND(T177&lt;5,Tablas!G$310=0),-30,0)+T177+U177+V177+Z177+IF(I177="",0,40)+Mod_ATA+AD177+IF(Personalización!$E$12="Como Base (no oficial)",0,AF177)</f>
        <v>-30</v>
      </c>
      <c r="AB177" s="1741">
        <f t="shared" si="44"/>
        <v>0</v>
      </c>
      <c r="AC177" s="845"/>
      <c r="AD177" s="3044"/>
      <c r="AE177" s="3061"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069">
        <f>IF(AF$126,IF(OR(Region="",ClaseSocial="",Personalización!$AN$9),0,IF(OR(AND(AI177,AJ177),AND(NOT(AI177),NOT(AJ177))),LEFT(AG177,2)+LEFT(AH177,2),IF(AND(AI177,NOT(AJ177)),LEFT(AH177,2),0))),0)</f>
        <v>0</v>
      </c>
      <c r="AG177" s="3044">
        <f>HLOOKUP(Region&amp;ClaseSocial,Tabla_RaicesCulturales,Tablas!F190,FALSE)</f>
        <v>0</v>
      </c>
      <c r="AH177" s="3061">
        <f>IF(AND(E177="Historia",Personalización!$E$16="Historia (Local)"),20&amp;" "&amp;Personalización!$E$16,IF(E177=Personalización!$E$15,VLOOKUP(E177,Tablas!$L$136:$M$137,2,FALSE),IF(E177=Personalización!$E$16,VLOOKUP(E177,Tablas!$N$136:$O$137,2,FALSE),0)))</f>
        <v>0</v>
      </c>
      <c r="AI177" s="3061" t="b">
        <f t="shared" si="45"/>
        <v>0</v>
      </c>
      <c r="AJ177" s="3061" t="b">
        <f t="shared" si="46"/>
        <v>0</v>
      </c>
      <c r="AK177" s="3061"/>
      <c r="AL177" s="3055" t="e">
        <f t="shared" si="47"/>
        <v>#N/A</v>
      </c>
      <c r="AM177" s="3055"/>
      <c r="AN177" s="3055" t="e">
        <f t="shared" si="48"/>
        <v>#N/A</v>
      </c>
      <c r="AO177" s="3055"/>
      <c r="AP177" s="3055" t="e">
        <f t="shared" si="49"/>
        <v>#N/A</v>
      </c>
      <c r="AQ177" s="1737"/>
      <c r="AR177" s="3055" t="e">
        <f t="shared" si="50"/>
        <v>#N/A</v>
      </c>
      <c r="AS177" s="1737"/>
      <c r="AT177" s="3055" t="e">
        <f t="shared" si="51"/>
        <v>#N/A</v>
      </c>
      <c r="AU177" s="1737" t="str">
        <f t="shared" si="38"/>
        <v/>
      </c>
      <c r="AV177" s="1737"/>
    </row>
    <row r="178" spans="1:48" ht="12" customHeight="1" x14ac:dyDescent="0.2">
      <c r="A178" s="29"/>
      <c r="B178" s="823" t="str">
        <f t="shared" si="53"/>
        <v>Creativas</v>
      </c>
      <c r="C178" s="3582"/>
      <c r="D178" s="4054"/>
      <c r="E178" s="3964" t="s">
        <v>6281</v>
      </c>
      <c r="F178" s="3965"/>
      <c r="G178" s="3965"/>
      <c r="H178" s="795" t="s">
        <v>1378</v>
      </c>
      <c r="I178" s="1527"/>
      <c r="J178" s="2010">
        <f>IF(ISNA(AL178),0,MAX(MIN(AL178-VLOOKUP("Apto en campo: "&amp;$B178,Tabla_Ventajas,3,FALSE)-Tablas!$O330-2*Tablas!$Q330,3),1))</f>
        <v>0</v>
      </c>
      <c r="K178" s="1810"/>
      <c r="L178" s="2010">
        <f>IF(ISNA(AN178),0,MAX(MIN(AN178-VLOOKUP("Apto en campo: "&amp;$B178,Tabla_Ventajas,3,FALSE)-Tablas!$O330-2*Tablas!$Q330,3),1))</f>
        <v>0</v>
      </c>
      <c r="M178" s="1810"/>
      <c r="N178" s="2010">
        <f>IF(ISNA(AP178),0,MAX(MIN(AP178-VLOOKUP("Apto en campo: "&amp;$B178,Tabla_Ventajas,3,FALSE)-Tablas!$O330-2*Tablas!$Q330,3),1))</f>
        <v>0</v>
      </c>
      <c r="O178" s="1810"/>
      <c r="P178" s="2010">
        <f>IF(ISNA(AR178),0,MAX(MIN(AR178-VLOOKUP("Apto en campo: "&amp;$B178,Tabla_Ventajas,3,FALSE)-Tablas!$O330-2*Tablas!$Q330,3),1))</f>
        <v>0</v>
      </c>
      <c r="Q178" s="1810"/>
      <c r="R178" s="2010">
        <f>IF(ISNA(AT178),0,MAX(MIN(AT178-VLOOKUP("Apto en campo: "&amp;$B178,Tabla_Ventajas,3,FALSE)-Tablas!$O330-2*Tablas!$Q330,3),1))</f>
        <v>0</v>
      </c>
      <c r="S178" s="1810"/>
      <c r="T178" s="494">
        <f>IF(J178=0,0,TRUNC(K178/J178,0))+IF(L178=0,0,TRUNC(M178/L178,0))+IF(N178=0,0,TRUNC(O178/N178,0))+IF(P178=0,0,TRUNC(Q178/P178,0))+IF(R178=0,0,TRUNC(S178/R178,0))+IF(Personalización!$E$12="Como Base (no oficial)",AF178,0)</f>
        <v>0</v>
      </c>
      <c r="U178" s="494">
        <f t="shared" si="43"/>
        <v>0</v>
      </c>
      <c r="V178" s="494">
        <f>IF(ISNA(HLOOKUP($E178,Bonos_Cat_Base,2,FALSE)),0,HLOOKUP($E178,Bonos_Cat_Base,2,FALSE))+Tablas!$X330*Nivel_Total+10*Y178</f>
        <v>0</v>
      </c>
      <c r="W178" s="1809"/>
      <c r="X178" s="1810"/>
      <c r="Y178" s="1809"/>
      <c r="Z178" s="2215"/>
      <c r="AA178" s="1307">
        <f>IF(AND(T178&lt;5,Tablas!G$310=0),-30,0)+T178+U178+V178+Z178+IF(I178="",0,40)+Mod_ATA+AD178+IF(Personalización!$E$12="Como Base (no oficial)",0,AF178)</f>
        <v>-30</v>
      </c>
      <c r="AB178" s="1741">
        <f t="shared" si="44"/>
        <v>0</v>
      </c>
      <c r="AC178" s="845"/>
      <c r="AD178" s="3044"/>
      <c r="AE178" s="3061"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069">
        <f>IF(AF$126,IF(OR(Region="",ClaseSocial="",Personalización!$AN$9),0,IF(OR(AND(AI178,AJ178),AND(NOT(AI178),NOT(AJ178))),LEFT(AG178,2)+LEFT(AH178,2),IF(AND(AI178,NOT(AJ178)),LEFT(AH178,2),0))),0)</f>
        <v>0</v>
      </c>
      <c r="AG178" s="3044">
        <f>HLOOKUP(Region&amp;ClaseSocial,Tabla_RaicesCulturales,Tablas!F191,FALSE)</f>
        <v>0</v>
      </c>
      <c r="AH178" s="3061">
        <f>IF(AND(E178="Historia",Personalización!$E$16="Historia (Local)"),20&amp;" "&amp;Personalización!$E$16,IF(E178=Personalización!$E$15,VLOOKUP(E178,Tablas!$L$136:$M$137,2,FALSE),IF(E178=Personalización!$E$16,VLOOKUP(E178,Tablas!$N$136:$O$137,2,FALSE),0)))</f>
        <v>0</v>
      </c>
      <c r="AI178" s="3061" t="b">
        <f t="shared" si="45"/>
        <v>0</v>
      </c>
      <c r="AJ178" s="3061" t="b">
        <f t="shared" si="46"/>
        <v>0</v>
      </c>
      <c r="AK178" s="3061"/>
      <c r="AL178" s="3055" t="e">
        <f t="shared" si="47"/>
        <v>#N/A</v>
      </c>
      <c r="AM178" s="3055"/>
      <c r="AN178" s="3055" t="e">
        <f t="shared" si="48"/>
        <v>#N/A</v>
      </c>
      <c r="AO178" s="3055"/>
      <c r="AP178" s="3055" t="e">
        <f t="shared" si="49"/>
        <v>#N/A</v>
      </c>
      <c r="AQ178" s="1737"/>
      <c r="AR178" s="3055" t="e">
        <f t="shared" si="50"/>
        <v>#N/A</v>
      </c>
      <c r="AS178" s="1737"/>
      <c r="AT178" s="3055" t="e">
        <f t="shared" si="51"/>
        <v>#N/A</v>
      </c>
      <c r="AU178" s="1737" t="str">
        <f t="shared" si="38"/>
        <v/>
      </c>
      <c r="AV178" s="1737"/>
    </row>
    <row r="179" spans="1:48" ht="12" customHeight="1" x14ac:dyDescent="0.2">
      <c r="A179" s="29"/>
      <c r="B179" s="823" t="str">
        <f t="shared" si="53"/>
        <v>Creativas</v>
      </c>
      <c r="C179" s="3582"/>
      <c r="D179" s="4054"/>
      <c r="E179" s="3961" t="s">
        <v>6282</v>
      </c>
      <c r="F179" s="3962"/>
      <c r="G179" s="3962"/>
      <c r="H179" s="799" t="s">
        <v>1391</v>
      </c>
      <c r="I179" s="1496"/>
      <c r="J179" s="552">
        <f>IF(ISNA(AL179),0,MAX(MIN(AL179-VLOOKUP("Apto en campo: "&amp;$B179,Tabla_Ventajas,3,FALSE)-Tablas!$O331-2*Tablas!$Q331,3),1))</f>
        <v>0</v>
      </c>
      <c r="K179" s="1812"/>
      <c r="L179" s="552">
        <f>IF(ISNA(AN179),0,MAX(MIN(AN179-VLOOKUP("Apto en campo: "&amp;$B179,Tabla_Ventajas,3,FALSE)-Tablas!$O331-2*Tablas!$Q331,3),1))</f>
        <v>0</v>
      </c>
      <c r="M179" s="1812"/>
      <c r="N179" s="552">
        <f>IF(ISNA(AP179),0,MAX(MIN(AP179-VLOOKUP("Apto en campo: "&amp;$B179,Tabla_Ventajas,3,FALSE)-Tablas!$O331-2*Tablas!$Q331,3),1))</f>
        <v>0</v>
      </c>
      <c r="O179" s="1812"/>
      <c r="P179" s="552">
        <f>IF(ISNA(AR179),0,MAX(MIN(AR179-VLOOKUP("Apto en campo: "&amp;$B179,Tabla_Ventajas,3,FALSE)-Tablas!$O331-2*Tablas!$Q331,3),1))</f>
        <v>0</v>
      </c>
      <c r="Q179" s="1812"/>
      <c r="R179" s="552">
        <f>IF(ISNA(AT179),0,MAX(MIN(AT179-VLOOKUP("Apto en campo: "&amp;$B179,Tabla_Ventajas,3,FALSE)-Tablas!$O331-2*Tablas!$Q331,3),1))</f>
        <v>0</v>
      </c>
      <c r="S179" s="1812"/>
      <c r="T179" s="495">
        <f>IF(J179=0,0,TRUNC(K179/J179,0))+IF(L179=0,0,TRUNC(M179/L179,0))+IF(N179=0,0,TRUNC(O179/N179,0))+IF(P179=0,0,TRUNC(Q179/P179,0))+IF(R179=0,0,TRUNC(S179/R179,0))+IF(Personalización!$E$12="Como Base (no oficial)",AF179,0)</f>
        <v>0</v>
      </c>
      <c r="U179" s="495">
        <f t="shared" si="43"/>
        <v>0</v>
      </c>
      <c r="V179" s="495">
        <f>IF(ISNA(HLOOKUP($E179,Bonos_Cat_Base,2,FALSE)),0,HLOOKUP($E179,Bonos_Cat_Base,2,FALSE))+Tablas!$X331*Nivel_Total+10*Y179</f>
        <v>0</v>
      </c>
      <c r="W179" s="1811"/>
      <c r="X179" s="1812"/>
      <c r="Y179" s="1811"/>
      <c r="Z179" s="2216"/>
      <c r="AA179" s="1308">
        <f>IF(AND(T179&lt;5,Tablas!G$310=0),-30,0)+T179+U179+V179+Z179+IF(I179="",0,40)+Mod_ATA+AD179+IF(Personalización!$E$12="Como Base (no oficial)",0,AF179)</f>
        <v>-30</v>
      </c>
      <c r="AB179" s="1741">
        <f t="shared" si="44"/>
        <v>0</v>
      </c>
      <c r="AC179" s="845"/>
      <c r="AD179" s="3044"/>
      <c r="AE179" s="3061"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069">
        <f>IF(AF$126,IF(OR(Region="",ClaseSocial="",Personalización!$AN$9),0,IF(OR(AND(AI179,AJ179),AND(NOT(AI179),NOT(AJ179))),LEFT(AG179,2)+LEFT(AH179,2),IF(AND(AI179,NOT(AJ179)),LEFT(AH179,2),0))),0)</f>
        <v>0</v>
      </c>
      <c r="AG179" s="3044">
        <f>HLOOKUP(Region&amp;ClaseSocial,Tabla_RaicesCulturales,Tablas!F192,FALSE)</f>
        <v>0</v>
      </c>
      <c r="AH179" s="3061">
        <f>IF(AND(E179="Historia",Personalización!$E$16="Historia (Local)"),20&amp;" "&amp;Personalización!$E$16,IF(E179=Personalización!$E$15,VLOOKUP(E179,Tablas!$L$136:$M$137,2,FALSE),IF(E179=Personalización!$E$16,VLOOKUP(E179,Tablas!$N$136:$O$137,2,FALSE),0)))</f>
        <v>0</v>
      </c>
      <c r="AI179" s="3061" t="b">
        <f t="shared" si="45"/>
        <v>0</v>
      </c>
      <c r="AJ179" s="3061" t="b">
        <f t="shared" si="46"/>
        <v>0</v>
      </c>
      <c r="AK179" s="3061"/>
      <c r="AL179" s="3055" t="e">
        <f t="shared" si="47"/>
        <v>#N/A</v>
      </c>
      <c r="AM179" s="3055"/>
      <c r="AN179" s="3055" t="e">
        <f t="shared" si="48"/>
        <v>#N/A</v>
      </c>
      <c r="AO179" s="3055"/>
      <c r="AP179" s="3055" t="e">
        <f t="shared" si="49"/>
        <v>#N/A</v>
      </c>
      <c r="AQ179" s="1737"/>
      <c r="AR179" s="3055" t="e">
        <f t="shared" si="50"/>
        <v>#N/A</v>
      </c>
      <c r="AS179" s="1737"/>
      <c r="AT179" s="3055" t="e">
        <f t="shared" si="51"/>
        <v>#N/A</v>
      </c>
      <c r="AU179" s="1737" t="str">
        <f t="shared" si="38"/>
        <v/>
      </c>
      <c r="AV179" s="1737"/>
    </row>
    <row r="180" spans="1:48" ht="12" customHeight="1" x14ac:dyDescent="0.2">
      <c r="A180" s="29"/>
      <c r="B180" s="823">
        <f>IF(OR(U180="FUE",U180="CON",U180="DES",U180="AGI"),1,IF(OR(U180="INT",U180="POD",U180="VOL",U180="PER"),2,0))</f>
        <v>0</v>
      </c>
      <c r="C180" s="3582"/>
      <c r="D180" s="2429"/>
      <c r="E180" s="4082"/>
      <c r="F180" s="4083"/>
      <c r="G180" s="4083"/>
      <c r="H180" s="1533"/>
      <c r="I180" s="1531"/>
      <c r="J180" s="1534"/>
      <c r="K180" s="1814"/>
      <c r="L180" s="1534"/>
      <c r="M180" s="1814"/>
      <c r="N180" s="1535"/>
      <c r="O180" s="1814"/>
      <c r="P180" s="1534"/>
      <c r="Q180" s="1814"/>
      <c r="R180" s="1535"/>
      <c r="S180" s="1814"/>
      <c r="T180" s="497">
        <f>IF(J180=0,0,TRUNC(K180/J180,0))+IF(L180=0,0,TRUNC(M180/L180,0))+IF(N180=0,0,TRUNC(O180/N180,0))+IF(P180=0,0,TRUNC(Q180/P180,0))+IF(R180=0,0,TRUNC(S180/R180,0))</f>
        <v>0</v>
      </c>
      <c r="U180" s="497" t="str">
        <f>IF(H180="","",MIN(VLOOKUP($H180,Tabla_Características,5,0)*(1+W180)+10*Con.TodasMaterias+10*X180,100))</f>
        <v/>
      </c>
      <c r="V180" s="497">
        <f>IF(ISNA(HLOOKUP($E180,Bonos_Cat_Base,2,FALSE)),0,HLOOKUP($E180,Bonos_Cat_Base,2,FALSE))+Tablas!$X332*Nivel_Total+10*Y180</f>
        <v>0</v>
      </c>
      <c r="W180" s="1813"/>
      <c r="X180" s="1814"/>
      <c r="Y180" s="1813"/>
      <c r="Z180" s="2217"/>
      <c r="AA180" s="2334" t="str">
        <f>IFERROR(IF(AND(T180&lt;5,Tablas!G$310=0),-30)+T180+U180+V180+Z180+IF(I180="",0,40)+Mod_ATA,"-")</f>
        <v>-</v>
      </c>
      <c r="AB180" s="1741">
        <f>IF(AA180="-",0,IF(AA180&gt;VLOOKUP(Nivel_Total,Tabla_LímiteSecundarias,2),1,0))</f>
        <v>0</v>
      </c>
      <c r="AC180" s="845"/>
      <c r="AD180" s="3044"/>
      <c r="AE180" s="3069"/>
      <c r="AF180" s="3069"/>
      <c r="AG180" s="3061"/>
      <c r="AH180" s="3061" t="s">
        <v>1456</v>
      </c>
      <c r="AI180" s="3061"/>
      <c r="AJ180" s="3061"/>
      <c r="AK180" s="3061"/>
      <c r="AL180" s="3055"/>
      <c r="AM180" s="3055"/>
      <c r="AN180" s="3055"/>
      <c r="AO180" s="3055"/>
      <c r="AP180" s="3055"/>
      <c r="AQ180" s="1737"/>
      <c r="AR180" s="1737"/>
      <c r="AS180" s="1737"/>
      <c r="AT180" s="1737"/>
      <c r="AU180" s="1737"/>
      <c r="AV180" s="1737"/>
    </row>
    <row r="181" spans="1:48" ht="12" customHeight="1" x14ac:dyDescent="0.2">
      <c r="A181" s="29"/>
      <c r="B181" s="823">
        <f>IF(OR(U181="FUE",U181="CON",U181="DES",U181="AGI"),1,IF(OR(U181="INT",U181="POD",U181="VOL",U181="PER"),2,0))</f>
        <v>0</v>
      </c>
      <c r="C181" s="3582"/>
      <c r="D181" s="2430"/>
      <c r="E181" s="4084"/>
      <c r="F181" s="4085"/>
      <c r="G181" s="4085"/>
      <c r="H181" s="1500"/>
      <c r="I181" s="1497"/>
      <c r="J181" s="1501"/>
      <c r="K181" s="1812"/>
      <c r="L181" s="1501"/>
      <c r="M181" s="1812"/>
      <c r="N181" s="1502"/>
      <c r="O181" s="1812"/>
      <c r="P181" s="1501"/>
      <c r="Q181" s="1812"/>
      <c r="R181" s="1502"/>
      <c r="S181" s="1812"/>
      <c r="T181" s="2393">
        <f>IF(J181=0,0,TRUNC(K181/J181,0))+IF(L181=0,0,TRUNC(M181/L181,0))+IF(N181=0,0,TRUNC(O181/N181,0))+IF(P181=0,0,TRUNC(Q181/P181,0))+IF(R181=0,0,TRUNC(S181/R181,0))</f>
        <v>0</v>
      </c>
      <c r="U181" s="2393" t="str">
        <f>IF(H181="","",MIN(VLOOKUP($H181,Tabla_Características,5,0)*(1+W181)+10*Con.TodasMaterias+10*X181,100))</f>
        <v/>
      </c>
      <c r="V181" s="2393">
        <f>IF(ISNA(HLOOKUP($E181,Bonos_Cat_Base,2,FALSE)),0,HLOOKUP($E181,Bonos_Cat_Base,2,FALSE))+Tablas!$X333*Nivel_Total+10*Y181</f>
        <v>0</v>
      </c>
      <c r="W181" s="1811"/>
      <c r="X181" s="1812"/>
      <c r="Y181" s="1811"/>
      <c r="Z181" s="2216"/>
      <c r="AA181" s="503" t="str">
        <f>IF(AND(T181&lt;5,Tablas!G$310=0),"-",IFERROR(T181+U181+V181+Z181+IF(I181="",0,40)+Mod_ATA,"-"))</f>
        <v>-</v>
      </c>
      <c r="AB181" s="1741">
        <f t="shared" si="44"/>
        <v>0</v>
      </c>
      <c r="AC181" s="845"/>
      <c r="AD181" s="3044"/>
      <c r="AE181" s="3061"/>
      <c r="AF181" s="3069"/>
      <c r="AG181" s="3061"/>
      <c r="AH181" s="3061" t="s">
        <v>7094</v>
      </c>
      <c r="AI181" s="3061" t="s">
        <v>1404</v>
      </c>
      <c r="AJ181" s="3061"/>
      <c r="AK181" s="3061"/>
      <c r="AL181" s="3055"/>
      <c r="AM181" s="3055"/>
      <c r="AN181" s="3055"/>
      <c r="AO181" s="3055"/>
      <c r="AP181" s="3055"/>
      <c r="AQ181" s="1737"/>
      <c r="AR181" s="1737"/>
      <c r="AS181" s="1737"/>
      <c r="AT181" s="1737"/>
      <c r="AU181" s="1737"/>
      <c r="AV181" s="1737"/>
    </row>
    <row r="182" spans="1:48" ht="12" customHeight="1" x14ac:dyDescent="0.2">
      <c r="A182" s="9"/>
      <c r="B182" s="823">
        <f>IF(OR(U182="FUE",U182="CON",U182="DES",U182="AGI"),1,IF(OR(U182="INT",U182="POD",U182="VOL",U182="PER"),2,0))</f>
        <v>0</v>
      </c>
      <c r="C182" s="3582"/>
      <c r="D182" s="2431"/>
      <c r="E182" s="4086"/>
      <c r="F182" s="4087"/>
      <c r="G182" s="4087"/>
      <c r="H182" s="1539"/>
      <c r="I182" s="1529"/>
      <c r="J182" s="1540"/>
      <c r="K182" s="1810"/>
      <c r="L182" s="1540"/>
      <c r="M182" s="1810"/>
      <c r="N182" s="1541"/>
      <c r="O182" s="1810"/>
      <c r="P182" s="1540"/>
      <c r="Q182" s="1810"/>
      <c r="R182" s="1541"/>
      <c r="S182" s="1810"/>
      <c r="T182" s="494">
        <f>IF(J182=0,0,TRUNC(K182/J182,0))+IF(L182=0,0,TRUNC(M182/L182,0))+IF(N182=0,0,TRUNC(O182/N182,0))+IF(P182=0,0,TRUNC(Q182/P182,0))+IF(R182=0,0,TRUNC(S182/R182,0))</f>
        <v>0</v>
      </c>
      <c r="U182" s="494" t="str">
        <f>IF(H182="","",MIN(VLOOKUP($H182,Tabla_Características,5,0)*(1+W182)+10*Con.TodasMaterias+10*X182,100))</f>
        <v/>
      </c>
      <c r="V182" s="494">
        <f>IF(ISNA(HLOOKUP($E182,Bonos_Cat_Base,2,FALSE)),0,HLOOKUP($E182,Bonos_Cat_Base,2,FALSE))+Tablas!$X334*Nivel_Total+10*Y182</f>
        <v>0</v>
      </c>
      <c r="W182" s="1809"/>
      <c r="X182" s="1810"/>
      <c r="Y182" s="1809"/>
      <c r="Z182" s="2215"/>
      <c r="AA182" s="502" t="str">
        <f>IF(AND(T182&lt;5,Tablas!G$310=0),"-",IFERROR(T182+U182+V182+Z182+IF(I182="",0,40)+Mod_ATA,"-"))</f>
        <v>-</v>
      </c>
      <c r="AB182" s="1741">
        <f t="shared" si="44"/>
        <v>0</v>
      </c>
      <c r="AC182" s="845"/>
      <c r="AD182" s="3044"/>
      <c r="AE182" s="3061"/>
      <c r="AF182" s="3069"/>
      <c r="AG182" s="3061"/>
      <c r="AH182" s="3061" t="s">
        <v>7090</v>
      </c>
      <c r="AI182" s="3061" t="s">
        <v>1422</v>
      </c>
      <c r="AJ182" s="3061"/>
      <c r="AK182" s="3061"/>
      <c r="AL182" s="3055"/>
      <c r="AM182" s="3055"/>
      <c r="AN182" s="3055"/>
      <c r="AO182" s="3055"/>
      <c r="AP182" s="3055"/>
      <c r="AQ182" s="1737"/>
      <c r="AR182" s="1737"/>
      <c r="AS182" s="1737"/>
      <c r="AT182" s="1737"/>
      <c r="AU182" s="1737"/>
      <c r="AV182" s="1737"/>
    </row>
    <row r="183" spans="1:48" ht="12" customHeight="1" x14ac:dyDescent="0.2">
      <c r="A183" s="9"/>
      <c r="B183" s="823">
        <f>IF(OR(U183="FUE",U183="CON",U183="DES",U183="AGI"),1,IF(OR(U183="INT",U183="POD",U183="VOL",U183="PER"),2,0))</f>
        <v>0</v>
      </c>
      <c r="C183" s="3582"/>
      <c r="D183" s="2430"/>
      <c r="E183" s="4084"/>
      <c r="F183" s="4085"/>
      <c r="G183" s="4085"/>
      <c r="H183" s="1500"/>
      <c r="I183" s="1497"/>
      <c r="J183" s="1501"/>
      <c r="K183" s="1812"/>
      <c r="L183" s="1501"/>
      <c r="M183" s="1812"/>
      <c r="N183" s="1502"/>
      <c r="O183" s="1812"/>
      <c r="P183" s="1501"/>
      <c r="Q183" s="1812"/>
      <c r="R183" s="1502"/>
      <c r="S183" s="1812"/>
      <c r="T183" s="2393">
        <f>IF(J183=0,0,TRUNC(K183/J183,0))+IF(L183=0,0,TRUNC(M183/L183,0))+IF(N183=0,0,TRUNC(O183/N183,0))+IF(P183=0,0,TRUNC(Q183/P183,0))+IF(R183=0,0,TRUNC(S183/R183,0))</f>
        <v>0</v>
      </c>
      <c r="U183" s="2393" t="str">
        <f>IF(H183="","",MIN(VLOOKUP($H183,Tabla_Características,5,0)*(1+W183)+10*Con.TodasMaterias+10*X183,100))</f>
        <v/>
      </c>
      <c r="V183" s="2393">
        <f>IF(ISNA(HLOOKUP($E183,Bonos_Cat_Base,2,FALSE)),0,HLOOKUP($E183,Bonos_Cat_Base,2,FALSE))+Tablas!$X335*Nivel_Total+10*Y183</f>
        <v>0</v>
      </c>
      <c r="W183" s="1811"/>
      <c r="X183" s="1812"/>
      <c r="Y183" s="1811"/>
      <c r="Z183" s="2216"/>
      <c r="AA183" s="503" t="str">
        <f>IF(AND(T183&lt;5,Tablas!G$310=0),"-",IFERROR(T183+U183+V183+Z183+IF(I183="",0,40)+Mod_ATA,"-"))</f>
        <v>-</v>
      </c>
      <c r="AB183" s="1741">
        <f t="shared" si="44"/>
        <v>0</v>
      </c>
      <c r="AC183" s="845"/>
      <c r="AD183" s="3044"/>
      <c r="AE183" s="3061"/>
      <c r="AF183" s="3069"/>
      <c r="AG183" s="3061"/>
      <c r="AH183" s="3061" t="s">
        <v>7095</v>
      </c>
      <c r="AI183" s="3061" t="s">
        <v>7077</v>
      </c>
      <c r="AJ183" s="3061"/>
      <c r="AK183" s="3061"/>
      <c r="AL183" s="3055"/>
      <c r="AM183" s="3055"/>
      <c r="AN183" s="3055"/>
      <c r="AO183" s="3055"/>
      <c r="AP183" s="3055"/>
      <c r="AQ183" s="1737"/>
      <c r="AR183" s="1737"/>
      <c r="AS183" s="1737"/>
      <c r="AT183" s="1737"/>
      <c r="AU183" s="1737"/>
      <c r="AV183" s="1737"/>
    </row>
    <row r="184" spans="1:48" ht="12" customHeight="1" x14ac:dyDescent="0.2">
      <c r="A184" s="9"/>
      <c r="B184" s="823">
        <f>IF(OR(U184="FUE",U184="CON",U184="DES",U184="AGI"),1,IF(OR(U184="INT",U184="POD",U184="VOL",U184="PER"),2,0))</f>
        <v>0</v>
      </c>
      <c r="C184" s="3582"/>
      <c r="D184" s="2432"/>
      <c r="E184" s="4097"/>
      <c r="F184" s="4098"/>
      <c r="G184" s="4098"/>
      <c r="H184" s="1536"/>
      <c r="I184" s="1532"/>
      <c r="J184" s="1537"/>
      <c r="K184" s="1816"/>
      <c r="L184" s="1537"/>
      <c r="M184" s="1816"/>
      <c r="N184" s="1538"/>
      <c r="O184" s="1816"/>
      <c r="P184" s="1537"/>
      <c r="Q184" s="1816"/>
      <c r="R184" s="1538"/>
      <c r="S184" s="1816"/>
      <c r="T184" s="498">
        <f>IF(J184=0,0,TRUNC(K184/J184,0))+IF(L184=0,0,TRUNC(M184/L184,0))+IF(N184=0,0,TRUNC(O184/N184,0))+IF(P184=0,0,TRUNC(Q184/P184,0))+IF(R184=0,0,TRUNC(S184/R184,0))</f>
        <v>0</v>
      </c>
      <c r="U184" s="498" t="str">
        <f>IF(H184="","",MIN(VLOOKUP($H184,Tabla_Características,5,0)*(1+W184)+10*Con.TodasMaterias+10*X184,100))</f>
        <v/>
      </c>
      <c r="V184" s="498">
        <f>IF(ISNA(HLOOKUP($E184,Bonos_Cat_Base,2,FALSE)),0,HLOOKUP($E184,Bonos_Cat_Base,2,FALSE))+Tablas!$X336*Nivel_Total+10*Y184</f>
        <v>0</v>
      </c>
      <c r="W184" s="1815"/>
      <c r="X184" s="1816"/>
      <c r="Y184" s="1815"/>
      <c r="Z184" s="2218"/>
      <c r="AA184" s="2331" t="str">
        <f>IF(AND(T184&lt;5,Tablas!G$310=0),"-",IFERROR(T184+U184+V184+Z184+IF(I184="",0,40)+Mod_ATA,"-"))</f>
        <v>-</v>
      </c>
      <c r="AB184" s="1741">
        <f t="shared" si="44"/>
        <v>0</v>
      </c>
      <c r="AC184" s="845"/>
      <c r="AD184" s="3044"/>
      <c r="AE184" s="3061"/>
      <c r="AF184" s="3069"/>
      <c r="AG184" s="3061"/>
      <c r="AH184" s="3061" t="s">
        <v>7091</v>
      </c>
      <c r="AI184" s="3061" t="s">
        <v>1435</v>
      </c>
      <c r="AJ184" s="3061"/>
      <c r="AK184" s="3061"/>
      <c r="AL184" s="3055"/>
      <c r="AM184" s="3055"/>
      <c r="AN184" s="3055"/>
      <c r="AO184" s="3055"/>
      <c r="AP184" s="3055"/>
      <c r="AQ184" s="1737"/>
      <c r="AR184" s="1737"/>
      <c r="AS184" s="1737"/>
      <c r="AT184" s="1737"/>
      <c r="AU184" s="1737"/>
      <c r="AV184" s="1737"/>
    </row>
    <row r="185" spans="1:48" ht="12" customHeight="1" thickBot="1" x14ac:dyDescent="0.25">
      <c r="A185" s="9"/>
      <c r="B185" s="823"/>
      <c r="C185" s="3582"/>
      <c r="D185" s="3807" t="str">
        <f>IF($AF$126,"Raíces culturales ("&amp;IF(General!$I$26&lt;&gt;"",General!$I$26&amp;" ","#Región ")&amp;IF(General!$N$26&lt;&gt;"",General!$N$26,"#Clase social")&amp;") aplicadas:","")</f>
        <v/>
      </c>
      <c r="E185" s="3808"/>
      <c r="F185" s="3808"/>
      <c r="G185" s="3808"/>
      <c r="H185" s="3808"/>
      <c r="I185" s="3808"/>
      <c r="J185" s="3808"/>
      <c r="K185" s="3808"/>
      <c r="L185" s="3808"/>
      <c r="M185" s="3808"/>
      <c r="N185" s="3808"/>
      <c r="O185" s="3808"/>
      <c r="P185" s="3808"/>
      <c r="Q185" s="3808"/>
      <c r="R185" s="3808"/>
      <c r="S185" s="3808"/>
      <c r="T185" s="3806" t="s">
        <v>1540</v>
      </c>
      <c r="U185" s="3806"/>
      <c r="V185" s="3806"/>
      <c r="W185" s="3806"/>
      <c r="X185" s="3806"/>
      <c r="Y185" s="556" t="str">
        <f>SUMPRODUCT($W129:$W184,--ISNUMBER(MATCH($H129:$H184,{"AGI";"DES";"CON";"FUE"},0)))&amp;" + "&amp;SUMPRODUCT($W129:$W184,--ISNUMBER(MATCH($H129:$H184,{"PER";"INT";"POD";"VOL"},0)))</f>
        <v>0 + 0</v>
      </c>
      <c r="Z185" s="557" t="s">
        <v>1541</v>
      </c>
      <c r="AA185" s="558" t="str">
        <f>IF(Nivel_Total=0,"1 + 1",Nivel_Total*IF(Tablas!$G$367&gt;0,2,1)*IF(Tablas!$G$538&gt;0,0,1)&amp;" + "&amp;Nivel_Total*IF(Tablas!$G$367&gt;0,2,1)*IF(Tablas!$G$538&gt;0,0,1))</f>
        <v>1 + 1</v>
      </c>
      <c r="AB185" s="1740" t="str">
        <f>LEFT(Y185,FIND("+",Y185)-2)</f>
        <v>0</v>
      </c>
      <c r="AC185" s="845"/>
      <c r="AD185" s="1737" t="str">
        <f>LEFT(AA185,FIND("+",AA185)-2)</f>
        <v>1</v>
      </c>
      <c r="AE185" s="3061"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069"/>
      <c r="AG185" s="3061"/>
      <c r="AH185" s="3061" t="s">
        <v>1449</v>
      </c>
      <c r="AI185" s="3061" t="s">
        <v>1449</v>
      </c>
      <c r="AJ185" s="3061"/>
      <c r="AK185" s="3061"/>
      <c r="AL185" s="3055"/>
      <c r="AM185" s="3055"/>
      <c r="AN185" s="3055"/>
      <c r="AO185" s="3055"/>
      <c r="AP185" s="3055"/>
      <c r="AQ185" s="1737"/>
      <c r="AR185" s="1737"/>
      <c r="AS185" s="1737"/>
      <c r="AT185" s="1737"/>
      <c r="AU185" s="1737"/>
      <c r="AV185" s="1737"/>
    </row>
    <row r="186" spans="1:48" ht="12" customHeight="1" x14ac:dyDescent="0.2">
      <c r="A186" s="9"/>
      <c r="B186" s="823"/>
      <c r="C186" s="3582"/>
      <c r="D186" s="4093" t="str">
        <f>IF(AE185="","",LEFT(AE185,LEN(AE185)-2))</f>
        <v/>
      </c>
      <c r="E186" s="4094"/>
      <c r="F186" s="4094"/>
      <c r="G186" s="4094"/>
      <c r="H186" s="4094"/>
      <c r="I186" s="4094"/>
      <c r="J186" s="4094"/>
      <c r="K186" s="4094"/>
      <c r="L186" s="4094"/>
      <c r="M186" s="4094"/>
      <c r="N186" s="4094"/>
      <c r="O186" s="4094"/>
      <c r="P186" s="4094"/>
      <c r="Q186" s="4094"/>
      <c r="R186" s="4094"/>
      <c r="S186" s="4094"/>
      <c r="T186" s="3861" t="s">
        <v>1542</v>
      </c>
      <c r="U186" s="3861"/>
      <c r="V186" s="3861"/>
      <c r="W186" s="3861"/>
      <c r="X186" s="3861"/>
      <c r="Y186" s="74">
        <f>SUM($X129:$X184)</f>
        <v>0</v>
      </c>
      <c r="Z186" s="73" t="s">
        <v>1541</v>
      </c>
      <c r="AA186" s="504">
        <f>IF(Nivel_Total=0,5,Nivel_Total*5)</f>
        <v>5</v>
      </c>
      <c r="AB186" s="1740" t="str">
        <f>RIGHT(Y185,LEN(Y185)-FIND("+",Y185)-1)</f>
        <v>0</v>
      </c>
      <c r="AC186" s="845"/>
      <c r="AD186" s="1737" t="str">
        <f>RIGHT(AA185,LEN(AA185)-FIND("+",AA185)-1)</f>
        <v>1</v>
      </c>
      <c r="AE186" s="3061"/>
      <c r="AF186" s="3069"/>
      <c r="AG186" s="3061"/>
      <c r="AH186" s="3061" t="s">
        <v>7092</v>
      </c>
      <c r="AI186" s="3061" t="s">
        <v>1457</v>
      </c>
      <c r="AJ186" s="3061"/>
      <c r="AK186" s="3061"/>
      <c r="AL186" s="3055"/>
      <c r="AM186" s="3055"/>
      <c r="AN186" s="3055"/>
      <c r="AO186" s="3055"/>
      <c r="AP186" s="3055"/>
      <c r="AQ186" s="1737"/>
      <c r="AR186" s="1737"/>
      <c r="AS186" s="1737"/>
      <c r="AT186" s="1737"/>
      <c r="AU186" s="1737"/>
      <c r="AV186" s="1737"/>
    </row>
    <row r="187" spans="1:48" ht="12" customHeight="1" x14ac:dyDescent="0.2">
      <c r="A187" s="9"/>
      <c r="B187" s="823"/>
      <c r="C187" s="3582"/>
      <c r="D187" s="4095"/>
      <c r="E187" s="3136"/>
      <c r="F187" s="3136"/>
      <c r="G187" s="3136"/>
      <c r="H187" s="3136"/>
      <c r="I187" s="3136"/>
      <c r="J187" s="3136"/>
      <c r="K187" s="3136"/>
      <c r="L187" s="3136"/>
      <c r="M187" s="3136"/>
      <c r="N187" s="3136"/>
      <c r="O187" s="3136"/>
      <c r="P187" s="3136"/>
      <c r="Q187" s="3136"/>
      <c r="R187" s="3136"/>
      <c r="S187" s="3136"/>
      <c r="T187" s="3800" t="s">
        <v>1543</v>
      </c>
      <c r="U187" s="3800"/>
      <c r="V187" s="3800"/>
      <c r="W187" s="3800"/>
      <c r="X187" s="3800"/>
      <c r="Y187" s="75">
        <f>SUM($Y129:$Y184)</f>
        <v>0</v>
      </c>
      <c r="Z187" s="76" t="s">
        <v>1541</v>
      </c>
      <c r="AA187" s="505">
        <f>SUM(AF6:AF10)</f>
        <v>0</v>
      </c>
      <c r="AB187" s="1746"/>
      <c r="AC187" s="845"/>
      <c r="AD187" s="3044"/>
      <c r="AE187" s="3061"/>
      <c r="AF187" s="3069"/>
      <c r="AG187" s="3061"/>
      <c r="AH187" s="3061" t="s">
        <v>7093</v>
      </c>
      <c r="AI187" s="3061" t="s">
        <v>1470</v>
      </c>
      <c r="AJ187" s="3061"/>
      <c r="AK187" s="3061"/>
      <c r="AL187" s="3055"/>
      <c r="AM187" s="3055"/>
      <c r="AN187" s="3055"/>
      <c r="AO187" s="3055"/>
      <c r="AP187" s="3055"/>
      <c r="AQ187" s="1737"/>
      <c r="AR187" s="1737"/>
      <c r="AS187" s="1737"/>
      <c r="AT187" s="1737"/>
      <c r="AU187" s="1737"/>
      <c r="AV187" s="1737"/>
    </row>
    <row r="188" spans="1:48" ht="12" customHeight="1" x14ac:dyDescent="0.2">
      <c r="A188" s="9"/>
      <c r="B188" s="823"/>
      <c r="C188" s="3582"/>
      <c r="D188" s="4091" t="s">
        <v>1544</v>
      </c>
      <c r="E188" s="4078" t="str">
        <f>IF(Acumulacion="Sí","Múltiplos de Acumulación","Múltiplos de Vida")</f>
        <v>Múltiplos de Vida</v>
      </c>
      <c r="F188" s="4079"/>
      <c r="G188" s="4079"/>
      <c r="H188" s="4079"/>
      <c r="I188" s="4080"/>
      <c r="J188" s="4088">
        <f>IF(Acumulacion="Sí","X",IF(Categoría_1=0,0,VLOOKUP(Categoría_1,Tabla_Categorías,4,FALSE)))</f>
        <v>0</v>
      </c>
      <c r="K188" s="4057"/>
      <c r="L188" s="4088">
        <f>IF(Acumulacion="Sí","X",IF(Categoría_2=0,0,VLOOKUP(Categoría_2,Tabla_Categorías,4,FALSE)))</f>
        <v>0</v>
      </c>
      <c r="M188" s="4057"/>
      <c r="N188" s="4088">
        <f>IF(Acumulacion="Sí","X",IF(Categoría_3=0,0,VLOOKUP(Categoría_3,Tabla_Categorías,4,FALSE)))</f>
        <v>0</v>
      </c>
      <c r="O188" s="4057"/>
      <c r="P188" s="4088">
        <f>IF(Acumulacion="Sí","X",IF(Categoría_4=0,0,VLOOKUP(Categoría_4,Tabla_Categorías,4,FALSE)))</f>
        <v>0</v>
      </c>
      <c r="Q188" s="4057"/>
      <c r="R188" s="4088">
        <f>IF(Acumulacion="Sí","X",IF(Categoría_5=0,0,VLOOKUP(Categoría_5,Tabla_Categorías,4,FALSE)))</f>
        <v>0</v>
      </c>
      <c r="S188" s="4057"/>
      <c r="T188" s="4074">
        <f>IF(Acumulacion="Sí",IF(Tablas!$S$1746&gt;0,Tablas!$S$1746,VLOOKUP(Tamaño,Tabla_CreaciónSeres,5)),IF(J188=0,0,TRUNC((K188/J188),0))+IF(L188=0,0,TRUNC((M188/L188),0))+IF(N188=0,0,TRUNC((O188/N188),0))+IF(P188=0,0,TRUNC((Q188/P188),0))+IF(R188=0,0,TRUNC((S188/R188),0)))</f>
        <v>0</v>
      </c>
      <c r="U188" s="4051">
        <f>20+CON*10+Bono_Con</f>
        <v>20</v>
      </c>
      <c r="V188" s="4051">
        <f>(HLOOKUP("PV",Bonos_Cat_Base,2,FALSE)+(10*Tablas!$G$356+20*Tablas!$G$357+30*Tablas!$G$358)*Nivel_Total)*IF(Acumulacion="Sí",IF(Tablas!$S$1746&gt;0,Tablas!$S$1746,VLOOKUP(Tamaño,Tabla_CreaciónSeres,5)),1)</f>
        <v>0</v>
      </c>
      <c r="W188" s="4076">
        <f>IF(Acumulacion="Sí",T188*(K188+M188+O188+Q188+S188),T188*CON)</f>
        <v>0</v>
      </c>
      <c r="X188" s="4066"/>
      <c r="Y188" s="4067"/>
      <c r="Z188" s="4070">
        <f>U188+W188+V188+X188</f>
        <v>20</v>
      </c>
      <c r="AA188" s="4071"/>
      <c r="AB188" s="1740"/>
      <c r="AC188" s="845"/>
      <c r="AD188" s="3044"/>
      <c r="AE188" s="3061"/>
      <c r="AF188" s="3069"/>
      <c r="AG188" s="3061"/>
      <c r="AH188" s="3061"/>
      <c r="AI188" s="3061"/>
      <c r="AJ188" s="3061"/>
      <c r="AK188" s="3061"/>
      <c r="AL188" s="3055"/>
      <c r="AM188" s="3055"/>
      <c r="AN188" s="3055"/>
      <c r="AO188" s="3055"/>
      <c r="AP188" s="3055"/>
      <c r="AQ188" s="1737"/>
      <c r="AR188" s="1737"/>
      <c r="AS188" s="1737"/>
      <c r="AT188" s="1737"/>
      <c r="AU188" s="1737"/>
      <c r="AV188" s="1737"/>
    </row>
    <row r="189" spans="1:48" ht="12" customHeight="1" thickBot="1" x14ac:dyDescent="0.25">
      <c r="A189" s="9"/>
      <c r="B189" s="823"/>
      <c r="C189" s="3582"/>
      <c r="D189" s="4092"/>
      <c r="E189" s="4075"/>
      <c r="F189" s="4052"/>
      <c r="G189" s="4052"/>
      <c r="H189" s="4052"/>
      <c r="I189" s="4081"/>
      <c r="J189" s="4089"/>
      <c r="K189" s="4058"/>
      <c r="L189" s="4089"/>
      <c r="M189" s="4058"/>
      <c r="N189" s="4089"/>
      <c r="O189" s="4058"/>
      <c r="P189" s="4089"/>
      <c r="Q189" s="4058"/>
      <c r="R189" s="4089"/>
      <c r="S189" s="4058"/>
      <c r="T189" s="4075"/>
      <c r="U189" s="4052"/>
      <c r="V189" s="4052"/>
      <c r="W189" s="4077"/>
      <c r="X189" s="4068"/>
      <c r="Y189" s="4069"/>
      <c r="Z189" s="4072"/>
      <c r="AA189" s="4073"/>
      <c r="AB189" s="1747"/>
      <c r="AC189" s="845"/>
      <c r="AD189" s="3044"/>
      <c r="AE189" s="3061"/>
      <c r="AF189" s="3069"/>
      <c r="AG189" s="3061"/>
      <c r="AH189" s="3061"/>
      <c r="AI189" s="3061"/>
      <c r="AJ189" s="3061"/>
      <c r="AK189" s="3061"/>
      <c r="AL189" s="3055"/>
      <c r="AM189" s="3055"/>
      <c r="AN189" s="3055"/>
      <c r="AO189" s="3055"/>
      <c r="AP189" s="3055"/>
      <c r="AQ189" s="1737"/>
      <c r="AR189" s="1737"/>
      <c r="AS189" s="1737"/>
      <c r="AT189" s="1737"/>
      <c r="AU189" s="1737"/>
      <c r="AV189" s="1737"/>
    </row>
    <row r="190" spans="1:48" ht="12" customHeight="1" x14ac:dyDescent="0.2">
      <c r="A190" s="9"/>
      <c r="B190" s="926"/>
      <c r="C190" s="3582"/>
      <c r="D190" s="3953" t="s">
        <v>10006</v>
      </c>
      <c r="E190" s="3953"/>
      <c r="F190" s="3953"/>
      <c r="G190" s="3953"/>
      <c r="H190" s="3953"/>
      <c r="I190" s="4006"/>
      <c r="J190" s="3939">
        <f>$T$7</f>
        <v>400</v>
      </c>
      <c r="K190" s="4065">
        <f>K188+SUM(K129:K184)</f>
        <v>0</v>
      </c>
      <c r="L190" s="3939">
        <f>IF(Categoría_2=0,0,$T$9)</f>
        <v>0</v>
      </c>
      <c r="M190" s="4065">
        <f>(M188+SUM(M129:M184))*IF(Categoría_2=0,0,1)</f>
        <v>0</v>
      </c>
      <c r="N190" s="3939">
        <f>IF(Categoría_3=0,0,$T$11)</f>
        <v>0</v>
      </c>
      <c r="O190" s="4065">
        <f>(O188+SUM(O129:O184))*IF(Categoría_3=0,0,1)</f>
        <v>0</v>
      </c>
      <c r="P190" s="3939">
        <f>IF(Categoría_4=0,0,$T$13)</f>
        <v>0</v>
      </c>
      <c r="Q190" s="4065">
        <f>(Q188+SUM(Q129:Q184))*IF(Categoría_4=0,0,1)</f>
        <v>0</v>
      </c>
      <c r="R190" s="3939">
        <f>IF(Categoría_5=0,0,$T$15)</f>
        <v>0</v>
      </c>
      <c r="S190" s="4065">
        <f>(S188+SUM(S129:S184))*IF(Categoría_5=0,0,1)</f>
        <v>0</v>
      </c>
      <c r="T190" s="3826"/>
      <c r="U190" s="3827"/>
      <c r="V190" s="3827"/>
      <c r="W190" s="3827"/>
      <c r="X190" s="3827"/>
      <c r="Y190" s="3827"/>
      <c r="Z190" s="3827"/>
      <c r="AA190" s="3828"/>
      <c r="AB190" s="1740"/>
      <c r="AC190" s="845"/>
      <c r="AD190" s="3044"/>
      <c r="AE190" s="3061"/>
      <c r="AF190" s="3069"/>
      <c r="AG190" s="3061"/>
      <c r="AH190" s="3061"/>
      <c r="AI190" s="3061"/>
      <c r="AJ190" s="3061"/>
      <c r="AK190" s="3061"/>
      <c r="AL190" s="3055"/>
      <c r="AM190" s="3055"/>
      <c r="AN190" s="3055"/>
      <c r="AO190" s="3055"/>
      <c r="AP190" s="3055"/>
      <c r="AQ190" s="1737"/>
      <c r="AR190" s="1737"/>
      <c r="AS190" s="1737"/>
      <c r="AT190" s="1737"/>
      <c r="AU190" s="1737"/>
      <c r="AV190" s="1737"/>
    </row>
    <row r="191" spans="1:48" ht="12" customHeight="1" thickBot="1" x14ac:dyDescent="0.25">
      <c r="A191" s="9"/>
      <c r="B191" s="926"/>
      <c r="C191" s="3583"/>
      <c r="D191" s="3956"/>
      <c r="E191" s="3956"/>
      <c r="F191" s="3956"/>
      <c r="G191" s="3956"/>
      <c r="H191" s="3956"/>
      <c r="I191" s="4007"/>
      <c r="J191" s="3940"/>
      <c r="K191" s="3911"/>
      <c r="L191" s="3940"/>
      <c r="M191" s="3911"/>
      <c r="N191" s="3940"/>
      <c r="O191" s="3911"/>
      <c r="P191" s="3940"/>
      <c r="Q191" s="3911"/>
      <c r="R191" s="3940"/>
      <c r="S191" s="3911"/>
      <c r="T191" s="3829"/>
      <c r="U191" s="3830"/>
      <c r="V191" s="3830"/>
      <c r="W191" s="3830"/>
      <c r="X191" s="3830"/>
      <c r="Y191" s="3830"/>
      <c r="Z191" s="3830"/>
      <c r="AA191" s="3831"/>
      <c r="AB191" s="1740"/>
      <c r="AC191" s="845"/>
      <c r="AD191" s="3044"/>
      <c r="AE191" s="3061"/>
      <c r="AF191" s="3069"/>
      <c r="AG191" s="3061"/>
      <c r="AH191" s="3061"/>
      <c r="AI191" s="3061"/>
      <c r="AJ191" s="3061"/>
      <c r="AK191" s="3061"/>
      <c r="AL191" s="3055"/>
      <c r="AM191" s="3055"/>
      <c r="AN191" s="3055"/>
      <c r="AO191" s="3055"/>
      <c r="AP191" s="3055"/>
      <c r="AQ191" s="1737"/>
      <c r="AR191" s="1737"/>
      <c r="AS191" s="1737"/>
      <c r="AT191" s="1737"/>
      <c r="AU191" s="1737"/>
      <c r="AV191" s="1737"/>
    </row>
    <row r="192" spans="1:48" ht="12" customHeight="1" x14ac:dyDescent="0.2">
      <c r="A192" s="9"/>
      <c r="B192" s="926"/>
      <c r="AB192" s="1740"/>
      <c r="AC192" s="845"/>
      <c r="AD192" s="3044"/>
      <c r="AE192" s="3061"/>
      <c r="AF192" s="3069"/>
      <c r="AG192" s="3061"/>
      <c r="AH192" s="3061"/>
      <c r="AI192" s="3061"/>
      <c r="AJ192" s="3061"/>
      <c r="AK192" s="3061"/>
      <c r="AL192" s="3055"/>
      <c r="AM192" s="3055"/>
      <c r="AN192" s="3055"/>
      <c r="AO192" s="3055"/>
      <c r="AP192" s="3055"/>
      <c r="AQ192" s="1737"/>
      <c r="AR192" s="1737"/>
      <c r="AS192" s="1737"/>
      <c r="AT192" s="1737"/>
      <c r="AU192" s="1737"/>
      <c r="AV192" s="1737"/>
    </row>
    <row r="193" spans="1:48" ht="12" customHeight="1" thickBot="1" x14ac:dyDescent="0.25">
      <c r="A193" s="9"/>
      <c r="B193" s="823"/>
      <c r="AB193" s="1740"/>
      <c r="AC193" s="845"/>
      <c r="AD193" s="3044"/>
      <c r="AE193" s="3061"/>
      <c r="AF193" s="3069"/>
      <c r="AG193" s="3061"/>
      <c r="AH193" s="3061"/>
      <c r="AI193" s="3061"/>
      <c r="AJ193" s="3061"/>
      <c r="AK193" s="3061"/>
      <c r="AL193" s="3055"/>
      <c r="AM193" s="3055"/>
      <c r="AN193" s="3055"/>
      <c r="AO193" s="3055"/>
      <c r="AP193" s="3055"/>
      <c r="AQ193" s="1737"/>
      <c r="AR193" s="1737"/>
      <c r="AS193" s="1737"/>
      <c r="AT193" s="1737"/>
      <c r="AU193" s="1737"/>
      <c r="AV193" s="1737"/>
    </row>
    <row r="194" spans="1:48" ht="12" customHeight="1" x14ac:dyDescent="0.2">
      <c r="A194" s="9"/>
      <c r="B194" s="823"/>
      <c r="C194" s="3952" t="s">
        <v>1545</v>
      </c>
      <c r="D194" s="3953"/>
      <c r="E194" s="3953"/>
      <c r="F194" s="3953"/>
      <c r="G194" s="3953"/>
      <c r="H194" s="3953"/>
      <c r="I194" s="4006"/>
      <c r="J194" s="3939">
        <f>$T$7</f>
        <v>400</v>
      </c>
      <c r="K194" s="4065">
        <f>M86+M104+M120+K190+Z7+W20</f>
        <v>0</v>
      </c>
      <c r="L194" s="3939">
        <f>IF(Categoría_2=0,0,$T$9)</f>
        <v>0</v>
      </c>
      <c r="M194" s="3910">
        <f>IF(Categoría_2="",0,O86+O104+O120+M190+IF(Limite_Primarias_Individual,0,-1)*(M86+M104+M120)+AA7+Z9+X20)</f>
        <v>0</v>
      </c>
      <c r="N194" s="3939">
        <f>IF(Categoría_3=0,0,$T$11)</f>
        <v>0</v>
      </c>
      <c r="O194" s="3910">
        <f>IF(Categoría_3="",0,Q86+Q104+Q120+O190+IF(Limite_Primarias_Individual,0,-1)*(O86+O104+O120)+AA9+Z11+Y20)</f>
        <v>0</v>
      </c>
      <c r="P194" s="3939">
        <f>IF(Categoría_4=0,0,$T$13)</f>
        <v>0</v>
      </c>
      <c r="Q194" s="3910">
        <f>IF(Categoría_4="",0,S86+S104+S120+Q190+IF(Limite_Primarias_Individual,0,-1)*(Q86+Q104+Q120)+AA11+Z13+Z20)</f>
        <v>0</v>
      </c>
      <c r="R194" s="3939">
        <f>$T$15</f>
        <v>0</v>
      </c>
      <c r="S194" s="4063">
        <f>IF(Categoría_4="",0,U86+U104+U120+S190+IF(Limite_Primarias_Individual,0,-1)*(S86+S104+S120)+AA13+AA20)</f>
        <v>0</v>
      </c>
      <c r="T194" s="3826" t="str">
        <f>IF(AA194&gt;Z194,"Exceso de PDs gastados",IF(OR(K194&gt;J194,M194&gt;L194,O194&gt;N194,Q194&gt;P194,S194&gt;R194),"Límite por Categoría excedido",""))</f>
        <v/>
      </c>
      <c r="U194" s="3827"/>
      <c r="V194" s="3827"/>
      <c r="W194" s="3828"/>
      <c r="X194" s="4059" t="s">
        <v>3183</v>
      </c>
      <c r="Y194" s="4060"/>
      <c r="Z194" s="3832">
        <f>J194+L194+N194+P194+R194</f>
        <v>400</v>
      </c>
      <c r="AA194" s="3834">
        <f>K194+M194+O194+Q194+S194</f>
        <v>0</v>
      </c>
      <c r="AB194" s="1740"/>
      <c r="AC194" s="845"/>
      <c r="AD194" s="3044"/>
      <c r="AE194" s="3061"/>
      <c r="AF194" s="3069"/>
      <c r="AG194" s="3061"/>
      <c r="AH194" s="3061"/>
      <c r="AI194" s="3061"/>
      <c r="AJ194" s="3061"/>
      <c r="AK194" s="3061"/>
      <c r="AL194" s="3055"/>
      <c r="AM194" s="3055"/>
      <c r="AN194" s="3055"/>
      <c r="AO194" s="3055"/>
      <c r="AP194" s="3055"/>
      <c r="AQ194" s="1737"/>
      <c r="AR194" s="1737"/>
      <c r="AS194" s="1737"/>
      <c r="AT194" s="1737"/>
      <c r="AU194" s="1737"/>
      <c r="AV194" s="1737"/>
    </row>
    <row r="195" spans="1:48" ht="12" customHeight="1" thickBot="1" x14ac:dyDescent="0.25">
      <c r="A195" s="9"/>
      <c r="B195" s="823"/>
      <c r="C195" s="3955"/>
      <c r="D195" s="3956"/>
      <c r="E195" s="3956"/>
      <c r="F195" s="3956"/>
      <c r="G195" s="3956"/>
      <c r="H195" s="3956"/>
      <c r="I195" s="4007"/>
      <c r="J195" s="3940"/>
      <c r="K195" s="3911"/>
      <c r="L195" s="3940"/>
      <c r="M195" s="3911"/>
      <c r="N195" s="3940"/>
      <c r="O195" s="3911"/>
      <c r="P195" s="3940"/>
      <c r="Q195" s="3911"/>
      <c r="R195" s="3940"/>
      <c r="S195" s="4064"/>
      <c r="T195" s="3829"/>
      <c r="U195" s="3830"/>
      <c r="V195" s="3830"/>
      <c r="W195" s="3831"/>
      <c r="X195" s="4061"/>
      <c r="Y195" s="4062"/>
      <c r="Z195" s="3833"/>
      <c r="AA195" s="3835"/>
      <c r="AB195" s="1740"/>
      <c r="AC195" s="845"/>
      <c r="AD195" s="3044"/>
      <c r="AE195" s="3061"/>
      <c r="AF195" s="3069"/>
      <c r="AG195" s="3061"/>
      <c r="AH195" s="3061"/>
      <c r="AI195" s="3061"/>
      <c r="AJ195" s="3061"/>
      <c r="AK195" s="3061"/>
      <c r="AL195" s="3055"/>
      <c r="AM195" s="3055"/>
      <c r="AN195" s="3055"/>
      <c r="AO195" s="3055"/>
      <c r="AP195" s="3055"/>
      <c r="AQ195" s="1737"/>
      <c r="AR195" s="1737"/>
      <c r="AS195" s="1737"/>
      <c r="AT195" s="1737"/>
      <c r="AU195" s="1737"/>
      <c r="AV195" s="1737"/>
    </row>
    <row r="196" spans="1:48" ht="12" customHeight="1" thickBot="1" x14ac:dyDescent="0.25">
      <c r="A196" s="29"/>
      <c r="B196" s="823"/>
      <c r="AB196" s="1740"/>
      <c r="AC196" s="845"/>
      <c r="AD196" s="3044"/>
      <c r="AE196" s="3061"/>
      <c r="AF196" s="3069"/>
      <c r="AG196" s="3061"/>
      <c r="AH196" s="3061"/>
      <c r="AI196" s="3061"/>
      <c r="AJ196" s="3061"/>
      <c r="AK196" s="3061"/>
      <c r="AL196" s="3055"/>
      <c r="AM196" s="3055"/>
      <c r="AN196" s="3055"/>
      <c r="AO196" s="3055"/>
      <c r="AP196" s="3055"/>
      <c r="AQ196" s="1737"/>
      <c r="AR196" s="1737"/>
      <c r="AS196" s="1737"/>
      <c r="AT196" s="1737"/>
      <c r="AU196" s="1737"/>
      <c r="AV196" s="1737"/>
    </row>
    <row r="197" spans="1:48" ht="12" customHeight="1" x14ac:dyDescent="0.2">
      <c r="A197" s="29"/>
      <c r="B197" s="823"/>
      <c r="C197" s="3753" t="s">
        <v>9613</v>
      </c>
      <c r="D197" s="3756"/>
      <c r="E197" s="3757"/>
      <c r="F197" s="3757"/>
      <c r="G197" s="3757"/>
      <c r="H197" s="3757"/>
      <c r="I197" s="3757"/>
      <c r="J197" s="3757"/>
      <c r="K197" s="3757"/>
      <c r="L197" s="3757"/>
      <c r="M197" s="3757"/>
      <c r="N197" s="3757"/>
      <c r="O197" s="3757"/>
      <c r="P197" s="3757"/>
      <c r="Q197" s="3757"/>
      <c r="R197" s="3757"/>
      <c r="S197" s="3757"/>
      <c r="T197" s="3757"/>
      <c r="U197" s="3757"/>
      <c r="V197" s="3757"/>
      <c r="W197" s="3757"/>
      <c r="X197" s="3757"/>
      <c r="Y197" s="3757"/>
      <c r="Z197" s="3757"/>
      <c r="AA197" s="3758"/>
      <c r="AB197" s="1740"/>
      <c r="AC197" s="845"/>
      <c r="AD197" s="3044"/>
      <c r="AE197" s="3061"/>
      <c r="AF197" s="3069"/>
      <c r="AG197" s="3061"/>
      <c r="AH197" s="3061"/>
      <c r="AI197" s="3061"/>
      <c r="AJ197" s="3061"/>
      <c r="AK197" s="3061"/>
      <c r="AL197" s="3055"/>
      <c r="AM197" s="3055"/>
      <c r="AN197" s="3055"/>
      <c r="AO197" s="3055"/>
      <c r="AP197" s="3055"/>
      <c r="AQ197" s="1737"/>
      <c r="AR197" s="1737"/>
      <c r="AS197" s="1737"/>
      <c r="AT197" s="1737"/>
      <c r="AU197" s="1737"/>
      <c r="AV197" s="1737"/>
    </row>
    <row r="198" spans="1:48" ht="12" customHeight="1" x14ac:dyDescent="0.2">
      <c r="A198" s="29"/>
      <c r="B198" s="823"/>
      <c r="C198" s="3754"/>
      <c r="D198" s="3759"/>
      <c r="E198" s="3760"/>
      <c r="F198" s="3760"/>
      <c r="G198" s="3760"/>
      <c r="H198" s="3760"/>
      <c r="I198" s="3760"/>
      <c r="J198" s="3760"/>
      <c r="K198" s="3760"/>
      <c r="L198" s="3760"/>
      <c r="M198" s="3760"/>
      <c r="N198" s="3760"/>
      <c r="O198" s="3760"/>
      <c r="P198" s="3760"/>
      <c r="Q198" s="3760"/>
      <c r="R198" s="3760"/>
      <c r="S198" s="3760"/>
      <c r="T198" s="3760"/>
      <c r="U198" s="3760"/>
      <c r="V198" s="3760"/>
      <c r="W198" s="3760"/>
      <c r="X198" s="3760"/>
      <c r="Y198" s="3760"/>
      <c r="Z198" s="3760"/>
      <c r="AA198" s="3761"/>
      <c r="AB198" s="1740"/>
      <c r="AC198" s="845"/>
      <c r="AD198" s="3044"/>
      <c r="AE198" s="3061"/>
      <c r="AF198" s="3069"/>
      <c r="AG198" s="3061"/>
      <c r="AH198" s="3061"/>
      <c r="AI198" s="3061"/>
      <c r="AJ198" s="3061"/>
      <c r="AK198" s="3061"/>
      <c r="AL198" s="3055"/>
      <c r="AM198" s="3055"/>
      <c r="AN198" s="3055"/>
      <c r="AO198" s="3055"/>
      <c r="AP198" s="3055"/>
      <c r="AQ198" s="1737"/>
      <c r="AR198" s="1737"/>
      <c r="AS198" s="1737"/>
      <c r="AT198" s="1737"/>
      <c r="AU198" s="1737"/>
      <c r="AV198" s="1737"/>
    </row>
    <row r="199" spans="1:48" ht="12" customHeight="1" x14ac:dyDescent="0.2">
      <c r="A199" s="29"/>
      <c r="B199" s="823"/>
      <c r="C199" s="3754"/>
      <c r="D199" s="3759"/>
      <c r="E199" s="3760"/>
      <c r="F199" s="3760"/>
      <c r="G199" s="3760"/>
      <c r="H199" s="3760"/>
      <c r="I199" s="3760"/>
      <c r="J199" s="3760"/>
      <c r="K199" s="3760"/>
      <c r="L199" s="3760"/>
      <c r="M199" s="3760"/>
      <c r="N199" s="3760"/>
      <c r="O199" s="3760"/>
      <c r="P199" s="3760"/>
      <c r="Q199" s="3760"/>
      <c r="R199" s="3760"/>
      <c r="S199" s="3760"/>
      <c r="T199" s="3760"/>
      <c r="U199" s="3760"/>
      <c r="V199" s="3760"/>
      <c r="W199" s="3760"/>
      <c r="X199" s="3760"/>
      <c r="Y199" s="3760"/>
      <c r="Z199" s="3760"/>
      <c r="AA199" s="3761"/>
      <c r="AB199" s="1740"/>
      <c r="AC199" s="845"/>
      <c r="AD199" s="3044"/>
      <c r="AE199" s="3061"/>
      <c r="AF199" s="3069"/>
      <c r="AG199" s="3061"/>
      <c r="AH199" s="3061"/>
      <c r="AI199" s="3061"/>
      <c r="AJ199" s="3061"/>
      <c r="AK199" s="3061"/>
      <c r="AL199" s="3055"/>
      <c r="AM199" s="3055"/>
      <c r="AN199" s="3055"/>
      <c r="AO199" s="3055"/>
      <c r="AP199" s="3055"/>
      <c r="AQ199" s="1737"/>
      <c r="AR199" s="1737"/>
      <c r="AS199" s="1737"/>
      <c r="AT199" s="1737"/>
      <c r="AU199" s="1737"/>
      <c r="AV199" s="1737"/>
    </row>
    <row r="200" spans="1:48" ht="12" customHeight="1" thickBot="1" x14ac:dyDescent="0.25">
      <c r="A200" s="29"/>
      <c r="B200" s="823"/>
      <c r="C200" s="3755"/>
      <c r="D200" s="3762"/>
      <c r="E200" s="3763"/>
      <c r="F200" s="3763"/>
      <c r="G200" s="3763"/>
      <c r="H200" s="3763"/>
      <c r="I200" s="3763"/>
      <c r="J200" s="3763"/>
      <c r="K200" s="3763"/>
      <c r="L200" s="3763"/>
      <c r="M200" s="3763"/>
      <c r="N200" s="3763"/>
      <c r="O200" s="3763"/>
      <c r="P200" s="3763"/>
      <c r="Q200" s="3763"/>
      <c r="R200" s="3763"/>
      <c r="S200" s="3763"/>
      <c r="T200" s="3763"/>
      <c r="U200" s="3763"/>
      <c r="V200" s="3763"/>
      <c r="W200" s="3763"/>
      <c r="X200" s="3763"/>
      <c r="Y200" s="3763"/>
      <c r="Z200" s="3763"/>
      <c r="AA200" s="3764"/>
      <c r="AB200" s="1740"/>
      <c r="AC200" s="845"/>
      <c r="AD200" s="3044"/>
      <c r="AE200" s="3061"/>
      <c r="AF200" s="3069"/>
      <c r="AG200" s="3061"/>
      <c r="AH200" s="3061"/>
      <c r="AI200" s="3061"/>
      <c r="AJ200" s="3061"/>
      <c r="AK200" s="3061"/>
      <c r="AL200" s="3055"/>
      <c r="AM200" s="3055"/>
      <c r="AN200" s="3055"/>
      <c r="AO200" s="3055"/>
      <c r="AP200" s="3055"/>
      <c r="AQ200" s="1737"/>
      <c r="AR200" s="1737"/>
      <c r="AS200" s="1737"/>
      <c r="AT200" s="1737"/>
      <c r="AU200" s="1737"/>
      <c r="AV200" s="1737"/>
    </row>
    <row r="201" spans="1:48" ht="12" customHeight="1" thickBot="1" x14ac:dyDescent="0.25">
      <c r="A201" s="29"/>
      <c r="B201" s="92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45"/>
      <c r="AC201" s="845"/>
      <c r="AD201" s="3044"/>
      <c r="AE201" s="3061"/>
      <c r="AF201" s="3069"/>
      <c r="AG201" s="3061"/>
      <c r="AH201" s="3061"/>
      <c r="AI201" s="3061"/>
      <c r="AJ201" s="3061"/>
      <c r="AK201" s="3061"/>
      <c r="AL201" s="3055"/>
      <c r="AM201" s="3055"/>
      <c r="AN201" s="3055"/>
      <c r="AO201" s="3055"/>
      <c r="AP201" s="3055"/>
      <c r="AQ201" s="1737"/>
      <c r="AR201" s="1737"/>
      <c r="AS201" s="1737"/>
      <c r="AT201" s="1737"/>
      <c r="AU201" s="1737"/>
      <c r="AV201" s="1737"/>
    </row>
    <row r="202" spans="1:48" ht="12" customHeight="1" x14ac:dyDescent="0.2">
      <c r="A202" s="954"/>
      <c r="B202" s="1821"/>
      <c r="C202" s="954"/>
      <c r="D202" s="954"/>
      <c r="E202" s="954"/>
      <c r="F202" s="954"/>
      <c r="G202" s="954"/>
      <c r="H202" s="954"/>
      <c r="I202" s="954"/>
      <c r="J202" s="954"/>
      <c r="K202" s="954"/>
      <c r="L202" s="954"/>
      <c r="M202" s="954"/>
      <c r="N202" s="954"/>
      <c r="O202" s="954"/>
      <c r="P202" s="954"/>
      <c r="Q202" s="954"/>
      <c r="R202" s="954"/>
      <c r="S202" s="954"/>
      <c r="T202" s="954"/>
      <c r="U202" s="954"/>
      <c r="V202" s="954"/>
      <c r="W202" s="954"/>
      <c r="X202" s="954"/>
      <c r="Y202" s="954"/>
      <c r="Z202" s="954"/>
      <c r="AA202" s="954"/>
      <c r="AB202" s="1389"/>
      <c r="AC202" s="1388"/>
      <c r="AD202" s="3044"/>
      <c r="AE202" s="3061"/>
      <c r="AF202" s="3069"/>
      <c r="AG202" s="3061"/>
      <c r="AH202" s="3061"/>
      <c r="AI202" s="3061"/>
      <c r="AJ202" s="3061"/>
      <c r="AK202" s="3061"/>
      <c r="AL202" s="3055"/>
      <c r="AM202" s="3055"/>
      <c r="AN202" s="3055"/>
      <c r="AO202" s="3055"/>
      <c r="AP202" s="3055"/>
      <c r="AQ202" s="1737"/>
      <c r="AR202" s="1737"/>
      <c r="AS202" s="1737"/>
      <c r="AT202" s="1737"/>
      <c r="AU202" s="1737"/>
      <c r="AV202" s="1737"/>
    </row>
  </sheetData>
  <sheetProtection selectLockedCells="1"/>
  <mergeCells count="43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W127:X127"/>
    <mergeCell ref="E128:H128"/>
    <mergeCell ref="R126:S127"/>
    <mergeCell ref="P126:Q127"/>
    <mergeCell ref="N126:O127"/>
    <mergeCell ref="L126:M127"/>
    <mergeCell ref="S120:S121"/>
    <mergeCell ref="P120:P121"/>
    <mergeCell ref="Q120:Q121"/>
    <mergeCell ref="N120:N121"/>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J73:K73"/>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Z7:Z8"/>
    <mergeCell ref="AA7:AA8"/>
    <mergeCell ref="Z9:Z10"/>
    <mergeCell ref="AA9:AA10"/>
    <mergeCell ref="Z11:Z12"/>
    <mergeCell ref="AA11:AA12"/>
    <mergeCell ref="Z13:Z14"/>
    <mergeCell ref="AA13:AA14"/>
    <mergeCell ref="V7:X8"/>
    <mergeCell ref="V9:X10"/>
    <mergeCell ref="V11:X12"/>
    <mergeCell ref="V13:X14"/>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1210" priority="633" stopIfTrue="1" operator="equal">
      <formula>"Tabla de Esquiva con Escudo"</formula>
    </cfRule>
  </conditionalFormatting>
  <conditionalFormatting sqref="Y187">
    <cfRule type="cellIs" dxfId="1209" priority="635" stopIfTrue="1" operator="notEqual">
      <formula>$AA$187</formula>
    </cfRule>
  </conditionalFormatting>
  <conditionalFormatting sqref="Y186">
    <cfRule type="cellIs" dxfId="1208" priority="636" stopIfTrue="1" operator="notEqual">
      <formula>$AA$186</formula>
    </cfRule>
  </conditionalFormatting>
  <conditionalFormatting sqref="Y185">
    <cfRule type="expression" dxfId="1207" priority="218" stopIfTrue="1">
      <formula>OR($AB$185&gt;$AD$185,$AB$186&gt;$AD$186)</formula>
    </cfRule>
    <cfRule type="expression" dxfId="1206" priority="637">
      <formula>OR($AB$185&lt;$AD$185,$AB$186&lt;$AD$186)</formula>
    </cfRule>
  </conditionalFormatting>
  <conditionalFormatting sqref="Y129:Y184">
    <cfRule type="cellIs" dxfId="1205" priority="638" stopIfTrue="1" operator="greaterThan">
      <formula>$AA$187/5</formula>
    </cfRule>
  </conditionalFormatting>
  <conditionalFormatting sqref="V44:V48">
    <cfRule type="expression" dxfId="1204" priority="1850" stopIfTrue="1">
      <formula>AND(NOT($V44="Armas improvisadas"),$Y44=0)</formula>
    </cfRule>
  </conditionalFormatting>
  <conditionalFormatting sqref="E43:K48 E78:K85">
    <cfRule type="expression" dxfId="1203" priority="1853">
      <formula>NOT(OR(L43=M43,$N43=$O43,$P43=$Q43,$R43=$S43,$T43=$U43))</formula>
    </cfRule>
  </conditionalFormatting>
  <conditionalFormatting sqref="Y43:AA48">
    <cfRule type="expression" dxfId="1202" priority="295" stopIfTrue="1">
      <formula>$V43=""</formula>
    </cfRule>
  </conditionalFormatting>
  <conditionalFormatting sqref="E59:E77">
    <cfRule type="expression" dxfId="1201" priority="259">
      <formula>OR($J59="",$AF59&gt;1)</formula>
    </cfRule>
  </conditionalFormatting>
  <conditionalFormatting sqref="L188">
    <cfRule type="expression" dxfId="1200" priority="4308" stopIfTrue="1">
      <formula>Categoría_2=0</formula>
    </cfRule>
  </conditionalFormatting>
  <conditionalFormatting sqref="N188">
    <cfRule type="expression" dxfId="1199" priority="4378" stopIfTrue="1">
      <formula>Categoría_3=0</formula>
    </cfRule>
  </conditionalFormatting>
  <conditionalFormatting sqref="P188">
    <cfRule type="expression" dxfId="1198" priority="4448" stopIfTrue="1">
      <formula>Categoría_4=0</formula>
    </cfRule>
  </conditionalFormatting>
  <conditionalFormatting sqref="R188">
    <cfRule type="expression" dxfId="1197" priority="4518" stopIfTrue="1">
      <formula>Categoría_5=0</formula>
    </cfRule>
  </conditionalFormatting>
  <conditionalFormatting sqref="N86:O86 N104:O105 N120:O121 L190:M191 L194:M195">
    <cfRule type="expression" dxfId="1196" priority="2" stopIfTrue="1">
      <formula>Categoría_2=0</formula>
    </cfRule>
  </conditionalFormatting>
  <conditionalFormatting sqref="P86:Q87 P104:Q105 P120:Q121 N190:O191 N194:O195">
    <cfRule type="expression" dxfId="1195" priority="3" stopIfTrue="1">
      <formula>Categoría_3=0</formula>
    </cfRule>
  </conditionalFormatting>
  <conditionalFormatting sqref="R86:S87 R104:S105 R120:S121 P190:Q191 P194:Q195">
    <cfRule type="expression" dxfId="1194" priority="4" stopIfTrue="1">
      <formula>Categoría_4=0</formula>
    </cfRule>
  </conditionalFormatting>
  <conditionalFormatting sqref="T86:U87 T104:U105 T120:U121 R190:S191 R194:S195">
    <cfRule type="expression" dxfId="1193" priority="16" stopIfTrue="1">
      <formula>Categoría_5=0</formula>
    </cfRule>
  </conditionalFormatting>
  <conditionalFormatting sqref="V43">
    <cfRule type="expression" dxfId="1192" priority="258" stopIfTrue="1">
      <formula>AND(NOT($V43="Armas improvisadas"),$Y43=0)</formula>
    </cfRule>
  </conditionalFormatting>
  <conditionalFormatting sqref="L86:M87">
    <cfRule type="expression" dxfId="1191" priority="17" stopIfTrue="1">
      <formula>$N$86&gt;0</formula>
    </cfRule>
  </conditionalFormatting>
  <conditionalFormatting sqref="Y7:Y14">
    <cfRule type="expression" dxfId="1190" priority="252" stopIfTrue="1">
      <formula>NOT($Y7=$Z7+$AA7)</formula>
    </cfRule>
  </conditionalFormatting>
  <conditionalFormatting sqref="N86:O87">
    <cfRule type="expression" dxfId="1189" priority="18" stopIfTrue="1">
      <formula>$P$86&gt;0</formula>
    </cfRule>
  </conditionalFormatting>
  <conditionalFormatting sqref="P86:Q87">
    <cfRule type="expression" dxfId="1188" priority="19" stopIfTrue="1">
      <formula>$R$86&gt;0</formula>
    </cfRule>
  </conditionalFormatting>
  <conditionalFormatting sqref="R86:S87">
    <cfRule type="expression" dxfId="1187" priority="20" stopIfTrue="1">
      <formula>$T$86&gt;0</formula>
    </cfRule>
  </conditionalFormatting>
  <conditionalFormatting sqref="L104:M105">
    <cfRule type="expression" dxfId="1186" priority="21" stopIfTrue="1">
      <formula>$N$104&gt;0</formula>
    </cfRule>
  </conditionalFormatting>
  <conditionalFormatting sqref="P104:Q105">
    <cfRule type="expression" dxfId="1185" priority="28" stopIfTrue="1">
      <formula>$R$104&gt;0</formula>
    </cfRule>
  </conditionalFormatting>
  <conditionalFormatting sqref="R104:S105">
    <cfRule type="expression" dxfId="1184" priority="35" stopIfTrue="1">
      <formula>$T$104&gt;0</formula>
    </cfRule>
  </conditionalFormatting>
  <conditionalFormatting sqref="L120:M121">
    <cfRule type="expression" dxfId="1183" priority="95" stopIfTrue="1">
      <formula>$N$120&gt;0</formula>
    </cfRule>
  </conditionalFormatting>
  <conditionalFormatting sqref="P120:Q121">
    <cfRule type="expression" dxfId="1182" priority="97" stopIfTrue="1">
      <formula>$R$120&gt;0</formula>
    </cfRule>
  </conditionalFormatting>
  <conditionalFormatting sqref="R120:S121">
    <cfRule type="expression" dxfId="1181" priority="98" stopIfTrue="1">
      <formula>$T$120&gt;0</formula>
    </cfRule>
  </conditionalFormatting>
  <conditionalFormatting sqref="E49:K58">
    <cfRule type="expression" dxfId="1180" priority="219">
      <formula>$AG49</formula>
    </cfRule>
  </conditionalFormatting>
  <conditionalFormatting sqref="W129:W184">
    <cfRule type="cellIs" dxfId="1179" priority="217" stopIfTrue="1" operator="greaterThan">
      <formula>MAX(Nivel_Total,1)</formula>
    </cfRule>
  </conditionalFormatting>
  <conditionalFormatting sqref="X129:X184">
    <cfRule type="cellIs" dxfId="1178" priority="212" stopIfTrue="1" operator="greaterThan">
      <formula>$AA$186/5</formula>
    </cfRule>
  </conditionalFormatting>
  <conditionalFormatting sqref="E59:K77">
    <cfRule type="expression" dxfId="1177" priority="6955">
      <formula>NOT($AL59)</formula>
    </cfRule>
  </conditionalFormatting>
  <conditionalFormatting sqref="V59:AA77">
    <cfRule type="containsText" dxfId="1176" priority="198" operator="containsText" text="FALTAN REQUISITOS">
      <formula>NOT(ISERROR(SEARCH("FALTAN REQUISITOS",V59)))</formula>
    </cfRule>
    <cfRule type="containsText" dxfId="1175" priority="199" operator="containsText" text="ARTE MARCIAL REPETIDA">
      <formula>NOT(ISERROR(SEARCH("ARTE MARCIAL REPETIDA",V59)))</formula>
    </cfRule>
    <cfRule type="containsText" dxfId="1174" priority="200" operator="containsText" text="ARTE MARCIAL SIN PAGAR">
      <formula>NOT(ISERROR(SEARCH("ARTE MARCIAL SIN PAGAR",V59)))</formula>
    </cfRule>
  </conditionalFormatting>
  <conditionalFormatting sqref="N25:N28 N30:N35 N42:N85 L30:L58 P30:P35 P42:P58 R30:R35 R42:R58 T30:T35 T42:T58">
    <cfRule type="expression" dxfId="1173" priority="182">
      <formula>L$22&lt;&gt;""</formula>
    </cfRule>
  </conditionalFormatting>
  <conditionalFormatting sqref="O25:O42 O59:O77">
    <cfRule type="expression" dxfId="1172" priority="131" stopIfTrue="1">
      <formula>N$22=""</formula>
    </cfRule>
  </conditionalFormatting>
  <conditionalFormatting sqref="L25:L28">
    <cfRule type="expression" dxfId="1171" priority="130">
      <formula>L$22&lt;&gt;""</formula>
    </cfRule>
  </conditionalFormatting>
  <conditionalFormatting sqref="M25:M58">
    <cfRule type="expression" dxfId="1170" priority="129" stopIfTrue="1">
      <formula>L$22=""</formula>
    </cfRule>
  </conditionalFormatting>
  <conditionalFormatting sqref="P25:P28">
    <cfRule type="expression" dxfId="1169" priority="128">
      <formula>P$22&lt;&gt;""</formula>
    </cfRule>
  </conditionalFormatting>
  <conditionalFormatting sqref="Q25:Q42">
    <cfRule type="expression" dxfId="1168" priority="127" stopIfTrue="1">
      <formula>P$22=""</formula>
    </cfRule>
  </conditionalFormatting>
  <conditionalFormatting sqref="R25:R28">
    <cfRule type="expression" dxfId="1167" priority="126">
      <formula>R$22&lt;&gt;""</formula>
    </cfRule>
  </conditionalFormatting>
  <conditionalFormatting sqref="S25:S42">
    <cfRule type="expression" dxfId="1166" priority="125" stopIfTrue="1">
      <formula>R$22=""</formula>
    </cfRule>
  </conditionalFormatting>
  <conditionalFormatting sqref="T25:T28">
    <cfRule type="expression" dxfId="1165" priority="124">
      <formula>T$22&lt;&gt;""</formula>
    </cfRule>
  </conditionalFormatting>
  <conditionalFormatting sqref="U25:U42">
    <cfRule type="expression" dxfId="1164" priority="123" stopIfTrue="1">
      <formula>T$22=""</formula>
    </cfRule>
  </conditionalFormatting>
  <conditionalFormatting sqref="L78:L85">
    <cfRule type="expression" dxfId="1163" priority="122">
      <formula>L$22&lt;&gt;""</formula>
    </cfRule>
  </conditionalFormatting>
  <conditionalFormatting sqref="M78:M85">
    <cfRule type="expression" dxfId="1162" priority="121" stopIfTrue="1">
      <formula>L$22=""</formula>
    </cfRule>
  </conditionalFormatting>
  <conditionalFormatting sqref="P78:P85">
    <cfRule type="expression" dxfId="1161" priority="120" stopIfTrue="1">
      <formula>P$22&lt;&gt;""</formula>
    </cfRule>
  </conditionalFormatting>
  <conditionalFormatting sqref="R78:R85">
    <cfRule type="expression" dxfId="1160" priority="118">
      <formula>R$22&lt;&gt;""</formula>
    </cfRule>
  </conditionalFormatting>
  <conditionalFormatting sqref="T78:T85">
    <cfRule type="expression" dxfId="1159" priority="116" stopIfTrue="1">
      <formula>T$22&lt;&gt;""</formula>
    </cfRule>
  </conditionalFormatting>
  <conditionalFormatting sqref="L93:L103">
    <cfRule type="expression" dxfId="1158" priority="248">
      <formula>L$90&lt;&gt;""</formula>
    </cfRule>
  </conditionalFormatting>
  <conditionalFormatting sqref="M93:M103">
    <cfRule type="expression" dxfId="1157" priority="237">
      <formula>L$90=""</formula>
    </cfRule>
  </conditionalFormatting>
  <conditionalFormatting sqref="N93:N103">
    <cfRule type="expression" dxfId="1156" priority="227">
      <formula>N$90&lt;&gt;""</formula>
    </cfRule>
  </conditionalFormatting>
  <conditionalFormatting sqref="O93:O103">
    <cfRule type="expression" dxfId="1155" priority="226">
      <formula>N$90=""</formula>
    </cfRule>
  </conditionalFormatting>
  <conditionalFormatting sqref="P93:P103">
    <cfRule type="expression" dxfId="1154" priority="114">
      <formula>P$90&lt;&gt;""</formula>
    </cfRule>
  </conditionalFormatting>
  <conditionalFormatting sqref="Q93:Q103">
    <cfRule type="expression" dxfId="1153" priority="113">
      <formula>P$90=""</formula>
    </cfRule>
  </conditionalFormatting>
  <conditionalFormatting sqref="R93:R103">
    <cfRule type="expression" dxfId="1152" priority="112">
      <formula>R$90&lt;&gt;""</formula>
    </cfRule>
  </conditionalFormatting>
  <conditionalFormatting sqref="S93:S103">
    <cfRule type="expression" dxfId="1151" priority="111">
      <formula>R$90=""</formula>
    </cfRule>
  </conditionalFormatting>
  <conditionalFormatting sqref="T93:T103">
    <cfRule type="expression" dxfId="1150" priority="110">
      <formula>T$90&lt;&gt;""</formula>
    </cfRule>
  </conditionalFormatting>
  <conditionalFormatting sqref="U93:U103">
    <cfRule type="expression" dxfId="1149" priority="109">
      <formula>T$90=""</formula>
    </cfRule>
  </conditionalFormatting>
  <conditionalFormatting sqref="L111:L119">
    <cfRule type="expression" dxfId="1148" priority="108" stopIfTrue="1">
      <formula>L$108&lt;&gt;""</formula>
    </cfRule>
  </conditionalFormatting>
  <conditionalFormatting sqref="M111:M119">
    <cfRule type="expression" dxfId="1147" priority="107">
      <formula>L$108=""</formula>
    </cfRule>
  </conditionalFormatting>
  <conditionalFormatting sqref="N111:N119">
    <cfRule type="expression" dxfId="1146" priority="106" stopIfTrue="1">
      <formula>N$108&lt;&gt;""</formula>
    </cfRule>
  </conditionalFormatting>
  <conditionalFormatting sqref="O111:O119">
    <cfRule type="expression" dxfId="1145" priority="105">
      <formula>N$108=""</formula>
    </cfRule>
  </conditionalFormatting>
  <conditionalFormatting sqref="P111:P119">
    <cfRule type="expression" dxfId="1144" priority="104" stopIfTrue="1">
      <formula>P$108&lt;&gt;""</formula>
    </cfRule>
  </conditionalFormatting>
  <conditionalFormatting sqref="Q111:Q119">
    <cfRule type="expression" dxfId="1143" priority="103">
      <formula>P$108=""</formula>
    </cfRule>
  </conditionalFormatting>
  <conditionalFormatting sqref="R111:R119">
    <cfRule type="expression" dxfId="1142" priority="102" stopIfTrue="1">
      <formula>R$108&lt;&gt;""</formula>
    </cfRule>
  </conditionalFormatting>
  <conditionalFormatting sqref="S111:S119">
    <cfRule type="expression" dxfId="1141" priority="101">
      <formula>R$108=""</formula>
    </cfRule>
  </conditionalFormatting>
  <conditionalFormatting sqref="T111:T119">
    <cfRule type="expression" dxfId="1140" priority="100" stopIfTrue="1">
      <formula>T$108&lt;&gt;""</formula>
    </cfRule>
  </conditionalFormatting>
  <conditionalFormatting sqref="U111:U119">
    <cfRule type="expression" dxfId="1139" priority="99">
      <formula>T$108=""</formula>
    </cfRule>
  </conditionalFormatting>
  <conditionalFormatting sqref="J129:J179">
    <cfRule type="expression" dxfId="1138" priority="94" stopIfTrue="1">
      <formula>J$126&lt;&gt;""</formula>
    </cfRule>
  </conditionalFormatting>
  <conditionalFormatting sqref="K129:K179">
    <cfRule type="expression" dxfId="1137" priority="93">
      <formula>J$126=""</formula>
    </cfRule>
  </conditionalFormatting>
  <conditionalFormatting sqref="L129:L179">
    <cfRule type="expression" dxfId="1136" priority="92" stopIfTrue="1">
      <formula>L$126&lt;&gt;""</formula>
    </cfRule>
  </conditionalFormatting>
  <conditionalFormatting sqref="M129:M179">
    <cfRule type="expression" dxfId="1135" priority="91">
      <formula>L$126=""</formula>
    </cfRule>
  </conditionalFormatting>
  <conditionalFormatting sqref="N129:N179">
    <cfRule type="expression" dxfId="1134" priority="90" stopIfTrue="1">
      <formula>N$126&lt;&gt;""</formula>
    </cfRule>
  </conditionalFormatting>
  <conditionalFormatting sqref="O129:O179">
    <cfRule type="expression" dxfId="1133" priority="89">
      <formula>N$126=""</formula>
    </cfRule>
  </conditionalFormatting>
  <conditionalFormatting sqref="P129:P179">
    <cfRule type="expression" dxfId="1132" priority="88" stopIfTrue="1">
      <formula>P$126&lt;&gt;""</formula>
    </cfRule>
  </conditionalFormatting>
  <conditionalFormatting sqref="Q129:Q179">
    <cfRule type="expression" dxfId="1131" priority="87">
      <formula>P$126=""</formula>
    </cfRule>
  </conditionalFormatting>
  <conditionalFormatting sqref="R129:R179">
    <cfRule type="expression" dxfId="1130" priority="86" stopIfTrue="1">
      <formula>R$126&lt;&gt;""</formula>
    </cfRule>
  </conditionalFormatting>
  <conditionalFormatting sqref="S129:S179">
    <cfRule type="expression" dxfId="1129" priority="85">
      <formula>R$126=""</formula>
    </cfRule>
  </conditionalFormatting>
  <conditionalFormatting sqref="O43:O48">
    <cfRule type="expression" dxfId="1128" priority="84" stopIfTrue="1">
      <formula>N$22=""</formula>
    </cfRule>
  </conditionalFormatting>
  <conditionalFormatting sqref="Q43:Q48">
    <cfRule type="expression" dxfId="1127" priority="83" stopIfTrue="1">
      <formula>P$22=""</formula>
    </cfRule>
  </conditionalFormatting>
  <conditionalFormatting sqref="S43:S48">
    <cfRule type="expression" dxfId="1126" priority="82" stopIfTrue="1">
      <formula>R$22=""</formula>
    </cfRule>
  </conditionalFormatting>
  <conditionalFormatting sqref="U43:U48">
    <cfRule type="expression" dxfId="1125" priority="81" stopIfTrue="1">
      <formula>T$22=""</formula>
    </cfRule>
  </conditionalFormatting>
  <conditionalFormatting sqref="O78:O85">
    <cfRule type="expression" dxfId="1124" priority="80" stopIfTrue="1">
      <formula>N$22=""</formula>
    </cfRule>
  </conditionalFormatting>
  <conditionalFormatting sqref="Q78:Q85">
    <cfRule type="expression" dxfId="1123" priority="79" stopIfTrue="1">
      <formula>P$22=""</formula>
    </cfRule>
  </conditionalFormatting>
  <conditionalFormatting sqref="S78:S85">
    <cfRule type="expression" dxfId="1122" priority="78" stopIfTrue="1">
      <formula>R$22=""</formula>
    </cfRule>
  </conditionalFormatting>
  <conditionalFormatting sqref="U78:U85">
    <cfRule type="expression" dxfId="1121" priority="77" stopIfTrue="1">
      <formula>T$22=""</formula>
    </cfRule>
  </conditionalFormatting>
  <conditionalFormatting sqref="N36:N41">
    <cfRule type="expression" dxfId="1120" priority="76">
      <formula>N$22&lt;&gt;""</formula>
    </cfRule>
  </conditionalFormatting>
  <conditionalFormatting sqref="P36:P41">
    <cfRule type="expression" dxfId="1119" priority="75">
      <formula>P$22&lt;&gt;""</formula>
    </cfRule>
  </conditionalFormatting>
  <conditionalFormatting sqref="R36:R41">
    <cfRule type="expression" dxfId="1118" priority="74">
      <formula>R$22&lt;&gt;""</formula>
    </cfRule>
  </conditionalFormatting>
  <conditionalFormatting sqref="T36:T41">
    <cfRule type="expression" dxfId="1117" priority="73">
      <formula>T$22&lt;&gt;""</formula>
    </cfRule>
  </conditionalFormatting>
  <conditionalFormatting sqref="O49:O58">
    <cfRule type="expression" dxfId="1116" priority="72" stopIfTrue="1">
      <formula>N$22=""</formula>
    </cfRule>
  </conditionalFormatting>
  <conditionalFormatting sqref="Q49:Q58">
    <cfRule type="expression" dxfId="1115" priority="71" stopIfTrue="1">
      <formula>P$22=""</formula>
    </cfRule>
  </conditionalFormatting>
  <conditionalFormatting sqref="S49:S58">
    <cfRule type="expression" dxfId="1114" priority="70" stopIfTrue="1">
      <formula>R$22=""</formula>
    </cfRule>
  </conditionalFormatting>
  <conditionalFormatting sqref="U49:U58">
    <cfRule type="expression" dxfId="1113" priority="69" stopIfTrue="1">
      <formula>T$22=""</formula>
    </cfRule>
  </conditionalFormatting>
  <conditionalFormatting sqref="AA129:AA131 AA136:AA183">
    <cfRule type="expression" dxfId="1112" priority="68" stopIfTrue="1">
      <formula>B1</formula>
    </cfRule>
  </conditionalFormatting>
  <conditionalFormatting sqref="AA132:AA135">
    <cfRule type="expression" dxfId="1111" priority="67" stopIfTrue="1">
      <formula>B4</formula>
    </cfRule>
  </conditionalFormatting>
  <conditionalFormatting sqref="AA184">
    <cfRule type="expression" dxfId="1110" priority="65" stopIfTrue="1">
      <formula>B59</formula>
    </cfRule>
  </conditionalFormatting>
  <conditionalFormatting sqref="AA129:AA179">
    <cfRule type="expression" dxfId="1109" priority="64" stopIfTrue="1">
      <formula>OR($AF129&gt;0,$AI129)</formula>
    </cfRule>
  </conditionalFormatting>
  <conditionalFormatting sqref="V78:AA80">
    <cfRule type="containsText" dxfId="1108" priority="63" operator="containsText" text="FALTAN REQUISITOS">
      <formula>NOT(ISERROR(SEARCH("FALTAN REQUISITOS",V78)))</formula>
    </cfRule>
  </conditionalFormatting>
  <conditionalFormatting sqref="K190 M190 O190 Q190 S190 K194 M194 O194 Q194 S194">
    <cfRule type="cellIs" dxfId="1107" priority="25" stopIfTrue="1" operator="greaterThan">
      <formula>J190</formula>
    </cfRule>
  </conditionalFormatting>
  <conditionalFormatting sqref="M86 O86 Q86 S86 U86 M104 O104 Q104 S104 U104 M120 O120 Q120 S120 U120">
    <cfRule type="expression" dxfId="1106" priority="5218" stopIfTrue="1">
      <formula>M86&gt;L86</formula>
    </cfRule>
  </conditionalFormatting>
  <conditionalFormatting sqref="J190:K191">
    <cfRule type="expression" dxfId="1105" priority="634">
      <formula>$L$190&gt;0</formula>
    </cfRule>
  </conditionalFormatting>
  <conditionalFormatting sqref="L190:M191">
    <cfRule type="expression" dxfId="1104" priority="53">
      <formula>$N$190&gt;0</formula>
    </cfRule>
  </conditionalFormatting>
  <conditionalFormatting sqref="N190:O191">
    <cfRule type="expression" dxfId="1103" priority="52">
      <formula>$P$190&gt;0</formula>
    </cfRule>
  </conditionalFormatting>
  <conditionalFormatting sqref="P190:Q191">
    <cfRule type="expression" dxfId="1102" priority="27">
      <formula>$R$190&gt;0</formula>
    </cfRule>
  </conditionalFormatting>
  <conditionalFormatting sqref="N104:O105">
    <cfRule type="expression" dxfId="1101" priority="23" stopIfTrue="1">
      <formula>$P$104&gt;0</formula>
    </cfRule>
  </conditionalFormatting>
  <conditionalFormatting sqref="N120:O121">
    <cfRule type="expression" dxfId="1100" priority="96" stopIfTrue="1">
      <formula>$P$120&gt;0</formula>
    </cfRule>
  </conditionalFormatting>
  <conditionalFormatting sqref="V15:AA21">
    <cfRule type="expression" dxfId="1099" priority="7" stopIfTrue="1">
      <formula>NOT(MúltiplesCategorías)</formula>
    </cfRule>
  </conditionalFormatting>
  <conditionalFormatting sqref="X20:AA20">
    <cfRule type="expression" dxfId="1098" priority="9724" stopIfTrue="1">
      <formula>$V$20=$W$20</formula>
    </cfRule>
  </conditionalFormatting>
  <conditionalFormatting sqref="O9 O11 O13 O15">
    <cfRule type="expression" dxfId="1097" priority="9684" stopIfTrue="1">
      <formula>$O$7=0</formula>
    </cfRule>
  </conditionalFormatting>
  <conditionalFormatting sqref="O11 O13 O15">
    <cfRule type="expression" dxfId="1096" priority="9693" stopIfTrue="1">
      <formula>$O$9=0</formula>
    </cfRule>
  </conditionalFormatting>
  <conditionalFormatting sqref="O13 O15">
    <cfRule type="expression" dxfId="1095" priority="9701" stopIfTrue="1">
      <formula>$O$11=0</formula>
    </cfRule>
  </conditionalFormatting>
  <conditionalFormatting sqref="O15">
    <cfRule type="expression" dxfId="1094" priority="9709" stopIfTrue="1">
      <formula>$O$13=0</formula>
    </cfRule>
  </conditionalFormatting>
  <conditionalFormatting sqref="V18:AA21">
    <cfRule type="expression" dxfId="1093" priority="8" stopIfTrue="1">
      <formula>$V$20=0</formula>
    </cfRule>
  </conditionalFormatting>
  <conditionalFormatting sqref="O19:T19">
    <cfRule type="expression" dxfId="1092" priority="6">
      <formula>$AI$13</formula>
    </cfRule>
  </conditionalFormatting>
  <conditionalFormatting sqref="J194:K195">
    <cfRule type="expression" dxfId="1091" priority="4858">
      <formula>$L$194&gt;0</formula>
    </cfRule>
  </conditionalFormatting>
  <conditionalFormatting sqref="L194:M195">
    <cfRule type="expression" dxfId="1090" priority="4864">
      <formula>$N$194&gt;0</formula>
    </cfRule>
  </conditionalFormatting>
  <conditionalFormatting sqref="N194:O195">
    <cfRule type="expression" dxfId="1089" priority="4870">
      <formula>$P$194&gt;0</formula>
    </cfRule>
  </conditionalFormatting>
  <conditionalFormatting sqref="P194:Q195">
    <cfRule type="expression" dxfId="1088" priority="9689">
      <formula>$R$194&gt;0</formula>
    </cfRule>
  </conditionalFormatting>
  <conditionalFormatting sqref="G114:K119">
    <cfRule type="expression" dxfId="1087" priority="1">
      <formula>AH114</formula>
    </cfRule>
  </conditionalFormatting>
  <conditionalFormatting sqref="E114:E119">
    <cfRule type="expression" dxfId="1086" priority="9729">
      <formula>AG114</formula>
    </cfRule>
  </conditionalFormatting>
  <conditionalFormatting sqref="F114:F119">
    <cfRule type="expression" dxfId="1085"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INDIRECT(Tablas!$BG$850)</xm:f>
          </x14:formula1>
          <xm:sqref>U59:U77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9"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72" customWidth="1"/>
    <col min="44" max="44" width="5.7109375" style="579" customWidth="1"/>
    <col min="45" max="45" width="1.7109375" style="579" customWidth="1"/>
    <col min="46" max="46" width="2.5703125" style="21" customWidth="1"/>
    <col min="47" max="47" width="13.85546875" style="579" customWidth="1"/>
    <col min="48" max="48" width="15.5703125" style="579" customWidth="1"/>
    <col min="49" max="50" width="13.85546875" style="579" customWidth="1"/>
    <col min="51" max="51" width="21.28515625" style="579" customWidth="1"/>
    <col min="52" max="60" width="13.85546875" style="579" customWidth="1"/>
    <col min="61" max="16384" width="5.7109375" style="21"/>
  </cols>
  <sheetData>
    <row r="1" spans="1:60" ht="12" customHeight="1" thickBot="1" x14ac:dyDescent="0.25">
      <c r="A1" s="9"/>
      <c r="B1" s="1156"/>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6"/>
      <c r="AS1" s="1156"/>
      <c r="AT1" s="3044" t="s">
        <v>8741</v>
      </c>
      <c r="AU1" s="1737"/>
      <c r="AV1" s="1737"/>
      <c r="AW1" s="1737"/>
      <c r="AX1" s="1737"/>
      <c r="AY1" s="1737"/>
      <c r="AZ1" s="3078"/>
      <c r="BA1" s="1737"/>
      <c r="BB1" s="1737"/>
      <c r="BC1" s="1737"/>
      <c r="BD1" s="1737"/>
      <c r="BE1" s="1737"/>
      <c r="BF1" s="1737"/>
      <c r="BG1" s="1737"/>
      <c r="BH1" s="1737"/>
    </row>
    <row r="2" spans="1:60" ht="12" customHeight="1" thickBot="1" x14ac:dyDescent="0.25">
      <c r="A2" s="9"/>
      <c r="B2" s="1161"/>
      <c r="C2" s="1132"/>
      <c r="D2" s="1132"/>
      <c r="E2" s="1132"/>
      <c r="F2" s="1132"/>
      <c r="G2" s="1132"/>
      <c r="H2" s="1132"/>
      <c r="I2" s="1132"/>
      <c r="J2" s="1132"/>
      <c r="K2" s="1132"/>
      <c r="L2" s="1132"/>
      <c r="M2" s="1132"/>
      <c r="N2" s="1132"/>
      <c r="O2" s="1132"/>
      <c r="P2" s="1132"/>
      <c r="Q2" s="1132"/>
      <c r="R2" s="1132"/>
      <c r="S2" s="1132"/>
      <c r="T2" s="1132"/>
      <c r="U2" s="1132"/>
      <c r="V2" s="1132"/>
      <c r="W2" s="1132"/>
      <c r="X2" s="1133"/>
      <c r="Y2" s="9"/>
      <c r="Z2" s="9"/>
      <c r="AA2" s="1131"/>
      <c r="AB2" s="1132"/>
      <c r="AC2" s="1132"/>
      <c r="AD2" s="1132"/>
      <c r="AE2" s="1132"/>
      <c r="AF2" s="1132"/>
      <c r="AG2" s="1132"/>
      <c r="AH2" s="1132"/>
      <c r="AI2" s="1132"/>
      <c r="AJ2" s="1132"/>
      <c r="AK2" s="1132"/>
      <c r="AL2" s="1132"/>
      <c r="AM2" s="1132"/>
      <c r="AN2" s="1132"/>
      <c r="AO2" s="1132"/>
      <c r="AP2" s="1132"/>
      <c r="AQ2" s="1132"/>
      <c r="AR2" s="1200"/>
      <c r="AS2" s="1156"/>
      <c r="AT2" s="1737"/>
      <c r="AU2" s="1737"/>
      <c r="AV2" s="1737"/>
      <c r="AW2" s="1737"/>
      <c r="AX2" s="1737"/>
      <c r="AY2" s="1737"/>
      <c r="AZ2" s="3078"/>
      <c r="BA2" s="1737"/>
      <c r="BB2" s="1737"/>
      <c r="BC2" s="1737"/>
      <c r="BD2" s="1737"/>
      <c r="BE2" s="1737"/>
      <c r="BF2" s="1737"/>
      <c r="BG2" s="1737"/>
      <c r="BH2" s="1737"/>
    </row>
    <row r="3" spans="1:60" ht="12" customHeight="1" x14ac:dyDescent="0.2">
      <c r="A3" s="9"/>
      <c r="B3" s="1162"/>
      <c r="C3" s="4301" t="s">
        <v>10165</v>
      </c>
      <c r="D3" s="4302"/>
      <c r="E3" s="4302"/>
      <c r="F3" s="4302"/>
      <c r="G3" s="4302"/>
      <c r="H3" s="4302"/>
      <c r="I3" s="4302"/>
      <c r="J3" s="6"/>
      <c r="K3" s="6"/>
      <c r="L3" s="6"/>
      <c r="M3" s="6"/>
      <c r="N3" s="6"/>
      <c r="O3" s="6"/>
      <c r="P3" s="6"/>
      <c r="Q3" s="6"/>
      <c r="R3" s="6"/>
      <c r="S3" s="6"/>
      <c r="T3" s="6"/>
      <c r="U3" s="6"/>
      <c r="V3" s="6"/>
      <c r="W3" s="792"/>
      <c r="X3" s="1135"/>
      <c r="Y3" s="9"/>
      <c r="Z3" s="9"/>
      <c r="AA3" s="1134"/>
      <c r="AB3" s="4301" t="s">
        <v>10165</v>
      </c>
      <c r="AC3" s="4302"/>
      <c r="AD3" s="4302"/>
      <c r="AE3" s="4302"/>
      <c r="AF3" s="4302"/>
      <c r="AG3" s="4302"/>
      <c r="AH3" s="4302"/>
      <c r="AI3" s="6"/>
      <c r="AJ3" s="6"/>
      <c r="AK3" s="6"/>
      <c r="AL3" s="6"/>
      <c r="AM3" s="6"/>
      <c r="AN3" s="6"/>
      <c r="AO3" s="6"/>
      <c r="AP3" s="6"/>
      <c r="AQ3" s="7"/>
      <c r="AR3" s="1201"/>
      <c r="AS3" s="1156"/>
      <c r="AT3" s="1737"/>
      <c r="AU3" s="3055" t="s">
        <v>9951</v>
      </c>
      <c r="AV3" s="1737"/>
      <c r="AW3" s="1737"/>
      <c r="AX3" s="1737"/>
      <c r="AY3" s="1737"/>
      <c r="AZ3" s="1737"/>
      <c r="BA3" s="1737"/>
      <c r="BB3" s="1737"/>
      <c r="BC3" s="1737"/>
      <c r="BD3" s="1737"/>
      <c r="BE3" s="1737"/>
      <c r="BF3" s="1737"/>
      <c r="BG3" s="1737"/>
      <c r="BH3" s="1737"/>
    </row>
    <row r="4" spans="1:60" ht="12" customHeight="1" x14ac:dyDescent="0.2">
      <c r="A4" s="9"/>
      <c r="B4" s="1162"/>
      <c r="C4" s="4303"/>
      <c r="D4" s="4304"/>
      <c r="E4" s="4304"/>
      <c r="F4" s="4304"/>
      <c r="G4" s="4304"/>
      <c r="H4" s="4304"/>
      <c r="I4" s="4304"/>
      <c r="J4" s="9"/>
      <c r="K4" s="4249" t="s">
        <v>1323</v>
      </c>
      <c r="L4" s="4249"/>
      <c r="M4" s="4307" t="str">
        <f>IF(OR(General!$F$22="",General!$F$22=0),"",General!$F$22)</f>
        <v/>
      </c>
      <c r="N4" s="4307"/>
      <c r="O4" s="4307"/>
      <c r="P4" s="4307"/>
      <c r="Q4" s="4307"/>
      <c r="R4" s="2261"/>
      <c r="S4" s="2261"/>
      <c r="T4" s="2261"/>
      <c r="U4" s="2261"/>
      <c r="V4" s="790"/>
      <c r="W4" s="10"/>
      <c r="X4" s="1135"/>
      <c r="Y4" s="9"/>
      <c r="Z4" s="9"/>
      <c r="AA4" s="1134"/>
      <c r="AB4" s="4303"/>
      <c r="AC4" s="4304"/>
      <c r="AD4" s="4304"/>
      <c r="AE4" s="4304"/>
      <c r="AF4" s="4304"/>
      <c r="AG4" s="4304"/>
      <c r="AH4" s="4304"/>
      <c r="AI4" s="9"/>
      <c r="AJ4" s="4249" t="s">
        <v>1323</v>
      </c>
      <c r="AK4" s="4249"/>
      <c r="AL4" s="4307" t="str">
        <f>IF(OR(General!$F$22="",General!$F$22=0),"",General!$F$22)</f>
        <v/>
      </c>
      <c r="AM4" s="4307"/>
      <c r="AN4" s="4307"/>
      <c r="AO4" s="4307"/>
      <c r="AP4" s="4307"/>
      <c r="AQ4" s="10"/>
      <c r="AR4" s="1201"/>
      <c r="AS4" s="1156"/>
      <c r="AT4" s="1737"/>
      <c r="AU4" s="3055" t="s">
        <v>1972</v>
      </c>
      <c r="AV4" s="3055" t="s">
        <v>9952</v>
      </c>
      <c r="AW4" s="3055" t="s">
        <v>7287</v>
      </c>
      <c r="AX4" s="1737"/>
      <c r="AY4" s="3055" t="s">
        <v>2439</v>
      </c>
      <c r="AZ4" s="3055"/>
      <c r="BA4" s="1737"/>
      <c r="BB4" s="1737"/>
      <c r="BC4" s="1737"/>
      <c r="BD4" s="1737"/>
      <c r="BE4" s="1737"/>
      <c r="BF4" s="1737"/>
      <c r="BG4" s="1737"/>
      <c r="BH4" s="1737"/>
    </row>
    <row r="5" spans="1:60" ht="12" customHeight="1" x14ac:dyDescent="0.2">
      <c r="A5" s="9"/>
      <c r="B5" s="1162"/>
      <c r="C5" s="4303"/>
      <c r="D5" s="4304"/>
      <c r="E5" s="4304"/>
      <c r="F5" s="4304"/>
      <c r="G5" s="4304"/>
      <c r="H5" s="4304"/>
      <c r="I5" s="4304"/>
      <c r="J5" s="9"/>
      <c r="K5" s="4280" t="s">
        <v>1324</v>
      </c>
      <c r="L5" s="4280"/>
      <c r="M5" s="3140" t="str">
        <f>IF(LEN(PDs!$E$11)&lt;=General!$AO$5,PDs!$E$11,"… /"&amp;RIGHT(PDs!$E$11,General!$AO$5-FIND("/",RIGHT(PDs!$E$11,General!$AO$5))))</f>
        <v/>
      </c>
      <c r="N5" s="3140"/>
      <c r="O5" s="3140"/>
      <c r="P5" s="2259" t="s">
        <v>1325</v>
      </c>
      <c r="Q5" s="2251" t="str">
        <f>Principal!$O$6</f>
        <v>0</v>
      </c>
      <c r="R5" s="2262"/>
      <c r="S5" s="2262"/>
      <c r="T5" s="2259" t="s">
        <v>8744</v>
      </c>
      <c r="U5" s="2263" t="str">
        <f>IF(Arma_Desarrollada="","Ninguna",Arma_Desarrollada)</f>
        <v>Arpón</v>
      </c>
      <c r="V5" s="9"/>
      <c r="W5" s="11"/>
      <c r="X5" s="1135"/>
      <c r="Y5" s="9"/>
      <c r="Z5" s="9"/>
      <c r="AA5" s="1134"/>
      <c r="AB5" s="4303"/>
      <c r="AC5" s="4304"/>
      <c r="AD5" s="4304"/>
      <c r="AE5" s="4304"/>
      <c r="AF5" s="4304"/>
      <c r="AG5" s="4304"/>
      <c r="AH5" s="4304"/>
      <c r="AI5" s="9"/>
      <c r="AJ5" s="4280" t="s">
        <v>1324</v>
      </c>
      <c r="AK5" s="4280"/>
      <c r="AL5" s="3140" t="str">
        <f>IF(LEN(PDs!$E$11)&lt;=General!$AO$5,PDs!$E$11,"… /"&amp;RIGHT(PDs!$E$11,General!$AO$5-FIND("/",RIGHT(PDs!$E$11,General!$AO$5))))</f>
        <v/>
      </c>
      <c r="AM5" s="3140"/>
      <c r="AN5" s="3140"/>
      <c r="AO5" s="2259" t="s">
        <v>1325</v>
      </c>
      <c r="AP5" s="2251" t="str">
        <f>Principal!$O$6</f>
        <v>0</v>
      </c>
      <c r="AQ5" s="11"/>
      <c r="AR5" s="1201"/>
      <c r="AS5" s="1156"/>
      <c r="AT5" s="1737"/>
      <c r="AU5" s="3055">
        <f>IF(OR(Principal!$P$16="",Principal!$P$16&gt;4),0,IF(Principal!$P$16=0,-120,-10*2^(4-Principal!$P$16)))</f>
        <v>0</v>
      </c>
      <c r="AV5" s="3055">
        <f>IF(OR(Incansable,Ki!H59="-"),0,IF(Tablas!$G$533&gt;0,IF(OR(Tablas!$G$334&gt;0,Ki!$P$57="-"),1,2),IF(AND(Tablas!$G$334&gt;0,Ki!$P$57="-"),1/3,IF(OR(Tablas!$G$334&gt;0,Ki!$P$57="-"),1/2,1))))</f>
        <v>1</v>
      </c>
      <c r="AW5" s="3055">
        <f>TRUNC(AU5*AV5)</f>
        <v>0</v>
      </c>
      <c r="AX5" s="1737"/>
      <c r="AY5" s="3055">
        <f>IF(AND(Tablas!G535&gt;0,Principal!P11&lt;&gt;"",Principal!$P$11&lt;AY6/3),-30,0)</f>
        <v>0</v>
      </c>
      <c r="AZ5" s="3055"/>
      <c r="BA5" s="1737"/>
      <c r="BB5" s="1737"/>
      <c r="BC5" s="1737"/>
      <c r="BD5" s="1737"/>
      <c r="BE5" s="1737"/>
      <c r="BF5" s="1737"/>
      <c r="BG5" s="1737"/>
      <c r="BH5" s="1737"/>
    </row>
    <row r="6" spans="1:60" ht="12" customHeight="1" x14ac:dyDescent="0.2">
      <c r="A6" s="9"/>
      <c r="B6" s="1162"/>
      <c r="C6" s="4303"/>
      <c r="D6" s="4304"/>
      <c r="E6" s="4304"/>
      <c r="F6" s="4304"/>
      <c r="G6" s="4304"/>
      <c r="H6" s="4304"/>
      <c r="I6" s="4304"/>
      <c r="J6" s="9"/>
      <c r="K6" s="4309" t="s">
        <v>1546</v>
      </c>
      <c r="L6" s="4309"/>
      <c r="M6" s="4309"/>
      <c r="N6" s="4309"/>
      <c r="O6" s="4309"/>
      <c r="P6" s="4309"/>
      <c r="Q6" s="4309"/>
      <c r="R6" s="9"/>
      <c r="S6" s="9"/>
      <c r="T6" s="9"/>
      <c r="U6" s="4308"/>
      <c r="V6" s="4308"/>
      <c r="W6" s="11"/>
      <c r="X6" s="1135"/>
      <c r="Y6" s="9"/>
      <c r="Z6" s="9"/>
      <c r="AA6" s="1134"/>
      <c r="AB6" s="4303"/>
      <c r="AC6" s="4304"/>
      <c r="AD6" s="4304"/>
      <c r="AE6" s="4304"/>
      <c r="AF6" s="4304"/>
      <c r="AG6" s="4304"/>
      <c r="AH6" s="4304"/>
      <c r="AI6" s="9"/>
      <c r="AJ6" s="4309" t="s">
        <v>1547</v>
      </c>
      <c r="AK6" s="4309"/>
      <c r="AL6" s="4309"/>
      <c r="AM6" s="4309"/>
      <c r="AN6" s="4309"/>
      <c r="AO6" s="4309"/>
      <c r="AP6" s="4309"/>
      <c r="AQ6" s="11"/>
      <c r="AR6" s="1201"/>
      <c r="AS6" s="1156"/>
      <c r="AT6" s="1737"/>
      <c r="AU6" s="1737"/>
      <c r="AV6" s="1737"/>
      <c r="AW6" s="3809" t="s">
        <v>10000</v>
      </c>
      <c r="AX6" s="3809"/>
      <c r="AY6" s="1737">
        <f>20+Principal!AQ12*10+IF(Principal!AQ12&lt;1,0,VLOOKUP(Principal!AQ12,Tablas!$C$14:$D$33,2))+PDs!V188+IF(Acumulacion="Sí",PDs!T188*(PDs!K188+PDs!M188+PDs!O188+PDs!Q188+PDs!S188),PDs!T188*Principal!AQ12)+PDs!X188</f>
        <v>20</v>
      </c>
      <c r="AZ6" s="3078"/>
      <c r="BA6" s="1737"/>
      <c r="BB6" s="1737"/>
      <c r="BC6" s="1737"/>
      <c r="BD6" s="1737"/>
      <c r="BE6" s="1737"/>
      <c r="BF6" s="1737"/>
      <c r="BG6" s="1737"/>
      <c r="BH6" s="1737"/>
    </row>
    <row r="7" spans="1:60" ht="12" customHeight="1" x14ac:dyDescent="0.2">
      <c r="A7" s="9"/>
      <c r="B7" s="1162"/>
      <c r="C7" s="4303"/>
      <c r="D7" s="4304"/>
      <c r="E7" s="4304"/>
      <c r="F7" s="4304"/>
      <c r="G7" s="4304"/>
      <c r="H7" s="4304"/>
      <c r="I7" s="4304"/>
      <c r="J7" s="9"/>
      <c r="K7" s="4309"/>
      <c r="L7" s="4309"/>
      <c r="M7" s="4309"/>
      <c r="N7" s="4309"/>
      <c r="O7" s="4309"/>
      <c r="P7" s="4309"/>
      <c r="Q7" s="4309"/>
      <c r="R7" s="9"/>
      <c r="S7" s="9"/>
      <c r="T7" s="9"/>
      <c r="U7" s="4308"/>
      <c r="V7" s="4308"/>
      <c r="W7" s="11"/>
      <c r="X7" s="1135"/>
      <c r="Y7" s="9"/>
      <c r="Z7" s="9"/>
      <c r="AA7" s="1134"/>
      <c r="AB7" s="4303"/>
      <c r="AC7" s="4304"/>
      <c r="AD7" s="4304"/>
      <c r="AE7" s="4304"/>
      <c r="AF7" s="4304"/>
      <c r="AG7" s="4304"/>
      <c r="AH7" s="4304"/>
      <c r="AI7" s="9"/>
      <c r="AJ7" s="4309"/>
      <c r="AK7" s="4309"/>
      <c r="AL7" s="4309"/>
      <c r="AM7" s="4309"/>
      <c r="AN7" s="4309"/>
      <c r="AO7" s="4309"/>
      <c r="AP7" s="4309"/>
      <c r="AQ7" s="11"/>
      <c r="AR7" s="1201"/>
      <c r="AS7" s="1156"/>
      <c r="AT7" s="1737"/>
      <c r="AU7" s="1737"/>
      <c r="AV7" s="3044"/>
      <c r="AW7" s="3055" t="s">
        <v>10001</v>
      </c>
      <c r="AX7" s="3079"/>
      <c r="AY7" s="1737"/>
      <c r="AZ7" s="3078"/>
      <c r="BA7" s="1737"/>
      <c r="BB7" s="1737"/>
      <c r="BC7" s="1737"/>
      <c r="BD7" s="1737"/>
      <c r="BE7" s="1737"/>
      <c r="BF7" s="1737"/>
      <c r="BG7" s="1737"/>
      <c r="BH7" s="1737"/>
    </row>
    <row r="8" spans="1:60" ht="12" customHeight="1" thickBot="1" x14ac:dyDescent="0.25">
      <c r="A8" s="9"/>
      <c r="B8" s="1162"/>
      <c r="C8" s="4305"/>
      <c r="D8" s="4306"/>
      <c r="E8" s="4306"/>
      <c r="F8" s="4306"/>
      <c r="G8" s="4306"/>
      <c r="H8" s="4306"/>
      <c r="I8" s="4306"/>
      <c r="J8" s="12"/>
      <c r="K8" s="12"/>
      <c r="L8" s="12"/>
      <c r="M8" s="12"/>
      <c r="N8" s="12"/>
      <c r="O8" s="12"/>
      <c r="P8" s="12"/>
      <c r="Q8" s="12"/>
      <c r="R8" s="12"/>
      <c r="S8" s="12"/>
      <c r="T8" s="12"/>
      <c r="U8" s="12"/>
      <c r="V8" s="12"/>
      <c r="W8" s="1826" t="s">
        <v>9626</v>
      </c>
      <c r="X8" s="1135"/>
      <c r="Y8" s="9"/>
      <c r="Z8" s="9"/>
      <c r="AA8" s="1134"/>
      <c r="AB8" s="4305"/>
      <c r="AC8" s="4306"/>
      <c r="AD8" s="4306"/>
      <c r="AE8" s="4306"/>
      <c r="AF8" s="4306"/>
      <c r="AG8" s="4306"/>
      <c r="AH8" s="4306"/>
      <c r="AI8" s="12"/>
      <c r="AJ8" s="12"/>
      <c r="AK8" s="12"/>
      <c r="AL8" s="12"/>
      <c r="AM8" s="12"/>
      <c r="AN8" s="12"/>
      <c r="AO8" s="12"/>
      <c r="AP8" s="12"/>
      <c r="AQ8" s="13"/>
      <c r="AR8" s="1201"/>
      <c r="AS8" s="1156"/>
      <c r="AT8" s="1737"/>
      <c r="AU8" s="1737"/>
      <c r="AV8" s="1737"/>
      <c r="AW8" s="1737"/>
      <c r="AX8" s="1737"/>
      <c r="AY8" s="1737"/>
      <c r="AZ8" s="3078"/>
      <c r="BA8" s="1737"/>
      <c r="BB8" s="1737"/>
      <c r="BC8" s="1737"/>
      <c r="BD8" s="1737"/>
      <c r="BE8" s="1737"/>
      <c r="BF8" s="1737"/>
      <c r="BG8" s="1737"/>
      <c r="BH8" s="1737"/>
    </row>
    <row r="9" spans="1:60" ht="12" customHeight="1" thickBot="1" x14ac:dyDescent="0.25">
      <c r="A9" s="9"/>
      <c r="B9" s="1162"/>
      <c r="C9" s="34"/>
      <c r="D9" s="34"/>
      <c r="E9" s="34"/>
      <c r="F9" s="34"/>
      <c r="G9" s="34"/>
      <c r="H9" s="34"/>
      <c r="I9" s="34"/>
      <c r="J9" s="34"/>
      <c r="K9" s="34"/>
      <c r="L9" s="34"/>
      <c r="M9" s="34"/>
      <c r="N9" s="34"/>
      <c r="O9" s="34"/>
      <c r="P9" s="34"/>
      <c r="Q9" s="34"/>
      <c r="R9" s="34"/>
      <c r="S9" s="34"/>
      <c r="T9" s="34"/>
      <c r="U9" s="34"/>
      <c r="X9" s="1135"/>
      <c r="Y9" s="9"/>
      <c r="Z9" s="9"/>
      <c r="AA9" s="1134"/>
      <c r="AB9" s="34"/>
      <c r="AC9" s="34"/>
      <c r="AD9" s="34"/>
      <c r="AE9" s="34"/>
      <c r="AF9" s="34"/>
      <c r="AG9" s="34"/>
      <c r="AH9" s="34"/>
      <c r="AI9" s="34"/>
      <c r="AJ9" s="34"/>
      <c r="AK9" s="34"/>
      <c r="AL9" s="34"/>
      <c r="AM9" s="34"/>
      <c r="AN9" s="34"/>
      <c r="AO9" s="34"/>
      <c r="AP9" s="34"/>
      <c r="AQ9" s="34"/>
      <c r="AR9" s="1201"/>
      <c r="AS9" s="1156"/>
      <c r="AT9" s="1737"/>
      <c r="AU9" s="1737"/>
      <c r="AV9" s="1737"/>
      <c r="AW9" s="3080" t="s">
        <v>7225</v>
      </c>
      <c r="AX9" s="3080"/>
      <c r="AY9" s="3080">
        <f t="shared" ref="AY9:BE9" si="0">IF(AY12&gt;AY13,AY12+TRUNC(AY13/2),AY13+TRUNC(AY12/2))+TRUNC(AY14/2)</f>
        <v>0</v>
      </c>
      <c r="AZ9" s="3080">
        <f t="shared" si="0"/>
        <v>0</v>
      </c>
      <c r="BA9" s="3080">
        <f t="shared" si="0"/>
        <v>0</v>
      </c>
      <c r="BB9" s="3080">
        <f t="shared" si="0"/>
        <v>0</v>
      </c>
      <c r="BC9" s="3080">
        <f t="shared" si="0"/>
        <v>0</v>
      </c>
      <c r="BD9" s="3080">
        <f t="shared" si="0"/>
        <v>0</v>
      </c>
      <c r="BE9" s="3080">
        <f t="shared" si="0"/>
        <v>0</v>
      </c>
      <c r="BF9" s="1737"/>
      <c r="BG9" s="1737"/>
      <c r="BH9" s="1737"/>
    </row>
    <row r="10" spans="1:60" ht="12" customHeight="1" thickBot="1" x14ac:dyDescent="0.25">
      <c r="A10" s="9"/>
      <c r="B10" s="1162"/>
      <c r="C10" s="4282" t="s">
        <v>1548</v>
      </c>
      <c r="D10" s="4283"/>
      <c r="E10" s="4283"/>
      <c r="F10" s="4283"/>
      <c r="G10" s="4283"/>
      <c r="H10" s="4283"/>
      <c r="I10" s="4283"/>
      <c r="J10" s="4283"/>
      <c r="K10" s="4283"/>
      <c r="L10" s="4283"/>
      <c r="M10" s="4283"/>
      <c r="N10" s="4283"/>
      <c r="O10" s="4283"/>
      <c r="P10" s="4283"/>
      <c r="Q10" s="4283"/>
      <c r="R10" s="4283"/>
      <c r="S10" s="4284"/>
      <c r="U10" s="3307" t="s">
        <v>8680</v>
      </c>
      <c r="V10" s="3308"/>
      <c r="W10" s="3309"/>
      <c r="X10" s="1135"/>
      <c r="Y10" s="9"/>
      <c r="Z10" s="9"/>
      <c r="AA10" s="1134"/>
      <c r="AB10" s="4298" t="s">
        <v>1398</v>
      </c>
      <c r="AC10" s="4339" t="s">
        <v>9294</v>
      </c>
      <c r="AD10" s="4340"/>
      <c r="AE10" s="4356" t="s">
        <v>9295</v>
      </c>
      <c r="AF10" s="4357"/>
      <c r="AG10" s="579"/>
      <c r="AH10" s="3631" t="s">
        <v>1502</v>
      </c>
      <c r="AI10" s="3631"/>
      <c r="AJ10" s="3631"/>
      <c r="AK10" s="3631"/>
      <c r="AL10" s="4328" t="s">
        <v>1549</v>
      </c>
      <c r="AM10" s="4328"/>
      <c r="AN10" s="4328"/>
      <c r="AO10" s="4328"/>
      <c r="AP10" s="4328"/>
      <c r="AQ10" s="4328"/>
      <c r="AR10" s="1201"/>
      <c r="AS10" s="1156"/>
      <c r="AT10" s="3078"/>
      <c r="AU10" s="3078"/>
      <c r="AV10" s="1737"/>
      <c r="AW10" s="3080" t="s">
        <v>1560</v>
      </c>
      <c r="AX10" s="3078"/>
      <c r="AY10" s="3078">
        <f t="array" ref="AY10">IF(AY17&gt;LARGE(IF($AX$17:$AX$27="Natural",AY$17:AY$27,0),1),AY17+TRUNC(LARGE(IF($AX$17:$AX$27="Natural",AY$17:AY$27,0),1)/2),LARGE(IF($AX$17:$AX$27="Natural",AY$17:AY$27,0),1)+TRUNC(AY17/2))+TRUNC(LARGE(IF($AX$17:$AX$27="Natural",AY$17:AY$27,0),2)/2)</f>
        <v>0</v>
      </c>
      <c r="AZ10" s="3078">
        <f t="array" ref="AZ10">IF(AZ17&gt;LARGE(IF($AX$17:$AX$27="Natural",AZ$17:AZ$27,0),1),AZ17+TRUNC(LARGE(IF($AX$17:$AX$27="Natural",AZ$17:AZ$27,0),1)/2),LARGE(IF($AX$17:$AX$27="Natural",AZ$17:AZ$27,0),1)+TRUNC(AZ17/2))+TRUNC(LARGE(IF($AX$17:$AX$27="Natural",AZ$17:AZ$27,0),2)/2)</f>
        <v>0</v>
      </c>
      <c r="BA10" s="3078">
        <f t="array" ref="BA10">IF(BA17&gt;LARGE(IF($AX$17:$AX$27="Natural",BA$17:BA$27,0),1),BA17+TRUNC(LARGE(IF($AX$17:$AX$27="Natural",BA$17:BA$27,0),1)/2),LARGE(IF($AX$17:$AX$27="Natural",BA$17:BA$27,0),1)+TRUNC(BA17/2))+TRUNC(LARGE(IF($AX$17:$AX$27="Natural",BA$17:BA$27,0),2)/2)</f>
        <v>0</v>
      </c>
      <c r="BB10" s="3078">
        <f t="array" ref="BB10">IF(BB17&gt;LARGE(IF($AX$17:$AX$27="Natural",BB$17:BB$27,0),1),BB17+TRUNC(LARGE(IF($AX$17:$AX$27="Natural",BB$17:BB$27,0),1)/2),LARGE(IF($AX$17:$AX$27="Natural",BB$17:BB$27,0),1)+TRUNC(BB17/2))+TRUNC(LARGE(IF($AX$17:$AX$27="Natural",BB$17:BB$27,0),2)/2)</f>
        <v>0</v>
      </c>
      <c r="BC10" s="3078">
        <f t="array" ref="BC10">IF(BC17&gt;LARGE(IF($AX$17:$AX$27="Natural",BC$17:BC$27,0),1),BC17+TRUNC(LARGE(IF($AX$17:$AX$27="Natural",BC$17:BC$27,0),1)/2),LARGE(IF($AX$17:$AX$27="Natural",BC$17:BC$27,0),1)+TRUNC(BC17/2))+TRUNC(LARGE(IF($AX$17:$AX$27="Natural",BC$17:BC$27,0),2)/2)</f>
        <v>0</v>
      </c>
      <c r="BD10" s="3078">
        <f t="array" ref="BD10">IF(BD17&gt;LARGE(IF($AX$17:$AX$27="Natural",BD$17:BD$27,0),1),BD17+TRUNC(LARGE(IF($AX$17:$AX$27="Natural",BD$17:BD$27,0),1)/2),LARGE(IF($AX$17:$AX$27="Natural",BD$17:BD$27,0),1)+TRUNC(BD17/2))+TRUNC(LARGE(IF($AX$17:$AX$27="Natural",BD$17:BD$27,0),2)/2)</f>
        <v>0</v>
      </c>
      <c r="BE10" s="3078">
        <f t="array" ref="BE10">IF(BE17&gt;LARGE(IF($AX$17:$AX$27="Natural",BE$17:BE$27,0),1),BE17+TRUNC(LARGE(IF($AX$17:$AX$27="Natural",BE$17:BE$27,0),1)/2),LARGE(IF($AX$17:$AX$27="Natural",BE$17:BE$27,0),1)+TRUNC(BE17/2))+TRUNC(LARGE(IF($AX$17:$AX$27="Natural",BE$17:BE$27,0),2)/2)</f>
        <v>0</v>
      </c>
      <c r="BF10" s="1737"/>
      <c r="BG10" s="1737"/>
      <c r="BH10" s="1737"/>
    </row>
    <row r="11" spans="1:60" ht="12" customHeight="1" thickBot="1" x14ac:dyDescent="0.25">
      <c r="A11" s="9"/>
      <c r="B11" s="1162"/>
      <c r="C11" s="4287" t="s">
        <v>1548</v>
      </c>
      <c r="D11" s="4288"/>
      <c r="E11" s="4288"/>
      <c r="F11" s="4289" t="s">
        <v>1328</v>
      </c>
      <c r="G11" s="4289"/>
      <c r="H11" s="1785" t="s">
        <v>1550</v>
      </c>
      <c r="I11" s="1786" t="s">
        <v>1551</v>
      </c>
      <c r="J11" s="1787" t="s">
        <v>1498</v>
      </c>
      <c r="K11" s="1787" t="s">
        <v>1552</v>
      </c>
      <c r="L11" s="1787" t="s">
        <v>1553</v>
      </c>
      <c r="M11" s="1787" t="s">
        <v>1554</v>
      </c>
      <c r="N11" s="1787" t="s">
        <v>1555</v>
      </c>
      <c r="O11" s="1787" t="s">
        <v>1556</v>
      </c>
      <c r="P11" s="1786" t="s">
        <v>1557</v>
      </c>
      <c r="Q11" s="1787" t="s">
        <v>1558</v>
      </c>
      <c r="R11" s="1788" t="s">
        <v>1559</v>
      </c>
      <c r="S11" s="1789" t="s">
        <v>6968</v>
      </c>
      <c r="U11" s="1462" t="s">
        <v>1566</v>
      </c>
      <c r="V11" s="1723" t="s">
        <v>1567</v>
      </c>
      <c r="W11" s="1516" t="s">
        <v>7287</v>
      </c>
      <c r="X11" s="581"/>
      <c r="Y11" s="9"/>
      <c r="Z11" s="9"/>
      <c r="AA11" s="1134"/>
      <c r="AB11" s="4299"/>
      <c r="AC11" s="4341"/>
      <c r="AD11" s="4342"/>
      <c r="AE11" s="4358"/>
      <c r="AF11" s="4359"/>
      <c r="AH11" s="4211" t="str">
        <f>IF(PDs!$E43=0,"",PDs!$E43)</f>
        <v/>
      </c>
      <c r="AI11" s="4211"/>
      <c r="AJ11" s="4211"/>
      <c r="AK11" s="4211"/>
      <c r="AL11" s="4355" t="str">
        <f>IF(PDs!$AD43=0,"",PDs!$V43&amp;" ")&amp;IF(PDs!$AD43=0,"",IF(PDs!$Y43=0,"",PDs!$Y43))</f>
        <v xml:space="preserve"> </v>
      </c>
      <c r="AM11" s="4355"/>
      <c r="AN11" s="4355"/>
      <c r="AO11" s="4355"/>
      <c r="AP11" s="4355"/>
      <c r="AQ11" s="4355"/>
      <c r="AR11" s="1201"/>
      <c r="AS11" s="1156"/>
      <c r="AT11" s="3078"/>
      <c r="AU11" s="3078"/>
      <c r="AV11" s="1737"/>
      <c r="AW11" s="1737"/>
      <c r="AX11" s="1737"/>
      <c r="AY11" s="1737"/>
      <c r="AZ11" s="1737"/>
      <c r="BA11" s="1737"/>
      <c r="BB11" s="1737"/>
      <c r="BC11" s="1737"/>
      <c r="BD11" s="1737"/>
      <c r="BE11" s="1737"/>
      <c r="BF11" s="1737"/>
      <c r="BG11" s="1737"/>
      <c r="BH11" s="1737"/>
    </row>
    <row r="12" spans="1:60" ht="12" customHeight="1" thickBot="1" x14ac:dyDescent="0.25">
      <c r="A12" s="9"/>
      <c r="B12" s="1162"/>
      <c r="C12" s="4294"/>
      <c r="D12" s="4295"/>
      <c r="E12" s="4295"/>
      <c r="F12" s="4296" t="str">
        <f>IF(C12=0,"",VLOOKUP(C12,Tabla_Armaduras,7,FALSE))</f>
        <v/>
      </c>
      <c r="G12" s="4297"/>
      <c r="H12" s="1485"/>
      <c r="I12" s="1472">
        <f>IF(C12=0,0,H12/5+VLOOKUP($C12,Tabla_Armaduras,9,FALSE))</f>
        <v>0</v>
      </c>
      <c r="J12" s="1472">
        <f>IF(C12=0,0,H12/5+VLOOKUP($C12,Tabla_Armaduras,10,FALSE))</f>
        <v>0</v>
      </c>
      <c r="K12" s="1472">
        <f>IF(C12=0,0,H12/5+VLOOKUP($C12,Tabla_Armaduras,11,FALSE))</f>
        <v>0</v>
      </c>
      <c r="L12" s="1472">
        <f>IF(C12=0,0,H12/5+VLOOKUP($C12,Tabla_Armaduras,12,FALSE))</f>
        <v>0</v>
      </c>
      <c r="M12" s="1472">
        <f>IF(C12=0,0,H12/5+VLOOKUP($C12,Tabla_Armaduras,13,FALSE))</f>
        <v>0</v>
      </c>
      <c r="N12" s="1472">
        <f>IF(C12=0,0,H12/5+VLOOKUP($C12,Tabla_Armaduras,14,FALSE))</f>
        <v>0</v>
      </c>
      <c r="O12" s="1472">
        <f>IF(C12=0,0,IF(S12="Sí",H12/5,0)+VLOOKUP($C12,Tabla_Armaduras,15,FALSE))</f>
        <v>0</v>
      </c>
      <c r="P12" s="1768">
        <f>IF(C12=0,0,IF(Extensióndelauraalarma,10,0)+H12+VLOOKUP(C12,Tabla_Armaduras,5,FALSE))</f>
        <v>0</v>
      </c>
      <c r="Q12" s="1472">
        <f>IF(C12=0,0,H12*10+VLOOKUP(C12,Tabla_Armaduras,6,FALSE))</f>
        <v>0</v>
      </c>
      <c r="R12" s="1472">
        <f>IF(C12=0,0,MAX(VLOOKUP(C12,Tabla_Armaduras,4,FALSE)-H12/5,0))</f>
        <v>0</v>
      </c>
      <c r="S12" s="1519"/>
      <c r="U12" s="4237"/>
      <c r="V12" s="4239"/>
      <c r="W12" s="4285">
        <f>_xlfn.CEILING.MATH(U12/10,1)*V12/10</f>
        <v>0</v>
      </c>
      <c r="X12" s="581"/>
      <c r="Y12" s="9"/>
      <c r="Z12" s="9"/>
      <c r="AA12" s="1134"/>
      <c r="AB12" s="4299"/>
      <c r="AC12" s="4310" t="s">
        <v>9296</v>
      </c>
      <c r="AD12" s="4311"/>
      <c r="AE12" s="4310" t="s">
        <v>9297</v>
      </c>
      <c r="AF12" s="4360"/>
      <c r="AH12" s="4185" t="str">
        <f>IF(PDs!$E44=0,"",PDs!$E44)</f>
        <v/>
      </c>
      <c r="AI12" s="4185"/>
      <c r="AJ12" s="4185"/>
      <c r="AK12" s="4185"/>
      <c r="AL12" s="4281" t="str">
        <f>IF(PDs!$AD44=0,"",PDs!$V44&amp;" ")&amp;IF(PDs!$AD44=0,"",IF(PDs!$Y44=0,"",PDs!$Y44))</f>
        <v xml:space="preserve"> </v>
      </c>
      <c r="AM12" s="4281"/>
      <c r="AN12" s="4281"/>
      <c r="AO12" s="4281"/>
      <c r="AP12" s="4281"/>
      <c r="AQ12" s="4281"/>
      <c r="AR12" s="1201"/>
      <c r="AS12" s="1156"/>
      <c r="AT12" s="3078"/>
      <c r="AU12" s="3078"/>
      <c r="AV12" s="1737"/>
      <c r="AW12" s="3080" t="s">
        <v>9627</v>
      </c>
      <c r="AX12" s="3080"/>
      <c r="AY12" s="3078">
        <f t="array" ref="AY12">LARGE(IF($AX$18:$AX$27="Dura",AY$18:AY$27,0),1)</f>
        <v>0</v>
      </c>
      <c r="AZ12" s="3078">
        <f t="array" ref="AZ12">LARGE(IF($AX$18:$AX$27="Dura",AZ$18:AZ$27,0),1)</f>
        <v>0</v>
      </c>
      <c r="BA12" s="3078">
        <f t="array" ref="BA12">LARGE(IF($AX$18:$AX$27="Dura",BA$18:BA$27,0),1)</f>
        <v>0</v>
      </c>
      <c r="BB12" s="3078">
        <f t="array" ref="BB12">LARGE(IF($AX$18:$AX$27="Dura",BB$18:BB$27,0),1)</f>
        <v>0</v>
      </c>
      <c r="BC12" s="3078">
        <f t="array" ref="BC12">LARGE(IF($AX$18:$AX$27="Dura",BC$18:BC$27,0),1)</f>
        <v>0</v>
      </c>
      <c r="BD12" s="3078">
        <f t="array" ref="BD12">LARGE(IF($AX$18:$AX$27="Dura",BD$18:BD$27,0),1)</f>
        <v>0</v>
      </c>
      <c r="BE12" s="3078">
        <f t="array" ref="BE12">LARGE(IF($AX$18:$AX$27="Dura",BE$18:BE$27,0),1)</f>
        <v>0</v>
      </c>
      <c r="BF12" s="1737"/>
      <c r="BG12" s="1737"/>
      <c r="BH12" s="1737"/>
    </row>
    <row r="13" spans="1:60" ht="12" customHeight="1" thickBot="1" x14ac:dyDescent="0.25">
      <c r="A13" s="9"/>
      <c r="B13" s="1162"/>
      <c r="C13" s="4290"/>
      <c r="D13" s="4291"/>
      <c r="E13" s="4291"/>
      <c r="F13" s="4292" t="str">
        <f>IF(C13=0,"",VLOOKUP(C13,Tabla_Armaduras,7,FALSE))</f>
        <v/>
      </c>
      <c r="G13" s="4293"/>
      <c r="H13" s="2246"/>
      <c r="I13" s="1472">
        <f>IF(C13=0,0,H13/5+VLOOKUP($C13,Tabla_Armaduras,9,FALSE))</f>
        <v>0</v>
      </c>
      <c r="J13" s="1472">
        <f>IF(C13=0,0,H13/5+VLOOKUP($C13,Tabla_Armaduras,10,FALSE))</f>
        <v>0</v>
      </c>
      <c r="K13" s="1472">
        <f>IF(C13=0,0,H13/5+VLOOKUP($C13,Tabla_Armaduras,11,FALSE))</f>
        <v>0</v>
      </c>
      <c r="L13" s="1472">
        <f>IF(C13=0,0,H13/5+VLOOKUP($C13,Tabla_Armaduras,12,FALSE))</f>
        <v>0</v>
      </c>
      <c r="M13" s="1472">
        <f>IF(C13=0,0,H13/5+VLOOKUP($C13,Tabla_Armaduras,13,FALSE))</f>
        <v>0</v>
      </c>
      <c r="N13" s="1472">
        <f>IF(C13=0,0,H13/5+VLOOKUP($C13,Tabla_Armaduras,14,FALSE))</f>
        <v>0</v>
      </c>
      <c r="O13" s="1472">
        <f>IF(C13=0,0,IF(S13="Sí",H13/5,0)+VLOOKUP($C13,Tabla_Armaduras,15,FALSE))</f>
        <v>0</v>
      </c>
      <c r="P13" s="1768">
        <f>IF(C13=0,0,IF(Extensióndelauraalarma,10,0)+H13+VLOOKUP(C13,Tabla_Armaduras,5,FALSE))</f>
        <v>0</v>
      </c>
      <c r="Q13" s="1472">
        <f>IF(C13=0,0,H13*10+VLOOKUP(C13,Tabla_Armaduras,6,FALSE))</f>
        <v>0</v>
      </c>
      <c r="R13" s="1472">
        <f>IF(C13=0,0,MAX(VLOOKUP(C13,Tabla_Armaduras,4,FALSE)-H13/5,0))</f>
        <v>0</v>
      </c>
      <c r="S13" s="1520"/>
      <c r="U13" s="4237"/>
      <c r="V13" s="4239"/>
      <c r="W13" s="4286"/>
      <c r="X13" s="581"/>
      <c r="Y13" s="9"/>
      <c r="Z13" s="9"/>
      <c r="AA13" s="1134"/>
      <c r="AB13" s="4299"/>
      <c r="AC13" s="4310"/>
      <c r="AD13" s="4311"/>
      <c r="AE13" s="4310"/>
      <c r="AF13" s="4360"/>
      <c r="AH13" s="4185" t="str">
        <f>IF(PDs!$E45=0,"",PDs!$E45)</f>
        <v/>
      </c>
      <c r="AI13" s="4185"/>
      <c r="AJ13" s="4185"/>
      <c r="AK13" s="4185"/>
      <c r="AL13" s="4281" t="str">
        <f>IF(PDs!$AD45=0,"",PDs!$V45&amp;" ")&amp;IF(PDs!$AD45=0,"",IF(PDs!$Y45=0,"",PDs!$Y45))</f>
        <v xml:space="preserve"> </v>
      </c>
      <c r="AM13" s="4281"/>
      <c r="AN13" s="4281"/>
      <c r="AO13" s="4281"/>
      <c r="AP13" s="4281"/>
      <c r="AQ13" s="4281"/>
      <c r="AR13" s="1201"/>
      <c r="AS13" s="1156"/>
      <c r="AT13" s="3078"/>
      <c r="AU13" s="3078"/>
      <c r="AV13" s="1737"/>
      <c r="AW13" s="3080" t="s">
        <v>9630</v>
      </c>
      <c r="AX13" s="3080"/>
      <c r="AY13" s="3078">
        <f t="array" ref="AY13">LARGE(IF($AX$18:$AX$27&lt;&gt;"Dura",AY$18:AY$27,0),1)</f>
        <v>0</v>
      </c>
      <c r="AZ13" s="3078">
        <f t="array" ref="AZ13">LARGE(IF($AX$18:$AX$27&lt;&gt;"Dura",AZ$18:AZ$27,0),1)</f>
        <v>0</v>
      </c>
      <c r="BA13" s="3078">
        <f t="array" ref="BA13">LARGE(IF($AX$18:$AX$27&lt;&gt;"Dura",BA$18:BA$27,0),1)</f>
        <v>0</v>
      </c>
      <c r="BB13" s="3078">
        <f t="array" ref="BB13">LARGE(IF($AX$18:$AX$27&lt;&gt;"Dura",BB$18:BB$27,0),1)</f>
        <v>0</v>
      </c>
      <c r="BC13" s="3078">
        <f t="array" ref="BC13">LARGE(IF($AX$18:$AX$27&lt;&gt;"Dura",BC$18:BC$27,0),1)</f>
        <v>0</v>
      </c>
      <c r="BD13" s="3078">
        <f t="array" ref="BD13">LARGE(IF($AX$18:$AX$27&lt;&gt;"Dura",BD$18:BD$27,0),1)</f>
        <v>0</v>
      </c>
      <c r="BE13" s="3078">
        <f t="array" ref="BE13">LARGE(IF($AX$18:$AX$27&lt;&gt;"Dura",BE$18:BE$27,0),1)</f>
        <v>0</v>
      </c>
      <c r="BF13" s="1737"/>
      <c r="BG13" s="1737"/>
      <c r="BH13" s="1737"/>
    </row>
    <row r="14" spans="1:60" ht="12" customHeight="1" thickBot="1" x14ac:dyDescent="0.25">
      <c r="A14" s="9"/>
      <c r="B14" s="1162"/>
      <c r="C14" s="4247"/>
      <c r="D14" s="4248"/>
      <c r="E14" s="4248"/>
      <c r="F14" s="4236" t="str">
        <f>IF(C14=0,"",VLOOKUP(C14,Tabla_Armaduras,7,FALSE))</f>
        <v/>
      </c>
      <c r="G14" s="4236"/>
      <c r="H14" s="1488"/>
      <c r="I14" s="79">
        <f>IF(C14=0,0,H14/5+VLOOKUP($C14,Tabla_Armaduras,9,FALSE))</f>
        <v>0</v>
      </c>
      <c r="J14" s="1478">
        <f>IF(C14=0,0,H14/5+VLOOKUP($C14,Tabla_Armaduras,10,FALSE))</f>
        <v>0</v>
      </c>
      <c r="K14" s="1478">
        <f>IF(C14=0,0,H14/5+VLOOKUP($C14,Tabla_Armaduras,11,FALSE))</f>
        <v>0</v>
      </c>
      <c r="L14" s="1478">
        <f>IF(C14=0,0,H14/5+VLOOKUP($C14,Tabla_Armaduras,12,FALSE))</f>
        <v>0</v>
      </c>
      <c r="M14" s="1478">
        <f>IF(C14=0,0,H14/5+VLOOKUP($C14,Tabla_Armaduras,13,FALSE))</f>
        <v>0</v>
      </c>
      <c r="N14" s="1478">
        <f>IF(C14=0,0,H14/5+VLOOKUP($C14,Tabla_Armaduras,14,FALSE))</f>
        <v>0</v>
      </c>
      <c r="O14" s="41">
        <f>IF(C14=0,0,IF(S14="Sí",H14/5,0)+VLOOKUP($C14,Tabla_Armaduras,15,FALSE))</f>
        <v>0</v>
      </c>
      <c r="P14" s="79">
        <f>IF(C14=0,0,IF(Extensióndelauraalarma,10,0)+H14+VLOOKUP(C14,Tabla_Armaduras,5,FALSE))</f>
        <v>0</v>
      </c>
      <c r="Q14" s="1478">
        <f>IF(C14=0,0,H14*10+VLOOKUP(C14,Tabla_Armaduras,6,FALSE))</f>
        <v>0</v>
      </c>
      <c r="R14" s="1478">
        <f>IF(C14=0,0,MAX(VLOOKUP(C14,Tabla_Armaduras,4,FALSE)-H14/5,0))</f>
        <v>0</v>
      </c>
      <c r="S14" s="1521"/>
      <c r="U14" s="4237"/>
      <c r="V14" s="4239"/>
      <c r="W14" s="4285">
        <f t="shared" ref="W14" si="1">_xlfn.CEILING.MATH(U14/10,1)*V14/10</f>
        <v>0</v>
      </c>
      <c r="X14" s="581"/>
      <c r="Y14" s="9"/>
      <c r="Z14" s="9"/>
      <c r="AA14" s="1134"/>
      <c r="AB14" s="4299"/>
      <c r="AC14" s="1980" t="s">
        <v>1418</v>
      </c>
      <c r="AD14" s="2199"/>
      <c r="AE14" s="1980" t="s">
        <v>1418</v>
      </c>
      <c r="AF14" s="2305"/>
      <c r="AH14" s="4185" t="str">
        <f>IF(PDs!$E46=0,"",PDs!$E46)</f>
        <v/>
      </c>
      <c r="AI14" s="4185"/>
      <c r="AJ14" s="4185"/>
      <c r="AK14" s="4185"/>
      <c r="AL14" s="4281" t="str">
        <f>IF(PDs!$AD46=0,"",PDs!$V46&amp;" ")&amp;IF(PDs!$AD46=0,"",IF(PDs!$Y46=0,"",PDs!$Y46))</f>
        <v xml:space="preserve"> </v>
      </c>
      <c r="AM14" s="4281"/>
      <c r="AN14" s="4281"/>
      <c r="AO14" s="4281"/>
      <c r="AP14" s="4281"/>
      <c r="AQ14" s="4281"/>
      <c r="AR14" s="1201"/>
      <c r="AS14" s="1156"/>
      <c r="AT14" s="3078"/>
      <c r="AU14" s="3078"/>
      <c r="AV14" s="1737"/>
      <c r="AW14" s="3080" t="s">
        <v>9629</v>
      </c>
      <c r="AX14" s="3080"/>
      <c r="AY14" s="3078">
        <f t="array" ref="AY14">LARGE(IF($AX$18:$AX$27&lt;&gt;"Dura",AY$18:AY$27,0),2)</f>
        <v>0</v>
      </c>
      <c r="AZ14" s="3078">
        <f t="array" ref="AZ14">LARGE(IF($AX$18:$AX$27&lt;&gt;"Dura",AZ$18:AZ$27,0),2)</f>
        <v>0</v>
      </c>
      <c r="BA14" s="3078">
        <f t="array" ref="BA14">LARGE(IF($AX$18:$AX$27&lt;&gt;"Dura",BA$18:BA$27,0),2)</f>
        <v>0</v>
      </c>
      <c r="BB14" s="3078">
        <f t="array" ref="BB14">LARGE(IF($AX$18:$AX$27&lt;&gt;"Dura",BB$18:BB$27,0),2)</f>
        <v>0</v>
      </c>
      <c r="BC14" s="3078">
        <f t="array" ref="BC14">LARGE(IF($AX$18:$AX$27&lt;&gt;"Dura",BC$18:BC$27,0),2)</f>
        <v>0</v>
      </c>
      <c r="BD14" s="3078">
        <f t="array" ref="BD14">LARGE(IF($AX$18:$AX$27&lt;&gt;"Dura",BD$18:BD$27,0),2)</f>
        <v>0</v>
      </c>
      <c r="BE14" s="3078">
        <f t="array" ref="BE14">LARGE(IF($AX$18:$AX$27&lt;&gt;"Dura",BE$18:BE$27,0),2)</f>
        <v>0</v>
      </c>
      <c r="BF14" s="1737"/>
      <c r="BG14" s="1737"/>
      <c r="BH14" s="1737"/>
    </row>
    <row r="15" spans="1:60" ht="12" customHeight="1" thickBot="1" x14ac:dyDescent="0.25">
      <c r="A15" s="9"/>
      <c r="B15" s="1162"/>
      <c r="C15" s="4241"/>
      <c r="D15" s="4242"/>
      <c r="E15" s="4243"/>
      <c r="F15" s="4256" t="s">
        <v>1560</v>
      </c>
      <c r="G15" s="4256"/>
      <c r="H15" s="2247"/>
      <c r="I15" s="1479">
        <f>AY10</f>
        <v>0</v>
      </c>
      <c r="J15" s="1479">
        <f t="shared" ref="J15:O15" si="2">AZ10</f>
        <v>0</v>
      </c>
      <c r="K15" s="1479">
        <f t="shared" si="2"/>
        <v>0</v>
      </c>
      <c r="L15" s="1479">
        <f t="shared" si="2"/>
        <v>0</v>
      </c>
      <c r="M15" s="1479">
        <f t="shared" si="2"/>
        <v>0</v>
      </c>
      <c r="N15" s="1479">
        <f t="shared" si="2"/>
        <v>0</v>
      </c>
      <c r="O15" s="1479">
        <f t="shared" si="2"/>
        <v>0</v>
      </c>
      <c r="P15" s="1767">
        <f>IF(C15=0,0,IF(Extensióndelauraalarma,10,0)+H15+VLOOKUP(C15,Tabla_Yelmos,4,FALSE))</f>
        <v>0</v>
      </c>
      <c r="Q15" s="1479">
        <f>IF(C15=0,0,H15*10+VLOOKUP(C15,Tabla_Yelmos,5,FALSE))</f>
        <v>0</v>
      </c>
      <c r="R15" s="1479" t="s">
        <v>1456</v>
      </c>
      <c r="S15" s="1522"/>
      <c r="U15" s="4237"/>
      <c r="V15" s="4239"/>
      <c r="W15" s="4286"/>
      <c r="X15" s="581"/>
      <c r="Y15" s="9"/>
      <c r="Z15" s="9"/>
      <c r="AA15" s="1134"/>
      <c r="AB15" s="4299"/>
      <c r="AC15" s="4337" t="s">
        <v>1349</v>
      </c>
      <c r="AD15" s="4333">
        <f>AW5+AD14+AY5</f>
        <v>0</v>
      </c>
      <c r="AE15" s="4337" t="s">
        <v>1349</v>
      </c>
      <c r="AF15" s="4335">
        <f>S16+AF14</f>
        <v>0</v>
      </c>
      <c r="AH15" s="4185" t="str">
        <f>IF(PDs!$E47=0,"",PDs!$E47)</f>
        <v/>
      </c>
      <c r="AI15" s="4185"/>
      <c r="AJ15" s="4185"/>
      <c r="AK15" s="4185"/>
      <c r="AL15" s="4281" t="str">
        <f>IF(PDs!$AD47=0,"",PDs!$V47&amp;" ")&amp;IF(PDs!$AD47=0,"",IF(PDs!$Y47=0,"",PDs!$Y47))</f>
        <v xml:space="preserve"> </v>
      </c>
      <c r="AM15" s="4281"/>
      <c r="AN15" s="4281"/>
      <c r="AO15" s="4281"/>
      <c r="AP15" s="4281"/>
      <c r="AQ15" s="4281"/>
      <c r="AR15" s="1201"/>
      <c r="AS15" s="1156"/>
      <c r="AT15" s="3078"/>
      <c r="AU15" s="3078"/>
      <c r="AV15" s="1737"/>
      <c r="AW15" s="3078" t="s">
        <v>7227</v>
      </c>
      <c r="AX15" s="3078"/>
      <c r="AY15" s="3078"/>
      <c r="AZ15" s="3078"/>
      <c r="BA15" s="3078"/>
      <c r="BB15" s="3078"/>
      <c r="BC15" s="3078"/>
      <c r="BD15" s="3078"/>
      <c r="BE15" s="3078"/>
      <c r="BF15" s="1737"/>
      <c r="BG15" s="1737"/>
      <c r="BH15" s="1737"/>
    </row>
    <row r="16" spans="1:60" ht="12" customHeight="1" thickBot="1" x14ac:dyDescent="0.25">
      <c r="A16" s="9"/>
      <c r="B16" s="1162"/>
      <c r="C16" s="4257" t="s">
        <v>1561</v>
      </c>
      <c r="D16" s="4258"/>
      <c r="E16" s="4261">
        <f>MAX(0,R12+R13+R14-MAX(0,TRUNC((LlevarArmadura_final-H16)/50,0)))</f>
        <v>0</v>
      </c>
      <c r="F16" s="4263" t="s">
        <v>1562</v>
      </c>
      <c r="G16" s="4263"/>
      <c r="H16" s="1769">
        <f>SUM(BF17:BF20)</f>
        <v>0</v>
      </c>
      <c r="I16" s="4264">
        <f t="shared" ref="I16:O16" si="3">AY$9</f>
        <v>0</v>
      </c>
      <c r="J16" s="4246">
        <f t="shared" si="3"/>
        <v>0</v>
      </c>
      <c r="K16" s="4246">
        <f t="shared" si="3"/>
        <v>0</v>
      </c>
      <c r="L16" s="4246">
        <f t="shared" si="3"/>
        <v>0</v>
      </c>
      <c r="M16" s="4246">
        <f t="shared" si="3"/>
        <v>0</v>
      </c>
      <c r="N16" s="4246">
        <f t="shared" si="3"/>
        <v>0</v>
      </c>
      <c r="O16" s="4176">
        <f t="shared" si="3"/>
        <v>0</v>
      </c>
      <c r="P16" s="4253" t="s">
        <v>8356</v>
      </c>
      <c r="Q16" s="4254"/>
      <c r="R16" s="4254"/>
      <c r="S16" s="1164">
        <f>IF(H16=0,0,MIN(LlevarArmadura_final-H16,0))</f>
        <v>0</v>
      </c>
      <c r="U16" s="4237"/>
      <c r="V16" s="4239"/>
      <c r="W16" s="4285">
        <f t="shared" ref="W16" si="4">_xlfn.CEILING.MATH(U16/10,1)*V16/10</f>
        <v>0</v>
      </c>
      <c r="X16" s="581"/>
      <c r="Y16" s="9"/>
      <c r="Z16" s="9"/>
      <c r="AA16" s="1134"/>
      <c r="AB16" s="4300"/>
      <c r="AC16" s="4338"/>
      <c r="AD16" s="4334"/>
      <c r="AE16" s="4338"/>
      <c r="AF16" s="4336"/>
      <c r="AH16" s="4183" t="str">
        <f>IF(PDs!$E48=0,"",PDs!$E48)</f>
        <v/>
      </c>
      <c r="AI16" s="4183"/>
      <c r="AJ16" s="4183"/>
      <c r="AK16" s="4183"/>
      <c r="AL16" s="4332" t="str">
        <f>IF(PDs!$AD48=0,"",PDs!$V48&amp;" ")&amp;IF(PDs!$AD48=0,"",IF(PDs!$Y48=0,"",PDs!$Y48))</f>
        <v xml:space="preserve"> </v>
      </c>
      <c r="AM16" s="4332"/>
      <c r="AN16" s="4332"/>
      <c r="AO16" s="4332"/>
      <c r="AP16" s="4332"/>
      <c r="AQ16" s="4332"/>
      <c r="AR16" s="1201"/>
      <c r="AS16" s="1156"/>
      <c r="AT16" s="3055" t="s">
        <v>9566</v>
      </c>
      <c r="AU16" s="3055"/>
      <c r="AV16" s="1737"/>
      <c r="AW16" s="3078"/>
      <c r="AX16" s="3078" t="s">
        <v>9628</v>
      </c>
      <c r="AY16" s="3078" t="str">
        <f t="shared" ref="AY16:BE16" si="5">I11</f>
        <v>FIL</v>
      </c>
      <c r="AZ16" s="3078" t="str">
        <f t="shared" si="5"/>
        <v>CON</v>
      </c>
      <c r="BA16" s="3078" t="str">
        <f t="shared" si="5"/>
        <v>PEN</v>
      </c>
      <c r="BB16" s="3078" t="str">
        <f t="shared" si="5"/>
        <v>CAL</v>
      </c>
      <c r="BC16" s="3078" t="str">
        <f t="shared" si="5"/>
        <v>ELE</v>
      </c>
      <c r="BD16" s="3078" t="str">
        <f t="shared" si="5"/>
        <v>FRI</v>
      </c>
      <c r="BE16" s="3078" t="str">
        <f t="shared" si="5"/>
        <v>ENE</v>
      </c>
      <c r="BF16" s="1737" t="s">
        <v>10059</v>
      </c>
      <c r="BG16" s="1737" t="s">
        <v>10060</v>
      </c>
      <c r="BH16" s="1737"/>
    </row>
    <row r="17" spans="1:60" ht="12" customHeight="1" thickBot="1" x14ac:dyDescent="0.25">
      <c r="A17" s="9"/>
      <c r="B17" s="1330"/>
      <c r="C17" s="4259"/>
      <c r="D17" s="4260"/>
      <c r="E17" s="4262"/>
      <c r="F17" s="4245" t="s">
        <v>1563</v>
      </c>
      <c r="G17" s="4245"/>
      <c r="H17" s="457">
        <f>SUM(BG18:BG20)</f>
        <v>0</v>
      </c>
      <c r="I17" s="4265"/>
      <c r="J17" s="4062"/>
      <c r="K17" s="4062"/>
      <c r="L17" s="4062"/>
      <c r="M17" s="4062"/>
      <c r="N17" s="4062"/>
      <c r="O17" s="4252"/>
      <c r="P17" s="4244" t="s">
        <v>8350</v>
      </c>
      <c r="Q17" s="3252"/>
      <c r="R17" s="3252"/>
      <c r="S17" s="1319">
        <f>MIN(MAX(LlevarArmadura_final-H16,0)+H17,0)+MAX(MIN(-20*IF(OR(C12=0,AX18="Natural"),0,1)-20*IF(OR(C13=0,AX19="Natural"),0,1)-20*IF(OR(C14=0,AX20="Natural"),0,1)+20,0),-40)</f>
        <v>0</v>
      </c>
      <c r="U17" s="4238"/>
      <c r="V17" s="4240"/>
      <c r="W17" s="4286"/>
      <c r="X17" s="1135"/>
      <c r="Y17" s="9"/>
      <c r="Z17" s="9"/>
      <c r="AA17" s="1134"/>
      <c r="AM17" s="21"/>
      <c r="AN17" s="21"/>
      <c r="AO17" s="21"/>
      <c r="AP17" s="21"/>
      <c r="AQ17" s="21"/>
      <c r="AR17" s="1201"/>
      <c r="AS17" s="1156"/>
      <c r="AT17" s="3809">
        <f>HA_final-PDs!$X$25-IF(C20="Desarmado",IF(C21="Conocida",0,60),0)+MIN(PDs!$X$25+F24,50)+BonoMaestro_HA-IF(Tablas!$H$526&lt;&gt;0,IF(Arma_Desarrollada="Desarmado",0,30),0)</f>
        <v>-60</v>
      </c>
      <c r="AU17" s="3809"/>
      <c r="AV17" s="1737"/>
      <c r="AW17" s="1737" t="s">
        <v>9631</v>
      </c>
      <c r="AX17" s="1737" t="s">
        <v>9632</v>
      </c>
      <c r="AY17" s="3044">
        <f>IF($C15=0,0,$H15/5+VLOOKUP($C15,Tabla_Yelmos,Tablas!H$1,FALSE))</f>
        <v>0</v>
      </c>
      <c r="AZ17" s="3044">
        <f>IF($C15=0,0,$H15/5+VLOOKUP($C15,Tabla_Yelmos,Tablas!I$1,FALSE))</f>
        <v>0</v>
      </c>
      <c r="BA17" s="3044">
        <f>IF($C15=0,0,$H15/5+VLOOKUP($C15,Tabla_Yelmos,Tablas!J$1,FALSE))</f>
        <v>0</v>
      </c>
      <c r="BB17" s="3044">
        <f>IF($C15=0,0,$H15/5+VLOOKUP($C15,Tabla_Yelmos,Tablas!K$1,FALSE))</f>
        <v>0</v>
      </c>
      <c r="BC17" s="3044">
        <f>IF($C15=0,0,$H15/5+VLOOKUP($C15,Tabla_Yelmos,Tablas!L$1,FALSE))</f>
        <v>0</v>
      </c>
      <c r="BD17" s="3044">
        <f>IF($C15=0,0,$H15/5+VLOOKUP($C15,Tabla_Yelmos,Tablas!M$1,FALSE))</f>
        <v>0</v>
      </c>
      <c r="BE17" s="3044">
        <f>IF($C15=0,0,IF(S15="Sí",$H15/5,0)+VLOOKUP($C15,Tabla_Yelmos,Tablas!N$1,FALSE))</f>
        <v>0</v>
      </c>
      <c r="BF17" s="1737">
        <f>IFERROR(MAX(0,VLOOKUP(C15,Tabla_Yelmos,2,FALSE)-H15),0)</f>
        <v>0</v>
      </c>
      <c r="BG17" s="1737"/>
      <c r="BH17" s="1737"/>
    </row>
    <row r="18" spans="1:60" ht="12" customHeight="1" thickBot="1" x14ac:dyDescent="0.25">
      <c r="A18" s="9"/>
      <c r="B18" s="1162"/>
      <c r="C18" s="4255" t="str">
        <f>IF(COUNTIF(AY21:BE27,"&gt;0")&gt;0,"Armaduras especiales aplicadas:","")</f>
        <v/>
      </c>
      <c r="D18" s="4255"/>
      <c r="E18" s="4255"/>
      <c r="F18" s="4255"/>
      <c r="G18" s="4255"/>
      <c r="H18" s="4312" t="str">
        <f>BF23&amp;BG23&amp;BF24&amp;BG24&amp;BF25&amp;BG25&amp;BF26&amp;BG26&amp;BF27</f>
        <v/>
      </c>
      <c r="I18" s="4312"/>
      <c r="J18" s="4312"/>
      <c r="K18" s="4312"/>
      <c r="L18" s="4312"/>
      <c r="M18" s="4312"/>
      <c r="N18" s="4312"/>
      <c r="O18" s="4312"/>
      <c r="P18" s="4312"/>
      <c r="Q18" s="4312"/>
      <c r="R18" s="4312"/>
      <c r="S18" s="4312"/>
      <c r="T18" s="34"/>
      <c r="X18" s="1135"/>
      <c r="Y18" s="9"/>
      <c r="Z18" s="9"/>
      <c r="AA18" s="1134"/>
      <c r="AB18" s="3631" t="s">
        <v>1503</v>
      </c>
      <c r="AC18" s="3631"/>
      <c r="AD18" s="3631"/>
      <c r="AE18" s="3631"/>
      <c r="AF18" s="3631"/>
      <c r="AG18" s="3631"/>
      <c r="AH18" s="4328" t="s">
        <v>1549</v>
      </c>
      <c r="AI18" s="4328"/>
      <c r="AJ18" s="4328"/>
      <c r="AK18" s="4328"/>
      <c r="AL18" s="4328"/>
      <c r="AM18" s="4328"/>
      <c r="AN18" s="4328"/>
      <c r="AO18" s="4328"/>
      <c r="AP18" s="4328"/>
      <c r="AQ18" s="4328"/>
      <c r="AR18" s="1201"/>
      <c r="AS18" s="1156"/>
      <c r="AT18" s="3055" t="s">
        <v>8298</v>
      </c>
      <c r="AU18" s="3055"/>
      <c r="AV18" s="1737"/>
      <c r="AW18" s="3078" t="s">
        <v>7207</v>
      </c>
      <c r="AX18" s="3078">
        <f>IF(C12=0,0,VLOOKUP($C12,Tabla_Armaduras,8,FALSE))</f>
        <v>0</v>
      </c>
      <c r="AY18" s="3078">
        <f t="shared" ref="AY18:BE18" si="6">I$12</f>
        <v>0</v>
      </c>
      <c r="AZ18" s="3078">
        <f t="shared" si="6"/>
        <v>0</v>
      </c>
      <c r="BA18" s="3078">
        <f t="shared" si="6"/>
        <v>0</v>
      </c>
      <c r="BB18" s="3078">
        <f t="shared" si="6"/>
        <v>0</v>
      </c>
      <c r="BC18" s="3078">
        <f t="shared" si="6"/>
        <v>0</v>
      </c>
      <c r="BD18" s="3078">
        <f t="shared" si="6"/>
        <v>0</v>
      </c>
      <c r="BE18" s="3078">
        <f t="shared" si="6"/>
        <v>0</v>
      </c>
      <c r="BF18" s="1737">
        <f>IFERROR(MAX(0,VLOOKUP(C12,Tabla_Armaduras,2,FALSE)-H12),0)</f>
        <v>0</v>
      </c>
      <c r="BG18" s="1737">
        <f>IFERROR(MIN(0,VLOOKUP(C12,Tabla_Armaduras,3,FALSE)+H12),0)</f>
        <v>0</v>
      </c>
      <c r="BH18" s="1737"/>
    </row>
    <row r="19" spans="1:60" ht="12" customHeight="1" thickBot="1" x14ac:dyDescent="0.25">
      <c r="A19" s="9"/>
      <c r="B19" s="1162"/>
      <c r="O19" s="14"/>
      <c r="X19" s="581"/>
      <c r="Y19" s="9"/>
      <c r="Z19" s="9"/>
      <c r="AA19" s="1134"/>
      <c r="AB19" s="4324" t="str">
        <f>IF(PDs!$E49="","",PDs!$E49&amp;IF(AND(PDs!AD49=1,PDs!M49/PDs!L49+PDs!O49/PDs!N49+PDs!Q49/PDs!P49+PDs!S49/PDs!R49+PDs!U49/PDs!T49&gt;1)," ("&amp;PDs!M49/PDs!L49+PDs!O49/PDs!N49+PDs!Q49/PDs!P49+PDs!S49/PDs!R49+PDs!U49/PDs!T49&amp;")",""))</f>
        <v/>
      </c>
      <c r="AC19" s="4324"/>
      <c r="AD19" s="4324"/>
      <c r="AE19" s="4324"/>
      <c r="AF19" s="4324"/>
      <c r="AG19" s="4324"/>
      <c r="AH19" s="4215" t="str">
        <f>IF(PDs!$V49=0,"",PDs!$V49)</f>
        <v/>
      </c>
      <c r="AI19" s="4215"/>
      <c r="AJ19" s="4215"/>
      <c r="AK19" s="4215"/>
      <c r="AL19" s="4215"/>
      <c r="AM19" s="4215"/>
      <c r="AN19" s="4215"/>
      <c r="AO19" s="4215"/>
      <c r="AP19" s="4215"/>
      <c r="AQ19" s="4215"/>
      <c r="AR19" s="1201"/>
      <c r="AS19" s="1156"/>
      <c r="AT19" s="3809">
        <f>HP_final-PDs!$X$26-IF(C20="Desarmado",IF(C21="Conocida",0,60),0)+MIN(PDs!$X$26+H24,50)+BonoMaestro_HD-IF(Tablas!$H$526&lt;&gt;0,IF(Arma_Desarrollada="Desarmado",0,30),0)</f>
        <v>-60</v>
      </c>
      <c r="AU19" s="3809"/>
      <c r="AV19" s="1737"/>
      <c r="AW19" s="3078" t="s">
        <v>7208</v>
      </c>
      <c r="AX19" s="3078">
        <f>IF(C13=0,0,VLOOKUP($C13,Tabla_Armaduras,8,FALSE))</f>
        <v>0</v>
      </c>
      <c r="AY19" s="3078">
        <f t="shared" ref="AY19:BE19" si="7">I$13</f>
        <v>0</v>
      </c>
      <c r="AZ19" s="3078">
        <f t="shared" si="7"/>
        <v>0</v>
      </c>
      <c r="BA19" s="3078">
        <f t="shared" si="7"/>
        <v>0</v>
      </c>
      <c r="BB19" s="3078">
        <f t="shared" si="7"/>
        <v>0</v>
      </c>
      <c r="BC19" s="3078">
        <f t="shared" si="7"/>
        <v>0</v>
      </c>
      <c r="BD19" s="3078">
        <f t="shared" si="7"/>
        <v>0</v>
      </c>
      <c r="BE19" s="3078">
        <f t="shared" si="7"/>
        <v>0</v>
      </c>
      <c r="BF19" s="1737">
        <f>IFERROR(MAX(0,VLOOKUP(C13,Tabla_Armaduras,2,FALSE)-H13),0)</f>
        <v>0</v>
      </c>
      <c r="BG19" s="1737">
        <f>IFERROR(MIN(0,VLOOKUP(C13,Tabla_Armaduras,3,FALSE)+H13),0)</f>
        <v>0</v>
      </c>
      <c r="BH19" s="1737"/>
    </row>
    <row r="20" spans="1:60" ht="12" customHeight="1" thickBot="1" x14ac:dyDescent="0.25">
      <c r="A20" s="9"/>
      <c r="B20" s="1162"/>
      <c r="C20" s="4266" t="str">
        <f>IF(COUNTA(PDs!$E$59:$E$77)&gt;0,"Artes Marciales","Desarmado")</f>
        <v>Desarmado</v>
      </c>
      <c r="D20" s="4267"/>
      <c r="E20" s="4268"/>
      <c r="F20" s="4268"/>
      <c r="G20" s="4268"/>
      <c r="H20" s="1790" t="s">
        <v>1393</v>
      </c>
      <c r="I20" s="1791" t="s">
        <v>1564</v>
      </c>
      <c r="J20" s="4193" t="s">
        <v>1565</v>
      </c>
      <c r="K20" s="4193"/>
      <c r="L20" s="1792" t="s">
        <v>1566</v>
      </c>
      <c r="N20" s="4329" t="s">
        <v>8653</v>
      </c>
      <c r="O20" s="4330"/>
      <c r="P20" s="4331"/>
      <c r="R20" s="3115" t="s">
        <v>8699</v>
      </c>
      <c r="S20" s="3116"/>
      <c r="T20" s="3116"/>
      <c r="U20" s="3116"/>
      <c r="V20" s="3116"/>
      <c r="W20" s="3117"/>
      <c r="X20" s="581"/>
      <c r="Y20" s="9"/>
      <c r="Z20" s="9"/>
      <c r="AA20" s="1134"/>
      <c r="AB20" s="4324" t="str">
        <f>IF(PDs!$E50="","",PDs!$E50&amp;IF(AND(PDs!AD50=1,PDs!M50/PDs!L50+PDs!O50/PDs!N50+PDs!Q50/PDs!P50+PDs!S50/PDs!R50+PDs!U50/PDs!T50&gt;1)," ("&amp;PDs!M50/PDs!L50+PDs!O50/PDs!N50+PDs!Q50/PDs!P50+PDs!S50/PDs!R50+PDs!U50/PDs!T50&amp;")",""))</f>
        <v/>
      </c>
      <c r="AC20" s="4325"/>
      <c r="AD20" s="4325"/>
      <c r="AE20" s="4325"/>
      <c r="AF20" s="4325"/>
      <c r="AG20" s="4326"/>
      <c r="AH20" s="4215" t="str">
        <f>IF(PDs!$V50=0,"",PDs!$V50)</f>
        <v/>
      </c>
      <c r="AI20" s="4215"/>
      <c r="AJ20" s="4215"/>
      <c r="AK20" s="4215"/>
      <c r="AL20" s="4215"/>
      <c r="AM20" s="4215"/>
      <c r="AN20" s="4215"/>
      <c r="AO20" s="4215"/>
      <c r="AP20" s="4215"/>
      <c r="AQ20" s="4215"/>
      <c r="AR20" s="1201"/>
      <c r="AS20" s="1156"/>
      <c r="AT20" s="3055" t="s">
        <v>8299</v>
      </c>
      <c r="AU20" s="3055"/>
      <c r="AV20" s="1737"/>
      <c r="AW20" s="3078" t="s">
        <v>7209</v>
      </c>
      <c r="AX20" s="3078">
        <f>IF(C14=0,0,VLOOKUP($C14,Tabla_Armaduras,8,FALSE))</f>
        <v>0</v>
      </c>
      <c r="AY20" s="3078">
        <f t="shared" ref="AY20:BE20" si="8">I$14</f>
        <v>0</v>
      </c>
      <c r="AZ20" s="3078">
        <f t="shared" si="8"/>
        <v>0</v>
      </c>
      <c r="BA20" s="3078">
        <f t="shared" si="8"/>
        <v>0</v>
      </c>
      <c r="BB20" s="3078">
        <f t="shared" si="8"/>
        <v>0</v>
      </c>
      <c r="BC20" s="3078">
        <f t="shared" si="8"/>
        <v>0</v>
      </c>
      <c r="BD20" s="3078">
        <f t="shared" si="8"/>
        <v>0</v>
      </c>
      <c r="BE20" s="3078">
        <f t="shared" si="8"/>
        <v>0</v>
      </c>
      <c r="BF20" s="1737">
        <f>IFERROR(MAX(0,VLOOKUP(C14,Tabla_Armaduras,2,FALSE)-H14),0)</f>
        <v>0</v>
      </c>
      <c r="BG20" s="1737">
        <f>IFERROR(MIN(0,VLOOKUP(C14,Tabla_Armaduras,3,FALSE)+H14),0)</f>
        <v>0</v>
      </c>
      <c r="BH20" s="1737"/>
    </row>
    <row r="21" spans="1:60" ht="12" customHeight="1" x14ac:dyDescent="0.2">
      <c r="A21" s="9"/>
      <c r="B21" s="1162"/>
      <c r="C21" s="4250" t="str">
        <f>IF(C20="Artes Marciales","Conocida",VLOOKUP(C20,Tabla_ArmasyEscudos,9,FALSE))</f>
        <v>Distinta</v>
      </c>
      <c r="D21" s="4251"/>
      <c r="E21" s="4270" t="str">
        <f>IF(OR(Tablas!$O$940&gt;0,Tablas!$P$940&gt;0),"B.Maestro: "&amp;IF(Tablas!$O$940&gt;0,Tablas!$O$940&amp;"HA","")&amp;IF(AND(Tablas!$O$940&gt;0,Tablas!$P$940&gt;0),", ","")&amp;IF(Tablas!$P$940,Tablas!$P$940&amp;"HD",""),"")</f>
        <v/>
      </c>
      <c r="F21" s="4271"/>
      <c r="G21" s="4272"/>
      <c r="H21" s="3714">
        <f>Turno_Nat_final+Combate!D24+Personalización!Y7+IFERROR(VLOOKUP(E20,Tabla_EquipoArtesMarciales,3,FALSE),0)+MIN(0,I23)</f>
        <v>40</v>
      </c>
      <c r="I21" s="4269">
        <f>MAX(HA_SinArmas+Personalización!Y8+IFERROR(VLOOKUP(E20,Tabla_EquipoArtesMarciales,4,FALSE),0))</f>
        <v>-60</v>
      </c>
      <c r="J21" s="4154">
        <f>MAX(HP_SinArmas_final,HE_SinArmas_final)</f>
        <v>0</v>
      </c>
      <c r="K21" s="4176" t="str">
        <f>IF(HP_SinArmas&gt;=HE_SinArmas,"Par","Esq")</f>
        <v>Esq</v>
      </c>
      <c r="L21" s="4162">
        <f>MAX(0,IF(C20="Desarmado",VLOOKUP(Tamaño,Tabla_CreaciónSeres,7,TRUE)+Bono_Fue,ArtesM_Daño)+L24+Personalización!Y10)</f>
        <v>5</v>
      </c>
      <c r="N21" s="4230" t="str">
        <f>IF(AU64,AU63,"")&amp;IF(AV65,", ","")&amp;IF(AV64,AV63,"")&amp;IF(AW65,", ","")&amp;IF(AW64,AW63,"")&amp;IF(AX65,", ","")&amp;IF(AX64,AX63,"")&amp;IF(AY65,", ","")&amp;IF(AY64,AY63,"")&amp;IF(AZ65,", ","")&amp;IF(AZ64,AZ63,"")</f>
        <v/>
      </c>
      <c r="O21" s="4231"/>
      <c r="P21" s="4232"/>
      <c r="R21" s="4276" t="s">
        <v>8700</v>
      </c>
      <c r="S21" s="4277"/>
      <c r="T21" s="4277"/>
      <c r="U21" s="4277" t="s">
        <v>8701</v>
      </c>
      <c r="V21" s="4277"/>
      <c r="W21" s="4313"/>
      <c r="X21" s="581"/>
      <c r="Y21" s="9"/>
      <c r="Z21" s="9"/>
      <c r="AA21" s="1134"/>
      <c r="AB21" s="4324" t="str">
        <f>IF(PDs!$E51="","",PDs!$E51&amp;IF(AND(PDs!AD51=1,PDs!M51/PDs!L51+PDs!O51/PDs!N51+PDs!Q51/PDs!P51+PDs!S51/PDs!R51+PDs!U51/PDs!T51&gt;1)," ("&amp;PDs!M51/PDs!L51+PDs!O51/PDs!N51+PDs!Q51/PDs!P51+PDs!S51/PDs!R51+PDs!U51/PDs!T51&amp;")",""))</f>
        <v/>
      </c>
      <c r="AC21" s="4325"/>
      <c r="AD21" s="4325"/>
      <c r="AE21" s="4325"/>
      <c r="AF21" s="4325"/>
      <c r="AG21" s="4326"/>
      <c r="AH21" s="4215" t="str">
        <f>IF(PDs!$V51=0,"",PDs!$V51)</f>
        <v/>
      </c>
      <c r="AI21" s="4215"/>
      <c r="AJ21" s="4215"/>
      <c r="AK21" s="4215"/>
      <c r="AL21" s="4215"/>
      <c r="AM21" s="4215"/>
      <c r="AN21" s="4215"/>
      <c r="AO21" s="4215"/>
      <c r="AP21" s="4215"/>
      <c r="AQ21" s="4215"/>
      <c r="AR21" s="1201"/>
      <c r="AS21" s="1156"/>
      <c r="AT21" s="3809">
        <f>HE_final-PDs!$X$27+MIN(PDs!$X$27+J24,50)+BonoMaestro_HD</f>
        <v>0</v>
      </c>
      <c r="AU21" s="3809"/>
      <c r="AV21" s="1737"/>
      <c r="AW21" s="3078" t="s">
        <v>7210</v>
      </c>
      <c r="AX21" s="3078" t="s">
        <v>1972</v>
      </c>
      <c r="AY21" s="3078">
        <f>2*Tablas!$G$329</f>
        <v>0</v>
      </c>
      <c r="AZ21" s="3078">
        <f>2*Tablas!$G$329</f>
        <v>0</v>
      </c>
      <c r="BA21" s="3078">
        <f>2*Tablas!$G$329</f>
        <v>0</v>
      </c>
      <c r="BB21" s="3078">
        <f>2*Tablas!$G$329</f>
        <v>0</v>
      </c>
      <c r="BC21" s="3078">
        <f>2*Tablas!$G$329</f>
        <v>0</v>
      </c>
      <c r="BD21" s="3078">
        <f>2*Tablas!$G$329</f>
        <v>0</v>
      </c>
      <c r="BE21" s="3078">
        <f>4*Tablas!G330</f>
        <v>0</v>
      </c>
      <c r="BF21" s="1737"/>
      <c r="BG21" s="1737"/>
      <c r="BH21" s="1737"/>
    </row>
    <row r="22" spans="1:60" ht="12" customHeight="1" thickBot="1" x14ac:dyDescent="0.25">
      <c r="A22" s="9"/>
      <c r="B22" s="1162"/>
      <c r="C22" s="456" t="s">
        <v>1568</v>
      </c>
      <c r="D22" s="70" t="s">
        <v>1569</v>
      </c>
      <c r="E22" s="73" t="s">
        <v>1557</v>
      </c>
      <c r="F22" s="73" t="s">
        <v>1570</v>
      </c>
      <c r="G22" s="73" t="s">
        <v>1558</v>
      </c>
      <c r="H22" s="4174"/>
      <c r="I22" s="4174"/>
      <c r="J22" s="4154"/>
      <c r="K22" s="4176"/>
      <c r="L22" s="4163"/>
      <c r="N22" s="4233"/>
      <c r="O22" s="4234"/>
      <c r="P22" s="4235"/>
      <c r="R22" s="4278"/>
      <c r="S22" s="4279"/>
      <c r="T22" s="4279"/>
      <c r="U22" s="4273"/>
      <c r="V22" s="4274"/>
      <c r="W22" s="4275"/>
      <c r="X22" s="581"/>
      <c r="Y22" s="9"/>
      <c r="Z22" s="9"/>
      <c r="AA22" s="1134"/>
      <c r="AB22" s="4324" t="str">
        <f>IF(PDs!$E52="","",PDs!$E52&amp;IF(AND(PDs!AD52=1,PDs!M52/PDs!L52+PDs!O52/PDs!N52+PDs!Q52/PDs!P52+PDs!S52/PDs!R52+PDs!U52/PDs!T52&gt;1)," ("&amp;PDs!M52/PDs!L52+PDs!O52/PDs!N52+PDs!Q52/PDs!P52+PDs!S52/PDs!R52+PDs!U52/PDs!T52&amp;")",""))</f>
        <v/>
      </c>
      <c r="AC22" s="4325"/>
      <c r="AD22" s="4325"/>
      <c r="AE22" s="4325"/>
      <c r="AF22" s="4325"/>
      <c r="AG22" s="4326"/>
      <c r="AH22" s="4215" t="str">
        <f>IF(PDs!$V52=0,"",PDs!$V52)</f>
        <v/>
      </c>
      <c r="AI22" s="4215"/>
      <c r="AJ22" s="4215"/>
      <c r="AK22" s="4215"/>
      <c r="AL22" s="4215"/>
      <c r="AM22" s="4215"/>
      <c r="AN22" s="4215"/>
      <c r="AO22" s="4215"/>
      <c r="AP22" s="4215"/>
      <c r="AQ22" s="4215"/>
      <c r="AR22" s="1201"/>
      <c r="AS22" s="1156"/>
      <c r="AT22" s="3055" t="s">
        <v>9567</v>
      </c>
      <c r="AU22" s="3055"/>
      <c r="AV22" s="1737"/>
      <c r="AW22" s="3078" t="s">
        <v>7211</v>
      </c>
      <c r="AX22" s="3078" t="s">
        <v>1972</v>
      </c>
      <c r="AY22" s="3078">
        <f>Tablas!S$1515</f>
        <v>0</v>
      </c>
      <c r="AZ22" s="3078">
        <f>Tablas!S$1516</f>
        <v>0</v>
      </c>
      <c r="BA22" s="3078">
        <f>Tablas!S$1517</f>
        <v>0</v>
      </c>
      <c r="BB22" s="3078">
        <f>Tablas!S$1518</f>
        <v>0</v>
      </c>
      <c r="BC22" s="3078">
        <f>Tablas!S$1519</f>
        <v>0</v>
      </c>
      <c r="BD22" s="3078">
        <f>Tablas!S$1520</f>
        <v>0</v>
      </c>
      <c r="BE22" s="3078">
        <f>Tablas!S$1521</f>
        <v>0</v>
      </c>
      <c r="BF22" s="1737"/>
      <c r="BG22" s="1737"/>
      <c r="BH22" s="1737"/>
    </row>
    <row r="23" spans="1:60" ht="12" customHeight="1" thickBot="1" x14ac:dyDescent="0.25">
      <c r="A23" s="9"/>
      <c r="B23" s="1162"/>
      <c r="C23" s="1062" t="s">
        <v>1498</v>
      </c>
      <c r="D23" s="2492" t="s">
        <v>1456</v>
      </c>
      <c r="E23" s="1472">
        <f>MAX(0,MAX(CON,DES)+IF(Extensióndelauraalarma,10,0)+IF($E$20="Armas Naturales",VLOOKUP(Tamaño,Tabla_CreaciónSeres,10),0)+IF(Tabla_Desvío,DES,0)+Tablas!$L$940)</f>
        <v>0</v>
      </c>
      <c r="F23" s="1472">
        <f>IF(FUE=0,0,-2+VLOOKUP(FUE,Tabla_Fuerza,2)+IF(Extensióndelauraalarma,5,0)+IF($E$20="Armas Naturales",VLOOKUP(Tamaño,Tabla_CreaciónSeres,9),0)+IF(Ojos_de_la_Muerte,5,0)+Tablas!$M$940)</f>
        <v>0</v>
      </c>
      <c r="G23" s="1472">
        <f>Presencia_final*IF(OR(Extrusióndepresencia,Extrusióndevacío),2,1)</f>
        <v>20</v>
      </c>
      <c r="H23" s="1331" t="str">
        <f>IF(AND(E20&lt;&gt;"Sin equipo",E20&lt;&gt;""),"Calidad:","")</f>
        <v/>
      </c>
      <c r="I23" s="1712"/>
      <c r="J23" s="4219" t="str">
        <f>IF(OR(I23=0,E20=""),"","TA defensor:")</f>
        <v/>
      </c>
      <c r="K23" s="4219"/>
      <c r="L23" s="1481" t="str">
        <f>IF(J23="TA defensor:",I23/(-5),"")</f>
        <v/>
      </c>
      <c r="N23" s="3307" t="s">
        <v>8504</v>
      </c>
      <c r="O23" s="3308"/>
      <c r="P23" s="3309"/>
      <c r="R23" s="4322"/>
      <c r="S23" s="4315"/>
      <c r="T23" s="4315"/>
      <c r="U23" s="4314"/>
      <c r="V23" s="4315"/>
      <c r="W23" s="4316"/>
      <c r="X23" s="581"/>
      <c r="Y23" s="9"/>
      <c r="Z23" s="9"/>
      <c r="AA23" s="1134"/>
      <c r="AB23" s="4324" t="str">
        <f>IF(PDs!$E53="","",PDs!$E53&amp;IF(AND(PDs!AD53=1,PDs!M53/PDs!L53+PDs!O53/PDs!N53+PDs!Q53/PDs!P53+PDs!S53/PDs!R53+PDs!U53/PDs!T53&gt;1)," ("&amp;PDs!M53/PDs!L53+PDs!O53/PDs!N53+PDs!Q53/PDs!P53+PDs!S53/PDs!R53+PDs!U53/PDs!T53&amp;")",""))</f>
        <v/>
      </c>
      <c r="AC23" s="4325"/>
      <c r="AD23" s="4325"/>
      <c r="AE23" s="4325"/>
      <c r="AF23" s="4325"/>
      <c r="AG23" s="4326"/>
      <c r="AH23" s="4215" t="str">
        <f>IF(PDs!$V53=0,"",PDs!$V53)</f>
        <v/>
      </c>
      <c r="AI23" s="4215"/>
      <c r="AJ23" s="4215"/>
      <c r="AK23" s="4215"/>
      <c r="AL23" s="4215"/>
      <c r="AM23" s="4215"/>
      <c r="AN23" s="4215"/>
      <c r="AO23" s="4215"/>
      <c r="AP23" s="4215"/>
      <c r="AQ23" s="4215"/>
      <c r="AR23" s="1201"/>
      <c r="AS23" s="1156"/>
      <c r="AT23" s="3809">
        <f>MAX(HP_SinArmas,HE_SinArmas)</f>
        <v>0</v>
      </c>
      <c r="AU23" s="3809"/>
      <c r="AV23" s="1737"/>
      <c r="AW23" s="3078" t="s">
        <v>7213</v>
      </c>
      <c r="AX23" s="3078" t="s">
        <v>1972</v>
      </c>
      <c r="AY23" s="3078">
        <f t="shared" ref="AY23:BE23" si="9">IF(Acumulacion="Sí",VLOOKUP(Tamaño,Tabla_CreaciónSeres,6),0)</f>
        <v>0</v>
      </c>
      <c r="AZ23" s="3078">
        <f t="shared" si="9"/>
        <v>0</v>
      </c>
      <c r="BA23" s="3078">
        <f t="shared" si="9"/>
        <v>0</v>
      </c>
      <c r="BB23" s="3078">
        <f t="shared" si="9"/>
        <v>0</v>
      </c>
      <c r="BC23" s="3078">
        <f t="shared" si="9"/>
        <v>0</v>
      </c>
      <c r="BD23" s="3078">
        <f t="shared" si="9"/>
        <v>0</v>
      </c>
      <c r="BE23" s="3078">
        <f t="shared" si="9"/>
        <v>0</v>
      </c>
      <c r="BF23" s="1737" t="str">
        <f>IF(COUNTIF(AY21:BE23,"&gt;0")&gt;0,"Armadura natural","")</f>
        <v/>
      </c>
      <c r="BG23" s="1737" t="str">
        <f>IF(AND(BF23&lt;&gt;"",COUNTIF(BF24:BF27,"?*")&gt;0),", ","")</f>
        <v/>
      </c>
      <c r="BH23" s="1737"/>
    </row>
    <row r="24" spans="1:60" ht="12" customHeight="1" thickBot="1" x14ac:dyDescent="0.25">
      <c r="A24" s="9"/>
      <c r="B24" s="1162"/>
      <c r="C24" s="3221" t="s">
        <v>1571</v>
      </c>
      <c r="D24" s="4222">
        <f>Tablas!$K$940</f>
        <v>0</v>
      </c>
      <c r="E24" s="4224" t="s">
        <v>1572</v>
      </c>
      <c r="F24" s="4222">
        <f>MIN(Tablas!$H$940,50)</f>
        <v>0</v>
      </c>
      <c r="G24" s="4224" t="s">
        <v>1573</v>
      </c>
      <c r="H24" s="4228">
        <f>MIN(Tablas!$J$940,50)</f>
        <v>0</v>
      </c>
      <c r="I24" s="4220" t="s">
        <v>1574</v>
      </c>
      <c r="J24" s="4228">
        <f>MIN(Tablas!$I$940,50)</f>
        <v>0</v>
      </c>
      <c r="K24" s="4220" t="s">
        <v>1575</v>
      </c>
      <c r="L24" s="4226">
        <f>IF(Extensióndelauraalarma,10,0)+IF(DañoIncrementado,10,0)+IF($C$20="Artes Marciales",Tablas!F940,0)+Tablas!$K$1787+IFERROR(VLOOKUP(E20,Tabla_EquipoArtesMarciales,2,FALSE)+I23*2,0)</f>
        <v>0</v>
      </c>
      <c r="N24" s="4230" t="str">
        <f>IF(AU59,AU58,"")&amp;IF(AV60,", ","")&amp;IF(AV59,AV58,"")&amp;IF(AW60,", ","")&amp;IF(AW59,AW58,"")&amp;IF(AX60,", ","")&amp;IF(AX59,AX58,"")&amp;IF(AX58="CON"," (+10 Daño armas CON)","")</f>
        <v/>
      </c>
      <c r="O24" s="4231"/>
      <c r="P24" s="4232"/>
      <c r="R24" s="4278"/>
      <c r="S24" s="4279"/>
      <c r="T24" s="4279"/>
      <c r="U24" s="4317"/>
      <c r="V24" s="4279"/>
      <c r="W24" s="4318"/>
      <c r="X24" s="581"/>
      <c r="Y24" s="9"/>
      <c r="Z24" s="9"/>
      <c r="AA24" s="1134"/>
      <c r="AB24" s="4324" t="str">
        <f>IF(PDs!$E54="","",PDs!$E54&amp;IF(AND(PDs!AD54=1,PDs!M54/PDs!L54+PDs!O54/PDs!N54+PDs!Q54/PDs!P54+PDs!S54/PDs!R54+PDs!U54/PDs!T54&gt;1)," ("&amp;PDs!M54/PDs!L54+PDs!O54/PDs!N54+PDs!Q54/PDs!P54+PDs!S54/PDs!R54+PDs!U54/PDs!T54&amp;")",""))</f>
        <v/>
      </c>
      <c r="AC24" s="4325"/>
      <c r="AD24" s="4325"/>
      <c r="AE24" s="4325"/>
      <c r="AF24" s="4325"/>
      <c r="AG24" s="4326"/>
      <c r="AH24" s="4215" t="str">
        <f>IF(PDs!$V54=0,"",PDs!$V54)</f>
        <v/>
      </c>
      <c r="AI24" s="4215"/>
      <c r="AJ24" s="4215"/>
      <c r="AK24" s="4215"/>
      <c r="AL24" s="4215"/>
      <c r="AM24" s="4215"/>
      <c r="AN24" s="4215"/>
      <c r="AO24" s="4215"/>
      <c r="AP24" s="4215"/>
      <c r="AQ24" s="4215"/>
      <c r="AR24" s="1201"/>
      <c r="AS24" s="1156"/>
      <c r="AT24" s="3055" t="s">
        <v>10089</v>
      </c>
      <c r="AU24" s="3055"/>
      <c r="AV24" s="1737"/>
      <c r="AW24" s="3078" t="s">
        <v>7212</v>
      </c>
      <c r="AX24" s="3078" t="s">
        <v>1972</v>
      </c>
      <c r="AY24" s="3078">
        <f>MAX(3*Tablas!$Y$928,6*Tablas!$Y$929)</f>
        <v>0</v>
      </c>
      <c r="AZ24" s="3078">
        <f>MAX(3*Tablas!$Y$928,6*Tablas!$Y$929)</f>
        <v>0</v>
      </c>
      <c r="BA24" s="3078">
        <f>MAX(3*Tablas!$Y$928,6*Tablas!$Y$929)</f>
        <v>0</v>
      </c>
      <c r="BB24" s="3078">
        <f>MAX(3*Tablas!$Y$928,6*Tablas!$Y$929)</f>
        <v>0</v>
      </c>
      <c r="BC24" s="3078">
        <f>MAX(3*Tablas!$Y$928,6*Tablas!$Y$929)</f>
        <v>0</v>
      </c>
      <c r="BD24" s="3078">
        <f>MAX(3*Tablas!$Y$928,6*Tablas!$Y$929)</f>
        <v>0</v>
      </c>
      <c r="BE24" s="3078">
        <f>MAX(3*Tablas!$Y$928,6*Tablas!$Y$929)</f>
        <v>0</v>
      </c>
      <c r="BF24" s="1737" t="str">
        <f>IF(COUNTIF(AY24:BE24,"&gt;0")&gt;0,"Rex frame","")</f>
        <v/>
      </c>
      <c r="BG24" s="1737" t="str">
        <f>IF(AND(BF24&lt;&gt;"",COUNTIF(BF25:BF27,"?*")&gt;0),", ","")</f>
        <v/>
      </c>
      <c r="BH24" s="1737"/>
    </row>
    <row r="25" spans="1:60" ht="12" customHeight="1" thickBot="1" x14ac:dyDescent="0.25">
      <c r="A25" s="9"/>
      <c r="B25" s="1162"/>
      <c r="C25" s="3222"/>
      <c r="D25" s="4223"/>
      <c r="E25" s="4221"/>
      <c r="F25" s="4223"/>
      <c r="G25" s="4221"/>
      <c r="H25" s="4223"/>
      <c r="I25" s="4221"/>
      <c r="J25" s="4229"/>
      <c r="K25" s="4225"/>
      <c r="L25" s="4227"/>
      <c r="M25" s="34"/>
      <c r="N25" s="4233"/>
      <c r="O25" s="4234"/>
      <c r="P25" s="4235"/>
      <c r="R25" s="4323"/>
      <c r="S25" s="4320"/>
      <c r="T25" s="4320"/>
      <c r="U25" s="4319"/>
      <c r="V25" s="4320"/>
      <c r="W25" s="4321"/>
      <c r="X25" s="1135"/>
      <c r="Y25" s="9"/>
      <c r="Z25" s="9"/>
      <c r="AA25" s="1134"/>
      <c r="AB25" s="4324" t="str">
        <f>IF(PDs!$E55="","",PDs!$E55&amp;IF(AND(PDs!AD55=1,PDs!M55/PDs!L55+PDs!O55/PDs!N55+PDs!Q55/PDs!P55+PDs!S55/PDs!R55+PDs!U55/PDs!T55&gt;1)," ("&amp;PDs!M55/PDs!L55+PDs!O55/PDs!N55+PDs!Q55/PDs!P55+PDs!S55/PDs!R55+PDs!U55/PDs!T55&amp;")",""))</f>
        <v/>
      </c>
      <c r="AC25" s="4325"/>
      <c r="AD25" s="4325"/>
      <c r="AE25" s="4325"/>
      <c r="AF25" s="4325"/>
      <c r="AG25" s="4326"/>
      <c r="AH25" s="4215" t="str">
        <f>IF(PDs!$V55=0,"",PDs!$V55)</f>
        <v/>
      </c>
      <c r="AI25" s="4215"/>
      <c r="AJ25" s="4215"/>
      <c r="AK25" s="4215"/>
      <c r="AL25" s="4215"/>
      <c r="AM25" s="4215"/>
      <c r="AN25" s="4215"/>
      <c r="AO25" s="4215"/>
      <c r="AP25" s="4215"/>
      <c r="AQ25" s="4215"/>
      <c r="AR25" s="1201"/>
      <c r="AS25" s="1156"/>
      <c r="AT25" s="3809">
        <f>HP_SinArmas+Personalización!Y9+IFERROR(VLOOKUP(E20,Tabla_EquipoArtesMarciales,4,FALSE),0)</f>
        <v>-60</v>
      </c>
      <c r="AU25" s="3809"/>
      <c r="AV25" s="1737"/>
      <c r="AW25" s="3078" t="s">
        <v>7202</v>
      </c>
      <c r="AX25" s="3078" t="s">
        <v>1972</v>
      </c>
      <c r="AY25" s="3081">
        <f>'Tablas psiquica'!$AH$23</f>
        <v>0</v>
      </c>
      <c r="AZ25" s="3081">
        <f>'Tablas psiquica'!$AH$23</f>
        <v>0</v>
      </c>
      <c r="BA25" s="3081">
        <f>'Tablas psiquica'!$AH$23</f>
        <v>0</v>
      </c>
      <c r="BB25" s="3081">
        <f>'Tablas psiquica'!$AH$23</f>
        <v>0</v>
      </c>
      <c r="BC25" s="3081">
        <f>'Tablas psiquica'!$AH$23</f>
        <v>0</v>
      </c>
      <c r="BD25" s="3081">
        <f>'Tablas psiquica'!$AH$23</f>
        <v>0</v>
      </c>
      <c r="BE25" s="3081">
        <v>0</v>
      </c>
      <c r="BF25" s="1737" t="str">
        <f>IF(COUNTIF(AY25:BE25,"&gt;0")&gt;0,"Armadura telequinética","")</f>
        <v/>
      </c>
      <c r="BG25" s="1737" t="str">
        <f>IF(AND(BF25&lt;&gt;"",COUNTIF(BF26:BF27,"?*")&gt;0),", ","")</f>
        <v/>
      </c>
      <c r="BH25" s="1737"/>
    </row>
    <row r="26" spans="1:60" ht="12" customHeight="1" thickBot="1" x14ac:dyDescent="0.25">
      <c r="A26" s="9"/>
      <c r="B26" s="1134"/>
      <c r="C26" s="772"/>
      <c r="D26" s="772"/>
      <c r="E26" s="772"/>
      <c r="F26" s="772"/>
      <c r="G26" s="772"/>
      <c r="H26" s="772"/>
      <c r="I26" s="772"/>
      <c r="J26" s="772"/>
      <c r="K26" s="772"/>
      <c r="L26" s="772"/>
      <c r="M26" s="1111"/>
      <c r="N26" s="1113"/>
      <c r="O26" s="1113"/>
      <c r="X26" s="581"/>
      <c r="Y26" s="9"/>
      <c r="Z26" s="9"/>
      <c r="AA26" s="1134"/>
      <c r="AB26" s="4324" t="str">
        <f>IF(PDs!$E56="","",PDs!$E56&amp;IF(AND(PDs!AD56=1,PDs!M56/PDs!L56+PDs!O56/PDs!N56+PDs!Q56/PDs!P56+PDs!S56/PDs!R56+PDs!U56/PDs!T56&gt;1)," ("&amp;PDs!M56/PDs!L56+PDs!O56/PDs!N56+PDs!Q56/PDs!P56+PDs!S56/PDs!R56+PDs!U56/PDs!T56&amp;")",""))</f>
        <v/>
      </c>
      <c r="AC26" s="4325"/>
      <c r="AD26" s="4325"/>
      <c r="AE26" s="4325"/>
      <c r="AF26" s="4325"/>
      <c r="AG26" s="4326"/>
      <c r="AH26" s="4215" t="str">
        <f>IF(PDs!$V56=0,"",PDs!$V56)</f>
        <v/>
      </c>
      <c r="AI26" s="4215"/>
      <c r="AJ26" s="4215"/>
      <c r="AK26" s="4215"/>
      <c r="AL26" s="4215"/>
      <c r="AM26" s="4215"/>
      <c r="AN26" s="4215"/>
      <c r="AO26" s="4215"/>
      <c r="AP26" s="4215"/>
      <c r="AQ26" s="4215"/>
      <c r="AR26" s="1201"/>
      <c r="AS26" s="1156"/>
      <c r="AT26" s="3055" t="s">
        <v>10090</v>
      </c>
      <c r="AU26" s="3078"/>
      <c r="AV26" s="1737"/>
      <c r="AW26" s="3080" t="s">
        <v>1453</v>
      </c>
      <c r="AX26" s="3078" t="s">
        <v>1972</v>
      </c>
      <c r="AY26" s="3080">
        <f>IF(Nephilim="Nephilim Turak",1)+IF(Raza="Turak",IF(COUNTIF(Cercanía_Dragón,"Escamas de metal")&gt;0,3,2),0)</f>
        <v>0</v>
      </c>
      <c r="AZ26" s="3080">
        <f>IF(Nephilim="Nephilim Turak",1)+IF(Raza="Turak",IF(COUNTIF(Cercanía_Dragón,"Escamas de metal")&gt;0,3,2),0)</f>
        <v>0</v>
      </c>
      <c r="BA26" s="3080">
        <f>IF(Nephilim="Nephilim Turak",1)+IF(Raza="Turak",IF(COUNTIF(Cercanía_Dragón,"Escamas de metal")&gt;0,3,2),0)</f>
        <v>0</v>
      </c>
      <c r="BB26" s="3080">
        <f>IF(Nephilim="Nephilim Turak",1)+IF(Raza="Turak",IF(COUNTIF(Cercanía_Dragón,"Escamas de metal")&gt;0,3,2),0)</f>
        <v>0</v>
      </c>
      <c r="BC26" s="3080">
        <v>0</v>
      </c>
      <c r="BD26" s="3080">
        <v>0</v>
      </c>
      <c r="BE26" s="3080">
        <v>0</v>
      </c>
      <c r="BF26" s="1737" t="str">
        <f>IF(COUNTIF(AY26:BE26,"&gt;0")&gt;0,"Armadura Turak","")</f>
        <v/>
      </c>
      <c r="BG26" s="1737" t="str">
        <f>IF(AND(BF26&lt;&gt;"",COUNTIF(BF27,"?*")&gt;0),", ","")</f>
        <v/>
      </c>
      <c r="BH26" s="1737"/>
    </row>
    <row r="27" spans="1:60" ht="12" customHeight="1" thickBot="1" x14ac:dyDescent="0.25">
      <c r="A27" s="9"/>
      <c r="B27" s="1162"/>
      <c r="C27" s="1480" t="s">
        <v>8683</v>
      </c>
      <c r="D27" s="1475" t="str">
        <f>E28&amp;IF(COUNTIF($R$22:$T$25,C27&amp;" "&amp;E28)&gt;0,IFERROR(" y"&amp;MID(VLOOKUP(C27&amp;" "&amp;E28,$R$22:$W$25,4,FALSE),SEARCH(".",VLOOKUP(C27&amp;" "&amp;E28,$R$22:$W$25,4,FALSE))+1,100),""),"")</f>
        <v/>
      </c>
      <c r="E27" s="1475"/>
      <c r="F27" s="1475"/>
      <c r="G27" s="1475"/>
      <c r="H27" s="1475"/>
      <c r="I27" s="1475"/>
      <c r="J27" s="1475"/>
      <c r="K27" s="1475"/>
      <c r="L27" s="1512" t="s">
        <v>8697</v>
      </c>
      <c r="M27" s="741"/>
      <c r="N27" s="1480" t="s">
        <v>8682</v>
      </c>
      <c r="O27" s="1475" t="str">
        <f>P28&amp;IF(COUNTIF($R$22:$T$25,N27&amp;" "&amp;P28)&gt;0,IFERROR(" y"&amp;MID(VLOOKUP(N27&amp;" "&amp;P28,$R$22:$W$25,4,FALSE),SEARCH(".",VLOOKUP(N27&amp;" "&amp;P28,$R$22:$W$25,4,FALSE))+1,100),""),"")</f>
        <v/>
      </c>
      <c r="P27" s="1475"/>
      <c r="Q27" s="1475"/>
      <c r="R27" s="1475"/>
      <c r="S27" s="1475"/>
      <c r="T27" s="1475"/>
      <c r="U27" s="1475"/>
      <c r="V27" s="1475"/>
      <c r="W27" s="1512" t="s">
        <v>8697</v>
      </c>
      <c r="X27" s="581"/>
      <c r="Y27" s="9"/>
      <c r="Z27" s="9"/>
      <c r="AA27" s="1134"/>
      <c r="AB27" s="4324" t="str">
        <f>IF(PDs!$E57="","",PDs!$E57&amp;IF(AND(PDs!AD57=1,PDs!M57/PDs!L57+PDs!O57/PDs!N57+PDs!Q57/PDs!P57+PDs!S57/PDs!R57+PDs!U57/PDs!T57&gt;1)," ("&amp;PDs!M57/PDs!L57+PDs!O57/PDs!N57+PDs!Q57/PDs!P57+PDs!S57/PDs!R57+PDs!U57/PDs!T57&amp;")",""))</f>
        <v/>
      </c>
      <c r="AC27" s="4325"/>
      <c r="AD27" s="4325"/>
      <c r="AE27" s="4325"/>
      <c r="AF27" s="4325"/>
      <c r="AG27" s="4326"/>
      <c r="AH27" s="4215" t="str">
        <f>IF(PDs!$V57=0,"",PDs!$V57)</f>
        <v/>
      </c>
      <c r="AI27" s="4215"/>
      <c r="AJ27" s="4215"/>
      <c r="AK27" s="4215"/>
      <c r="AL27" s="4215"/>
      <c r="AM27" s="4215"/>
      <c r="AN27" s="4215"/>
      <c r="AO27" s="4215"/>
      <c r="AP27" s="4215"/>
      <c r="AQ27" s="4215"/>
      <c r="AR27" s="1201"/>
      <c r="AS27" s="1156"/>
      <c r="AT27" s="3809">
        <f>HE_SinArmas+Personalización!Y9+IFERROR(VLOOKUP(E20,Tabla_EquipoArtesMarciales,4,FALSE),0)</f>
        <v>0</v>
      </c>
      <c r="AU27" s="3809"/>
      <c r="AV27" s="1737"/>
      <c r="AW27" s="3080" t="s">
        <v>2822</v>
      </c>
      <c r="AX27" s="3078" t="s">
        <v>1972</v>
      </c>
      <c r="AY27" s="3080">
        <v>0</v>
      </c>
      <c r="AZ27" s="3078">
        <v>0</v>
      </c>
      <c r="BA27" s="3078">
        <v>0</v>
      </c>
      <c r="BB27" s="3078">
        <v>0</v>
      </c>
      <c r="BC27" s="3078">
        <v>0</v>
      </c>
      <c r="BD27" s="3078">
        <v>0</v>
      </c>
      <c r="BE27" s="3078">
        <f>MAX(IF(ArmaduradeEnergia,2,0),IF(ArmaduraArcana,4,0))</f>
        <v>0</v>
      </c>
      <c r="BF27" s="1737" t="str">
        <f>IF(BE27&gt;0,"Armadura de Energía por Ki","")</f>
        <v/>
      </c>
      <c r="BG27" s="1737"/>
      <c r="BH27" s="1737"/>
    </row>
    <row r="28" spans="1:60" ht="12" customHeight="1" thickBot="1" x14ac:dyDescent="0.25">
      <c r="A28" s="9"/>
      <c r="B28" s="1162"/>
      <c r="C28" s="4188" t="s">
        <v>8671</v>
      </c>
      <c r="D28" s="4189"/>
      <c r="E28" s="4190"/>
      <c r="F28" s="4191"/>
      <c r="G28" s="4192"/>
      <c r="H28" s="1790" t="s">
        <v>1393</v>
      </c>
      <c r="I28" s="1791" t="s">
        <v>1564</v>
      </c>
      <c r="J28" s="4193" t="s">
        <v>1565</v>
      </c>
      <c r="K28" s="4193"/>
      <c r="L28" s="1792" t="s">
        <v>1566</v>
      </c>
      <c r="M28" s="1511" t="str">
        <f ca="1">IF(C28=INDEX(Lista_ManosArma,2),Lista_A2Manos,Lista_A1Mano)</f>
        <v>Tablas!$AB$640:$AB$757</v>
      </c>
      <c r="N28" s="4188" t="s">
        <v>8671</v>
      </c>
      <c r="O28" s="4189"/>
      <c r="P28" s="4190"/>
      <c r="Q28" s="4191"/>
      <c r="R28" s="4192"/>
      <c r="S28" s="1790" t="s">
        <v>1393</v>
      </c>
      <c r="T28" s="1791" t="s">
        <v>1564</v>
      </c>
      <c r="U28" s="4193" t="s">
        <v>1565</v>
      </c>
      <c r="V28" s="4193"/>
      <c r="W28" s="1792" t="s">
        <v>1566</v>
      </c>
      <c r="X28" s="1511" t="str">
        <f ca="1">IF(N28=INDEX(Lista_ManosArma,2),Lista_A2Manos,Lista_A1Mano)</f>
        <v>Tablas!$AB$640:$AB$757</v>
      </c>
      <c r="Y28" s="9"/>
      <c r="Z28" s="9"/>
      <c r="AA28" s="1134"/>
      <c r="AB28" s="4351" t="str">
        <f>IF(PDs!$E58="","",PDs!$E58&amp;IF(AND(PDs!AD58=1,PDs!M58/PDs!L58+PDs!O58/PDs!N58+PDs!Q58/PDs!P58+PDs!S58/PDs!R58+PDs!U58/PDs!T58&gt;1)," ("&amp;PDs!M58/PDs!L58+PDs!O58/PDs!N58+PDs!Q58/PDs!P58+PDs!S58/PDs!R58+PDs!U58/PDs!T58&amp;")",""))</f>
        <v/>
      </c>
      <c r="AC28" s="4352"/>
      <c r="AD28" s="4352"/>
      <c r="AE28" s="4352"/>
      <c r="AF28" s="4352"/>
      <c r="AG28" s="4353"/>
      <c r="AH28" s="4210" t="str">
        <f>IF(PDs!$V58=0,"",PDs!$V58)</f>
        <v/>
      </c>
      <c r="AI28" s="4210"/>
      <c r="AJ28" s="4210"/>
      <c r="AK28" s="4210"/>
      <c r="AL28" s="4210"/>
      <c r="AM28" s="4210"/>
      <c r="AN28" s="4210"/>
      <c r="AO28" s="4210"/>
      <c r="AP28" s="4210"/>
      <c r="AQ28" s="4210"/>
      <c r="AR28" s="1201"/>
      <c r="AS28" s="1156"/>
      <c r="AT28" s="1737"/>
      <c r="AU28" s="1737"/>
      <c r="AV28" s="1737"/>
      <c r="AW28" s="1737" t="e">
        <f t="array" aca="1" ref="AW28" ca="1">INDEX(Tabla_Combate,$AT$43,LEFT(C27,LEN(C27)-1))</f>
        <v>#N/A</v>
      </c>
      <c r="AX28" s="1737" t="e">
        <f t="array" aca="1" ref="AX28" ca="1">INDEX(Tabla_Combate,$AT$44,LEFT(C41,LEN(C41)-1))</f>
        <v>#N/A</v>
      </c>
      <c r="AY28" s="1737"/>
      <c r="AZ28" s="1737"/>
      <c r="BA28" s="1737"/>
      <c r="BB28" s="1737"/>
      <c r="BC28" s="1737"/>
      <c r="BD28" s="1737"/>
      <c r="BE28" s="1737"/>
      <c r="BF28" s="1737"/>
      <c r="BG28" s="1737"/>
      <c r="BH28" s="1737"/>
    </row>
    <row r="29" spans="1:60" ht="12" customHeight="1" thickBot="1" x14ac:dyDescent="0.25">
      <c r="A29" s="9"/>
      <c r="B29" s="1162"/>
      <c r="C29" s="4164" t="str">
        <f>IF(E28=0,"",VLOOKUP(E28,Tabla_ArmasyEscudos,9,FALSE))</f>
        <v/>
      </c>
      <c r="D29" s="4165"/>
      <c r="E29" s="1793" t="s">
        <v>1576</v>
      </c>
      <c r="F29" s="4166" t="s">
        <v>1577</v>
      </c>
      <c r="G29" s="4167"/>
      <c r="H29" s="4177">
        <f ca="1">IFERROR(INDEX(Tabla_Combate,$AT$41,LEFT(C27,LEN(C27)-1)),0)</f>
        <v>0</v>
      </c>
      <c r="I29" s="4174">
        <f ca="1">IFERROR(INDEX(Tabla_Combate,$AT$42,LEFT(C27,LEN(C27)-1)),0)</f>
        <v>0</v>
      </c>
      <c r="J29" s="4153">
        <f ca="1">IF(K29="-",0,IF(K29="Par",INDEX(Tabla_Combate,$AT$43,LEFT(C27,LEN(C27)-1)),INDEX(Tabla_Combate,$AT$44,LEFT(C27,LEN(C27)-1))))</f>
        <v>0</v>
      </c>
      <c r="K29" s="3714" t="str">
        <f ca="1">IF(IFERROR(VLOOKUP(INDEX(Tabla_Combate,$AT$30,LEFT(C27,LEN(C27)-1)),Tablas!$AH$822:$AS$831,11,0),FALSE),"-",IFERROR(IF(INDEX(Tabla_Combate,$AT$43,LEFT(C27,LEN(C27)-1))&gt;INDEX(Tabla_Combate,$AT$44,LEFT(C27,LEN(C27)-1)),"Par","Esq"),"-"))</f>
        <v>-</v>
      </c>
      <c r="L29" s="4162">
        <f ca="1">IFERROR(INDEX(Tabla_Combate,$AT$46,LEFT(C27,LEN(C27)-1)),0)</f>
        <v>0</v>
      </c>
      <c r="M29" s="741"/>
      <c r="N29" s="4164" t="str">
        <f>IF(P28=0,"",VLOOKUP(P28,Tabla_ArmasyEscudos,9,FALSE))</f>
        <v/>
      </c>
      <c r="O29" s="4165"/>
      <c r="P29" s="1793" t="s">
        <v>1576</v>
      </c>
      <c r="Q29" s="4166" t="s">
        <v>1577</v>
      </c>
      <c r="R29" s="4167"/>
      <c r="S29" s="4177">
        <f ca="1">IFERROR(INDEX(Tabla_Combate,$AT$41,LEFT(N27,LEN(N27)-1)),0)</f>
        <v>0</v>
      </c>
      <c r="T29" s="4174">
        <f ca="1">IFERROR(INDEX(Tabla_Combate,$AT$42,LEFT(N27,LEN(N27)-1)),0)</f>
        <v>0</v>
      </c>
      <c r="U29" s="4153">
        <f ca="1">IF(V29="-",0,IF(V29="Par",INDEX(Tabla_Combate,$AT$43,LEFT(N27,LEN(N27)-1)),INDEX(Tabla_Combate,$AT$44,LEFT(N27,LEN(N27)-1))))</f>
        <v>0</v>
      </c>
      <c r="V29" s="3714" t="str">
        <f ca="1">IF(IFERROR(VLOOKUP(INDEX(Tabla_Combate,$AT$30,LEFT(N27,LEN(N27)-1)),Tablas!$AH$822:$AS$831,11,0),FALSE),"-",IFERROR(IF(INDEX(Tabla_Combate,$AT$43,LEFT(N27,LEN(N27)-1))&gt;INDEX(Tabla_Combate,$AT$44,LEFT(N27,LEN(N27)-1)),"Par","Esq"),"-"))</f>
        <v>-</v>
      </c>
      <c r="W29" s="4162">
        <f ca="1">IFERROR(INDEX(Tabla_Combate,$AT$46,LEFT(N27,LEN(N27)-1)),0)</f>
        <v>0</v>
      </c>
      <c r="X29" s="741"/>
      <c r="Y29" s="9"/>
      <c r="Z29" s="9"/>
      <c r="AA29" s="1134"/>
      <c r="AM29" s="21"/>
      <c r="AN29" s="21"/>
      <c r="AO29" s="21"/>
      <c r="AP29" s="21"/>
      <c r="AQ29" s="21"/>
      <c r="AR29" s="1201"/>
      <c r="AS29" s="1156"/>
      <c r="AT29" s="1737"/>
      <c r="AU29" s="1737"/>
      <c r="AV29" s="3044" t="s">
        <v>2109</v>
      </c>
      <c r="AW29" s="3044">
        <v>1</v>
      </c>
      <c r="AX29" s="3044">
        <v>2</v>
      </c>
      <c r="AY29" s="3044">
        <v>3</v>
      </c>
      <c r="AZ29" s="3044">
        <v>4</v>
      </c>
      <c r="BA29" s="3044">
        <v>5</v>
      </c>
      <c r="BB29" s="3044">
        <v>6</v>
      </c>
      <c r="BC29" s="3044">
        <v>7</v>
      </c>
      <c r="BD29" s="3044">
        <v>8</v>
      </c>
      <c r="BE29" s="3044">
        <v>9</v>
      </c>
      <c r="BF29" s="3044">
        <v>10</v>
      </c>
      <c r="BG29" s="1737"/>
      <c r="BH29" s="1737"/>
    </row>
    <row r="30" spans="1:60" ht="12" customHeight="1" thickBot="1" x14ac:dyDescent="0.25">
      <c r="A30" s="9"/>
      <c r="B30" s="1162"/>
      <c r="C30" s="1061" t="s">
        <v>1568</v>
      </c>
      <c r="D30" s="73" t="s">
        <v>1569</v>
      </c>
      <c r="E30" s="73" t="s">
        <v>1557</v>
      </c>
      <c r="F30" s="73" t="s">
        <v>1570</v>
      </c>
      <c r="G30" s="73" t="s">
        <v>1558</v>
      </c>
      <c r="H30" s="4177"/>
      <c r="I30" s="4175"/>
      <c r="J30" s="4154"/>
      <c r="K30" s="4176"/>
      <c r="L30" s="4163"/>
      <c r="M30" s="741"/>
      <c r="N30" s="1061" t="s">
        <v>1568</v>
      </c>
      <c r="O30" s="73" t="s">
        <v>1569</v>
      </c>
      <c r="P30" s="73" t="s">
        <v>1557</v>
      </c>
      <c r="Q30" s="73" t="s">
        <v>1570</v>
      </c>
      <c r="R30" s="73" t="s">
        <v>1558</v>
      </c>
      <c r="S30" s="4177"/>
      <c r="T30" s="4175"/>
      <c r="U30" s="4154"/>
      <c r="V30" s="4176"/>
      <c r="W30" s="4163"/>
      <c r="X30" s="741"/>
      <c r="Y30" s="9"/>
      <c r="Z30" s="9"/>
      <c r="AA30" s="1134"/>
      <c r="AB30" s="4343" t="s">
        <v>1504</v>
      </c>
      <c r="AC30" s="4344"/>
      <c r="AD30" s="4344"/>
      <c r="AE30" s="4345"/>
      <c r="AF30" s="4346" t="s">
        <v>1549</v>
      </c>
      <c r="AG30" s="4347"/>
      <c r="AH30" s="4347"/>
      <c r="AI30" s="4347"/>
      <c r="AJ30" s="4347"/>
      <c r="AK30" s="4347"/>
      <c r="AL30" s="4347"/>
      <c r="AM30" s="4347"/>
      <c r="AN30" s="4347"/>
      <c r="AO30" s="4347"/>
      <c r="AP30" s="4348"/>
      <c r="AQ30" s="1461" t="s">
        <v>1500</v>
      </c>
      <c r="AR30" s="1201"/>
      <c r="AS30" s="1156"/>
      <c r="AT30" s="3055">
        <v>1</v>
      </c>
      <c r="AU30" s="3055" t="s">
        <v>1415</v>
      </c>
      <c r="AV30" s="3044"/>
      <c r="AW30" s="3044">
        <f>E28</f>
        <v>0</v>
      </c>
      <c r="AX30" s="3044">
        <f>P28</f>
        <v>0</v>
      </c>
      <c r="AY30" s="3044">
        <f>E35</f>
        <v>0</v>
      </c>
      <c r="AZ30" s="3044">
        <f>P35</f>
        <v>0</v>
      </c>
      <c r="BA30" s="3044">
        <f>E42</f>
        <v>0</v>
      </c>
      <c r="BB30" s="3044">
        <f>P42</f>
        <v>0</v>
      </c>
      <c r="BC30" s="3044">
        <f>E49</f>
        <v>0</v>
      </c>
      <c r="BD30" s="3044">
        <f>P49</f>
        <v>0</v>
      </c>
      <c r="BE30" s="3044">
        <f>E58</f>
        <v>0</v>
      </c>
      <c r="BF30" s="3044">
        <f>P58</f>
        <v>0</v>
      </c>
      <c r="BG30" s="1737"/>
      <c r="BH30" s="1737"/>
    </row>
    <row r="31" spans="1:60" ht="12" customHeight="1" x14ac:dyDescent="0.2">
      <c r="A31" s="9"/>
      <c r="B31" s="1162"/>
      <c r="C31" s="1062" t="str">
        <f>IF(E28=0,"",VLOOKUP(E28,Tabla_ArmasyEscudos,6,FALSE))</f>
        <v/>
      </c>
      <c r="D31" s="1472" t="str">
        <f>IF(E28=0,"",VLOOKUP(E28,Tabla_ArmasyEscudos,7,FALSE))</f>
        <v/>
      </c>
      <c r="E31" s="1472" t="str">
        <f>IFERROR(IF(E28=0,"",MAX(0,IF(Extensióndelauraalarma,10,0)+J31*2+VLOOKUP(E28,Tabla_ArmasyEscudos,10,FALSE)+IF(F29=0,0,VLOOKUP(F29,Tabla_ArmasEnormes,6,FALSE)))+IF(Tabla_Desvío,DES,0)),"-")</f>
        <v/>
      </c>
      <c r="F31" s="1472" t="str">
        <f>IF(E28=0,"",IF(Extensióndelauraalarma,5,0)+J31*2/5+VLOOKUP(E28,Tabla_ArmasyEscudos,11,FALSE)+IF(F29=0,0,VLOOKUP(F29,Tabla_ArmasEnormes,7,FALSE))+IF(FUE=0,0,VLOOKUP(FUE,Tabla_Fuerza,2))+IF(Ojos_de_la_Muerte,5,0))</f>
        <v/>
      </c>
      <c r="G31" s="1144">
        <f>IFERROR(IF(E28=0,0,IF(E28="Ophiucos",0,MAX(IF(OR(ISNUMBER(FIND("Virgo",E28)),ISNUMBER(FIND("Umbra",E28))),0,J31)*10,0))+VLOOKUP(E28,Tabla_ArmasyEscudos,12,FALSE)),"-")</f>
        <v>0</v>
      </c>
      <c r="H31" s="4172" t="s">
        <v>8673</v>
      </c>
      <c r="I31" s="4173"/>
      <c r="J31" s="1518"/>
      <c r="K31" s="4196" t="str">
        <f ca="1">IFERROR("Turno base: "&amp;VLOOKUP(E28,Tabla_ArmasyEscudos,3,FALSE)+IF(Tamaño&lt;VLOOKUP(F29,Tabla_ArmasEnormes,3,FALSE),IF(OR(F29="Enorme",F29="Gigante"),-40,0),0),"")</f>
        <v/>
      </c>
      <c r="L31" s="4197"/>
      <c r="M31" s="741"/>
      <c r="N31" s="1062" t="str">
        <f>IF(P28=0,"",VLOOKUP(P28,Tabla_ArmasyEscudos,6,FALSE))</f>
        <v/>
      </c>
      <c r="O31" s="2760" t="str">
        <f>IF(P28=0,"",VLOOKUP(P28,Tabla_ArmasyEscudos,7,FALSE))</f>
        <v/>
      </c>
      <c r="P31" s="2760" t="str">
        <f>IFERROR(IF(P28=0,"",MAX(0,IF(Extensióndelauraalarma,10,0)+U31*2+VLOOKUP(P28,Tabla_ArmasyEscudos,10,FALSE)+IF(Q29=0,0,VLOOKUP(Q29,Tabla_ArmasEnormes,6,FALSE)))+IF(Tabla_Desvío,DES,0)),"-")</f>
        <v/>
      </c>
      <c r="Q31" s="2760" t="str">
        <f>IF(P28=0,"",IF(Extensióndelauraalarma,5,0)+U31*2/5+VLOOKUP(P28,Tabla_ArmasyEscudos,11,FALSE)+IF(Q29=0,0,VLOOKUP(Q29,Tabla_ArmasEnormes,7,FALSE))+IF(FUE=0,0,VLOOKUP(FUE,Tabla_Fuerza,2))+IF(Ojos_de_la_Muerte,5,0))</f>
        <v/>
      </c>
      <c r="R31" s="1144">
        <f>IFERROR(IF(P28=0,0,IF(P28="Ophiucos",0,MAX(IF(OR(ISNUMBER(FIND("Virgo",P28)),ISNUMBER(FIND("Umbra",P28))),0,U31)*10,0))+VLOOKUP(P28,Tabla_ArmasyEscudos,12,FALSE)),"-")</f>
        <v>0</v>
      </c>
      <c r="S31" s="4172" t="s">
        <v>8673</v>
      </c>
      <c r="T31" s="4173"/>
      <c r="U31" s="1518"/>
      <c r="V31" s="4196" t="str">
        <f ca="1">IFERROR("Turno base: "&amp;VLOOKUP(P28,Tabla_ArmasyEscudos,3,FALSE)+IF(Tamaño&lt;VLOOKUP(Q29,Tabla_ArmasEnormes,3,FALSE),IF(OR(Q29="Enorme",Q29="Gigante"),-40,0),0),"")</f>
        <v/>
      </c>
      <c r="W31" s="4197"/>
      <c r="X31" s="741"/>
      <c r="Y31" s="9"/>
      <c r="Z31" s="9"/>
      <c r="AA31" s="1134"/>
      <c r="AB31" s="4349" t="str">
        <f>IF(PDs!$AD59=0,"",PDs!$AD59)</f>
        <v/>
      </c>
      <c r="AC31" s="4350"/>
      <c r="AD31" s="4350"/>
      <c r="AE31" s="4350"/>
      <c r="AF31" s="4200" t="str">
        <f t="shared" ref="AF31:AF49" si="10">IFERROR(VLOOKUP(AB31,Tabla_ArtesMarciales,11,FALSE),"")</f>
        <v/>
      </c>
      <c r="AG31" s="4327"/>
      <c r="AH31" s="4327"/>
      <c r="AI31" s="4327"/>
      <c r="AJ31" s="4327"/>
      <c r="AK31" s="4327"/>
      <c r="AL31" s="4327"/>
      <c r="AM31" s="4327"/>
      <c r="AN31" s="4327"/>
      <c r="AO31" s="4327"/>
      <c r="AP31" s="4202"/>
      <c r="AQ31" s="1514">
        <f>IF(AB31="",0,VLOOKUP(AB31,Tablas!$D$850:$G$939,4,FALSE))</f>
        <v>0</v>
      </c>
      <c r="AR31" s="1201"/>
      <c r="AS31" s="1156"/>
      <c r="AT31" s="3055">
        <v>2</v>
      </c>
      <c r="AU31" s="3055" t="s">
        <v>1550</v>
      </c>
      <c r="AV31" s="3044"/>
      <c r="AW31" s="3044">
        <f>J31</f>
        <v>0</v>
      </c>
      <c r="AX31" s="3044">
        <f>U31</f>
        <v>0</v>
      </c>
      <c r="AY31" s="3044">
        <f>J38</f>
        <v>0</v>
      </c>
      <c r="AZ31" s="3044">
        <f>U38</f>
        <v>0</v>
      </c>
      <c r="BA31" s="3044">
        <f>J45</f>
        <v>0</v>
      </c>
      <c r="BB31" s="3044">
        <f>U45</f>
        <v>0</v>
      </c>
      <c r="BC31" s="3044">
        <f>J52</f>
        <v>0</v>
      </c>
      <c r="BD31" s="3044">
        <f>U52</f>
        <v>0</v>
      </c>
      <c r="BE31" s="3044">
        <f>J61</f>
        <v>0</v>
      </c>
      <c r="BF31" s="3044">
        <f>U61</f>
        <v>0</v>
      </c>
      <c r="BG31" s="3055"/>
      <c r="BH31" s="1737"/>
    </row>
    <row r="32" spans="1:60" ht="12" customHeight="1" thickBot="1" x14ac:dyDescent="0.25">
      <c r="A32" s="9"/>
      <c r="B32" s="1162"/>
      <c r="C32" s="4198" t="str">
        <f>IF(E28=0,"",E33)</f>
        <v/>
      </c>
      <c r="D32" s="4199"/>
      <c r="E32" s="4199"/>
      <c r="F32" s="4199"/>
      <c r="G32" s="4199"/>
      <c r="H32" s="4199"/>
      <c r="I32" s="1476"/>
      <c r="J32" s="1477" t="str">
        <f>IF(F29=0,IF(J31&lt;=0,"","TA defensor: -"&amp;J31/5),IF(Tamaño&lt;VLOOKUP(F29,Tabla_ArmasEnormes,2,FALSE),"Tam. excesivo",IF(J31&lt;=0,"","TA defensor: -"&amp;J31/5)))</f>
        <v/>
      </c>
      <c r="K32" s="4170" t="str">
        <f ca="1">IFERROR("FUE min: "&amp;VLOOKUP(E28,Tabla_ArmasyEscudos,IF(C28="A dos manos",5,4),FALSE)+IF(OR(F29="",F29="Normal"),0,2),"")</f>
        <v/>
      </c>
      <c r="L32" s="4171"/>
      <c r="M32" s="741"/>
      <c r="N32" s="4198" t="str">
        <f>IF(P28=0,"",P33)</f>
        <v/>
      </c>
      <c r="O32" s="4199"/>
      <c r="P32" s="4199"/>
      <c r="Q32" s="4199"/>
      <c r="R32" s="4199"/>
      <c r="S32" s="4199"/>
      <c r="T32" s="1476"/>
      <c r="U32" s="1477" t="str">
        <f>IF(Q29=0,IF(U31&lt;=0,"","TA defensor: -"&amp;U31/5),IF(Tamaño&lt;VLOOKUP(Q29,Tabla_ArmasEnormes,2,FALSE),"Tam. excesivo",IF(U31&lt;=0,"","TA defensor: -"&amp;U31/5)))</f>
        <v/>
      </c>
      <c r="V32" s="4170" t="str">
        <f ca="1">IFERROR("FUE min: "&amp;VLOOKUP(P28,Tabla_ArmasyEscudos,IF(N28="A dos manos",5,4),FALSE)+IF(OR(Q29="",Q29="Normal"),0,2),"")</f>
        <v/>
      </c>
      <c r="W32" s="4171"/>
      <c r="X32" s="741"/>
      <c r="Y32" s="9"/>
      <c r="Z32" s="9"/>
      <c r="AA32" s="1134"/>
      <c r="AB32" s="4354" t="str">
        <f>IF(PDs!$AD60=0,"",PDs!$AD60)</f>
        <v/>
      </c>
      <c r="AC32" s="4327"/>
      <c r="AD32" s="4327"/>
      <c r="AE32" s="4327"/>
      <c r="AF32" s="4200" t="str">
        <f t="shared" si="10"/>
        <v/>
      </c>
      <c r="AG32" s="4327"/>
      <c r="AH32" s="4327"/>
      <c r="AI32" s="4327"/>
      <c r="AJ32" s="4327"/>
      <c r="AK32" s="4327"/>
      <c r="AL32" s="4327"/>
      <c r="AM32" s="4327"/>
      <c r="AN32" s="4327"/>
      <c r="AO32" s="4327"/>
      <c r="AP32" s="4202"/>
      <c r="AQ32" s="1515">
        <f>IF(AB32="",0,VLOOKUP(AB32,Tablas!$D$850:$G$939,4,FALSE))</f>
        <v>0</v>
      </c>
      <c r="AR32" s="1201"/>
      <c r="AS32" s="1156"/>
      <c r="AT32" s="3055">
        <v>3</v>
      </c>
      <c r="AU32" s="3055" t="s">
        <v>8702</v>
      </c>
      <c r="AV32" s="3044"/>
      <c r="AW32" s="3044" t="str">
        <f>C29</f>
        <v/>
      </c>
      <c r="AX32" s="3044" t="str">
        <f>N29</f>
        <v/>
      </c>
      <c r="AY32" s="3044" t="str">
        <f>C36</f>
        <v/>
      </c>
      <c r="AZ32" s="3044" t="str">
        <f>N36</f>
        <v/>
      </c>
      <c r="BA32" s="3044" t="str">
        <f>C43</f>
        <v/>
      </c>
      <c r="BB32" s="3044" t="str">
        <f>N43</f>
        <v/>
      </c>
      <c r="BC32" s="3044" t="str">
        <f>C51</f>
        <v/>
      </c>
      <c r="BD32" s="3044" t="str">
        <f>N51</f>
        <v/>
      </c>
      <c r="BE32" s="3044" t="str">
        <f>C60</f>
        <v/>
      </c>
      <c r="BF32" s="3044" t="str">
        <f>N60</f>
        <v/>
      </c>
      <c r="BG32" s="3055"/>
      <c r="BH32" s="1737"/>
    </row>
    <row r="33" spans="1:60" ht="12" customHeight="1" thickBot="1" x14ac:dyDescent="0.25">
      <c r="A33" s="9"/>
      <c r="B33" s="1162"/>
      <c r="C33" s="579" t="e">
        <f ca="1">VLOOKUP(E28,Tabla_ArmasyEscudos,19,FALSE)</f>
        <v>#N/A</v>
      </c>
      <c r="D33" s="579" t="e">
        <f ca="1">IF(ISNUMBER(SEARCH("XXX",C33)),SUBSTITUTE(C33,"XXX",MAX(0,VLOOKUP(E28,Tabla_ArmasyEscudos,17,FALSE)+IF(FUE&lt;3,-30,VLOOKUP(FUE,Tabla_AlcanceFUE,2)))),SUBSTITUTE(SUBSTITUTE(C33,"Arma natural a distancia disparada",F33),"Arma natural a distancia",F33))</f>
        <v>#N/A</v>
      </c>
      <c r="E33" s="579" t="e">
        <f ca="1">SUBSTITUTE(IF(VLOOKUP(E28,Tabla_ArmasyEscudos,17,FALSE)&lt;&gt;"-",D33,C33),"(FUE "&amp;G33&amp;")","(FUE "&amp;G33+J31/5&amp;")")</f>
        <v>#N/A</v>
      </c>
      <c r="F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9">
        <f ca="1">IFERROR(MID(C33,SEARCH("(FUE ",C33)+5,SEARCH(")",C33,SEARCH("(FUE ",C33))-SEARCH("(FUE ",C33)-5),0)</f>
        <v>0</v>
      </c>
      <c r="H33" s="579"/>
      <c r="M33" s="579"/>
      <c r="N33" s="579" t="e">
        <f ca="1">VLOOKUP(P28,Tabla_ArmasyEscudos,19,FALSE)</f>
        <v>#N/A</v>
      </c>
      <c r="O33" s="579" t="e">
        <f ca="1">IF(ISNUMBER(SEARCH("XXX",N33)),SUBSTITUTE(N33,"XXX",MAX(0,VLOOKUP(P28,Tabla_ArmasyEscudos,17,FALSE)+IF(FUE&lt;3,-30,VLOOKUP(FUE,Tabla_AlcanceFUE,2)))),SUBSTITUTE(SUBSTITUTE(N33,"Arma natural a distancia disparada",Q33),"Arma natural a distancia",Q33))</f>
        <v>#N/A</v>
      </c>
      <c r="P33" s="579" t="e">
        <f ca="1">SUBSTITUTE(IF(VLOOKUP(P28,Tabla_ArmasyEscudos,17,FALSE)&lt;&gt;"-",O33,N33),"(FUE "&amp;R33&amp;")","(FUE "&amp;R33+U31/5&amp;")")</f>
        <v>#N/A</v>
      </c>
      <c r="Q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9">
        <f ca="1">IFERROR(MID(N33,SEARCH("(FUE ",N33)+5,SEARCH(")",N33,SEARCH("(FUE ",N33))-SEARCH("(FUE ",N33)-5),0)</f>
        <v>0</v>
      </c>
      <c r="S33" s="579"/>
      <c r="X33" s="741"/>
      <c r="Y33" s="9"/>
      <c r="Z33" s="9"/>
      <c r="AA33" s="1134"/>
      <c r="AB33" s="4354" t="str">
        <f>IF(PDs!$AD61=0,"",PDs!$AD61)</f>
        <v/>
      </c>
      <c r="AC33" s="4327"/>
      <c r="AD33" s="4327"/>
      <c r="AE33" s="4327"/>
      <c r="AF33" s="4200" t="str">
        <f t="shared" si="10"/>
        <v/>
      </c>
      <c r="AG33" s="4201"/>
      <c r="AH33" s="4201"/>
      <c r="AI33" s="4201"/>
      <c r="AJ33" s="4201"/>
      <c r="AK33" s="4201"/>
      <c r="AL33" s="4201"/>
      <c r="AM33" s="4201"/>
      <c r="AN33" s="4201"/>
      <c r="AO33" s="4201"/>
      <c r="AP33" s="4202"/>
      <c r="AQ33" s="1515">
        <f>IF(AB33="",0,VLOOKUP(AB33,Tablas!$D$850:$G$939,4,FALSE))</f>
        <v>0</v>
      </c>
      <c r="AR33" s="1201"/>
      <c r="AS33" s="1156"/>
      <c r="AT33" s="3055">
        <v>4</v>
      </c>
      <c r="AU33" s="3055" t="s">
        <v>1901</v>
      </c>
      <c r="AV33" s="3044"/>
      <c r="AW33" s="3044" t="str">
        <f>F29</f>
        <v>Normal</v>
      </c>
      <c r="AX33" s="3044" t="str">
        <f>Q29</f>
        <v>Normal</v>
      </c>
      <c r="AY33" s="3044" t="str">
        <f>F36</f>
        <v>Normal</v>
      </c>
      <c r="AZ33" s="3044" t="str">
        <f>Q36</f>
        <v>Normal</v>
      </c>
      <c r="BA33" s="3044" t="str">
        <f>F43</f>
        <v>Normal</v>
      </c>
      <c r="BB33" s="3044" t="str">
        <f>Q43</f>
        <v>Normal</v>
      </c>
      <c r="BC33" s="3044" t="str">
        <f>F51</f>
        <v>Normal</v>
      </c>
      <c r="BD33" s="3044" t="str">
        <f>Q51</f>
        <v>Normal</v>
      </c>
      <c r="BE33" s="3044" t="str">
        <f>F60</f>
        <v>Normal</v>
      </c>
      <c r="BF33" s="3044" t="str">
        <f>Q60</f>
        <v>Normal</v>
      </c>
      <c r="BG33" s="3055"/>
      <c r="BH33" s="1737"/>
    </row>
    <row r="34" spans="1:60" ht="12" customHeight="1" thickBot="1" x14ac:dyDescent="0.25">
      <c r="A34" s="9"/>
      <c r="B34" s="1162"/>
      <c r="C34" s="1480" t="s">
        <v>8681</v>
      </c>
      <c r="D34" s="1475" t="str">
        <f>E35&amp;IF(COUNTIF($R$22:$T$25,C34&amp;" "&amp;E35)&gt;0,IFERROR(" y"&amp;MID(VLOOKUP(C34&amp;" "&amp;E35,$R$22:$W$25,4,FALSE),SEARCH(".",VLOOKUP(C34&amp;" "&amp;E35,$R$22:$W$25,4,FALSE))+1,100),""),"")</f>
        <v/>
      </c>
      <c r="E34" s="1475"/>
      <c r="F34" s="1475"/>
      <c r="G34" s="1475"/>
      <c r="H34" s="1475"/>
      <c r="I34" s="1475"/>
      <c r="J34" s="1475"/>
      <c r="K34" s="1475"/>
      <c r="L34" s="1512" t="s">
        <v>8697</v>
      </c>
      <c r="M34" s="741"/>
      <c r="N34" s="1480" t="s">
        <v>8678</v>
      </c>
      <c r="O34" s="1475" t="str">
        <f>P35&amp;IF(COUNTIF($R$22:$T$25,N34&amp;" "&amp;P35)&gt;0,IFERROR(" y"&amp;MID(VLOOKUP(N34&amp;" "&amp;P35,$R$22:$W$25,4,FALSE),SEARCH(".",VLOOKUP(N34&amp;" "&amp;P35,$R$22:$W$25,4,FALSE))+1,100),""),"")</f>
        <v/>
      </c>
      <c r="P34" s="1475"/>
      <c r="Q34" s="1475"/>
      <c r="R34" s="1475"/>
      <c r="S34" s="1475"/>
      <c r="T34" s="1475"/>
      <c r="U34" s="1475"/>
      <c r="V34" s="1475"/>
      <c r="W34" s="1512" t="s">
        <v>8697</v>
      </c>
      <c r="X34" s="741"/>
      <c r="Y34" s="9"/>
      <c r="Z34" s="9"/>
      <c r="AA34" s="1134"/>
      <c r="AB34" s="4354" t="str">
        <f>IF(PDs!$AD62=0,"",PDs!$AD62)</f>
        <v/>
      </c>
      <c r="AC34" s="4327"/>
      <c r="AD34" s="4327"/>
      <c r="AE34" s="4327"/>
      <c r="AF34" s="4200" t="str">
        <f t="shared" si="10"/>
        <v/>
      </c>
      <c r="AG34" s="4201"/>
      <c r="AH34" s="4201"/>
      <c r="AI34" s="4201"/>
      <c r="AJ34" s="4201"/>
      <c r="AK34" s="4201"/>
      <c r="AL34" s="4201"/>
      <c r="AM34" s="4201"/>
      <c r="AN34" s="4201"/>
      <c r="AO34" s="4201"/>
      <c r="AP34" s="4202"/>
      <c r="AQ34" s="1515">
        <f>IF(AB34="",0,VLOOKUP(AB34,Tablas!$D$850:$G$939,4,FALSE))</f>
        <v>0</v>
      </c>
      <c r="AR34" s="1201"/>
      <c r="AS34" s="1156"/>
      <c r="AT34" s="3055">
        <v>5</v>
      </c>
      <c r="AU34" s="3055" t="s">
        <v>1580</v>
      </c>
      <c r="AV34" s="1737"/>
      <c r="AW34" s="1737" t="s">
        <v>1456</v>
      </c>
      <c r="AX34" s="1737" t="s">
        <v>1456</v>
      </c>
      <c r="AY34" s="1737" t="s">
        <v>1456</v>
      </c>
      <c r="AZ34" s="1737" t="s">
        <v>1456</v>
      </c>
      <c r="BA34" s="1737" t="s">
        <v>1456</v>
      </c>
      <c r="BB34" s="1737" t="s">
        <v>1456</v>
      </c>
      <c r="BC34" s="3044">
        <f>E50</f>
        <v>0</v>
      </c>
      <c r="BD34" s="3044">
        <f>P50</f>
        <v>0</v>
      </c>
      <c r="BE34" s="3044">
        <f>E59</f>
        <v>0</v>
      </c>
      <c r="BF34" s="3044">
        <f>P59</f>
        <v>0</v>
      </c>
      <c r="BG34" s="3055"/>
      <c r="BH34" s="1737"/>
    </row>
    <row r="35" spans="1:60" ht="12" customHeight="1" x14ac:dyDescent="0.2">
      <c r="A35" s="9"/>
      <c r="B35" s="1162"/>
      <c r="C35" s="4188" t="s">
        <v>8671</v>
      </c>
      <c r="D35" s="4189"/>
      <c r="E35" s="4190"/>
      <c r="F35" s="4191"/>
      <c r="G35" s="4192"/>
      <c r="H35" s="1790" t="s">
        <v>1393</v>
      </c>
      <c r="I35" s="1791" t="s">
        <v>1564</v>
      </c>
      <c r="J35" s="4193" t="s">
        <v>1565</v>
      </c>
      <c r="K35" s="4193"/>
      <c r="L35" s="1792" t="s">
        <v>1566</v>
      </c>
      <c r="M35" s="1511" t="str">
        <f ca="1">IF(C35=INDEX(Lista_ManosArma,2),Lista_A2Manos,Lista_A1Mano)</f>
        <v>Tablas!$AB$640:$AB$757</v>
      </c>
      <c r="N35" s="4188" t="s">
        <v>8671</v>
      </c>
      <c r="O35" s="4189"/>
      <c r="P35" s="4190"/>
      <c r="Q35" s="4191"/>
      <c r="R35" s="4192"/>
      <c r="S35" s="1790" t="s">
        <v>1393</v>
      </c>
      <c r="T35" s="1791" t="s">
        <v>1564</v>
      </c>
      <c r="U35" s="4193" t="s">
        <v>1565</v>
      </c>
      <c r="V35" s="4193"/>
      <c r="W35" s="1792" t="s">
        <v>1566</v>
      </c>
      <c r="X35" s="1511" t="str">
        <f ca="1">IF(N35=INDEX(Lista_ManosArma,2),Lista_A2Manos,Lista_A1Mano)</f>
        <v>Tablas!$AB$640:$AB$757</v>
      </c>
      <c r="Y35" s="9"/>
      <c r="Z35" s="9"/>
      <c r="AA35" s="1134"/>
      <c r="AB35" s="4354" t="str">
        <f>IF(PDs!$AD63=0,"",PDs!$AD63)</f>
        <v/>
      </c>
      <c r="AC35" s="4327"/>
      <c r="AD35" s="4327"/>
      <c r="AE35" s="4327"/>
      <c r="AF35" s="4200" t="str">
        <f t="shared" si="10"/>
        <v/>
      </c>
      <c r="AG35" s="4201"/>
      <c r="AH35" s="4201"/>
      <c r="AI35" s="4201"/>
      <c r="AJ35" s="4201"/>
      <c r="AK35" s="4201"/>
      <c r="AL35" s="4201"/>
      <c r="AM35" s="4201"/>
      <c r="AN35" s="4201"/>
      <c r="AO35" s="4201"/>
      <c r="AP35" s="4202"/>
      <c r="AQ35" s="1515">
        <f>IF(AB35="",0,VLOOKUP(AB35,Tablas!$D$850:$G$939,4,FALSE))</f>
        <v>0</v>
      </c>
      <c r="AR35" s="1201"/>
      <c r="AS35" s="1156"/>
      <c r="AT35" s="3055">
        <v>6</v>
      </c>
      <c r="AU35" s="3055" t="s">
        <v>8738</v>
      </c>
      <c r="AV35" s="3044"/>
      <c r="AW35" s="3044" t="s">
        <v>1456</v>
      </c>
      <c r="AX35" s="3044" t="s">
        <v>1456</v>
      </c>
      <c r="AY35" s="3044" t="s">
        <v>1456</v>
      </c>
      <c r="AZ35" s="3044" t="s">
        <v>1456</v>
      </c>
      <c r="BA35" s="3044" t="s">
        <v>1456</v>
      </c>
      <c r="BB35" s="3044" t="s">
        <v>1456</v>
      </c>
      <c r="BC35" s="3044">
        <f>J53</f>
        <v>0</v>
      </c>
      <c r="BD35" s="3044">
        <f>U53</f>
        <v>0</v>
      </c>
      <c r="BE35" s="3044">
        <f>J62</f>
        <v>0</v>
      </c>
      <c r="BF35" s="3044">
        <f>U62</f>
        <v>0</v>
      </c>
      <c r="BG35" s="3055"/>
      <c r="BH35" s="1737"/>
    </row>
    <row r="36" spans="1:60" ht="12" customHeight="1" x14ac:dyDescent="0.2">
      <c r="A36" s="9"/>
      <c r="B36" s="1162"/>
      <c r="C36" s="4164" t="str">
        <f>IF(E35=0,"",VLOOKUP(E35,Tabla_ArmasyEscudos,9,FALSE))</f>
        <v/>
      </c>
      <c r="D36" s="4165"/>
      <c r="E36" s="1793" t="s">
        <v>1576</v>
      </c>
      <c r="F36" s="4166" t="s">
        <v>1577</v>
      </c>
      <c r="G36" s="4167"/>
      <c r="H36" s="4177">
        <f ca="1">IFERROR(INDEX(Tabla_Combate,$AT$41,LEFT(C34,LEN(C34)-1)),0)</f>
        <v>0</v>
      </c>
      <c r="I36" s="4174">
        <f ca="1">IFERROR(INDEX(Tabla_Combate,$AT$42,LEFT(C34,LEN(C34)-1)),0)</f>
        <v>0</v>
      </c>
      <c r="J36" s="4153">
        <f ca="1">IF(K36="-",0,IF(K36="Par",INDEX(Tabla_Combate,$AT$43,LEFT(C34,LEN(C34)-1)),INDEX(Tabla_Combate,$AT$44,LEFT(C34,LEN(C34)-1))))</f>
        <v>0</v>
      </c>
      <c r="K36" s="3714" t="str">
        <f ca="1">IF(IFERROR(VLOOKUP(INDEX(Tabla_Combate,$AT$30,LEFT(C34,LEN(C34)-1)),Tablas!$AH$822:$AS$831,11,0),FALSE),"-",IFERROR(IF(INDEX(Tabla_Combate,$AT$43,LEFT(C34,LEN(C34)-1))&gt;INDEX(Tabla_Combate,$AT$44,LEFT(C34,LEN(C34)-1)),"Par","Esq"),"-"))</f>
        <v>-</v>
      </c>
      <c r="L36" s="4162">
        <f ca="1">IFERROR(INDEX(Tabla_Combate,$AT$46,LEFT(C34,LEN(C34)-1)),0)</f>
        <v>0</v>
      </c>
      <c r="M36" s="741"/>
      <c r="N36" s="4164" t="str">
        <f>IF(P35=0,"",VLOOKUP(P35,Tabla_ArmasyEscudos,9,FALSE))</f>
        <v/>
      </c>
      <c r="O36" s="4165"/>
      <c r="P36" s="1793" t="s">
        <v>1576</v>
      </c>
      <c r="Q36" s="4166" t="s">
        <v>1577</v>
      </c>
      <c r="R36" s="4167"/>
      <c r="S36" s="4177">
        <f ca="1">IFERROR(INDEX(Tabla_Combate,$AT$41,LEFT(N34,LEN(N34)-1)),0)</f>
        <v>0</v>
      </c>
      <c r="T36" s="4174">
        <f ca="1">IFERROR(INDEX(Tabla_Combate,$AT$42,LEFT(N34,LEN(N34)-1)),0)</f>
        <v>0</v>
      </c>
      <c r="U36" s="4153">
        <f ca="1">IF(V36="-",0,IF(V36="Par",INDEX(Tabla_Combate,$AT$43,LEFT(N34,LEN(N34)-1)),INDEX(Tabla_Combate,$AT$44,LEFT(N34,LEN(N34)-1))))</f>
        <v>0</v>
      </c>
      <c r="V36" s="3714" t="str">
        <f ca="1">IF(IFERROR(VLOOKUP(INDEX(Tabla_Combate,$AT$30,LEFT(N34,LEN(N34)-1)),Tablas!$AH$822:$AS$831,11,0),FALSE),"-",IFERROR(IF(INDEX(Tabla_Combate,$AT$43,LEFT(N34,LEN(N34)-1))&gt;INDEX(Tabla_Combate,$AT$44,LEFT(N34,LEN(N34)-1)),"Par","Esq"),"-"))</f>
        <v>-</v>
      </c>
      <c r="W36" s="4162">
        <f ca="1">IFERROR(INDEX(Tabla_Combate,$AT$46,LEFT(N34,LEN(N34)-1)),0)</f>
        <v>0</v>
      </c>
      <c r="X36" s="741"/>
      <c r="Y36" s="9"/>
      <c r="Z36" s="9"/>
      <c r="AA36" s="1134"/>
      <c r="AB36" s="4354" t="str">
        <f>IF(PDs!$AD64=0,"",PDs!$AD64)</f>
        <v/>
      </c>
      <c r="AC36" s="4327"/>
      <c r="AD36" s="4327"/>
      <c r="AE36" s="4327"/>
      <c r="AF36" s="4200" t="str">
        <f t="shared" si="10"/>
        <v/>
      </c>
      <c r="AG36" s="4201"/>
      <c r="AH36" s="4201"/>
      <c r="AI36" s="4201"/>
      <c r="AJ36" s="4201"/>
      <c r="AK36" s="4201"/>
      <c r="AL36" s="4201"/>
      <c r="AM36" s="4201"/>
      <c r="AN36" s="4201"/>
      <c r="AO36" s="4201"/>
      <c r="AP36" s="4202"/>
      <c r="AQ36" s="1515">
        <f>IF(AB36="",0,VLOOKUP(AB36,Tablas!$D$850:$G$939,4,FALSE))</f>
        <v>0</v>
      </c>
      <c r="AR36" s="1201"/>
      <c r="AS36" s="1156"/>
      <c r="AT36" s="3055">
        <v>7</v>
      </c>
      <c r="AU36" s="3055" t="s">
        <v>9622</v>
      </c>
      <c r="AV36" s="3055"/>
      <c r="AW36" s="3055" t="str">
        <f>IF($C31="","","("&amp;$C31&amp;IF($D31="-",""," / "&amp;$D31)&amp;")")</f>
        <v/>
      </c>
      <c r="AX36" s="3055" t="str">
        <f>IF($N31="","","("&amp;$N31&amp;IF($O31="-",""," / "&amp;$O31)&amp;")")</f>
        <v/>
      </c>
      <c r="AY36" s="3055" t="str">
        <f>IF($C38="","","("&amp;$C38&amp;IF($D38="-",""," / "&amp;$D38)&amp;")")</f>
        <v/>
      </c>
      <c r="AZ36" s="3055" t="str">
        <f>IF($N38="","","("&amp;$N38&amp;IF($O38="-",""," / "&amp;$O38)&amp;")")</f>
        <v/>
      </c>
      <c r="BA36" s="3055" t="str">
        <f>IF($C45="","","("&amp;$C45&amp;IF($D45="-",""," / "&amp;$D45)&amp;")")</f>
        <v/>
      </c>
      <c r="BB36" s="3055" t="str">
        <f>IF($N45="","","("&amp;$N45&amp;IF($O45="-",""," / "&amp;$O45)&amp;")")</f>
        <v/>
      </c>
      <c r="BC36" s="3055" t="str">
        <f>IF($C53="","","("&amp;$C53&amp;IF($D53="-",""," / "&amp;$D53)&amp;")")</f>
        <v/>
      </c>
      <c r="BD36" s="3055" t="str">
        <f>IF($N53="","","("&amp;$N53&amp;IF($O53="-",""," / "&amp;$O53)&amp;")")</f>
        <v/>
      </c>
      <c r="BE36" s="3055" t="str">
        <f>IF($C62="","","("&amp;$C62&amp;IF($D62="-",""," / "&amp;$D62)&amp;")")</f>
        <v/>
      </c>
      <c r="BF36" s="3055" t="str">
        <f>IF($N62="","","("&amp;$N62&amp;IF($O62="-",""," / "&amp;$O62)&amp;")")</f>
        <v/>
      </c>
      <c r="BG36" s="3055"/>
      <c r="BH36" s="1737"/>
    </row>
    <row r="37" spans="1:60" ht="12" customHeight="1" x14ac:dyDescent="0.2">
      <c r="A37" s="9"/>
      <c r="B37" s="1162"/>
      <c r="C37" s="1061" t="s">
        <v>1568</v>
      </c>
      <c r="D37" s="73" t="s">
        <v>1569</v>
      </c>
      <c r="E37" s="73" t="s">
        <v>1557</v>
      </c>
      <c r="F37" s="73" t="s">
        <v>1570</v>
      </c>
      <c r="G37" s="73" t="s">
        <v>1558</v>
      </c>
      <c r="H37" s="4177"/>
      <c r="I37" s="4175"/>
      <c r="J37" s="4154"/>
      <c r="K37" s="4176"/>
      <c r="L37" s="4163"/>
      <c r="M37" s="741"/>
      <c r="N37" s="1061" t="s">
        <v>1568</v>
      </c>
      <c r="O37" s="73" t="s">
        <v>1569</v>
      </c>
      <c r="P37" s="73" t="s">
        <v>1557</v>
      </c>
      <c r="Q37" s="73" t="s">
        <v>1570</v>
      </c>
      <c r="R37" s="73" t="s">
        <v>1558</v>
      </c>
      <c r="S37" s="4177"/>
      <c r="T37" s="4175"/>
      <c r="U37" s="4154"/>
      <c r="V37" s="4176"/>
      <c r="W37" s="4163"/>
      <c r="X37" s="741"/>
      <c r="Y37" s="9"/>
      <c r="Z37" s="9"/>
      <c r="AA37" s="1134"/>
      <c r="AB37" s="4203" t="str">
        <f>IF(PDs!$AD65=0,"",PDs!$AD65)</f>
        <v/>
      </c>
      <c r="AC37" s="4204"/>
      <c r="AD37" s="4204"/>
      <c r="AE37" s="4204"/>
      <c r="AF37" s="4200" t="str">
        <f t="shared" si="10"/>
        <v/>
      </c>
      <c r="AG37" s="4201"/>
      <c r="AH37" s="4201"/>
      <c r="AI37" s="4201"/>
      <c r="AJ37" s="4201"/>
      <c r="AK37" s="4201"/>
      <c r="AL37" s="4201"/>
      <c r="AM37" s="4201"/>
      <c r="AN37" s="4201"/>
      <c r="AO37" s="4201"/>
      <c r="AP37" s="4202"/>
      <c r="AQ37" s="1515">
        <f>IF(AB37="",0,VLOOKUP(AB37,Tablas!$D$850:$G$939,4,FALSE))</f>
        <v>0</v>
      </c>
      <c r="AR37" s="1201"/>
      <c r="AS37" s="1156"/>
      <c r="AT37" s="3055">
        <v>8</v>
      </c>
      <c r="AU37" s="3055" t="s">
        <v>8703</v>
      </c>
      <c r="AV37" s="3044"/>
      <c r="AW37" s="3044" t="str">
        <f>C28</f>
        <v>A una mano</v>
      </c>
      <c r="AX37" s="3044" t="str">
        <f>N28</f>
        <v>A una mano</v>
      </c>
      <c r="AY37" s="3044" t="str">
        <f>C35</f>
        <v>A una mano</v>
      </c>
      <c r="AZ37" s="3044" t="str">
        <f>N35</f>
        <v>A una mano</v>
      </c>
      <c r="BA37" s="3044" t="str">
        <f>C42</f>
        <v>A una mano</v>
      </c>
      <c r="BB37" s="3044" t="str">
        <f>N42</f>
        <v>A una mano</v>
      </c>
      <c r="BC37" s="3044" t="str">
        <f>C49</f>
        <v>A una mano</v>
      </c>
      <c r="BD37" s="3044" t="str">
        <f>N49</f>
        <v>A una mano</v>
      </c>
      <c r="BE37" s="3044" t="str">
        <f>C58</f>
        <v>A dos manos</v>
      </c>
      <c r="BF37" s="3044" t="str">
        <f>N58</f>
        <v>A dos manos</v>
      </c>
      <c r="BG37" s="3055"/>
      <c r="BH37" s="1737"/>
    </row>
    <row r="38" spans="1:60" ht="12" customHeight="1" x14ac:dyDescent="0.2">
      <c r="A38" s="9"/>
      <c r="B38" s="1162"/>
      <c r="C38" s="1062" t="str">
        <f>IF(E35=0,"",VLOOKUP(E35,Tabla_ArmasyEscudos,6,FALSE))</f>
        <v/>
      </c>
      <c r="D38" s="2760" t="str">
        <f>IF(E35=0,"",VLOOKUP(E35,Tabla_ArmasyEscudos,7,FALSE))</f>
        <v/>
      </c>
      <c r="E38" s="2760" t="str">
        <f>IFERROR(IF(E35=0,"",MAX(0,IF(Extensióndelauraalarma,10,0)+J38*2+VLOOKUP(E35,Tabla_ArmasyEscudos,10,FALSE)+IF(F36=0,0,VLOOKUP(F36,Tabla_ArmasEnormes,6,FALSE)))+IF(Tabla_Desvío,DES,0)),"-")</f>
        <v/>
      </c>
      <c r="F38" s="2760" t="str">
        <f>IF(E35=0,"",IF(Extensióndelauraalarma,5,0)+J38*2/5+VLOOKUP(E35,Tabla_ArmasyEscudos,11,FALSE)+IF(F36=0,0,VLOOKUP(F36,Tabla_ArmasEnormes,7,FALSE))+IF(FUE=0,0,VLOOKUP(FUE,Tabla_Fuerza,2))+IF(Ojos_de_la_Muerte,5,0))</f>
        <v/>
      </c>
      <c r="G38" s="1144">
        <f>IFERROR(IF(E35=0,0,IF(E35="Ophiucos",0,MAX(IF(OR(ISNUMBER(FIND("Virgo",E35)),ISNUMBER(FIND("Umbra",E35))),0,J38)*10,0))+VLOOKUP(E35,Tabla_ArmasyEscudos,12,FALSE)),"-")</f>
        <v>0</v>
      </c>
      <c r="H38" s="4172" t="s">
        <v>8673</v>
      </c>
      <c r="I38" s="4173"/>
      <c r="J38" s="1518"/>
      <c r="K38" s="4196" t="str">
        <f ca="1">IFERROR("Turno base: "&amp;VLOOKUP(E35,Tabla_ArmasyEscudos,3,FALSE)+IF(Tamaño&lt;VLOOKUP(F36,Tabla_ArmasEnormes,3,FALSE),IF(OR(F36="Enorme",F36="Gigante"),-40,0),0),"")</f>
        <v/>
      </c>
      <c r="L38" s="4197"/>
      <c r="M38" s="741"/>
      <c r="N38" s="1062" t="str">
        <f>IF(P35=0,"",VLOOKUP(P35,Tabla_ArmasyEscudos,6,FALSE))</f>
        <v/>
      </c>
      <c r="O38" s="2760" t="str">
        <f>IF(P35=0,"",VLOOKUP(P35,Tabla_ArmasyEscudos,7,FALSE))</f>
        <v/>
      </c>
      <c r="P38" s="2760" t="str">
        <f>IFERROR(IF(P35=0,"",MAX(0,IF(Extensióndelauraalarma,10,0)+U38*2+VLOOKUP(P35,Tabla_ArmasyEscudos,10,FALSE)+IF(Q36=0,0,VLOOKUP(Q36,Tabla_ArmasEnormes,6,FALSE)))+IF(Tabla_Desvío,DES,0)),"-")</f>
        <v/>
      </c>
      <c r="Q38" s="2760" t="str">
        <f>IF(P35=0,"",IF(Extensióndelauraalarma,5,0)+U38*2/5+VLOOKUP(P35,Tabla_ArmasyEscudos,11,FALSE)+IF(Q36=0,0,VLOOKUP(Q36,Tabla_ArmasEnormes,7,FALSE))+IF(FUE=0,0,VLOOKUP(FUE,Tabla_Fuerza,2))+IF(Ojos_de_la_Muerte,5,0))</f>
        <v/>
      </c>
      <c r="R38" s="1144">
        <f>IFERROR(IF(P35=0,0,IF(P35="Ophiucos",0,MAX(IF(OR(ISNUMBER(FIND("Virgo",P35)),ISNUMBER(FIND("Umbra",P35))),0,U38)*10,0))+VLOOKUP(P35,Tabla_ArmasyEscudos,12,FALSE)),"-")</f>
        <v>0</v>
      </c>
      <c r="S38" s="4172" t="s">
        <v>8673</v>
      </c>
      <c r="T38" s="4173"/>
      <c r="U38" s="1518"/>
      <c r="V38" s="4196" t="str">
        <f ca="1">IFERROR("Turno base: "&amp;VLOOKUP(P35,Tabla_ArmasyEscudos,3,FALSE)+IF(Tamaño&lt;VLOOKUP(Q36,Tabla_ArmasEnormes,3,FALSE),IF(OR(Q36="Enorme",Q36="Gigante"),-40,0),0),"")</f>
        <v/>
      </c>
      <c r="W38" s="4197"/>
      <c r="X38" s="741"/>
      <c r="Y38" s="9"/>
      <c r="Z38" s="9"/>
      <c r="AA38" s="1134"/>
      <c r="AB38" s="4203" t="str">
        <f>IF(PDs!$AD66=0,"",PDs!$AD66)</f>
        <v/>
      </c>
      <c r="AC38" s="4204"/>
      <c r="AD38" s="4204"/>
      <c r="AE38" s="4204"/>
      <c r="AF38" s="4200" t="str">
        <f t="shared" si="10"/>
        <v/>
      </c>
      <c r="AG38" s="4201"/>
      <c r="AH38" s="4201"/>
      <c r="AI38" s="4201"/>
      <c r="AJ38" s="4201"/>
      <c r="AK38" s="4201"/>
      <c r="AL38" s="4201"/>
      <c r="AM38" s="4201"/>
      <c r="AN38" s="4201"/>
      <c r="AO38" s="4201"/>
      <c r="AP38" s="4202"/>
      <c r="AQ38" s="1515">
        <f>IF(AB38="",0,VLOOKUP(AB38,Tablas!$D$850:$G$939,4,FALSE))</f>
        <v>0</v>
      </c>
      <c r="AR38" s="1201"/>
      <c r="AS38" s="1156"/>
      <c r="AT38" s="3055">
        <v>9</v>
      </c>
      <c r="AU38" s="3055" t="s">
        <v>8704</v>
      </c>
      <c r="AV38" s="3044"/>
      <c r="AW38" s="3044" t="str">
        <f>IF(COUNTIF($R$22:$T$25,Tablas!A$1&amp;". "&amp;AW30)&gt;0,"Hábil",IF(COUNTIF($U$22:$W$25,Tablas!A$1&amp;". "&amp;AW30)&gt;0,"Torpe","Única"))</f>
        <v>Única</v>
      </c>
      <c r="AX38" s="3044" t="str">
        <f>IF(COUNTIF($R$22:$T$25,Tablas!B$1&amp;". "&amp;AX30)&gt;0,"Hábil",IF(COUNTIF($U$22:$W$25,Tablas!B$1&amp;". "&amp;AX30)&gt;0,"Torpe","Única"))</f>
        <v>Única</v>
      </c>
      <c r="AY38" s="3044" t="str">
        <f>IF(COUNTIF($R$22:$T$25,Tablas!C$1&amp;". "&amp;AY30)&gt;0,"Hábil",IF(COUNTIF($U$22:$W$25,Tablas!C$1&amp;". "&amp;AY30)&gt;0,"Torpe","Única"))</f>
        <v>Única</v>
      </c>
      <c r="AZ38" s="3044" t="str">
        <f>IF(COUNTIF($R$22:$T$25,Tablas!D$1&amp;". "&amp;AZ30)&gt;0,"Hábil",IF(COUNTIF($U$22:$W$25,Tablas!D$1&amp;". "&amp;AZ30)&gt;0,"Torpe","Única"))</f>
        <v>Única</v>
      </c>
      <c r="BA38" s="3044" t="str">
        <f>IF(COUNTIF($R$22:$T$25,Tablas!E$1&amp;". "&amp;BA30)&gt;0,"Hábil",IF(COUNTIF($U$22:$W$25,Tablas!E$1&amp;". "&amp;BA30)&gt;0,"Torpe","Única"))</f>
        <v>Única</v>
      </c>
      <c r="BB38" s="3044" t="str">
        <f>IF(COUNTIF($R$22:$T$25,Tablas!F$1&amp;". "&amp;BB30)&gt;0,"Hábil",IF(COUNTIF($U$22:$W$25,Tablas!F$1&amp;". "&amp;BB30)&gt;0,"Torpe","Única"))</f>
        <v>Única</v>
      </c>
      <c r="BC38" s="3044" t="str">
        <f>IF(COUNTIF($R$22:$T$25,Tablas!G$1&amp;". "&amp;BC30)&gt;0,"Hábil",IF(COUNTIF($U$22:$W$25,Tablas!G$1&amp;". "&amp;BC30)&gt;0,"Torpe","Única"))</f>
        <v>Única</v>
      </c>
      <c r="BD38" s="3044" t="str">
        <f>IF(COUNTIF($R$22:$T$25,Tablas!H$1&amp;". "&amp;BD30)&gt;0,"Hábil",IF(COUNTIF($U$22:$W$25,Tablas!H$1&amp;". "&amp;BD30)&gt;0,"Torpe","Única"))</f>
        <v>Única</v>
      </c>
      <c r="BE38" s="3044" t="str">
        <f>IF(COUNTIF($R$22:$T$25,Tablas!I$1&amp;". "&amp;BE30)&gt;0,"Hábil",IF(COUNTIF($U$22:$W$25,Tablas!I$1&amp;". "&amp;BE30)&gt;0,"Torpe","Única"))</f>
        <v>Única</v>
      </c>
      <c r="BF38" s="3044" t="str">
        <f>IF(COUNTIF($R$22:$T$25,Tablas!J$1&amp;". "&amp;BF30)&gt;0,"Hábil",IF(COUNTIF($U$22:$W$25,Tablas!J$1&amp;". "&amp;BF30)&gt;0,"Torpe","Única"))</f>
        <v>Única</v>
      </c>
      <c r="BG38" s="3055"/>
      <c r="BH38" s="1737"/>
    </row>
    <row r="39" spans="1:60" ht="12" customHeight="1" thickBot="1" x14ac:dyDescent="0.25">
      <c r="A39" s="9"/>
      <c r="B39" s="1162"/>
      <c r="C39" s="4198" t="str">
        <f>IF(E35=0,"",E40)</f>
        <v/>
      </c>
      <c r="D39" s="4199"/>
      <c r="E39" s="4199"/>
      <c r="F39" s="4199"/>
      <c r="G39" s="4199"/>
      <c r="H39" s="4199"/>
      <c r="I39" s="1476"/>
      <c r="J39" s="1477" t="str">
        <f>IF(F36=0,IF(J38&lt;=0,"","TA defensor: -"&amp;J38/5),IF(Tamaño&lt;VLOOKUP(F36,Tabla_ArmasEnormes,2,FALSE),"Tam. excesivo",IF(J38&lt;=0,"","TA defensor: -"&amp;J38/5)))</f>
        <v/>
      </c>
      <c r="K39" s="4170" t="str">
        <f ca="1">IFERROR("FUE min: "&amp;VLOOKUP(E35,Tabla_ArmasyEscudos,IF(C35="A dos manos",5,4),FALSE)+IF(OR(F36="",F36="Normal"),0,2),"")</f>
        <v/>
      </c>
      <c r="L39" s="4171"/>
      <c r="M39" s="741"/>
      <c r="N39" s="4198" t="str">
        <f>IF(P35=0,"",P40)</f>
        <v/>
      </c>
      <c r="O39" s="4199"/>
      <c r="P39" s="4199"/>
      <c r="Q39" s="4199"/>
      <c r="R39" s="4199"/>
      <c r="S39" s="4199"/>
      <c r="T39" s="1476"/>
      <c r="U39" s="1477" t="str">
        <f>IF(Q36=0,IF(U38&lt;=0,"","TA defensor: -"&amp;U38/5),IF(Tamaño&lt;VLOOKUP(Q36,Tabla_ArmasEnormes,2,FALSE),"Tam. excesivo",IF(U38&lt;=0,"","TA defensor: -"&amp;U38/5)))</f>
        <v/>
      </c>
      <c r="V39" s="4170" t="str">
        <f ca="1">IFERROR("FUE min: "&amp;VLOOKUP(P35,Tabla_ArmasyEscudos,IF(N35="A dos manos",5,4),FALSE)+IF(OR(Q36="",Q36="Normal"),0,2),"")</f>
        <v/>
      </c>
      <c r="W39" s="4171"/>
      <c r="X39" s="741"/>
      <c r="Y39" s="9"/>
      <c r="Z39" s="9"/>
      <c r="AA39" s="1134"/>
      <c r="AB39" s="4203" t="str">
        <f>IF(PDs!$AD67=0,"",PDs!$AD67)</f>
        <v/>
      </c>
      <c r="AC39" s="4204"/>
      <c r="AD39" s="4204"/>
      <c r="AE39" s="4204"/>
      <c r="AF39" s="4200" t="str">
        <f t="shared" si="10"/>
        <v/>
      </c>
      <c r="AG39" s="4201"/>
      <c r="AH39" s="4201"/>
      <c r="AI39" s="4201"/>
      <c r="AJ39" s="4201"/>
      <c r="AK39" s="4201"/>
      <c r="AL39" s="4201"/>
      <c r="AM39" s="4201"/>
      <c r="AN39" s="4201"/>
      <c r="AO39" s="4201"/>
      <c r="AP39" s="4202"/>
      <c r="AQ39" s="1515">
        <f>IF(AB39="",0,VLOOKUP(AB39,Tablas!$D$850:$G$939,4,FALSE))</f>
        <v>0</v>
      </c>
      <c r="AR39" s="1201"/>
      <c r="AS39" s="1156"/>
      <c r="AT39" s="3055">
        <v>10</v>
      </c>
      <c r="AU39" s="3055" t="s">
        <v>8684</v>
      </c>
      <c r="AV39" s="3044"/>
      <c r="AW39" s="3044" t="str">
        <f>IFERROR(LEFT(VLOOKUP(Tablas!A$1&amp;". "&amp;AW$30,$R$22:$W$25,4,FALSE),SEARCH(".",VLOOKUP(Tablas!A$1&amp;". "&amp;AW$30,$R$22:$W$25,4,FALSE))-1),"-")</f>
        <v>-</v>
      </c>
      <c r="AX39" s="3044" t="str">
        <f>IFERROR(LEFT(VLOOKUP(Tablas!B$1&amp;". "&amp;AX$30,$R$22:$W$25,4,FALSE),SEARCH(".",VLOOKUP(Tablas!B$1&amp;". "&amp;AX$30,$R$22:$W$25,4,FALSE))-1),"-")</f>
        <v>-</v>
      </c>
      <c r="AY39" s="3044" t="str">
        <f>IFERROR(LEFT(VLOOKUP(Tablas!C$1&amp;". "&amp;AY$30,$R$22:$W$25,4,FALSE),SEARCH(".",VLOOKUP(Tablas!C$1&amp;". "&amp;AY$30,$R$22:$W$25,4,FALSE))-1),"-")</f>
        <v>-</v>
      </c>
      <c r="AZ39" s="3044" t="str">
        <f>IFERROR(LEFT(VLOOKUP(Tablas!D$1&amp;". "&amp;AZ$30,$R$22:$W$25,4,FALSE),SEARCH(".",VLOOKUP(Tablas!D$1&amp;". "&amp;AZ$30,$R$22:$W$25,4,FALSE))-1),"-")</f>
        <v>-</v>
      </c>
      <c r="BA39" s="3044" t="str">
        <f>IFERROR(LEFT(VLOOKUP(Tablas!E$1&amp;". "&amp;BA$30,$R$22:$W$25,4,FALSE),SEARCH(".",VLOOKUP(Tablas!E$1&amp;". "&amp;BA$30,$R$22:$W$25,4,FALSE))-1),"-")</f>
        <v>-</v>
      </c>
      <c r="BB39" s="3044" t="str">
        <f>IFERROR(LEFT(VLOOKUP(Tablas!F$1&amp;". "&amp;BB$30,$R$22:$W$25,4,FALSE),SEARCH(".",VLOOKUP(Tablas!F$1&amp;". "&amp;BB$30,$R$22:$W$25,4,FALSE))-1),"-")</f>
        <v>-</v>
      </c>
      <c r="BC39" s="3044" t="str">
        <f>IFERROR(LEFT(VLOOKUP(Tablas!G$1&amp;". "&amp;BC$30,$R$22:$W$25,4,FALSE),SEARCH(".",VLOOKUP(Tablas!G$1&amp;". "&amp;BC$30,$R$22:$W$25,4,FALSE))-1),"-")</f>
        <v>-</v>
      </c>
      <c r="BD39" s="3044" t="str">
        <f>IFERROR(LEFT(VLOOKUP(Tablas!H$1&amp;". "&amp;BD$30,$R$22:$W$25,4,FALSE),SEARCH(".",VLOOKUP(Tablas!H$1&amp;". "&amp;BD$30,$R$22:$W$25,4,FALSE))-1),"-")</f>
        <v>-</v>
      </c>
      <c r="BE39" s="3044" t="str">
        <f>IFERROR(LEFT(VLOOKUP(Tablas!I$1&amp;". "&amp;BE$30,$R$22:$W$25,4,FALSE),SEARCH(".",VLOOKUP(Tablas!I$1&amp;". "&amp;BE$30,$R$22:$W$25,4,FALSE))-1),"-")</f>
        <v>-</v>
      </c>
      <c r="BF39" s="3044" t="str">
        <f>IFERROR(LEFT(VLOOKUP(Tablas!J$1&amp;". "&amp;BF$30,$R$22:$W$25,4,FALSE),SEARCH(".",VLOOKUP(Tablas!J$1&amp;". "&amp;BF$30,$R$22:$W$25,4,FALSE))-1),"-")</f>
        <v>-</v>
      </c>
      <c r="BG39" s="3055"/>
      <c r="BH39" s="1737"/>
    </row>
    <row r="40" spans="1:60" ht="12" customHeight="1" thickBot="1" x14ac:dyDescent="0.25">
      <c r="A40" s="9"/>
      <c r="B40" s="1162"/>
      <c r="C40" s="579" t="e">
        <f ca="1">VLOOKUP(E35,Tabla_ArmasyEscudos,19,FALSE)</f>
        <v>#N/A</v>
      </c>
      <c r="D40" s="579" t="e">
        <f ca="1">IF(ISNUMBER(SEARCH("XXX",C40)),SUBSTITUTE(C40,"XXX",MAX(0,VLOOKUP(E35,Tabla_ArmasyEscudos,17,FALSE)+IF(FUE&lt;3,-30,VLOOKUP(FUE,Tabla_AlcanceFUE,2)))),SUBSTITUTE(SUBSTITUTE(C40,"Arma natural a distancia disparada",F40),"Arma natural a distancia",F40))</f>
        <v>#N/A</v>
      </c>
      <c r="E40" s="579" t="e">
        <f ca="1">SUBSTITUTE(IF(VLOOKUP(E35,Tabla_ArmasyEscudos,17,FALSE)&lt;&gt;"-",D40,C40),"(FUE "&amp;G40&amp;")","(FUE "&amp;G40+J38/5&amp;")")</f>
        <v>#N/A</v>
      </c>
      <c r="F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9">
        <f ca="1">IFERROR(MID(C40,SEARCH("(FUE ",C40)+5,SEARCH(")",C40,SEARCH("(FUE ",C40))-SEARCH("(FUE ",C40)-5),0)</f>
        <v>0</v>
      </c>
      <c r="H40" s="579"/>
      <c r="M40" s="579"/>
      <c r="N40" s="579" t="e">
        <f ca="1">VLOOKUP(P35,Tabla_ArmasyEscudos,19,FALSE)</f>
        <v>#N/A</v>
      </c>
      <c r="O40" s="579" t="e">
        <f ca="1">IF(ISNUMBER(SEARCH("XXX",N40)),SUBSTITUTE(N40,"XXX",MAX(0,VLOOKUP(P35,Tabla_ArmasyEscudos,17,FALSE)+IF(FUE&lt;3,-30,VLOOKUP(FUE,Tabla_AlcanceFUE,2)))),SUBSTITUTE(SUBSTITUTE(N40,"Arma natural a distancia disparada",Q40),"Arma natural a distancia",Q40))</f>
        <v>#N/A</v>
      </c>
      <c r="P40" s="579" t="e">
        <f ca="1">SUBSTITUTE(IF(VLOOKUP(P35,Tabla_ArmasyEscudos,17,FALSE)&lt;&gt;"-",O40,N40),"(FUE "&amp;R40&amp;")","(FUE "&amp;R40+U38/5&amp;")")</f>
        <v>#N/A</v>
      </c>
      <c r="Q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9">
        <f ca="1">IFERROR(MID(N40,SEARCH("(FUE ",N40)+5,SEARCH(")",N40,SEARCH("(FUE ",N40))-SEARCH("(FUE ",N40)-5),0)</f>
        <v>0</v>
      </c>
      <c r="S40" s="579"/>
      <c r="X40" s="741"/>
      <c r="Y40" s="9"/>
      <c r="Z40" s="9"/>
      <c r="AA40" s="1134"/>
      <c r="AB40" s="4203" t="str">
        <f>IF(PDs!$AD68=0,"",PDs!$AD68)</f>
        <v/>
      </c>
      <c r="AC40" s="4204"/>
      <c r="AD40" s="4204"/>
      <c r="AE40" s="4204"/>
      <c r="AF40" s="4200" t="str">
        <f t="shared" si="10"/>
        <v/>
      </c>
      <c r="AG40" s="4201"/>
      <c r="AH40" s="4201"/>
      <c r="AI40" s="4201"/>
      <c r="AJ40" s="4201"/>
      <c r="AK40" s="4201"/>
      <c r="AL40" s="4201"/>
      <c r="AM40" s="4201"/>
      <c r="AN40" s="4201"/>
      <c r="AO40" s="4201"/>
      <c r="AP40" s="4202"/>
      <c r="AQ40" s="1463">
        <f>IF(AB40="",0,VLOOKUP(AB40,Tablas!$D$850:$G$939,4,FALSE))</f>
        <v>0</v>
      </c>
      <c r="AR40" s="1201"/>
      <c r="AS40" s="1156"/>
      <c r="AT40" s="3055">
        <v>11</v>
      </c>
      <c r="AU40" s="3055" t="s">
        <v>8705</v>
      </c>
      <c r="AV40" s="3044"/>
      <c r="AW40" s="3044" t="e">
        <f ca="1">Turno_Nat_final-20+AW$31+VLOOKUP(AW$30,Tabla_ArmasyEscudos,3,FALSE)+IF(AW$33=0,0,IF(Tamaño&lt;VLOOKUP(AW$33,Tabla_ArmasEnormes,3,FALSE),-40,0))+INDEX(Personalización!$AA$7:$AJ$15,IF(ISEVEN(AW29),6,1),IF(ISEVEN(AW29),AW29-1,AW29))</f>
        <v>#N/A</v>
      </c>
      <c r="AX40" s="3044" t="e">
        <f ca="1">Turno_Nat_final-20+AX$31+VLOOKUP(AX$30,Tabla_ArmasyEscudos,3,FALSE)+IF(AX$33=0,0,IF(Tamaño&lt;VLOOKUP(AX$33,Tabla_ArmasEnormes,3,FALSE),-40,0))+INDEX(Personalización!$AA$7:$AJ$15,IF(ISEVEN(AX29),6,1),IF(ISEVEN(AX29),AX29-1,AX29))</f>
        <v>#N/A</v>
      </c>
      <c r="AY40" s="3044" t="e">
        <f ca="1">Turno_Nat_final-20+AY$31+VLOOKUP(AY$30,Tabla_ArmasyEscudos,3,FALSE)+IF(AY$33=0,0,IF(Tamaño&lt;VLOOKUP(AY$33,Tabla_ArmasEnormes,3,FALSE),-40,0))+INDEX(Personalización!$AA$7:$AJ$15,IF(ISEVEN(AY29),6,1),IF(ISEVEN(AY29),AY29-1,AY29))</f>
        <v>#N/A</v>
      </c>
      <c r="AZ40" s="3044" t="e">
        <f ca="1">Turno_Nat_final-20+AZ$31+VLOOKUP(AZ$30,Tabla_ArmasyEscudos,3,FALSE)+IF(AZ$33=0,0,IF(Tamaño&lt;VLOOKUP(AZ$33,Tabla_ArmasEnormes,3,FALSE),-40,0))+INDEX(Personalización!$AA$7:$AJ$15,IF(ISEVEN(AZ29),6,1),IF(ISEVEN(AZ29),AZ29-1,AZ29))</f>
        <v>#N/A</v>
      </c>
      <c r="BA40" s="3044" t="e">
        <f ca="1">Turno_Nat_final-20+BA$31+VLOOKUP(BA$30,Tabla_ArmasyEscudos,3,FALSE)+IF(BA$33=0,0,IF(Tamaño&lt;VLOOKUP(BA$33,Tabla_ArmasEnormes,3,FALSE),-40,0))+INDEX(Personalización!$AA$7:$AJ$15,IF(ISEVEN(BA29),6,1),IF(ISEVEN(BA29),BA29-1,BA29))</f>
        <v>#N/A</v>
      </c>
      <c r="BB40" s="3044" t="e">
        <f ca="1">Turno_Nat_final-20+BB$31+VLOOKUP(BB$30,Tabla_ArmasyEscudos,3,FALSE)+IF(BB$33=0,0,IF(Tamaño&lt;VLOOKUP(BB$33,Tabla_ArmasEnormes,3,FALSE),-40,0))+INDEX(Personalización!$AA$7:$AJ$15,IF(ISEVEN(BB29),6,1),IF(ISEVEN(BB29),BB29-1,BB29))</f>
        <v>#N/A</v>
      </c>
      <c r="BC40" s="3044" t="e">
        <f ca="1">Turno_Nat_final-20+BC$31+VLOOKUP(BC$30,Tabla_ArmasyEscudos,3,FALSE)+IF(BC$33=0,0,IF(Tamaño&lt;VLOOKUP(BC$33,Tabla_ArmasEnormes,3,FALSE),-40,0))+INDEX(Personalización!$AA$7:$AJ$15,IF(ISEVEN(BC29),6,1),IF(ISEVEN(BC29),BC29-1,BC29))</f>
        <v>#N/A</v>
      </c>
      <c r="BD40" s="3044" t="e">
        <f ca="1">Turno_Nat_final-20+BD$31+VLOOKUP(BD$30,Tabla_ArmasyEscudos,3,FALSE)+IF(BD$33=0,0,IF(Tamaño&lt;VLOOKUP(BD$33,Tabla_ArmasEnormes,3,FALSE),-40,0))+INDEX(Personalización!$AA$7:$AJ$15,IF(ISEVEN(BD29),6,1),IF(ISEVEN(BD29),BD29-1,BD29))</f>
        <v>#N/A</v>
      </c>
      <c r="BE40" s="3044" t="e">
        <f ca="1">Turno_Nat_final-20+BE$31+VLOOKUP(BE$30,Tabla_ArmasyEscudos,3,FALSE)+IF(BE$33=0,0,IF(Tamaño&lt;VLOOKUP(BE$33,Tabla_ArmasEnormes,3,FALSE),-40,0))+INDEX(Personalización!$AA$7:$AJ$15,IF(ISEVEN(BE29),6,1),IF(ISEVEN(BE29),BE29-1,BE29))</f>
        <v>#N/A</v>
      </c>
      <c r="BF40" s="3044" t="e">
        <f ca="1">Turno_Nat_final-20+BF$31+VLOOKUP(BF$30,Tabla_ArmasyEscudos,3,FALSE)+IF(BF$33=0,0,IF(Tamaño&lt;VLOOKUP(BF$33,Tabla_ArmasEnormes,3,FALSE),-40,0))+INDEX(Personalización!$AA$7:$AJ$15,IF(ISEVEN(BF29),6,1),IF(ISEVEN(BF29),BF29-1,BF29))</f>
        <v>#N/A</v>
      </c>
      <c r="BG40" s="3055"/>
      <c r="BH40" s="1737"/>
    </row>
    <row r="41" spans="1:60" ht="12" customHeight="1" thickBot="1" x14ac:dyDescent="0.25">
      <c r="A41" s="9"/>
      <c r="B41" s="1162"/>
      <c r="C41" s="1480" t="s">
        <v>8679</v>
      </c>
      <c r="D41" s="1475" t="str">
        <f>E42&amp;IF(COUNTIF($R$22:$T$25,C41&amp;" "&amp;E42)&gt;0,IFERROR(" y"&amp;MID(VLOOKUP(C41&amp;" "&amp;E42,$R$22:$W$25,4,FALSE),SEARCH(".",VLOOKUP(C41&amp;" "&amp;E42,$R$22:$W$25,4,FALSE))+1,100),""),"")</f>
        <v/>
      </c>
      <c r="E41" s="1475"/>
      <c r="F41" s="1475"/>
      <c r="G41" s="1475"/>
      <c r="H41" s="1475"/>
      <c r="I41" s="1475"/>
      <c r="J41" s="1475"/>
      <c r="K41" s="1475"/>
      <c r="L41" s="1512" t="s">
        <v>8697</v>
      </c>
      <c r="M41" s="741"/>
      <c r="N41" s="1480" t="s">
        <v>8689</v>
      </c>
      <c r="O41" s="1475" t="str">
        <f>P42&amp;IF(COUNTIF($R$22:$T$25,N41&amp;" "&amp;P42)&gt;0,IFERROR(" y"&amp;MID(VLOOKUP(N41&amp;" "&amp;P42,$R$22:$W$25,4,FALSE),SEARCH(".",VLOOKUP(N41&amp;" "&amp;P42,$R$22:$W$25,4,FALSE))+1,100),""),"")</f>
        <v/>
      </c>
      <c r="P41" s="1475"/>
      <c r="Q41" s="1475"/>
      <c r="R41" s="1475"/>
      <c r="S41" s="1475"/>
      <c r="T41" s="1475"/>
      <c r="U41" s="1475"/>
      <c r="V41" s="1475"/>
      <c r="W41" s="1512" t="s">
        <v>8697</v>
      </c>
      <c r="X41" s="741"/>
      <c r="Y41" s="9"/>
      <c r="Z41" s="9"/>
      <c r="AA41" s="1134"/>
      <c r="AB41" s="4203" t="str">
        <f>IF(PDs!$AD69=0,"",PDs!$AD69)</f>
        <v/>
      </c>
      <c r="AC41" s="4204"/>
      <c r="AD41" s="4204"/>
      <c r="AE41" s="4204"/>
      <c r="AF41" s="4200" t="str">
        <f t="shared" si="10"/>
        <v/>
      </c>
      <c r="AG41" s="4201"/>
      <c r="AH41" s="4201"/>
      <c r="AI41" s="4201"/>
      <c r="AJ41" s="4201"/>
      <c r="AK41" s="4201"/>
      <c r="AL41" s="4201"/>
      <c r="AM41" s="4201"/>
      <c r="AN41" s="4201"/>
      <c r="AO41" s="4201"/>
      <c r="AP41" s="4202"/>
      <c r="AQ41" s="1463">
        <f>IF(AB41="",0,VLOOKUP(AB41,Tablas!$D$850:$G$939,4,FALSE))</f>
        <v>0</v>
      </c>
      <c r="AR41" s="1201"/>
      <c r="AS41" s="1156"/>
      <c r="AT41" s="3055">
        <v>12</v>
      </c>
      <c r="AU41" s="3055" t="s">
        <v>8686</v>
      </c>
      <c r="AV41" s="3044"/>
      <c r="AW41" s="3044" t="e">
        <f ca="1">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3044" t="e">
        <f t="shared" ref="AX41:BF41" ca="1" si="11">IF(AX39="-",IF(AX38="Torpe","X",AX40),IF(ISNUMBER(SEARCH("Escudo",VLOOKUP(INDEX(Tabla_Combate,1,AX39),Tabla_ArmasyEscudos,8,0))),AX40+VLOOKUP(INDEX(Tabla_Combate,1,AX39),Tabla_ArmasyEscudos,3,FALSE),MIN(AX40,INDEX(Tabla_Combate,$AT$40,AX39))+IF(OR(AX30=INDEX(Tabla_Combate,1,AX39),VLOOKUP(AX30,Tabla_ArmasyEscudos,21,FALSE)=VLOOKUP(INDEX(Tabla_Combate,1,AX39),Tabla_ArmasyEscudos,21,FALSE)),IF(VLOOKUP(AX30,Tabla_ArmasyEscudos,3,FALSE)&gt;=0,-10,-20),0)))</f>
        <v>#N/A</v>
      </c>
      <c r="AY41" s="3044" t="e">
        <f t="shared" ca="1" si="11"/>
        <v>#N/A</v>
      </c>
      <c r="AZ41" s="3044" t="e">
        <f t="shared" ca="1" si="11"/>
        <v>#N/A</v>
      </c>
      <c r="BA41" s="3044" t="e">
        <f t="shared" ca="1" si="11"/>
        <v>#N/A</v>
      </c>
      <c r="BB41" s="3044" t="e">
        <f t="shared" ca="1" si="11"/>
        <v>#N/A</v>
      </c>
      <c r="BC41" s="3044" t="e">
        <f t="shared" ca="1" si="11"/>
        <v>#N/A</v>
      </c>
      <c r="BD41" s="3044" t="e">
        <f t="shared" ca="1" si="11"/>
        <v>#N/A</v>
      </c>
      <c r="BE41" s="3044" t="e">
        <f t="shared" ca="1" si="11"/>
        <v>#N/A</v>
      </c>
      <c r="BF41" s="3044" t="e">
        <f t="shared" ca="1" si="11"/>
        <v>#N/A</v>
      </c>
      <c r="BG41" s="3055"/>
      <c r="BH41" s="1737"/>
    </row>
    <row r="42" spans="1:60" ht="12" customHeight="1" x14ac:dyDescent="0.2">
      <c r="A42" s="9"/>
      <c r="B42" s="1162"/>
      <c r="C42" s="4188" t="s">
        <v>8671</v>
      </c>
      <c r="D42" s="4189"/>
      <c r="E42" s="4190"/>
      <c r="F42" s="4191"/>
      <c r="G42" s="4192"/>
      <c r="H42" s="1790" t="s">
        <v>1393</v>
      </c>
      <c r="I42" s="1791" t="s">
        <v>1564</v>
      </c>
      <c r="J42" s="4193" t="s">
        <v>1565</v>
      </c>
      <c r="K42" s="4193"/>
      <c r="L42" s="1792" t="s">
        <v>1566</v>
      </c>
      <c r="M42" s="1511" t="str">
        <f ca="1">IF(C42=INDEX(Lista_ManosArma,2),Lista_A2Manos,Lista_A1Mano)</f>
        <v>Tablas!$AB$640:$AB$757</v>
      </c>
      <c r="N42" s="4188" t="s">
        <v>8671</v>
      </c>
      <c r="O42" s="4189"/>
      <c r="P42" s="4190"/>
      <c r="Q42" s="4191"/>
      <c r="R42" s="4192"/>
      <c r="S42" s="1790" t="s">
        <v>1393</v>
      </c>
      <c r="T42" s="1791" t="s">
        <v>1564</v>
      </c>
      <c r="U42" s="4193" t="s">
        <v>1565</v>
      </c>
      <c r="V42" s="4193"/>
      <c r="W42" s="1792" t="s">
        <v>1566</v>
      </c>
      <c r="X42" s="1511" t="str">
        <f ca="1">IF(N42=INDEX(Lista_ManosArma,2),Lista_A2Manos,Lista_A1Mano)</f>
        <v>Tablas!$AB$640:$AB$757</v>
      </c>
      <c r="Y42" s="9"/>
      <c r="Z42" s="9"/>
      <c r="AA42" s="1134"/>
      <c r="AB42" s="4203" t="str">
        <f>IF(PDs!$AD70=0,"",PDs!$AD70)</f>
        <v/>
      </c>
      <c r="AC42" s="4204"/>
      <c r="AD42" s="4204"/>
      <c r="AE42" s="4204"/>
      <c r="AF42" s="4200" t="str">
        <f t="shared" si="10"/>
        <v/>
      </c>
      <c r="AG42" s="4201"/>
      <c r="AH42" s="4201"/>
      <c r="AI42" s="4201"/>
      <c r="AJ42" s="4201"/>
      <c r="AK42" s="4201"/>
      <c r="AL42" s="4201"/>
      <c r="AM42" s="4201"/>
      <c r="AN42" s="4201"/>
      <c r="AO42" s="4201"/>
      <c r="AP42" s="4202"/>
      <c r="AQ42" s="1463">
        <f>IF(AB42="",0,VLOOKUP(AB42,Tablas!$D$850:$G$939,4,FALSE))</f>
        <v>0</v>
      </c>
      <c r="AR42" s="1201"/>
      <c r="AS42" s="1156"/>
      <c r="AT42" s="3055">
        <v>13</v>
      </c>
      <c r="AU42" s="3055" t="s">
        <v>10317</v>
      </c>
      <c r="AV42" s="3044"/>
      <c r="AW42" s="3044"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mano"),-10,0)+IFERROR(VLOOKUP(AW30,Tablas!$AH$822:$AQ$831,5,0),0)+INDEX(Personalización!$AA$7:$AJ$15,IF(ISEVEN(AW$29),7,2),IF(ISEVEN(AW$29),AW$29-1,AW$29))</f>
        <v>#N/A</v>
      </c>
      <c r="AX42" s="3044"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mano"),-10,0)+IFERROR(VLOOKUP(AX30,Tablas!$AH$822:$AQ$831,5,0),0)+INDEX(Personalización!$AA$7:$AJ$15,IF(ISEVEN(AX$29),7,2),IF(ISEVEN(AX$29),AX$29-1,AX$29))</f>
        <v>#N/A</v>
      </c>
      <c r="AY42" s="3044"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mano"),-10,0)+IFERROR(VLOOKUP(AY30,Tablas!$AH$822:$AQ$831,5,0),0)+INDEX(Personalización!$AA$7:$AJ$15,IF(ISEVEN(AY$29),7,2),IF(ISEVEN(AY$29),AY$29-1,AY$29))</f>
        <v>#N/A</v>
      </c>
      <c r="AZ42" s="3044"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mano"),-10,0)+IFERROR(VLOOKUP(AZ30,Tablas!$AH$822:$AQ$831,5,0),0)+INDEX(Personalización!$AA$7:$AJ$15,IF(ISEVEN(AZ$29),7,2),IF(ISEVEN(AZ$29),AZ$29-1,AZ$29))</f>
        <v>#N/A</v>
      </c>
      <c r="BA42" s="3044"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mano"),-10,0)+IFERROR(VLOOKUP(BA30,Tablas!$AH$822:$AQ$831,5,0),0)+INDEX(Personalización!$AA$7:$AJ$15,IF(ISEVEN(BA$29),7,2),IF(ISEVEN(BA$29),BA$29-1,BA$29))</f>
        <v>#N/A</v>
      </c>
      <c r="BB42" s="3044"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mano"),-10,0)+IFERROR(VLOOKUP(BB30,Tablas!$AH$822:$AQ$831,5,0),0)+INDEX(Personalización!$AA$7:$AJ$15,IF(ISEVEN(BB$29),7,2),IF(ISEVEN(BB$29),BB$29-1,BB$29))</f>
        <v>#N/A</v>
      </c>
      <c r="BC42" s="3044"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mano"),-10,0)+IFERROR(VLOOKUP(BC30,Tablas!$AH$822:$AQ$831,5,0),0)+INDEX(Personalización!$AA$7:$AJ$15,IF(ISEVEN(BC$29),7,2),IF(ISEVEN(BC$29),BC$29-1,BC$29))</f>
        <v>#N/A</v>
      </c>
      <c r="BD42" s="3044"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mano"),-10,0)+IFERROR(VLOOKUP(BD30,Tablas!$AH$822:$AQ$831,5,0),0)+INDEX(Personalización!$AA$7:$AJ$15,IF(ISEVEN(BD$29),7,2),IF(ISEVEN(BD$29),BD$29-1,BD$29))</f>
        <v>#N/A</v>
      </c>
      <c r="BE42" s="3044"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mano"),-10,0)+IFERROR(VLOOKUP(BE30,Tablas!$AH$822:$AQ$831,5,0),0)+INDEX(Personalización!$AA$7:$AJ$15,IF(ISEVEN(BE$29),7,2),IF(ISEVEN(BE$29),BE$29-1,BE$29))</f>
        <v>#N/A</v>
      </c>
      <c r="BF42" s="3044"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mano"),-10,0)+IFERROR(VLOOKUP(BF30,Tablas!$AH$822:$AQ$831,5,0),0)+INDEX(Personalización!$AA$7:$AJ$15,IF(ISEVEN(BF$29),7,2),IF(ISEVEN(BF$29),BF$29-1,BF$29))</f>
        <v>#N/A</v>
      </c>
      <c r="BG42" s="3055"/>
      <c r="BH42" s="1737"/>
    </row>
    <row r="43" spans="1:60" ht="12" customHeight="1" x14ac:dyDescent="0.2">
      <c r="A43" s="9"/>
      <c r="B43" s="1162"/>
      <c r="C43" s="4164" t="str">
        <f>IF(E42=0,"",VLOOKUP(E42,Tabla_ArmasyEscudos,9,FALSE))</f>
        <v/>
      </c>
      <c r="D43" s="4165"/>
      <c r="E43" s="1793" t="s">
        <v>1576</v>
      </c>
      <c r="F43" s="4166" t="s">
        <v>1577</v>
      </c>
      <c r="G43" s="4167"/>
      <c r="H43" s="4177">
        <f ca="1">IFERROR(INDEX(Tabla_Combate,$AT$41,LEFT(C41,LEN(C41)-1)),0)</f>
        <v>0</v>
      </c>
      <c r="I43" s="4174">
        <f ca="1">IFERROR(INDEX(Tabla_Combate,$AT$42,LEFT(C41,LEN(C41)-1)),0)</f>
        <v>0</v>
      </c>
      <c r="J43" s="4153">
        <f ca="1">IF(K43="-",0,IF(K43="Par",INDEX(Tabla_Combate,$AT$43,LEFT(C41,LEN(C41)-1)),INDEX(Tabla_Combate,$AT$44,LEFT(C41,LEN(C41)-1))))</f>
        <v>0</v>
      </c>
      <c r="K43" s="3714" t="str">
        <f ca="1">IF(IFERROR(VLOOKUP(INDEX(Tabla_Combate,$AT$30,LEFT(C41,LEN(C41)-1)),Tablas!$AH$822:$AS$831,11,0),FALSE),"-",IFERROR(IF(INDEX(Tabla_Combate,$AT$43,LEFT(C41,LEN(C41)-1))&gt;INDEX(Tabla_Combate,$AT$44,LEFT(C41,LEN(C41)-1)),"Par","Esq"),"-"))</f>
        <v>-</v>
      </c>
      <c r="L43" s="4162">
        <f ca="1">IFERROR(INDEX(Tabla_Combate,$AT$46,LEFT(C41,LEN(C41)-1)),0)</f>
        <v>0</v>
      </c>
      <c r="M43" s="741"/>
      <c r="N43" s="4164" t="str">
        <f>IF(P42=0,"",VLOOKUP(P42,Tabla_ArmasyEscudos,9,FALSE))</f>
        <v/>
      </c>
      <c r="O43" s="4165"/>
      <c r="P43" s="1793" t="s">
        <v>1576</v>
      </c>
      <c r="Q43" s="4166" t="s">
        <v>1577</v>
      </c>
      <c r="R43" s="4167"/>
      <c r="S43" s="4177">
        <f ca="1">IFERROR(INDEX(Tabla_Combate,$AT$41,LEFT(N41,LEN(N41)-1)),0)</f>
        <v>0</v>
      </c>
      <c r="T43" s="4174">
        <f ca="1">IFERROR(INDEX(Tabla_Combate,$AT$42,LEFT(N41,LEN(N41)-1)),0)</f>
        <v>0</v>
      </c>
      <c r="U43" s="4153">
        <f ca="1">IF(V43="-",0,IF(V43="Par",INDEX(Tabla_Combate,$AT$43,LEFT(N41,LEN(N41)-1)),INDEX(Tabla_Combate,$AT$44,LEFT(N41,LEN(N41)-1))))</f>
        <v>0</v>
      </c>
      <c r="V43" s="3714" t="str">
        <f ca="1">IF(IFERROR(VLOOKUP(INDEX(Tabla_Combate,$AT$30,LEFT(N41,LEN(N41)-1)),Tablas!$AH$822:$AS$831,11,0),FALSE),"-",IFERROR(IF(INDEX(Tabla_Combate,$AT$43,LEFT(N41,LEN(N41)-1))&gt;INDEX(Tabla_Combate,$AT$44,LEFT(N41,LEN(N41)-1)),"Par","Esq"),"-"))</f>
        <v>-</v>
      </c>
      <c r="W43" s="4162">
        <f ca="1">IFERROR(INDEX(Tabla_Combate,$AT$46,LEFT(N41,LEN(N41)-1)),0)</f>
        <v>0</v>
      </c>
      <c r="X43" s="741"/>
      <c r="Y43" s="9"/>
      <c r="Z43" s="9"/>
      <c r="AA43" s="1134"/>
      <c r="AB43" s="4203" t="str">
        <f>IF(PDs!$AD71=0,"",PDs!$AD71)</f>
        <v/>
      </c>
      <c r="AC43" s="4204"/>
      <c r="AD43" s="4204"/>
      <c r="AE43" s="4204"/>
      <c r="AF43" s="4200" t="str">
        <f t="shared" si="10"/>
        <v/>
      </c>
      <c r="AG43" s="4201"/>
      <c r="AH43" s="4201"/>
      <c r="AI43" s="4201"/>
      <c r="AJ43" s="4201"/>
      <c r="AK43" s="4201"/>
      <c r="AL43" s="4201"/>
      <c r="AM43" s="4201"/>
      <c r="AN43" s="4201"/>
      <c r="AO43" s="4201"/>
      <c r="AP43" s="4202"/>
      <c r="AQ43" s="1463">
        <f>IF(AB43="",0,VLOOKUP(AB43,Tablas!$D$850:$G$939,4,FALSE))</f>
        <v>0</v>
      </c>
      <c r="AR43" s="1201"/>
      <c r="AS43" s="1156"/>
      <c r="AT43" s="3055">
        <v>14</v>
      </c>
      <c r="AU43" s="3055" t="s">
        <v>8707</v>
      </c>
      <c r="AV43" s="3044"/>
      <c r="AW43" s="3044"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44"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44"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44"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44"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44"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44"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44"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44"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44"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055"/>
      <c r="BH43" s="1737"/>
    </row>
    <row r="44" spans="1:60" ht="12" customHeight="1" x14ac:dyDescent="0.2">
      <c r="A44" s="9"/>
      <c r="B44" s="1162"/>
      <c r="C44" s="1061" t="s">
        <v>1568</v>
      </c>
      <c r="D44" s="73" t="s">
        <v>1569</v>
      </c>
      <c r="E44" s="73" t="s">
        <v>1557</v>
      </c>
      <c r="F44" s="73" t="s">
        <v>1570</v>
      </c>
      <c r="G44" s="73" t="s">
        <v>1558</v>
      </c>
      <c r="H44" s="4177"/>
      <c r="I44" s="4175"/>
      <c r="J44" s="4154"/>
      <c r="K44" s="4176"/>
      <c r="L44" s="4163"/>
      <c r="M44" s="741"/>
      <c r="N44" s="1061" t="s">
        <v>1568</v>
      </c>
      <c r="O44" s="73" t="s">
        <v>1569</v>
      </c>
      <c r="P44" s="73" t="s">
        <v>1557</v>
      </c>
      <c r="Q44" s="73" t="s">
        <v>1570</v>
      </c>
      <c r="R44" s="73" t="s">
        <v>1558</v>
      </c>
      <c r="S44" s="4177"/>
      <c r="T44" s="4175"/>
      <c r="U44" s="4154"/>
      <c r="V44" s="4176"/>
      <c r="W44" s="4163"/>
      <c r="X44" s="741"/>
      <c r="Y44" s="9"/>
      <c r="Z44" s="9"/>
      <c r="AA44" s="1134"/>
      <c r="AB44" s="4203" t="str">
        <f>IF(PDs!$AD72=0,"",PDs!$AD72)</f>
        <v/>
      </c>
      <c r="AC44" s="4204"/>
      <c r="AD44" s="4204"/>
      <c r="AE44" s="4204"/>
      <c r="AF44" s="4200" t="str">
        <f t="shared" si="10"/>
        <v/>
      </c>
      <c r="AG44" s="4201"/>
      <c r="AH44" s="4201"/>
      <c r="AI44" s="4201"/>
      <c r="AJ44" s="4201"/>
      <c r="AK44" s="4201"/>
      <c r="AL44" s="4201"/>
      <c r="AM44" s="4201"/>
      <c r="AN44" s="4201"/>
      <c r="AO44" s="4201"/>
      <c r="AP44" s="4202"/>
      <c r="AQ44" s="1463">
        <f>IF(AB44="",0,VLOOKUP(AB44,Tablas!$D$850:$G$939,4,FALSE))</f>
        <v>0</v>
      </c>
      <c r="AR44" s="1201"/>
      <c r="AS44" s="1156"/>
      <c r="AT44" s="3055">
        <v>15</v>
      </c>
      <c r="AU44" s="3055" t="s">
        <v>8706</v>
      </c>
      <c r="AV44" s="3044"/>
      <c r="AW44" s="3044" t="e">
        <f ca="1">HE_final-PDs!$X$27+MIN(50,PDs!$X$27+SUMPRODUCT(--ISNUMBER(SEARCH(AW30,ArmasAM)),ArmasAM_HE))+VLOOKUP(AW30,Tabla_ArmasyEscudos,14,FALSE)+INDEX(Personalización!$AA$7:$AJ$15,IF(ISEVEN(AW$29),8,3),IF(ISEVEN(AW$29),AW$29-1,AW$29))</f>
        <v>#N/A</v>
      </c>
      <c r="AX44" s="3044" t="e">
        <f ca="1">HE_final-PDs!$X$27+MIN(50,PDs!$X$27+SUMPRODUCT(--ISNUMBER(SEARCH(AX30,ArmasAM)),ArmasAM_HE))+VLOOKUP(AX30,Tabla_ArmasyEscudos,14,FALSE)+INDEX(Personalización!$AA$7:$AJ$15,IF(ISEVEN(AX$29),8,3),IF(ISEVEN(AX$29),AX$29-1,AX$29))</f>
        <v>#N/A</v>
      </c>
      <c r="AY44" s="3044" t="e">
        <f ca="1">HE_final-PDs!$X$27+MIN(50,PDs!$X$27+SUMPRODUCT(--ISNUMBER(SEARCH(AY30,ArmasAM)),ArmasAM_HE))+VLOOKUP(AY30,Tabla_ArmasyEscudos,14,FALSE)+INDEX(Personalización!$AA$7:$AJ$15,IF(ISEVEN(AY$29),8,3),IF(ISEVEN(AY$29),AY$29-1,AY$29))</f>
        <v>#N/A</v>
      </c>
      <c r="AZ44" s="3044" t="e">
        <f ca="1">HE_final-PDs!$X$27+MIN(50,PDs!$X$27+SUMPRODUCT(--ISNUMBER(SEARCH(AZ30,ArmasAM)),ArmasAM_HE))+VLOOKUP(AZ30,Tabla_ArmasyEscudos,14,FALSE)+INDEX(Personalización!$AA$7:$AJ$15,IF(ISEVEN(AZ$29),8,3),IF(ISEVEN(AZ$29),AZ$29-1,AZ$29))</f>
        <v>#N/A</v>
      </c>
      <c r="BA44" s="3044" t="e">
        <f ca="1">HE_final-PDs!$X$27+MIN(50,PDs!$X$27+SUMPRODUCT(--ISNUMBER(SEARCH(BA30,ArmasAM)),ArmasAM_HE))+VLOOKUP(BA30,Tabla_ArmasyEscudos,14,FALSE)+INDEX(Personalización!$AA$7:$AJ$15,IF(ISEVEN(BA$29),8,3),IF(ISEVEN(BA$29),BA$29-1,BA$29))</f>
        <v>#N/A</v>
      </c>
      <c r="BB44" s="3044" t="e">
        <f ca="1">HE_final-PDs!$X$27+MIN(50,PDs!$X$27+SUMPRODUCT(--ISNUMBER(SEARCH(BB30,ArmasAM)),ArmasAM_HE))+VLOOKUP(BB30,Tabla_ArmasyEscudos,14,FALSE)+INDEX(Personalización!$AA$7:$AJ$15,IF(ISEVEN(BB$29),8,3),IF(ISEVEN(BB$29),BB$29-1,BB$29))</f>
        <v>#N/A</v>
      </c>
      <c r="BC44" s="3044" t="e">
        <f ca="1">HE_final-PDs!$X$27+MIN(50,PDs!$X$27+SUMPRODUCT(--ISNUMBER(SEARCH(BC30,ArmasAM)),ArmasAM_HE))+VLOOKUP(BC30,Tabla_ArmasyEscudos,14,FALSE)+INDEX(Personalización!$AA$7:$AJ$15,IF(ISEVEN(BC$29),8,3),IF(ISEVEN(BC$29),BC$29-1,BC$29))</f>
        <v>#N/A</v>
      </c>
      <c r="BD44" s="3044" t="e">
        <f ca="1">HE_final-PDs!$X$27+MIN(50,PDs!$X$27+SUMPRODUCT(--ISNUMBER(SEARCH(BD30,ArmasAM)),ArmasAM_HE))+VLOOKUP(BD30,Tabla_ArmasyEscudos,14,FALSE)+INDEX(Personalización!$AA$7:$AJ$15,IF(ISEVEN(BD$29),8,3),IF(ISEVEN(BD$29),BD$29-1,BD$29))</f>
        <v>#N/A</v>
      </c>
      <c r="BE44" s="3044" t="e">
        <f ca="1">HE_final-PDs!$X$27+MIN(50,PDs!$X$27+SUMPRODUCT(--ISNUMBER(SEARCH(BE30,ArmasAM)),ArmasAM_HE))+VLOOKUP(BE30,Tabla_ArmasyEscudos,14,FALSE)+INDEX(Personalización!$AA$7:$AJ$15,IF(ISEVEN(BE$29),8,3),IF(ISEVEN(BE$29),BE$29-1,BE$29))</f>
        <v>#N/A</v>
      </c>
      <c r="BF44" s="3044" t="e">
        <f ca="1">HE_final-PDs!$X$27+MIN(50,PDs!$X$27+SUMPRODUCT(--ISNUMBER(SEARCH(BF30,ArmasAM)),ArmasAM_HE))+VLOOKUP(BF30,Tabla_ArmasyEscudos,14,FALSE)+INDEX(Personalización!$AA$7:$AJ$15,IF(ISEVEN(BF$29),8,3),IF(ISEVEN(BF$29),BF$29-1,BF$29))</f>
        <v>#N/A</v>
      </c>
      <c r="BG44" s="3055"/>
      <c r="BH44" s="1737"/>
    </row>
    <row r="45" spans="1:60" ht="12" customHeight="1" x14ac:dyDescent="0.2">
      <c r="A45" s="9"/>
      <c r="B45" s="1162"/>
      <c r="C45" s="1062" t="str">
        <f>IF(E42=0,"",VLOOKUP(E42,Tabla_ArmasyEscudos,6,FALSE))</f>
        <v/>
      </c>
      <c r="D45" s="2760" t="str">
        <f>IF(E42=0,"",VLOOKUP(E42,Tabla_ArmasyEscudos,7,FALSE))</f>
        <v/>
      </c>
      <c r="E45" s="2760" t="str">
        <f>IFERROR(IF(E42=0,"",MAX(0,IF(Extensióndelauraalarma,10,0)+J45*2+VLOOKUP(E42,Tabla_ArmasyEscudos,10,FALSE)+IF(F43=0,0,VLOOKUP(F43,Tabla_ArmasEnormes,6,FALSE)))+IF(Tabla_Desvío,DES,0)),"-")</f>
        <v/>
      </c>
      <c r="F45" s="2760" t="str">
        <f>IF(E42=0,"",IF(Extensióndelauraalarma,5,0)+J45*2/5+VLOOKUP(E42,Tabla_ArmasyEscudos,11,FALSE)+IF(F43=0,0,VLOOKUP(F43,Tabla_ArmasEnormes,7,FALSE))+IF(FUE=0,0,VLOOKUP(FUE,Tabla_Fuerza,2))+IF(Ojos_de_la_Muerte,5,0))</f>
        <v/>
      </c>
      <c r="G45" s="1144">
        <f>IFERROR(IF(E42=0,0,IF(E42="Ophiucos",0,MAX(IF(OR(ISNUMBER(FIND("Virgo",E42)),ISNUMBER(FIND("Umbra",E42))),0,J45)*10,0))+VLOOKUP(E42,Tabla_ArmasyEscudos,12,FALSE)),"-")</f>
        <v>0</v>
      </c>
      <c r="H45" s="4172" t="s">
        <v>8673</v>
      </c>
      <c r="I45" s="4173"/>
      <c r="J45" s="1518"/>
      <c r="K45" s="4196" t="str">
        <f ca="1">IFERROR("Turno base: "&amp;VLOOKUP(E42,Tabla_ArmasyEscudos,3,FALSE)+IF(Tamaño&lt;VLOOKUP(F43,Tabla_ArmasEnormes,3,FALSE),IF(OR(F43="Enorme",F43="Gigante"),-40,0),0),"")</f>
        <v/>
      </c>
      <c r="L45" s="4197"/>
      <c r="M45" s="741"/>
      <c r="N45" s="1062" t="str">
        <f>IF(P42=0,"",VLOOKUP(P42,Tabla_ArmasyEscudos,6,FALSE))</f>
        <v/>
      </c>
      <c r="O45" s="2760" t="str">
        <f>IF(P42=0,"",VLOOKUP(P42,Tabla_ArmasyEscudos,7,FALSE))</f>
        <v/>
      </c>
      <c r="P45" s="2760" t="str">
        <f>IFERROR(IF(P42=0,"",MAX(0,IF(Extensióndelauraalarma,10,0)+U45*2+VLOOKUP(P42,Tabla_ArmasyEscudos,10,FALSE)+IF(Q43=0,0,VLOOKUP(Q43,Tabla_ArmasEnormes,6,FALSE)))+IF(Tabla_Desvío,DES,0)),"-")</f>
        <v/>
      </c>
      <c r="Q45" s="2760" t="str">
        <f>IF(P42=0,"",IF(Extensióndelauraalarma,5,0)+U45*2/5+VLOOKUP(P42,Tabla_ArmasyEscudos,11,FALSE)+IF(Q43=0,0,VLOOKUP(Q43,Tabla_ArmasEnormes,7,FALSE))+IF(FUE=0,0,VLOOKUP(FUE,Tabla_Fuerza,2))+IF(Ojos_de_la_Muerte,5,0))</f>
        <v/>
      </c>
      <c r="R45" s="1144">
        <f>IFERROR(IF(P42=0,0,IF(P42="Ophiucos",0,MAX(IF(OR(ISNUMBER(FIND("Virgo",P42)),ISNUMBER(FIND("Umbra",P42))),0,U45)*10,0))+VLOOKUP(P42,Tabla_ArmasyEscudos,12,FALSE)),"-")</f>
        <v>0</v>
      </c>
      <c r="S45" s="4172" t="s">
        <v>8673</v>
      </c>
      <c r="T45" s="4173"/>
      <c r="U45" s="1518"/>
      <c r="V45" s="4196" t="str">
        <f ca="1">IFERROR("Turno base: "&amp;VLOOKUP(P42,Tabla_ArmasyEscudos,3,FALSE)+IF(Tamaño&lt;VLOOKUP(Q43,Tabla_ArmasEnormes,3,FALSE),IF(OR(Q43="Enorme",Q43="Gigante"),-40,0),0),"")</f>
        <v/>
      </c>
      <c r="W45" s="4197"/>
      <c r="X45" s="741"/>
      <c r="Y45" s="9"/>
      <c r="Z45" s="9"/>
      <c r="AA45" s="1134"/>
      <c r="AB45" s="4203" t="str">
        <f>IF(PDs!$AD73=0,"",PDs!$AD73)</f>
        <v/>
      </c>
      <c r="AC45" s="4204"/>
      <c r="AD45" s="4204"/>
      <c r="AE45" s="4204"/>
      <c r="AF45" s="4200" t="str">
        <f t="shared" si="10"/>
        <v/>
      </c>
      <c r="AG45" s="4201"/>
      <c r="AH45" s="4201"/>
      <c r="AI45" s="4201"/>
      <c r="AJ45" s="4201"/>
      <c r="AK45" s="4201"/>
      <c r="AL45" s="4201"/>
      <c r="AM45" s="4201"/>
      <c r="AN45" s="4201"/>
      <c r="AO45" s="4201"/>
      <c r="AP45" s="4202"/>
      <c r="AQ45" s="1463">
        <f>IF(AB45="",0,VLOOKUP(AB45,Tablas!$D$850:$G$939,4,FALSE))</f>
        <v>0</v>
      </c>
      <c r="AR45" s="1201"/>
      <c r="AS45" s="1156"/>
      <c r="AT45" s="3055">
        <v>16</v>
      </c>
      <c r="AU45" s="3055" t="s">
        <v>10468</v>
      </c>
      <c r="AW45" s="3044" t="e">
        <f ca="1">VLOOKUP(AW30,Tabla_ArmasyEscudos,18,FALSE)</f>
        <v>#N/A</v>
      </c>
      <c r="AX45" s="3044" t="e">
        <f ca="1">VLOOKUP(AX30,Tabla_ArmasyEscudos,18,FALSE)</f>
        <v>#N/A</v>
      </c>
      <c r="AY45" s="3044" t="e">
        <f ca="1">VLOOKUP(AY30,Tabla_ArmasyEscudos,18,FALSE)</f>
        <v>#N/A</v>
      </c>
      <c r="AZ45" s="3044" t="e">
        <f ca="1">VLOOKUP(AZ30,Tabla_ArmasyEscudos,18,FALSE)</f>
        <v>#N/A</v>
      </c>
      <c r="BA45" s="3044" t="e">
        <f ca="1">VLOOKUP(BA30,Tabla_ArmasyEscudos,18,FALSE)</f>
        <v>#N/A</v>
      </c>
      <c r="BB45" s="3044" t="e">
        <f ca="1">VLOOKUP(BB30,Tabla_ArmasyEscudos,18,FALSE)</f>
        <v>#N/A</v>
      </c>
      <c r="BC45" s="3044" t="e">
        <f ca="1">VLOOKUP(BC30,Tabla_ArmasyEscudos,18,FALSE)</f>
        <v>#N/A</v>
      </c>
      <c r="BD45" s="3044" t="e">
        <f ca="1">VLOOKUP(BD30,Tabla_ArmasyEscudos,18,FALSE)</f>
        <v>#N/A</v>
      </c>
      <c r="BE45" s="3044" t="e">
        <f ca="1">VLOOKUP(BE30,Tabla_ArmasyEscudos,18,FALSE)</f>
        <v>#N/A</v>
      </c>
      <c r="BF45" s="3044" t="e">
        <f ca="1">VLOOKUP(BF30,Tabla_ArmasyEscudos,18,FALSE)</f>
        <v>#N/A</v>
      </c>
      <c r="BH45" s="1737"/>
    </row>
    <row r="46" spans="1:60" ht="12" customHeight="1" thickBot="1" x14ac:dyDescent="0.25">
      <c r="A46" s="9"/>
      <c r="B46" s="1162"/>
      <c r="C46" s="4198" t="str">
        <f>IF(E42=0,"",E47)</f>
        <v/>
      </c>
      <c r="D46" s="4199"/>
      <c r="E46" s="4199"/>
      <c r="F46" s="4199"/>
      <c r="G46" s="4199"/>
      <c r="H46" s="4199"/>
      <c r="I46" s="1476"/>
      <c r="J46" s="1477" t="str">
        <f>IF(F43=0,IF(J45&lt;=0,"","TA defensor: -"&amp;J45/5),IF(Tamaño&lt;VLOOKUP(F43,Tabla_ArmasEnormes,2,FALSE),"Tam. excesivo",IF(J45&lt;=0,"","TA defensor: -"&amp;J45/5)))</f>
        <v/>
      </c>
      <c r="K46" s="4170" t="str">
        <f ca="1">IFERROR("FUE min: "&amp;VLOOKUP(E42,Tabla_ArmasyEscudos,IF(C42="A dos manos",5,4),FALSE)+IF(OR(F43="",F43="Normal"),0,2),"")</f>
        <v/>
      </c>
      <c r="L46" s="4171"/>
      <c r="M46" s="741"/>
      <c r="N46" s="4198" t="str">
        <f>IF(P42=0,"",P47)</f>
        <v/>
      </c>
      <c r="O46" s="4199"/>
      <c r="P46" s="4199"/>
      <c r="Q46" s="4199"/>
      <c r="R46" s="4199"/>
      <c r="S46" s="4199"/>
      <c r="T46" s="1476"/>
      <c r="U46" s="1477" t="str">
        <f>IF(Q43=0,IF(U45&lt;=0,"","TA defensor: -"&amp;U45/5),IF(Tamaño&lt;VLOOKUP(Q43,Tabla_ArmasEnormes,2,FALSE),"Tam. excesivo",IF(U45&lt;=0,"","TA defensor: -"&amp;U45/5)))</f>
        <v/>
      </c>
      <c r="V46" s="4170" t="str">
        <f ca="1">IFERROR("FUE min: "&amp;VLOOKUP(P42,Tabla_ArmasyEscudos,IF(N42="A dos manos",5,4),FALSE)+IF(OR(Q43="",Q43="Normal"),0,2),"")</f>
        <v/>
      </c>
      <c r="W46" s="4171"/>
      <c r="X46" s="741"/>
      <c r="Y46" s="9"/>
      <c r="Z46" s="9"/>
      <c r="AA46" s="1134"/>
      <c r="AB46" s="4203" t="str">
        <f>IF(PDs!$AD74=0,"",PDs!$AD74)</f>
        <v/>
      </c>
      <c r="AC46" s="4204"/>
      <c r="AD46" s="4204"/>
      <c r="AE46" s="4204"/>
      <c r="AF46" s="4200" t="str">
        <f t="shared" si="10"/>
        <v/>
      </c>
      <c r="AG46" s="4201"/>
      <c r="AH46" s="4201"/>
      <c r="AI46" s="4201"/>
      <c r="AJ46" s="4201"/>
      <c r="AK46" s="4201"/>
      <c r="AL46" s="4201"/>
      <c r="AM46" s="4201"/>
      <c r="AN46" s="4201"/>
      <c r="AO46" s="4201"/>
      <c r="AP46" s="4202"/>
      <c r="AQ46" s="1515">
        <f>IF(AB46="",0,VLOOKUP(AB46,Tablas!$D$850:$G$939,4,FALSE))</f>
        <v>0</v>
      </c>
      <c r="AR46" s="1201"/>
      <c r="AS46" s="1156"/>
      <c r="AT46" s="3055">
        <v>17</v>
      </c>
      <c r="AU46" s="3055" t="s">
        <v>8739</v>
      </c>
      <c r="AV46" s="3044"/>
      <c r="AW46" s="3044"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$1787+INDEX(Personalización!$AA$7:$AJ$15,IF(ISEVEN(AW$29),9,4),IF(ISEVEN(AW$29),AW$29-1,AW$29))</f>
        <v>#N/A</v>
      </c>
      <c r="AX46" s="3044"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$1787+INDEX(Personalización!$AA$7:$AJ$15,IF(ISEVEN(AX$29),9,4),IF(ISEVEN(AX$29),AX$29-1,AX$29))</f>
        <v>#N/A</v>
      </c>
      <c r="AY46" s="3044"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$1787+INDEX(Personalización!$AA$7:$AJ$15,IF(ISEVEN(AY$29),9,4),IF(ISEVEN(AY$29),AY$29-1,AY$29))</f>
        <v>#N/A</v>
      </c>
      <c r="AZ46" s="3044"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$1787+INDEX(Personalización!$AA$7:$AJ$15,IF(ISEVEN(AZ$29),9,4),IF(ISEVEN(AZ$29),AZ$29-1,AZ$29))</f>
        <v>#N/A</v>
      </c>
      <c r="BA46" s="3044"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$1787+INDEX(Personalización!$AA$7:$AJ$15,IF(ISEVEN(BA$29),9,4),IF(ISEVEN(BA$29),BA$29-1,BA$29))</f>
        <v>#N/A</v>
      </c>
      <c r="BB46" s="3044"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$1787+INDEX(Personalización!$AA$7:$AJ$15,IF(ISEVEN(BB$29),9,4),IF(ISEVEN(BB$29),BB$29-1,BB$29))</f>
        <v>#N/A</v>
      </c>
      <c r="BC46" s="3044"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$1787+INDEX(Personalización!$AA$7:$AJ$15,IF(ISEVEN(BC$29),9,4),IF(ISEVEN(BC$29),BC$29-1,BC$29))</f>
        <v>#N/A</v>
      </c>
      <c r="BD46" s="3044"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$1787+INDEX(Personalización!$AA$7:$AJ$15,IF(ISEVEN(BD$29),9,4),IF(ISEVEN(BD$29),BD$29-1,BD$29))</f>
        <v>#N/A</v>
      </c>
      <c r="BE46" s="3044"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$1787+INDEX(Personalización!$AA$7:$AJ$15,IF(ISEVEN(BE$29),9,4),IF(ISEVEN(BE$29),BE$29-1,BE$29))</f>
        <v>#N/A</v>
      </c>
      <c r="BF46" s="3044"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$1787+INDEX(Personalización!$AA$7:$AJ$15,IF(ISEVEN(BF$29),9,4),IF(ISEVEN(BF$29),BF$29-1,BF$29))</f>
        <v>#N/A</v>
      </c>
      <c r="BG46" s="1737"/>
      <c r="BH46" s="3055"/>
    </row>
    <row r="47" spans="1:60" ht="12" customHeight="1" thickBot="1" x14ac:dyDescent="0.25">
      <c r="A47" s="9"/>
      <c r="B47" s="1162"/>
      <c r="C47" s="579" t="e">
        <f ca="1">VLOOKUP(E42,Tabla_ArmasyEscudos,19,FALSE)</f>
        <v>#N/A</v>
      </c>
      <c r="D47" s="579" t="e">
        <f ca="1">IF(ISNUMBER(SEARCH("XXX",C47)),SUBSTITUTE(C47,"XXX",MAX(0,VLOOKUP(E42,Tabla_ArmasyEscudos,17,FALSE)+IF(FUE&lt;3,-30,VLOOKUP(FUE,Tabla_AlcanceFUE,2)))),SUBSTITUTE(SUBSTITUTE(C47,"Arma natural a distancia disparada",F47),"Arma natural a distancia",F47))</f>
        <v>#N/A</v>
      </c>
      <c r="E47" s="579" t="e">
        <f ca="1">SUBSTITUTE(IF(VLOOKUP(E42,Tabla_ArmasyEscudos,17,FALSE)&lt;&gt;"-",D47,C47),"(FUE "&amp;G47&amp;")","(FUE "&amp;G47+J45/5&amp;")")</f>
        <v>#N/A</v>
      </c>
      <c r="F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9">
        <f ca="1">IFERROR(MID(C47,SEARCH("(FUE ",C47)+5,SEARCH(")",C47,SEARCH("(FUE ",C47))-SEARCH("(FUE ",C47)-5),0)</f>
        <v>0</v>
      </c>
      <c r="H47" s="579"/>
      <c r="M47" s="579"/>
      <c r="N47" s="579" t="e">
        <f ca="1">VLOOKUP(P42,Tabla_ArmasyEscudos,19,FALSE)</f>
        <v>#N/A</v>
      </c>
      <c r="O47" s="579" t="e">
        <f ca="1">IF(ISNUMBER(SEARCH("XXX",N47)),SUBSTITUTE(N47,"XXX",MAX(0,VLOOKUP(P42,Tabla_ArmasyEscudos,17,FALSE)+IF(FUE&lt;3,-30,VLOOKUP(FUE,Tabla_AlcanceFUE,2)))),SUBSTITUTE(SUBSTITUTE(N47,"Arma natural a distancia disparada",Q47),"Arma natural a distancia",Q47))</f>
        <v>#N/A</v>
      </c>
      <c r="P47" s="579" t="e">
        <f ca="1">SUBSTITUTE(IF(VLOOKUP(P42,Tabla_ArmasyEscudos,17,FALSE)&lt;&gt;"-",O47,N47),"(FUE "&amp;R47&amp;")","(FUE "&amp;R47+U45/5&amp;")")</f>
        <v>#N/A</v>
      </c>
      <c r="Q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9">
        <f ca="1">IFERROR(MID(N47,SEARCH("(FUE ",N47)+5,SEARCH(")",N47,SEARCH("(FUE ",N47))-SEARCH("(FUE ",N47)-5),0)</f>
        <v>0</v>
      </c>
      <c r="S47" s="579"/>
      <c r="X47" s="741"/>
      <c r="Y47" s="9"/>
      <c r="Z47" s="9"/>
      <c r="AA47" s="1134"/>
      <c r="AB47" s="4203" t="str">
        <f>IF(PDs!$AD75=0,"",PDs!$AD75)</f>
        <v/>
      </c>
      <c r="AC47" s="4204"/>
      <c r="AD47" s="4204"/>
      <c r="AE47" s="4204"/>
      <c r="AF47" s="4200" t="str">
        <f t="shared" si="10"/>
        <v/>
      </c>
      <c r="AG47" s="4201"/>
      <c r="AH47" s="4201"/>
      <c r="AI47" s="4201"/>
      <c r="AJ47" s="4201"/>
      <c r="AK47" s="4201"/>
      <c r="AL47" s="4201"/>
      <c r="AM47" s="4201"/>
      <c r="AN47" s="4201"/>
      <c r="AO47" s="4201"/>
      <c r="AP47" s="4202"/>
      <c r="AQ47" s="1515">
        <f>IF(AB47="",0,VLOOKUP(AB47,Tablas!$D$850:$G$939,4,FALSE))</f>
        <v>0</v>
      </c>
      <c r="AR47" s="1201"/>
      <c r="AS47" s="1156"/>
      <c r="AT47" s="1737"/>
      <c r="AU47" s="3055" t="s">
        <v>8712</v>
      </c>
      <c r="AV47" s="1737"/>
      <c r="AW47" s="3061" t="str">
        <f>AW29&amp;". "&amp;IF(AW30=0,"",AW30)</f>
        <v xml:space="preserve">1. </v>
      </c>
      <c r="AX47" s="3061" t="str">
        <f>AX29&amp;". "&amp;IF(AX30=0,"",AX30)</f>
        <v xml:space="preserve">2. </v>
      </c>
      <c r="AY47" s="3061" t="str">
        <f>AY29&amp;". "&amp;IF(AY30=0,"",AY30)</f>
        <v xml:space="preserve">3. </v>
      </c>
      <c r="AZ47" s="3061" t="str">
        <f>AZ29&amp;". "&amp;IF(AZ30=0,"",AZ30)</f>
        <v xml:space="preserve">4. </v>
      </c>
      <c r="BA47" s="3061" t="str">
        <f>BA29&amp;". "&amp;IF(BA30=0,"",BA30)</f>
        <v xml:space="preserve">5. </v>
      </c>
      <c r="BB47" s="3061" t="str">
        <f>BB29&amp;". "&amp;IF(BB30=0,"",BB30)</f>
        <v xml:space="preserve">6. </v>
      </c>
      <c r="BC47" s="3061" t="str">
        <f>BC29&amp;". "&amp;IF(BC30=0,"",BC30)</f>
        <v xml:space="preserve">7. </v>
      </c>
      <c r="BD47" s="3061" t="str">
        <f>BD29&amp;". "&amp;IF(BD30=0,"",BD30)</f>
        <v xml:space="preserve">8. </v>
      </c>
      <c r="BE47" s="3061" t="str">
        <f>BE29&amp;". "&amp;IF(BE30=0,"",BE30)</f>
        <v xml:space="preserve">9. </v>
      </c>
      <c r="BF47" s="3061" t="str">
        <f>BF29&amp;". "&amp;IF(BF30=0,"",BF30)</f>
        <v xml:space="preserve">10. </v>
      </c>
      <c r="BG47" s="3055" t="s">
        <v>8591</v>
      </c>
      <c r="BH47" s="3055"/>
    </row>
    <row r="48" spans="1:60" ht="12" customHeight="1" thickBot="1" x14ac:dyDescent="0.25">
      <c r="A48" s="9"/>
      <c r="B48" s="1162"/>
      <c r="C48" s="1480" t="s">
        <v>8691</v>
      </c>
      <c r="D48" s="1475" t="str">
        <f>E49&amp;IF(COUNTIF($R$22:$T$25,C48&amp;" "&amp;E49)&gt;0,IFERROR(" y"&amp;MID(VLOOKUP(C48&amp;" "&amp;E49,$R$22:$W$25,4,FALSE),SEARCH(".",VLOOKUP(C48&amp;" "&amp;E49,$R$22:$W$25,4,FALSE))+1,100),""),"")</f>
        <v/>
      </c>
      <c r="E48" s="1475"/>
      <c r="F48" s="1475"/>
      <c r="G48" s="1475"/>
      <c r="H48" s="1475"/>
      <c r="I48" s="1475"/>
      <c r="J48" s="1475"/>
      <c r="K48" s="1475"/>
      <c r="L48" s="1512" t="s">
        <v>8698</v>
      </c>
      <c r="M48" s="741"/>
      <c r="N48" s="1480" t="s">
        <v>8688</v>
      </c>
      <c r="O48" s="1475" t="str">
        <f>P49&amp;IF(COUNTIF($R$22:$T$25,N48&amp;" "&amp;P49)&gt;0,IFERROR(" y"&amp;MID(VLOOKUP(N48&amp;" "&amp;P49,$R$22:$W$25,4,FALSE),SEARCH(".",VLOOKUP(N48&amp;" "&amp;P49,$R$22:$W$25,4,FALSE))+1,100),""),"")</f>
        <v/>
      </c>
      <c r="P48" s="1475"/>
      <c r="Q48" s="1475"/>
      <c r="R48" s="1475"/>
      <c r="S48" s="1475"/>
      <c r="T48" s="1475"/>
      <c r="U48" s="1475"/>
      <c r="V48" s="1475"/>
      <c r="W48" s="1512" t="s">
        <v>8698</v>
      </c>
      <c r="X48" s="741"/>
      <c r="Y48" s="9"/>
      <c r="Z48" s="9"/>
      <c r="AA48" s="1134"/>
      <c r="AB48" s="4203" t="str">
        <f>IF(PDs!$AD76=0,"",PDs!$AD76)</f>
        <v/>
      </c>
      <c r="AC48" s="4204"/>
      <c r="AD48" s="4204"/>
      <c r="AE48" s="4204"/>
      <c r="AF48" s="4200" t="str">
        <f t="shared" si="10"/>
        <v/>
      </c>
      <c r="AG48" s="4201"/>
      <c r="AH48" s="4201"/>
      <c r="AI48" s="4201"/>
      <c r="AJ48" s="4201"/>
      <c r="AK48" s="4201"/>
      <c r="AL48" s="4201"/>
      <c r="AM48" s="4201"/>
      <c r="AN48" s="4201"/>
      <c r="AO48" s="4201"/>
      <c r="AP48" s="4202"/>
      <c r="AQ48" s="1515">
        <f>IF(AB48="",0,VLOOKUP(AB48,Tablas!$D$850:$G$939,4,FALSE))</f>
        <v>0</v>
      </c>
      <c r="AR48" s="1201"/>
      <c r="AS48" s="1156"/>
      <c r="AT48" s="1737"/>
      <c r="AU48" s="3055" t="s">
        <v>8709</v>
      </c>
      <c r="AV48" s="3055" t="str">
        <f>Turno_SinArmas_final&amp;" "&amp;IF(AND(Resumen!$AN$29="No",C20="Desarmado"),"Natural",$C$20)</f>
        <v>40 Desarmado</v>
      </c>
      <c r="AW48" s="3055" t="str">
        <f ca="1">IFERROR(IF(AW$38="Torpe","",IF(COUNTIF($AV48:AV48,"")=Tablas!A$1,"",", ")&amp;AW41&amp;" "&amp;AW$30&amp;IF(AW$31&lt;=0,""," +"&amp;AW$31)&amp;IF(AW$39="-",""," y "&amp;INDEX(Tabla_Combate,1,AW$39)&amp;IF(INDEX(Tabla_Combate,2,AW$39)&lt;=0,""," +"&amp;INDEX(Tabla_Combate,2,AW$39)))),"")</f>
        <v/>
      </c>
      <c r="AX48" s="3055" t="str">
        <f ca="1">IFERROR(IF(AX$38="Torpe","",IF(COUNTIF($AV48:AW48,"")=Tablas!B$1,"",", ")&amp;AX41&amp;" "&amp;AX$30&amp;IF(AX$31&lt;=0,""," +"&amp;AX$31)&amp;IF(AX$39="-",""," y "&amp;INDEX(Tabla_Combate,1,AX$39)&amp;IF(INDEX(Tabla_Combate,2,AX$39)&lt;=0,""," +"&amp;INDEX(Tabla_Combate,2,AX$39)))),"")</f>
        <v/>
      </c>
      <c r="AY48" s="3055" t="str">
        <f ca="1">IFERROR(IF(AY$38="Torpe","",IF(COUNTIF($AV48:AX48,"")=Tablas!C$1,"",", ")&amp;AY41&amp;" "&amp;AY$30&amp;IF(AY$31&lt;=0,""," +"&amp;AY$31)&amp;IF(AY$39="-",""," y "&amp;INDEX(Tabla_Combate,1,AY$39)&amp;IF(INDEX(Tabla_Combate,2,AY$39)&lt;=0,""," +"&amp;INDEX(Tabla_Combate,2,AY$39)))),"")</f>
        <v/>
      </c>
      <c r="AZ48" s="3055" t="str">
        <f ca="1">IFERROR(IF(AZ$38="Torpe","",IF(COUNTIF($AV48:AY48,"")=Tablas!D$1,"",", ")&amp;AZ41&amp;" "&amp;AZ$30&amp;IF(AZ$31&lt;=0,""," +"&amp;AZ$31)&amp;IF(AZ$39="-",""," y "&amp;INDEX(Tabla_Combate,1,AZ$39)&amp;IF(INDEX(Tabla_Combate,2,AZ$39)&lt;=0,""," +"&amp;INDEX(Tabla_Combate,2,AZ$39)))),"")</f>
        <v/>
      </c>
      <c r="BA48" s="3055" t="str">
        <f ca="1">IFERROR(IF(BA$38="Torpe","",IF(COUNTIF($AV48:AZ48,"")=Tablas!E$1,"",", ")&amp;BA41&amp;" "&amp;BA$30&amp;IF(BA$31&lt;=0,""," +"&amp;BA$31)&amp;IF(BA$39="-",""," y "&amp;INDEX(Tabla_Combate,1,BA$39)&amp;IF(INDEX(Tabla_Combate,2,BA$39)&lt;=0,""," +"&amp;INDEX(Tabla_Combate,2,BA$39)))),"")</f>
        <v/>
      </c>
      <c r="BB48" s="3055" t="str">
        <f ca="1">IFERROR(IF(BB$38="Torpe","",IF(COUNTIF($AV48:BA48,"")=Tablas!F$1,"",", ")&amp;BB41&amp;" "&amp;BB$30&amp;IF(BB$31&lt;=0,""," +"&amp;BB$31)&amp;IF(BB$39="-",""," y "&amp;INDEX(Tabla_Combate,1,BB$39)&amp;IF(INDEX(Tabla_Combate,2,BB$39)&lt;=0,""," +"&amp;INDEX(Tabla_Combate,2,BB$39)))),"")</f>
        <v/>
      </c>
      <c r="BC48" s="3055" t="str">
        <f ca="1">IFERROR(IF(BC$38="Torpe","",IF(COUNTIF($AV48:BB48,"")=Tablas!G$1,"",", ")&amp;BC41&amp;" "&amp;BC$30&amp;IF(BC$31&lt;=0,""," +"&amp;BC$31)&amp;IF(BC$39="-",""," y "&amp;INDEX(Tabla_Combate,1,BC$39)&amp;IF(INDEX(Tabla_Combate,2,BC$39)&lt;=0,""," +"&amp;INDEX(Tabla_Combate,2,BC$39)))),"")</f>
        <v/>
      </c>
      <c r="BD48" s="3055" t="str">
        <f ca="1">IFERROR(IF(BD$38="Torpe","",IF(COUNTIF($AV48:BC48,"")=Tablas!H$1,"",", ")&amp;BD41&amp;" "&amp;BD$30&amp;IF(BD$31&lt;=0,""," +"&amp;BD$31)&amp;IF(BD$39="-",""," y "&amp;INDEX(Tabla_Combate,1,BD$39)&amp;IF(INDEX(Tabla_Combate,2,BD$39)&lt;=0,""," +"&amp;INDEX(Tabla_Combate,2,BD$39)))),"")</f>
        <v/>
      </c>
      <c r="BE48" s="3055" t="str">
        <f ca="1">IFERROR(IF(BE$38="Torpe","",IF(COUNTIF($AV48:BD48,"")=Tablas!I$1,"",", ")&amp;BE41&amp;" "&amp;BE$30&amp;IF(BE$31&lt;=0,""," +"&amp;BE$31)&amp;IF(BE$39="-",""," y "&amp;INDEX(Tabla_Combate,1,BE$39)&amp;IF(INDEX(Tabla_Combate,2,BE$39)&lt;=0,""," +"&amp;INDEX(Tabla_Combate,2,BE$39)))),"")</f>
        <v/>
      </c>
      <c r="BF48" s="3055" t="str">
        <f ca="1">IFERROR(IF(BF$38="Torpe","",IF(COUNTIF($AV48:BE48,"")=Tablas!J$1,"",", ")&amp;BF41&amp;" "&amp;BF$30&amp;IF(BF$31&lt;=0,""," +"&amp;BF$31)&amp;IF(BF$39="-",""," y "&amp;INDEX(Tabla_Combate,1,BF$39)&amp;IF(INDEX(Tabla_Combate,2,BF$39)&lt;=0,""," +"&amp;INDEX(Tabla_Combate,2,BF$39)))),"")</f>
        <v/>
      </c>
      <c r="BG48" s="3055" t="str">
        <f>IF(Personalización!AT3&lt;&gt;"",IF(COUNTIF(Combate!AV48:BF48,"?*")&gt;0,", ","")&amp;IF(Personalización!AT3="","",Personalización!AT3),"")</f>
        <v/>
      </c>
      <c r="BH48" s="3055"/>
    </row>
    <row r="49" spans="1:60" ht="12" customHeight="1" x14ac:dyDescent="0.2">
      <c r="A49" s="9"/>
      <c r="B49" s="1162"/>
      <c r="C49" s="4188" t="s">
        <v>8671</v>
      </c>
      <c r="D49" s="4189"/>
      <c r="E49" s="4190"/>
      <c r="F49" s="4191"/>
      <c r="G49" s="4192"/>
      <c r="H49" s="1790" t="s">
        <v>1393</v>
      </c>
      <c r="I49" s="1791" t="s">
        <v>1564</v>
      </c>
      <c r="J49" s="4193" t="s">
        <v>1565</v>
      </c>
      <c r="K49" s="4193"/>
      <c r="L49" s="1792" t="s">
        <v>1566</v>
      </c>
      <c r="M49" s="1511" t="str">
        <f ca="1">IF(C49=INDEX(Lista_ManosArma,2),Lista_ProyA2manos,Lista_ProyA1Mano)</f>
        <v>Tablas!$AD$643:$AD$656</v>
      </c>
      <c r="N49" s="4188" t="s">
        <v>8671</v>
      </c>
      <c r="O49" s="4189"/>
      <c r="P49" s="4190"/>
      <c r="Q49" s="4191"/>
      <c r="R49" s="4192"/>
      <c r="S49" s="1790" t="s">
        <v>1393</v>
      </c>
      <c r="T49" s="1791" t="s">
        <v>1564</v>
      </c>
      <c r="U49" s="4193" t="s">
        <v>1565</v>
      </c>
      <c r="V49" s="4193"/>
      <c r="W49" s="1792" t="s">
        <v>1566</v>
      </c>
      <c r="X49" s="1511" t="str">
        <f ca="1">IF(N49=INDEX(Lista_ManosArma,2),Lista_ProyA2manos,Lista_ProyA1Mano)</f>
        <v>Tablas!$AD$643:$AD$656</v>
      </c>
      <c r="Y49" s="9"/>
      <c r="Z49" s="9"/>
      <c r="AA49" s="1134"/>
      <c r="AB49" s="4205" t="str">
        <f>IF(PDs!$AD77=0,"",PDs!$AD77)</f>
        <v/>
      </c>
      <c r="AC49" s="4206"/>
      <c r="AD49" s="4206"/>
      <c r="AE49" s="4206"/>
      <c r="AF49" s="4207" t="str">
        <f t="shared" si="10"/>
        <v/>
      </c>
      <c r="AG49" s="4208"/>
      <c r="AH49" s="4208"/>
      <c r="AI49" s="4208"/>
      <c r="AJ49" s="4208"/>
      <c r="AK49" s="4208"/>
      <c r="AL49" s="4208"/>
      <c r="AM49" s="4208"/>
      <c r="AN49" s="4208"/>
      <c r="AO49" s="4208"/>
      <c r="AP49" s="4209"/>
      <c r="AQ49" s="1515">
        <f>IF(AB49="",0,VLOOKUP(AB49,Tablas!$D$850:$G$939,4,FALSE))</f>
        <v>0</v>
      </c>
      <c r="AR49" s="1201"/>
      <c r="AS49" s="1156"/>
      <c r="AT49" s="1737"/>
      <c r="AU49" s="3055" t="s">
        <v>8710</v>
      </c>
      <c r="AV49" s="3055" t="str">
        <f>IF(AND(Resumen!$AN$29="No",C20="Desarmado"),"",HA_SinArmas_final&amp;" "&amp;$C$20)</f>
        <v>-60 Desarmado</v>
      </c>
      <c r="AW49" s="3055" t="str">
        <f ca="1">IFERROR(IF(AW$38="Torpe","",IF(COUNTIF($AV49:AV49,"")=Tablas!A$1,"",", ")&amp;AW42&amp;" "&amp;AW$30&amp;IF(AW$31&lt;=0,""," +"&amp;AW$31)&amp;IF(AW$39="-",""," y "&amp;INDEX(Tabla_Combate,$AT$42,AW$39)&amp;" "&amp;INDEX(Tabla_Combate,1,AW$39)&amp;IF(INDEX(Tabla_Combate,2,AW$39)&lt;=0,""," +"&amp;INDEX(Tabla_Combate,2,AW$39)))),"")</f>
        <v/>
      </c>
      <c r="AX49" s="3055" t="str">
        <f ca="1">IFERROR(IF(AX$38="Torpe","",IF(COUNTIF($AV49:AW49,"")=Tablas!B$1,"",", ")&amp;AX42&amp;" "&amp;AX$30&amp;IF(AX$31&lt;=0,""," +"&amp;AX$31)&amp;IF(AX$39="-",""," y "&amp;INDEX(Tabla_Combate,$AT$42,AX$39)&amp;" "&amp;INDEX(Tabla_Combate,1,AX$39)&amp;IF(INDEX(Tabla_Combate,2,AX$39)&lt;=0,""," +"&amp;INDEX(Tabla_Combate,2,AX$39)))),"")</f>
        <v/>
      </c>
      <c r="AY49" s="3055" t="str">
        <f ca="1">IFERROR(IF(AY$38="Torpe","",IF(COUNTIF($AV49:AX49,"")=Tablas!C$1,"",", ")&amp;AY42&amp;" "&amp;AY$30&amp;IF(AY$31&lt;=0,""," +"&amp;AY$31)&amp;IF(AY$39="-",""," y "&amp;INDEX(Tabla_Combate,$AT$42,AY$39)&amp;" "&amp;INDEX(Tabla_Combate,1,AY$39)&amp;IF(INDEX(Tabla_Combate,2,AY$39)&lt;=0,""," +"&amp;INDEX(Tabla_Combate,2,AY$39)))),"")</f>
        <v/>
      </c>
      <c r="AZ49" s="3055" t="str">
        <f ca="1">IFERROR(IF(AZ$38="Torpe","",IF(COUNTIF($AV49:AY49,"")=Tablas!D$1,"",", ")&amp;AZ42&amp;" "&amp;AZ$30&amp;IF(AZ$31&lt;=0,""," +"&amp;AZ$31)&amp;IF(AZ$39="-",""," y "&amp;INDEX(Tabla_Combate,$AT$42,AZ$39)&amp;" "&amp;INDEX(Tabla_Combate,1,AZ$39)&amp;IF(INDEX(Tabla_Combate,2,AZ$39)&lt;=0,""," +"&amp;INDEX(Tabla_Combate,2,AZ$39)))),"")</f>
        <v/>
      </c>
      <c r="BA49" s="3055" t="str">
        <f ca="1">IFERROR(IF(BA$38="Torpe","",IF(COUNTIF($AV49:AZ49,"")=Tablas!E$1,"",", ")&amp;BA42&amp;" "&amp;BA$30&amp;IF(BA$31&lt;=0,""," +"&amp;BA$31)&amp;IF(BA$39="-",""," y "&amp;INDEX(Tabla_Combate,$AT$42,BA$39)&amp;" "&amp;INDEX(Tabla_Combate,1,BA$39)&amp;IF(INDEX(Tabla_Combate,2,BA$39)&lt;=0,""," +"&amp;INDEX(Tabla_Combate,2,BA$39)))),"")</f>
        <v/>
      </c>
      <c r="BB49" s="3055" t="str">
        <f ca="1">IFERROR(IF(BB$38="Torpe","",IF(COUNTIF($AV49:BA49,"")=Tablas!F$1,"",", ")&amp;BB42&amp;" "&amp;BB$30&amp;IF(BB$31&lt;=0,""," +"&amp;BB$31)&amp;IF(BB$39="-",""," y "&amp;INDEX(Tabla_Combate,$AT$42,BB$39)&amp;" "&amp;INDEX(Tabla_Combate,1,BB$39)&amp;IF(INDEX(Tabla_Combate,2,BB$39)&lt;=0,""," +"&amp;INDEX(Tabla_Combate,2,BB$39)))),"")</f>
        <v/>
      </c>
      <c r="BC49" s="3055" t="str">
        <f ca="1">IFERROR(IF(BC$38="Torpe","",IF(COUNTIF($AV49:BB49,"")=Tablas!G$1,"",", ")&amp;BC42&amp;" "&amp;BC$30&amp;IF(BC$31&lt;=0,""," +"&amp;BC$31)&amp;IF(BC$39="-",""," y "&amp;INDEX(Tabla_Combate,$AT$42,BC$39)&amp;" "&amp;INDEX(Tabla_Combate,1,BC$39)&amp;IF(INDEX(Tabla_Combate,2,BC$39)&lt;=0,""," +"&amp;INDEX(Tabla_Combate,2,BC$39)))),"")</f>
        <v/>
      </c>
      <c r="BD49" s="3055" t="str">
        <f ca="1">IFERROR(IF(BD$38="Torpe","",IF(COUNTIF($AV49:BC49,"")=Tablas!H$1,"",", ")&amp;BD42&amp;" "&amp;BD$30&amp;IF(BD$31&lt;=0,""," +"&amp;BD$31)&amp;IF(BD$39="-",""," y "&amp;INDEX(Tabla_Combate,$AT$42,BD$39)&amp;" "&amp;INDEX(Tabla_Combate,1,BD$39)&amp;IF(INDEX(Tabla_Combate,2,BD$39)&lt;=0,""," +"&amp;INDEX(Tabla_Combate,2,BD$39)))),"")</f>
        <v/>
      </c>
      <c r="BE49" s="3055" t="str">
        <f ca="1">IFERROR(IF(BE$38="Torpe","",IF(COUNTIF($AV49:BD49,"")=Tablas!I$1,"",", ")&amp;BE42&amp;" "&amp;BE$30&amp;IF(BE$31&lt;=0,""," +"&amp;BE$31)&amp;IF(BE$39="-",""," y "&amp;INDEX(Tabla_Combate,$AT$42,BE$39)&amp;" "&amp;INDEX(Tabla_Combate,1,BE$39)&amp;IF(INDEX(Tabla_Combate,2,BE$39)&lt;=0,""," +"&amp;INDEX(Tabla_Combate,2,BE$39)))),"")</f>
        <v/>
      </c>
      <c r="BF49" s="3055" t="str">
        <f ca="1">IFERROR(IF(BF$38="Torpe","",IF(COUNTIF($AV49:BE49,"")=Tablas!J$1,"",", ")&amp;BF42&amp;" "&amp;BF$30&amp;IF(BF$31&lt;=0,""," +"&amp;BF$31)&amp;IF(BF$39="-",""," y "&amp;INDEX(Tabla_Combate,$AT$42,BF$39)&amp;" "&amp;INDEX(Tabla_Combate,1,BF$39)&amp;IF(INDEX(Tabla_Combate,2,BF$39)&lt;=0,""," +"&amp;INDEX(Tabla_Combate,2,BF$39)))),"")</f>
        <v/>
      </c>
      <c r="BG49" s="3055" t="str">
        <f>IF(Personalización!AT4&lt;&gt;"",IF(COUNTIF(Combate!AV49:BF49,"?*")&gt;0,", ","")&amp;IF(Personalización!AT4="","",Personalización!AT4),"")</f>
        <v/>
      </c>
      <c r="BH49" s="3055"/>
    </row>
    <row r="50" spans="1:60" ht="12" customHeight="1" x14ac:dyDescent="0.2">
      <c r="A50" s="9"/>
      <c r="B50" s="1162"/>
      <c r="C50" s="4194" t="s">
        <v>1580</v>
      </c>
      <c r="D50" s="4195"/>
      <c r="E50" s="4168"/>
      <c r="F50" s="4168"/>
      <c r="G50" s="4169"/>
      <c r="H50" s="4177">
        <f ca="1">IFERROR(INDEX(Tabla_Combate,$AT$41,LEFT(C48,LEN(C48)-1)),0)</f>
        <v>0</v>
      </c>
      <c r="I50" s="4174">
        <f ca="1">IFERROR(INDEX(Tabla_Combate,$AT$42,LEFT(C48,LEN(C48)-1)),0)</f>
        <v>0</v>
      </c>
      <c r="J50" s="4153">
        <f ca="1">IF(K50="-",0,IF(K50="Par",INDEX(Tabla_Combate,$AT$43,LEFT(C48,LEN(C48)-1)),INDEX(Tabla_Combate,$AT$44,LEFT(C48,LEN(C48)-1))))</f>
        <v>0</v>
      </c>
      <c r="K50" s="3714" t="str">
        <f ca="1">IFERROR(IF(INDEX(Tabla_Combate,$AT$43,LEFT(C48,LEN(C48)-1))&gt;INDEX(Tabla_Combate,$AT$44,LEFT(C48,LEN(C48)-1)),"Par","Esq"),"-")</f>
        <v>-</v>
      </c>
      <c r="L50" s="4162">
        <f ca="1">IFERROR(INDEX(Tabla_Combate,$AT$46,LEFT(C48,LEN(C48)-1)),0)</f>
        <v>0</v>
      </c>
      <c r="M50" s="741"/>
      <c r="N50" s="4194" t="s">
        <v>1580</v>
      </c>
      <c r="O50" s="4195"/>
      <c r="P50" s="4168"/>
      <c r="Q50" s="4168"/>
      <c r="R50" s="4169"/>
      <c r="S50" s="4177">
        <f ca="1">IFERROR(INDEX(Tabla_Combate,$AT$41,LEFT(N48,LEN(N48)-1)),0)</f>
        <v>0</v>
      </c>
      <c r="T50" s="4174">
        <f ca="1">IFERROR(INDEX(Tabla_Combate,$AT$42,LEFT(N48,LEN(N48)-1)),0)</f>
        <v>0</v>
      </c>
      <c r="U50" s="4153">
        <f ca="1">IF(V50="-",0,IF(V50="Par",INDEX(Tabla_Combate,$AT$43,LEFT(N48,LEN(N48)-1)),INDEX(Tabla_Combate,$AT$44,LEFT(N48,LEN(N48)-1))))</f>
        <v>0</v>
      </c>
      <c r="V50" s="3714" t="str">
        <f ca="1">IFERROR(IF(INDEX(Tabla_Combate,$AT$43,LEFT(N48,LEN(N48)-1))&gt;INDEX(Tabla_Combate,$AT$44,LEFT(N48,LEN(N48)-1)),"Par","Esq"),"-")</f>
        <v>-</v>
      </c>
      <c r="W50" s="4162">
        <f ca="1">IFERROR(INDEX(Tabla_Combate,$AT$46,LEFT(N48,LEN(N48)-1)),0)</f>
        <v>0</v>
      </c>
      <c r="X50" s="741"/>
      <c r="Y50" s="9"/>
      <c r="Z50" s="9"/>
      <c r="AA50" s="1134"/>
      <c r="AB50" s="4216" t="str">
        <f>IF(PDs!$E78=0,"",PDs!$E78)</f>
        <v/>
      </c>
      <c r="AC50" s="4216"/>
      <c r="AD50" s="4216"/>
      <c r="AE50" s="4216"/>
      <c r="AF50" s="4216"/>
      <c r="AG50" s="4216"/>
      <c r="AH50" s="4213" t="str">
        <f>IF($AB50="","",IF(PDs!$V78="FALTAN REQUISITOS",PDs!$V78,VLOOKUP(AB50,Tabla_AM_Armas,5,FALSE)))</f>
        <v/>
      </c>
      <c r="AI50" s="4213"/>
      <c r="AJ50" s="4213"/>
      <c r="AK50" s="4213"/>
      <c r="AL50" s="4213"/>
      <c r="AM50" s="4213"/>
      <c r="AN50" s="4213"/>
      <c r="AO50" s="4213"/>
      <c r="AP50" s="4213"/>
      <c r="AQ50" s="4213"/>
      <c r="AR50" s="1201"/>
      <c r="AS50" s="1156"/>
      <c r="AT50" s="1737"/>
      <c r="AU50" s="3055" t="s">
        <v>8708</v>
      </c>
      <c r="AV50" s="3055" t="str">
        <f ca="1">IF(AV$52="Par",AV$53,IF(AV$52="Esq",AV$54&amp;AW54&amp;AX54&amp;AY54&amp;AZ54&amp;BA54&amp;BB54&amp;BC54&amp;BD54&amp;BE54&amp;BF54&amp;IF(COUNTIF(AW54:BF54,"")=10,"",")"),""))</f>
        <v>, 0 Esquiva</v>
      </c>
      <c r="AW50" s="3055" t="str">
        <f ca="1">IF(AW$52="Par",IF(COUNTIF($AV$53:AV$53,AW$53)&gt;0,"",AW$53),"")</f>
        <v/>
      </c>
      <c r="AX50" s="3055" t="str">
        <f ca="1">IF(AX$52="Par",IF(COUNTIF($AV$53:AW$53,AX$53)&gt;0,"",AX$53),"")</f>
        <v/>
      </c>
      <c r="AY50" s="3055" t="str">
        <f ca="1">IF(AY$52="Par",IF(COUNTIF($AV$53:AX$53,AY$53)&gt;0,"",AY$53),"")</f>
        <v/>
      </c>
      <c r="AZ50" s="3055" t="str">
        <f ca="1">IF(AZ$52="Par",IF(COUNTIF($AV$53:AY$53,AZ$53)&gt;0,"",AZ$53),"")</f>
        <v/>
      </c>
      <c r="BA50" s="3055" t="str">
        <f ca="1">IF(BA$52="Par",IF(COUNTIF($AV$53:AZ$53,BA$53)&gt;0,"",BA$53),"")</f>
        <v/>
      </c>
      <c r="BB50" s="3055" t="str">
        <f ca="1">IF(BB$52="Par",IF(COUNTIF($AV$53:BA$53,BB$53)&gt;0,"",BB$53),"")</f>
        <v/>
      </c>
      <c r="BC50" s="3055" t="str">
        <f ca="1">IF(BC$52="Par",IF(COUNTIF($AV$53:BB$53,BC$53)&gt;0,"",BC$53),"")</f>
        <v/>
      </c>
      <c r="BD50" s="3055" t="str">
        <f ca="1">IF(BD$52="Par",IF(COUNTIF($AV$53:BC$53,BD$53)&gt;0,"",BD$53),"")</f>
        <v/>
      </c>
      <c r="BE50" s="3055" t="str">
        <f ca="1">IF(BE$52="Par",IF(COUNTIF($AV$53:BD$53,BE$53)&gt;0,"",BE$53),"")</f>
        <v/>
      </c>
      <c r="BF50" s="3055" t="str">
        <f ca="1">IF(BF$52="Par",IF(COUNTIF($AV$53:BE$53,BF$53)&gt;0,"",BF$53),"")</f>
        <v/>
      </c>
      <c r="BG50" s="3055" t="str">
        <f>IF(Personalización!AT5&lt;&gt;"",IF(COUNTIF(Combate!AV50:BF50,"?*")&gt;0,", ","")&amp;IF(Personalización!AT5="","",Personalización!AT5),"")</f>
        <v/>
      </c>
      <c r="BH50" s="3055"/>
    </row>
    <row r="51" spans="1:60" ht="12" customHeight="1" x14ac:dyDescent="0.2">
      <c r="A51" s="9"/>
      <c r="B51" s="1162"/>
      <c r="C51" s="4164" t="str">
        <f>IF(E49=0,"",VLOOKUP(E49,Tabla_ArmasyEscudos,9,FALSE))</f>
        <v/>
      </c>
      <c r="D51" s="4165"/>
      <c r="E51" s="1793" t="s">
        <v>1576</v>
      </c>
      <c r="F51" s="4166" t="s">
        <v>1577</v>
      </c>
      <c r="G51" s="4167"/>
      <c r="H51" s="4177"/>
      <c r="I51" s="4175"/>
      <c r="J51" s="4154"/>
      <c r="K51" s="4176"/>
      <c r="L51" s="4163"/>
      <c r="M51" s="741"/>
      <c r="N51" s="4164" t="str">
        <f>IF(P49=0,"",VLOOKUP(P49,Tabla_ArmasyEscudos,9,FALSE))</f>
        <v/>
      </c>
      <c r="O51" s="4165"/>
      <c r="P51" s="1793" t="s">
        <v>1576</v>
      </c>
      <c r="Q51" s="4166" t="s">
        <v>1577</v>
      </c>
      <c r="R51" s="4167"/>
      <c r="S51" s="4177"/>
      <c r="T51" s="4175"/>
      <c r="U51" s="4154"/>
      <c r="V51" s="4176"/>
      <c r="W51" s="4163"/>
      <c r="X51" s="741"/>
      <c r="Y51" s="9"/>
      <c r="Z51" s="9"/>
      <c r="AA51" s="1134"/>
      <c r="AB51" s="4217" t="str">
        <f>IF(PDs!$E79=0,"",PDs!$E79)</f>
        <v/>
      </c>
      <c r="AC51" s="4217"/>
      <c r="AD51" s="4217"/>
      <c r="AE51" s="4217"/>
      <c r="AF51" s="4217"/>
      <c r="AG51" s="4217"/>
      <c r="AH51" s="4215" t="str">
        <f>IF($AB51="","",IF(PDs!$V79="FALTAN REQUISITOS",PDs!$V79,VLOOKUP(AB51,Tabla_AM_Armas,5,FALSE)))</f>
        <v/>
      </c>
      <c r="AI51" s="4215"/>
      <c r="AJ51" s="4215"/>
      <c r="AK51" s="4215"/>
      <c r="AL51" s="4215"/>
      <c r="AM51" s="4215"/>
      <c r="AN51" s="4215"/>
      <c r="AO51" s="4215"/>
      <c r="AP51" s="4215"/>
      <c r="AQ51" s="4215"/>
      <c r="AR51" s="1201"/>
      <c r="AS51" s="1156"/>
      <c r="AT51" s="1737"/>
      <c r="AU51" s="3055" t="s">
        <v>8711</v>
      </c>
      <c r="AV51" s="3055" t="str">
        <f>IF(AND(Resumen!$AN$29="No",C20="Desarmado"),"",L21&amp;" "&amp;$C$20&amp;" ("&amp;C23&amp;IF(N21="","",", "&amp;N21)&amp;IF(N24="",""," / "&amp;N24)&amp;")")</f>
        <v>5 Desarmado (CON)</v>
      </c>
      <c r="AW51" s="3055" t="str">
        <f ca="1">IFERROR(IF(AW$38="Torpe","",IF(COUNTIF($AV51:AV51,"")=Tablas!A$1,"",", ")&amp;AW46&amp;" "&amp;AW$30&amp;IF(AW$31&lt;=0,""," +"&amp;AW$31)&amp;" "&amp;AW36&amp;IF(AW$39="-",""," y "&amp;INDEX(Tabla_Combate,$AT$46,AW$39)&amp;" "&amp;INDEX(Tabla_Combate,1,AW$39)&amp;IF(INDEX(Tabla_Combate,2,AW$39)&lt;=0,""," +"&amp;INDEX(Tabla_Combate,2,AW$39))&amp;" "&amp;INDEX(Tabla_Combate,7,AW$39))),"")</f>
        <v/>
      </c>
      <c r="AX51" s="3055" t="str">
        <f ca="1">IFERROR(IF(AX$38="Torpe","",IF(COUNTIF($AV51:AW51,"")=Tablas!B$1,"",", ")&amp;AX46&amp;" "&amp;AX$30&amp;IF(AX$31&lt;=0,""," +"&amp;AX$31)&amp;" "&amp;AX36&amp;IF(AX$39="-",""," y "&amp;INDEX(Tabla_Combate,$AT$46,AX$39)&amp;" "&amp;INDEX(Tabla_Combate,1,AX$39)&amp;IF(INDEX(Tabla_Combate,2,AX$39)&lt;=0,""," +"&amp;INDEX(Tabla_Combate,2,AX$39))&amp;" "&amp;INDEX(Tabla_Combate,7,AX$39))),"")</f>
        <v/>
      </c>
      <c r="AY51" s="3055" t="str">
        <f ca="1">IFERROR(IF(AY$38="Torpe","",IF(COUNTIF($AV51:AX51,"")=Tablas!C$1,"",", ")&amp;AY46&amp;" "&amp;AY$30&amp;IF(AY$31&lt;=0,""," +"&amp;AY$31)&amp;" "&amp;AY36&amp;IF(AY$39="-",""," y "&amp;INDEX(Tabla_Combate,$AT$46,AY$39)&amp;" "&amp;INDEX(Tabla_Combate,1,AY$39)&amp;IF(INDEX(Tabla_Combate,2,AY$39)&lt;=0,""," +"&amp;INDEX(Tabla_Combate,2,AY$39))&amp;" "&amp;INDEX(Tabla_Combate,7,AY$39))),"")</f>
        <v/>
      </c>
      <c r="AZ51" s="3055" t="str">
        <f ca="1">IFERROR(IF(AZ$38="Torpe","",IF(COUNTIF($AV51:AY51,"")=Tablas!D$1,"",", ")&amp;AZ46&amp;" "&amp;AZ$30&amp;IF(AZ$31&lt;=0,""," +"&amp;AZ$31)&amp;" "&amp;AZ36&amp;IF(AZ$39="-",""," y "&amp;INDEX(Tabla_Combate,$AT$46,AZ$39)&amp;" "&amp;INDEX(Tabla_Combate,1,AZ$39)&amp;IF(INDEX(Tabla_Combate,2,AZ$39)&lt;=0,""," +"&amp;INDEX(Tabla_Combate,2,AZ$39))&amp;" "&amp;INDEX(Tabla_Combate,7,AZ$39))),"")</f>
        <v/>
      </c>
      <c r="BA51" s="3055" t="str">
        <f ca="1">IFERROR(IF(BA$38="Torpe","",IF(COUNTIF($AV51:AZ51,"")=Tablas!E$1,"",", ")&amp;BA46&amp;" "&amp;BA$30&amp;IF(BA$31&lt;=0,""," +"&amp;BA$31)&amp;" "&amp;BA36&amp;IF(BA$39="-",""," y "&amp;INDEX(Tabla_Combate,$AT$46,BA$39)&amp;" "&amp;INDEX(Tabla_Combate,1,BA$39)&amp;IF(INDEX(Tabla_Combate,2,BA$39)&lt;=0,""," +"&amp;INDEX(Tabla_Combate,2,BA$39))&amp;" "&amp;INDEX(Tabla_Combate,7,BA$39))),"")</f>
        <v/>
      </c>
      <c r="BB51" s="3055" t="str">
        <f ca="1">IFERROR(IF(BB$38="Torpe","",IF(COUNTIF($AV51:BA51,"")=Tablas!F$1,"",", ")&amp;BB46&amp;" "&amp;BB$30&amp;IF(BB$31&lt;=0,""," +"&amp;BB$31)&amp;" "&amp;BB36&amp;IF(BB$39="-",""," y "&amp;INDEX(Tabla_Combate,$AT$46,BB$39)&amp;" "&amp;INDEX(Tabla_Combate,1,BB$39)&amp;IF(INDEX(Tabla_Combate,2,BB$39)&lt;=0,""," +"&amp;INDEX(Tabla_Combate,2,BB$39))&amp;" "&amp;INDEX(Tabla_Combate,7,BB$39))),"")</f>
        <v/>
      </c>
      <c r="BC51" s="3055" t="str">
        <f ca="1">IFERROR(IF(BC$38="Torpe","",IF(COUNTIF($AV51:BB51,"")=Tablas!G$1,"",", ")&amp;BC46&amp;" "&amp;BC$30&amp;IF(BC$31&lt;=0,""," +"&amp;BC$31)&amp;" "&amp;BC36&amp;IF(BC$39="-",""," y "&amp;INDEX(Tabla_Combate,$AT$46,BC$39)&amp;" "&amp;INDEX(Tabla_Combate,1,BC$39)&amp;IF(INDEX(Tabla_Combate,2,BC$39)&lt;=0,""," +"&amp;INDEX(Tabla_Combate,2,BC$39))&amp;" "&amp;INDEX(Tabla_Combate,7,BC$39))),"")</f>
        <v/>
      </c>
      <c r="BD51" s="3055" t="str">
        <f ca="1">IFERROR(IF(BD$38="Torpe","",IF(COUNTIF($AV51:BC51,"")=Tablas!H$1,"",", ")&amp;BD46&amp;" "&amp;BD$30&amp;IF(BD$31&lt;=0,""," +"&amp;BD$31)&amp;" "&amp;BD36&amp;IF(BD$39="-",""," y "&amp;INDEX(Tabla_Combate,$AT$46,BD$39)&amp;" "&amp;INDEX(Tabla_Combate,1,BD$39)&amp;IF(INDEX(Tabla_Combate,2,BD$39)&lt;=0,""," +"&amp;INDEX(Tabla_Combate,2,BD$39))&amp;" "&amp;INDEX(Tabla_Combate,7,BD$39))),"")</f>
        <v/>
      </c>
      <c r="BE51" s="3055" t="str">
        <f ca="1">IFERROR(IF(BE$38="Torpe","",IF(COUNTIF($AV51:BD51,"")=Tablas!I$1,"",", ")&amp;BE46&amp;" "&amp;BE$30&amp;IF(BE$31&lt;=0,""," +"&amp;BE$31)&amp;" "&amp;BE36&amp;IF(BE$39="-",""," y "&amp;INDEX(Tabla_Combate,$AT$46,BE$39)&amp;" "&amp;INDEX(Tabla_Combate,1,BE$39)&amp;IF(INDEX(Tabla_Combate,2,BE$39)&lt;=0,""," +"&amp;INDEX(Tabla_Combate,2,BE$39))&amp;" "&amp;INDEX(Tabla_Combate,7,BE$39))),"")</f>
        <v/>
      </c>
      <c r="BF51" s="3055" t="str">
        <f ca="1">IFERROR(IF(BF$38="Torpe","",IF(COUNTIF($AV51:BE51,"")=Tablas!J$1,"",", ")&amp;BF46&amp;" "&amp;BF$30&amp;IF(BF$31&lt;=0,""," +"&amp;BF$31)&amp;" "&amp;BF36&amp;IF(BF$39="-",""," y "&amp;INDEX(Tabla_Combate,$AT$46,BF$39)&amp;" "&amp;INDEX(Tabla_Combate,1,BF$39)&amp;IF(INDEX(Tabla_Combate,2,BF$39)&lt;=0,""," +"&amp;INDEX(Tabla_Combate,2,BF$39))&amp;" "&amp;INDEX(Tabla_Combate,7,BF$39))),"")</f>
        <v/>
      </c>
      <c r="BG51" s="3055" t="str">
        <f>IF(Personalización!AT6&lt;&gt;"",IF(COUNTIF(Combate!AV51:BF51,"?*")&gt;0,", ","")&amp;IF(Personalización!AT6="","",Personalización!AT6),"")</f>
        <v/>
      </c>
      <c r="BH51" s="1737"/>
    </row>
    <row r="52" spans="1:60" ht="12" customHeight="1" thickBot="1" x14ac:dyDescent="0.25">
      <c r="A52" s="9"/>
      <c r="B52" s="1162"/>
      <c r="C52" s="1413" t="s">
        <v>1568</v>
      </c>
      <c r="D52" s="1414" t="s">
        <v>1569</v>
      </c>
      <c r="E52" s="1414" t="s">
        <v>1557</v>
      </c>
      <c r="F52" s="1414" t="s">
        <v>1570</v>
      </c>
      <c r="G52" s="277" t="s">
        <v>1558</v>
      </c>
      <c r="H52" s="4172" t="s">
        <v>8673</v>
      </c>
      <c r="I52" s="4173"/>
      <c r="J52" s="1518"/>
      <c r="K52" s="4186" t="str">
        <f>IF(Tablas!$G$507&gt;0,"-50 a puntería","")</f>
        <v/>
      </c>
      <c r="L52" s="4187"/>
      <c r="M52" s="741"/>
      <c r="N52" s="1413" t="s">
        <v>1568</v>
      </c>
      <c r="O52" s="1414" t="s">
        <v>1569</v>
      </c>
      <c r="P52" s="1414" t="s">
        <v>1557</v>
      </c>
      <c r="Q52" s="1414" t="s">
        <v>1570</v>
      </c>
      <c r="R52" s="277" t="s">
        <v>1558</v>
      </c>
      <c r="S52" s="4172" t="s">
        <v>8673</v>
      </c>
      <c r="T52" s="4173"/>
      <c r="U52" s="1518"/>
      <c r="V52" s="4186" t="str">
        <f>IF(Tablas!$G$507&gt;0,"-50 a puntería","")</f>
        <v/>
      </c>
      <c r="W52" s="4187"/>
      <c r="X52" s="741"/>
      <c r="Y52" s="9"/>
      <c r="Z52" s="9"/>
      <c r="AA52" s="1134"/>
      <c r="AB52" s="4214" t="str">
        <f>IF(PDs!$E80=0,"",PDs!$E80)</f>
        <v/>
      </c>
      <c r="AC52" s="4214"/>
      <c r="AD52" s="4214"/>
      <c r="AE52" s="4214"/>
      <c r="AF52" s="4214"/>
      <c r="AG52" s="4214"/>
      <c r="AH52" s="4210" t="str">
        <f>IF($AB52="","",IF(PDs!$V80="FALTAN REQUISITOS",PDs!$V80,VLOOKUP(AB52,Tabla_AM_Armas,5,FALSE)))</f>
        <v/>
      </c>
      <c r="AI52" s="4210"/>
      <c r="AJ52" s="4210"/>
      <c r="AK52" s="4210"/>
      <c r="AL52" s="4210"/>
      <c r="AM52" s="4210"/>
      <c r="AN52" s="4210"/>
      <c r="AO52" s="4210"/>
      <c r="AP52" s="4210"/>
      <c r="AQ52" s="4210"/>
      <c r="AR52" s="1201"/>
      <c r="AS52" s="1156"/>
      <c r="AT52" s="1737"/>
      <c r="AU52" s="3055" t="s">
        <v>10086</v>
      </c>
      <c r="AV52" s="3055" t="str">
        <f>Par_Esq</f>
        <v>Esq</v>
      </c>
      <c r="AW52" s="3055" t="str">
        <f ca="1">$K$29</f>
        <v>-</v>
      </c>
      <c r="AX52" s="3055" t="str">
        <f ca="1">$V$29</f>
        <v>-</v>
      </c>
      <c r="AY52" s="3055" t="str">
        <f ca="1">$K$36</f>
        <v>-</v>
      </c>
      <c r="AZ52" s="3055" t="str">
        <f ca="1">$V$36</f>
        <v>-</v>
      </c>
      <c r="BA52" s="3055" t="str">
        <f ca="1">$K$43</f>
        <v>-</v>
      </c>
      <c r="BB52" s="3055" t="str">
        <f ca="1">$V$43</f>
        <v>-</v>
      </c>
      <c r="BC52" s="3055" t="str">
        <f ca="1">$K$50</f>
        <v>-</v>
      </c>
      <c r="BD52" s="3055" t="str">
        <f ca="1">$V$50</f>
        <v>-</v>
      </c>
      <c r="BE52" s="3055" t="str">
        <f ca="1">$K$59</f>
        <v>-</v>
      </c>
      <c r="BF52" s="3055" t="str">
        <f ca="1">$V$59</f>
        <v>-</v>
      </c>
      <c r="BG52" s="1737"/>
      <c r="BH52" s="1737"/>
    </row>
    <row r="53" spans="1:60" ht="12" customHeight="1" thickBot="1" x14ac:dyDescent="0.25">
      <c r="A53" s="9"/>
      <c r="B53" s="1513"/>
      <c r="C53" s="1062" t="str">
        <f>IF(E50=0,"",VLOOKUP(E50,Tabla_ArmasyEscudos,6,FALSE))</f>
        <v/>
      </c>
      <c r="D53" s="510" t="str">
        <f>IF(E50=0,"",VLOOKUP(E50,Tabla_ArmasyEscudos,7,FALSE))</f>
        <v/>
      </c>
      <c r="E53" s="1794"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95" t="str">
        <f>IF(E50=0,"",IF(Extensióndelauraalarma,5,0)+J53*2/5+VLOOKUP(E50,Tabla_ArmasyEscudos,11,FALSE)+IF(F51=0,0,VLOOKUP(F51,Tabla_ArmasEnormes,7,FALSE))+IFERROR(VLOOKUP(IF(F56=0,FUE,F56+TRUNC(J52/5,0)),Tabla_Fuerza,2),0)+IF(Ojos_de_la_Muerte,5,0))</f>
        <v/>
      </c>
      <c r="G53" s="1796" t="str">
        <f>IF(E49=0,0,MAX(J52*10,0)+VLOOKUP(E49,Tabla_ArmasyEscudos,12,FALSE))&amp;IF(E50=0,"","/ "&amp;MAX(J53*10,0)+VLOOKUP(E50,Tabla_ArmasyEscudos,12,FALSE))</f>
        <v>0</v>
      </c>
      <c r="H53" s="4181" t="s">
        <v>8687</v>
      </c>
      <c r="I53" s="4182"/>
      <c r="J53" s="1517"/>
      <c r="K53" s="4157" t="str">
        <f>IF(F51=0,IF(J53&lt;=0,"","TA defensor: -"&amp;J53/5),IF(Tamaño&lt;VLOOKUP(F51,Tabla_ArmasEnormes,2,FALSE),"Tam. excesivo",IF(J53&lt;=0,"","TA defensor: -"&amp;J53/5)))</f>
        <v/>
      </c>
      <c r="L53" s="4158"/>
      <c r="M53" s="741"/>
      <c r="N53" s="1062" t="str">
        <f>IF(P50=0,"",VLOOKUP(P50,Tabla_ArmasyEscudos,6,FALSE))</f>
        <v/>
      </c>
      <c r="O53" s="510" t="str">
        <f>IF(P50=0,"",VLOOKUP(P50,Tabla_ArmasyEscudos,7,FALSE))</f>
        <v/>
      </c>
      <c r="P53" s="1794"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95" t="str">
        <f>IF(P50=0,"",IF(Extensióndelauraalarma,5,0)+U53*2/5+VLOOKUP(P50,Tabla_ArmasyEscudos,11,FALSE)+IF(Q51=0,0,VLOOKUP(Q51,Tabla_ArmasEnormes,7,FALSE))+IFERROR(VLOOKUP(IF(Q56=0,FUE,Q56+TRUNC(U52/5,0)),Tabla_Fuerza,2),0)+IF(Ojos_de_la_Muerte,5,0))</f>
        <v/>
      </c>
      <c r="R53" s="1796" t="str">
        <f>IF(P49=0,0,MAX(U52*10,0)+VLOOKUP(P49,Tabla_ArmasyEscudos,12,FALSE))&amp;IF(P50=0,"","/ "&amp;MAX(U53*10,0)+VLOOKUP(P50,Tabla_ArmasyEscudos,12,FALSE))</f>
        <v>0</v>
      </c>
      <c r="S53" s="4181" t="s">
        <v>8687</v>
      </c>
      <c r="T53" s="4182"/>
      <c r="U53" s="1517"/>
      <c r="V53" s="4157" t="str">
        <f>IF(Q51=0,IF(U53&lt;=0,"","TA defensor: -"&amp;U53/5),IF(Tamaño&lt;VLOOKUP(Q51,Tabla_ArmasEnormes,2,FALSE),"Tam. excesivo",IF(U53&lt;=0,"","TA defensor: -"&amp;U53/5)))</f>
        <v/>
      </c>
      <c r="W53" s="4158"/>
      <c r="X53" s="741"/>
      <c r="Y53" s="9"/>
      <c r="Z53" s="9"/>
      <c r="AA53" s="1134"/>
      <c r="AM53" s="21"/>
      <c r="AN53" s="21"/>
      <c r="AO53" s="21"/>
      <c r="AP53" s="21"/>
      <c r="AQ53" s="21"/>
      <c r="AR53" s="1201"/>
      <c r="AS53" s="1156"/>
      <c r="AT53" s="1737"/>
      <c r="AU53" s="3055" t="s">
        <v>10087</v>
      </c>
      <c r="AV53" s="3055" t="str">
        <f>IF(AND(Resumen!$AN$29="No",C20="Desarmado"),"",", "&amp;HD_SinArmas_final&amp;" "&amp;IF(C20="Artes Marciales","Artes Marciales (Parada)","Desarmado (Parada)"))</f>
        <v>, 0 Desarmado (Parada)</v>
      </c>
      <c r="AW53" s="3055" t="str">
        <f ca="1">IFERROR(", "&amp;AW$43&amp;" "&amp;AW$30&amp;IF(AW$31&lt;=0,""," +"&amp;AW$31),"")</f>
        <v/>
      </c>
      <c r="AX53" s="3055" t="str">
        <f ca="1">IFERROR(", "&amp;AX$43&amp;" "&amp;AX$30&amp;IF(AX$31&lt;=0,""," +"&amp;AX$31),"")</f>
        <v/>
      </c>
      <c r="AY53" s="3055" t="str">
        <f ca="1">IFERROR(", "&amp;AY$43&amp;" "&amp;AY$30&amp;IF(AY$31&lt;=0,""," +"&amp;AY$31),"")</f>
        <v/>
      </c>
      <c r="AZ53" s="3055" t="str">
        <f ca="1">IFERROR(", "&amp;AZ$43&amp;" "&amp;AZ$30&amp;IF(AZ$31&lt;=0,""," +"&amp;AZ$31),"")</f>
        <v/>
      </c>
      <c r="BA53" s="3055" t="str">
        <f ca="1">IFERROR(", "&amp;BA$43&amp;" "&amp;BA$30&amp;IF(BA$31&lt;=0,""," +"&amp;BA$31),"")</f>
        <v/>
      </c>
      <c r="BB53" s="3055" t="str">
        <f ca="1">IFERROR(", "&amp;BB$43&amp;" "&amp;BB$30&amp;IF(BB$31&lt;=0,""," +"&amp;BB$31),"")</f>
        <v/>
      </c>
      <c r="BC53" s="3055" t="str">
        <f t="shared" ref="AX52:BF53" ca="1" si="12">IFERROR(", "&amp;BC$43&amp;" "&amp;BC$30&amp;IF(BC$31&lt;=0,""," +"&amp;BC$31),"")</f>
        <v/>
      </c>
      <c r="BD53" s="3055" t="str">
        <f ca="1">IFERROR(", "&amp;BD$43&amp;" "&amp;BD$30&amp;IF(BD$31&lt;=0,""," +"&amp;BD$31),"")</f>
        <v/>
      </c>
      <c r="BE53" s="3055" t="str">
        <f ca="1">IFERROR(", "&amp;BE$43&amp;" "&amp;BE$30&amp;IF(BE$31&lt;=0,""," +"&amp;BE$31),"")</f>
        <v/>
      </c>
      <c r="BF53" s="3055" t="str">
        <f ca="1">IFERROR(", "&amp;BF$43&amp;" "&amp;BF$30&amp;IF(BF$31&lt;=0,""," +"&amp;BF$31),"")</f>
        <v/>
      </c>
      <c r="BG53" s="1737"/>
      <c r="BH53" s="3082"/>
    </row>
    <row r="54" spans="1:60" ht="12" customHeight="1" thickBot="1" x14ac:dyDescent="0.25">
      <c r="A54" s="9"/>
      <c r="B54" s="1162"/>
      <c r="C54" s="1413" t="s">
        <v>1581</v>
      </c>
      <c r="D54" s="1770" t="s">
        <v>1582</v>
      </c>
      <c r="E54" s="4159" t="str">
        <f>IF(E49=0,"",IF(E49="Armas naturales",D56,C56))</f>
        <v/>
      </c>
      <c r="F54" s="4160"/>
      <c r="G54" s="4160"/>
      <c r="H54" s="4160"/>
      <c r="I54" s="4160"/>
      <c r="J54" s="4161"/>
      <c r="K54" s="4155" t="str">
        <f ca="1">IFERROR("Turno base: "&amp;VLOOKUP(E49,Tabla_ArmasyEscudos,3,FALSE)+IF(Tamaño&lt;VLOOKUP(F51,Tabla_ArmasEnormes,3,FALSE),IF(OR(F51="Enorme",F51="Gigante"),-40,0),0),"")</f>
        <v/>
      </c>
      <c r="L54" s="4156"/>
      <c r="M54" s="741"/>
      <c r="N54" s="1413" t="s">
        <v>1581</v>
      </c>
      <c r="O54" s="1770" t="s">
        <v>1582</v>
      </c>
      <c r="P54" s="4159" t="str">
        <f>IF(P49=0,"",IF(P49="Armas naturales",O56,N56))</f>
        <v/>
      </c>
      <c r="Q54" s="4160"/>
      <c r="R54" s="4160"/>
      <c r="S54" s="4160"/>
      <c r="T54" s="4160"/>
      <c r="U54" s="4161"/>
      <c r="V54" s="4155" t="str">
        <f ca="1">IFERROR("Turno base: "&amp;VLOOKUP(P49,Tabla_ArmasyEscudos,3,FALSE)+IF(Tamaño&lt;VLOOKUP(Q51,Tabla_ArmasEnormes,3,FALSE),IF(OR(Q51="Enorme",Q51="Gigante"),-40,0),0),"")</f>
        <v/>
      </c>
      <c r="W54" s="4156"/>
      <c r="X54" s="1201"/>
      <c r="Y54" s="9"/>
      <c r="Z54" s="9"/>
      <c r="AA54" s="1134"/>
      <c r="AB54" s="3631" t="s">
        <v>1505</v>
      </c>
      <c r="AC54" s="3631"/>
      <c r="AD54" s="3631"/>
      <c r="AE54" s="3631"/>
      <c r="AF54" s="3631"/>
      <c r="AG54" s="3631"/>
      <c r="AH54" s="4212" t="s">
        <v>1549</v>
      </c>
      <c r="AI54" s="4212"/>
      <c r="AJ54" s="4212"/>
      <c r="AK54" s="4212"/>
      <c r="AL54" s="4212"/>
      <c r="AM54" s="4212"/>
      <c r="AN54" s="4212"/>
      <c r="AO54" s="4212"/>
      <c r="AP54" s="4212"/>
      <c r="AQ54" s="4212"/>
      <c r="AR54" s="1201"/>
      <c r="AS54" s="1156"/>
      <c r="AT54" s="1737"/>
      <c r="AU54" s="3055" t="s">
        <v>10088</v>
      </c>
      <c r="AV54" s="3055" t="str">
        <f>", "&amp;HE_final&amp;" Esquiva"&amp;IF(HE_SinArmas_final=HE_final,""," ("&amp;HE_SinArmas_final&amp;IF(C20="Artes Marciales"," con Artes Marciales","(Desarmado)"))</f>
        <v>, 0 Esquiva</v>
      </c>
      <c r="AW54" s="3055" t="str">
        <f t="array" aca="1" ref="AW54" ca="1">IFERROR(IF(AW$44=HE_final,"",IF(SUMPRODUCT(--(ISNUMBER(SEARCH("(",$AV$54:AV$54))))=0," (",", ")&amp;AW$44&amp;" con "&amp;AW$30&amp;IF(AW$31&lt;=0,""," +"&amp;AW$31)),"")</f>
        <v/>
      </c>
      <c r="AX54" s="3055" t="str">
        <f t="array" aca="1" ref="AX54" ca="1">IFERROR(IF(AX$44=HE_final,"",IF(SUMPRODUCT(--(ISNUMBER(SEARCH("(",$AV$54:AW$54))))=0," (",", ")&amp;AX$44&amp;" con "&amp;AX$30&amp;IF(AX$31&lt;=0,""," +"&amp;AX$31)),"")</f>
        <v/>
      </c>
      <c r="AY54" s="3055" t="str">
        <f t="array" aca="1" ref="AY54" ca="1">IFERROR(IF(AY$44=HE_final,"",IF(SUMPRODUCT(--(ISNUMBER(SEARCH("(",$AV$54:AX$54))))=0," (",", ")&amp;AY$44&amp;" con "&amp;AY$30&amp;IF(AY$31&lt;=0,""," +"&amp;AY$31)),"")</f>
        <v/>
      </c>
      <c r="AZ54" s="3055" t="str">
        <f t="array" aca="1" ref="AZ54" ca="1">IFERROR(IF(AZ$44=HE_final,"",IF(SUMPRODUCT(--(ISNUMBER(SEARCH("(",$AV$54:AY$54))))=0," (",", ")&amp;AZ$44&amp;" con "&amp;AZ$30&amp;IF(AZ$31&lt;=0,""," +"&amp;AZ$31)),"")</f>
        <v/>
      </c>
      <c r="BA54" s="3055" t="str">
        <f t="array" aca="1" ref="BA54" ca="1">IFERROR(IF(BA$44=HE_final,"",IF(SUMPRODUCT(--(ISNUMBER(SEARCH("(",$AV$54:AZ$54))))=0," (",", ")&amp;BA$44&amp;" con "&amp;BA$30&amp;IF(BA$31&lt;=0,""," +"&amp;BA$31)),"")</f>
        <v/>
      </c>
      <c r="BB54" s="3055" t="str">
        <f t="array" aca="1" ref="BB54" ca="1">IFERROR(IF(BB$44=HE_final,"",IF(SUMPRODUCT(--(ISNUMBER(SEARCH("(",$AV$54:BA$54))))=0," (",", ")&amp;BB$44&amp;" con "&amp;BB$30&amp;IF(BB$31&lt;=0,""," +"&amp;BB$31)),"")</f>
        <v/>
      </c>
      <c r="BC54" s="3055" t="str">
        <f t="array" aca="1" ref="BC54" ca="1">IFERROR(IF(BC$44=HE_final,"",IF(SUMPRODUCT(--(ISNUMBER(SEARCH("(",$AV$54:BB$54))))=0," (",", ")&amp;BC$44&amp;" con "&amp;BC$30&amp;IF(BC$31&lt;=0,""," +"&amp;BC$31)),"")</f>
        <v/>
      </c>
      <c r="BD54" s="3055" t="str">
        <f t="array" aca="1" ref="BD54" ca="1">IFERROR(IF(BD$44=HE_final,"",IF(SUMPRODUCT(--(ISNUMBER(SEARCH("(",$AV$54:BC$54))))=0," (",", ")&amp;BD$44&amp;" con "&amp;BD$30&amp;IF(BD$31&lt;=0,""," +"&amp;BD$31)),"")</f>
        <v/>
      </c>
      <c r="BE54" s="3055" t="str">
        <f t="array" aca="1" ref="BE54" ca="1">IFERROR(IF(BE$44=HE_final,"",IF(SUMPRODUCT(--(ISNUMBER(SEARCH("(",$AV$54:BD$54))))=0," (",", ")&amp;BE$44&amp;" con "&amp;BE$30&amp;IF(BE$31&lt;=0,""," +"&amp;BE$31)),"")</f>
        <v/>
      </c>
      <c r="BF54" s="3055" t="str">
        <f t="array" aca="1" ref="BF54" ca="1">IFERROR(IF(BF$44=HE_final,"",IF(SUMPRODUCT(--(ISNUMBER(SEARCH("(",$AV$54:BE$54))))=0," (",", ")&amp;BF$44&amp;" con "&amp;BF$30&amp;IF(BF$31&lt;=0,""," +"&amp;BF$31)),"")</f>
        <v/>
      </c>
      <c r="BG54" s="1737"/>
      <c r="BH54" s="1737"/>
    </row>
    <row r="55" spans="1:60" ht="12" customHeight="1" thickBot="1" x14ac:dyDescent="0.25">
      <c r="A55" s="9"/>
      <c r="B55" s="1162"/>
      <c r="C55" s="1509" t="str">
        <f>IF(E49=0,"",MAX(VLOOKUP(E49,Tabla_ArmasyEscudos,17,FALSE)+IF(F56=0,IF(FUE&lt;3,-30,VLOOKUP(MIN(IF(Zen_IP,20,IF(Inhumanidad_IP,13,10)),E56,FUE),Tabla_AlcanceFUE,2)),VLOOKUP(MIN(E56,F56+TRUNC(J52/5,0)),Tabla_AlcanceFUE,2)),0)*IF(AlcanceIncrementado,2,1))</f>
        <v/>
      </c>
      <c r="D55" s="1510" t="str">
        <f>IF(E49=0,"",VLOOKUP(E49,Tabla_ArmasyEscudos,16,FALSE))</f>
        <v/>
      </c>
      <c r="E55" s="4178" t="str">
        <f>IF(E50=0,"",VLOOKUP(E50,Tabla_ArmasyEscudos,19,FALSE))</f>
        <v/>
      </c>
      <c r="F55" s="4179"/>
      <c r="G55" s="4179"/>
      <c r="H55" s="4179"/>
      <c r="I55" s="4179"/>
      <c r="J55" s="4180"/>
      <c r="K55" s="4170" t="str">
        <f ca="1">IFERROR("FUE min: "&amp;VLOOKUP(E49,Tabla_ArmasyEscudos,IF(C49="A dos manos",5,4),FALSE)+IF(OR(F51="",F51="Normal"),0,2),"")</f>
        <v/>
      </c>
      <c r="L55" s="4171"/>
      <c r="M55" s="1201"/>
      <c r="N55" s="1509" t="str">
        <f>IF(P49=0,"",MAX(VLOOKUP(P49,Tabla_ArmasyEscudos,17,FALSE)+IF(Q56=0,IF(FUE&lt;3,-30,VLOOKUP(MIN(IF(Zen_IP,20,IF(Inhumanidad_IP,13,10)),P56,FUE),Tabla_AlcanceFUE,2)),VLOOKUP(MIN(P56,Q56+TRUNC(U52/5,0)),Tabla_AlcanceFUE,2)),0)*IF(AlcanceIncrementado,2,1))</f>
        <v/>
      </c>
      <c r="O55" s="1510" t="str">
        <f>IF(P49=0,"",VLOOKUP(P49,Tabla_ArmasyEscudos,16,FALSE))</f>
        <v/>
      </c>
      <c r="P55" s="4178" t="str">
        <f>IF(P50=0,"",VLOOKUP(P50,Tabla_ArmasyEscudos,19,FALSE))</f>
        <v/>
      </c>
      <c r="Q55" s="4179"/>
      <c r="R55" s="4179"/>
      <c r="S55" s="4179"/>
      <c r="T55" s="4179"/>
      <c r="U55" s="4180"/>
      <c r="V55" s="4170" t="str">
        <f ca="1">IFERROR("FUE min: "&amp;VLOOKUP(P49,Tabla_ArmasyEscudos,IF(N49="A dos manos",5,4),FALSE)+IF(OR(Q51="",Q51="Normal"),0,2),"")</f>
        <v/>
      </c>
      <c r="W55" s="4171"/>
      <c r="X55" s="741"/>
      <c r="Y55" s="9"/>
      <c r="Z55" s="9"/>
      <c r="AA55" s="1134"/>
      <c r="AB55" s="4211" t="str">
        <f>IF(PDs!E81=0,"",PDs!E81)</f>
        <v/>
      </c>
      <c r="AC55" s="4211"/>
      <c r="AD55" s="4211"/>
      <c r="AE55" s="4211"/>
      <c r="AF55" s="4211"/>
      <c r="AG55" s="4211"/>
      <c r="AH55" s="4218" t="str">
        <f>IF(AB55="","",VLOOKUP(AB55,Tabla_ArsMagnus,6,FALSE))</f>
        <v/>
      </c>
      <c r="AI55" s="4218"/>
      <c r="AJ55" s="4218"/>
      <c r="AK55" s="4218"/>
      <c r="AL55" s="4218"/>
      <c r="AM55" s="4218"/>
      <c r="AN55" s="4218"/>
      <c r="AO55" s="4218"/>
      <c r="AP55" s="4218"/>
      <c r="AQ55" s="4218"/>
      <c r="AR55" s="1201"/>
      <c r="AS55" s="1156"/>
      <c r="AT55" s="1737"/>
      <c r="AU55" s="1737"/>
      <c r="AV55" s="1737"/>
      <c r="AW55" s="1737"/>
      <c r="AX55" s="1737"/>
      <c r="AY55" s="1737"/>
      <c r="AZ55" s="1737"/>
      <c r="BA55" s="1737"/>
      <c r="BB55" s="1737"/>
      <c r="BC55" s="1737"/>
      <c r="BD55" s="1737"/>
      <c r="BE55" s="1737"/>
      <c r="BF55" s="1737"/>
      <c r="BG55" s="1737"/>
      <c r="BH55" s="1737"/>
    </row>
    <row r="56" spans="1:60" ht="12" customHeight="1" thickBot="1" x14ac:dyDescent="0.25">
      <c r="A56" s="9"/>
      <c r="B56" s="1162"/>
      <c r="C56" s="579" t="e">
        <f ca="1">VLOOKUP(E49,Tabla_ArmasyEscudos,19,FALSE)</f>
        <v>#N/A</v>
      </c>
      <c r="D56" s="579" t="str">
        <f>IF(Tablas!$R$1664&gt;0,C56,"Armas naturales a distancia no disponibles")</f>
        <v>Armas naturales a distancia no disponibles</v>
      </c>
      <c r="E56" s="579">
        <f>IF(J52&lt;0,10,IF(J52&gt;20,20,INDEX(Tablas!$L$23:$L$33,MATCH(J52,Tablas!$N$23:$N$33,0))))</f>
        <v>10</v>
      </c>
      <c r="F56" s="579" t="e">
        <f ca="1">INDEX($AW$45:$BF$45,1,SUBSTITUTE(C48,".",""))</f>
        <v>#N/A</v>
      </c>
      <c r="G56" s="579"/>
      <c r="M56" s="579"/>
      <c r="N56" s="579" t="e">
        <f ca="1">VLOOKUP(P49,Tabla_ArmasyEscudos,19,FALSE)</f>
        <v>#N/A</v>
      </c>
      <c r="O56" s="579" t="str">
        <f>IF(Tablas!$R$1664&gt;0,N56,"Armas naturales a distancia no disponibles")</f>
        <v>Armas naturales a distancia no disponibles</v>
      </c>
      <c r="P56" s="579">
        <f>IF(U52&lt;0,10,IF(U52&gt;20,20,INDEX(Tablas!$L$23:$L$33,MATCH(U52,Tablas!$N$23:$N$33,0))))</f>
        <v>10</v>
      </c>
      <c r="Q56" s="579" t="e">
        <f ca="1">INDEX($AW$45:$BF$45,1,SUBSTITUTE(N48,".",""))</f>
        <v>#N/A</v>
      </c>
      <c r="X56" s="741"/>
      <c r="Y56" s="9"/>
      <c r="Z56" s="9"/>
      <c r="AA56" s="1134"/>
      <c r="AB56" s="4211"/>
      <c r="AC56" s="4211"/>
      <c r="AD56" s="4211"/>
      <c r="AE56" s="4211"/>
      <c r="AF56" s="4211"/>
      <c r="AG56" s="4211"/>
      <c r="AH56" s="4218"/>
      <c r="AI56" s="4218"/>
      <c r="AJ56" s="4218"/>
      <c r="AK56" s="4218"/>
      <c r="AL56" s="4218"/>
      <c r="AM56" s="4218"/>
      <c r="AN56" s="4218"/>
      <c r="AO56" s="4218"/>
      <c r="AP56" s="4218"/>
      <c r="AQ56" s="4218"/>
      <c r="AR56" s="1201"/>
      <c r="AS56" s="1156"/>
      <c r="AT56" s="1737"/>
      <c r="AU56" s="1737" t="s">
        <v>8501</v>
      </c>
      <c r="AV56" s="1758"/>
      <c r="AW56" s="1758"/>
      <c r="AX56" s="1758"/>
      <c r="AY56" s="3083"/>
      <c r="AZ56" s="1758"/>
      <c r="BA56" s="1737"/>
      <c r="BB56" s="1737"/>
      <c r="BC56" s="1737"/>
      <c r="BD56" s="1737"/>
      <c r="BE56" s="1737"/>
      <c r="BF56" s="1737"/>
      <c r="BG56" s="1737"/>
      <c r="BH56" s="1737"/>
    </row>
    <row r="57" spans="1:60" ht="12" customHeight="1" thickBot="1" x14ac:dyDescent="0.25">
      <c r="A57" s="9"/>
      <c r="B57" s="1162"/>
      <c r="C57" s="1480" t="s">
        <v>8692</v>
      </c>
      <c r="D57" s="1475" t="str">
        <f>E58&amp;IF(COUNTIF($R$22:$T$25,C57&amp;" "&amp;E58)&gt;0,IFERROR(" y"&amp;MID(VLOOKUP(C57&amp;" "&amp;E58,$R$22:$W$25,4,FALSE),SEARCH(".",VLOOKUP(C57&amp;" "&amp;E58,$R$22:$W$25,4,FALSE))+1,100),""),"")</f>
        <v/>
      </c>
      <c r="E57" s="1475"/>
      <c r="F57" s="1475"/>
      <c r="G57" s="1475"/>
      <c r="H57" s="1475"/>
      <c r="I57" s="1475"/>
      <c r="J57" s="1475"/>
      <c r="K57" s="1475"/>
      <c r="L57" s="1512" t="s">
        <v>8698</v>
      </c>
      <c r="M57" s="741"/>
      <c r="N57" s="1480" t="s">
        <v>8690</v>
      </c>
      <c r="O57" s="1475" t="str">
        <f>P58&amp;IF(COUNTIF($R$22:$T$25,N57&amp;" "&amp;P58)&gt;0,IFERROR(" y"&amp;MID(VLOOKUP(N57&amp;" "&amp;P58,$R$22:$W$25,4,FALSE),SEARCH(".",VLOOKUP(N57&amp;" "&amp;P58,$R$22:$W$25,4,FALSE))+1,100),""),"")</f>
        <v/>
      </c>
      <c r="P57" s="1475"/>
      <c r="Q57" s="1475"/>
      <c r="R57" s="1475"/>
      <c r="S57" s="1475"/>
      <c r="T57" s="1475"/>
      <c r="U57" s="1475"/>
      <c r="V57" s="1475"/>
      <c r="W57" s="1512" t="s">
        <v>8698</v>
      </c>
      <c r="X57" s="741"/>
      <c r="Y57" s="9"/>
      <c r="Z57" s="9"/>
      <c r="AA57" s="1134"/>
      <c r="AB57" s="4185" t="str">
        <f>IF(PDs!E82=0,"",PDs!E82)</f>
        <v/>
      </c>
      <c r="AC57" s="4185"/>
      <c r="AD57" s="4185"/>
      <c r="AE57" s="4185"/>
      <c r="AF57" s="4185"/>
      <c r="AG57" s="4185"/>
      <c r="AH57" s="3603" t="str">
        <f>IF(AB57="","",VLOOKUP(AB57,Tabla_ArsMagnus,6,FALSE))</f>
        <v/>
      </c>
      <c r="AI57" s="3603"/>
      <c r="AJ57" s="3603"/>
      <c r="AK57" s="3603"/>
      <c r="AL57" s="3603"/>
      <c r="AM57" s="3603"/>
      <c r="AN57" s="3603"/>
      <c r="AO57" s="3603"/>
      <c r="AP57" s="3603"/>
      <c r="AQ57" s="3603"/>
      <c r="AR57" s="1201"/>
      <c r="AS57" s="1156"/>
      <c r="AT57" s="1737"/>
      <c r="AU57" s="1737">
        <v>1</v>
      </c>
      <c r="AV57" s="1758">
        <v>2</v>
      </c>
      <c r="AW57" s="1758">
        <v>3</v>
      </c>
      <c r="AX57" s="1758">
        <v>4</v>
      </c>
      <c r="AY57" s="1758"/>
      <c r="AZ57" s="1758"/>
      <c r="BA57" s="1737"/>
      <c r="BB57" s="1737"/>
      <c r="BC57" s="1737"/>
      <c r="BD57" s="1737"/>
      <c r="BE57" s="1737"/>
      <c r="BF57" s="1737"/>
      <c r="BG57" s="1737"/>
      <c r="BH57" s="1737"/>
    </row>
    <row r="58" spans="1:60" ht="12" customHeight="1" x14ac:dyDescent="0.2">
      <c r="A58" s="9"/>
      <c r="B58" s="1162"/>
      <c r="C58" s="4188" t="s">
        <v>8672</v>
      </c>
      <c r="D58" s="4189"/>
      <c r="E58" s="4190"/>
      <c r="F58" s="4191"/>
      <c r="G58" s="4192"/>
      <c r="H58" s="1790" t="s">
        <v>1393</v>
      </c>
      <c r="I58" s="1791" t="s">
        <v>1564</v>
      </c>
      <c r="J58" s="4193" t="s">
        <v>1565</v>
      </c>
      <c r="K58" s="4193"/>
      <c r="L58" s="1792" t="s">
        <v>1566</v>
      </c>
      <c r="M58" s="1511" t="str">
        <f>IF(C58=INDEX(Lista_ManosArma,2),Lista_ProyA2manos,Lista_ProyA1Mano)</f>
        <v>Tablas!$AE$643:$AE$660</v>
      </c>
      <c r="N58" s="4188" t="s">
        <v>8672</v>
      </c>
      <c r="O58" s="4189"/>
      <c r="P58" s="4190"/>
      <c r="Q58" s="4191"/>
      <c r="R58" s="4192"/>
      <c r="S58" s="1790" t="s">
        <v>1393</v>
      </c>
      <c r="T58" s="1791" t="s">
        <v>1564</v>
      </c>
      <c r="U58" s="4193" t="s">
        <v>1565</v>
      </c>
      <c r="V58" s="4193"/>
      <c r="W58" s="1792" t="s">
        <v>1566</v>
      </c>
      <c r="X58" s="1511" t="str">
        <f>IF(N58=INDEX(Lista_ManosArma,2),Lista_ProyA2manos,Lista_ProyA1Mano)</f>
        <v>Tablas!$AE$643:$AE$660</v>
      </c>
      <c r="Y58" s="9"/>
      <c r="Z58" s="9"/>
      <c r="AA58" s="1134"/>
      <c r="AB58" s="4185"/>
      <c r="AC58" s="4185"/>
      <c r="AD58" s="4185"/>
      <c r="AE58" s="4185"/>
      <c r="AF58" s="4185"/>
      <c r="AG58" s="4185"/>
      <c r="AH58" s="3603"/>
      <c r="AI58" s="3603"/>
      <c r="AJ58" s="3603"/>
      <c r="AK58" s="3603"/>
      <c r="AL58" s="3603"/>
      <c r="AM58" s="3603"/>
      <c r="AN58" s="3603"/>
      <c r="AO58" s="3603"/>
      <c r="AP58" s="3603"/>
      <c r="AQ58" s="3603"/>
      <c r="AR58" s="1201"/>
      <c r="AS58" s="1156"/>
      <c r="AT58" s="1737" t="s">
        <v>8660</v>
      </c>
      <c r="AU58" s="1737" t="str">
        <f>IF(COUNTIF(Ki!$Y$22:$AJ$22,"Fuego")&gt;0,"CAL","-")</f>
        <v>-</v>
      </c>
      <c r="AV58" s="1758" t="str">
        <f>IF(COUNTIF(Ki!$Y$22:$AJ$22,"Aire")&gt;0,"ELE","-")</f>
        <v>-</v>
      </c>
      <c r="AW58" s="1758" t="str">
        <f>IF(COUNTIF(Ki!$Y$22:$AJ$22,"Agua")&gt;0,"FRI","-")</f>
        <v>-</v>
      </c>
      <c r="AX58" s="1758" t="str">
        <f>IF(COUNTIF(Ki!$Y$22:$AJ$22,"Tierra")&gt;0,"CON","-")</f>
        <v>-</v>
      </c>
      <c r="AY58" s="1758"/>
      <c r="AZ58" s="1758"/>
      <c r="BA58" s="1737"/>
      <c r="BB58" s="1737"/>
      <c r="BC58" s="1737"/>
      <c r="BD58" s="1737"/>
      <c r="BE58" s="1737"/>
      <c r="BF58" s="1737"/>
      <c r="BG58" s="1737"/>
      <c r="BH58" s="1737"/>
    </row>
    <row r="59" spans="1:60" ht="12" customHeight="1" x14ac:dyDescent="0.2">
      <c r="A59" s="9"/>
      <c r="B59" s="1162"/>
      <c r="C59" s="4194" t="s">
        <v>1580</v>
      </c>
      <c r="D59" s="4195"/>
      <c r="E59" s="4168"/>
      <c r="F59" s="4168"/>
      <c r="G59" s="4169"/>
      <c r="H59" s="4177">
        <f ca="1">IFERROR(INDEX(Tabla_Combate,$AT$41,LEFT(C57,LEN(C57)-1)),0)</f>
        <v>0</v>
      </c>
      <c r="I59" s="4174">
        <f ca="1">IFERROR(INDEX(Tabla_Combate,$AT$42,LEFT(C57,LEN(C57)-1)),0)</f>
        <v>0</v>
      </c>
      <c r="J59" s="4153">
        <f ca="1">IF(K59="-",0,IF(K59="Par",INDEX(Tabla_Combate,$AT$43,LEFT(C57,LEN(C57)-1)),INDEX(Tabla_Combate,$AT$44,LEFT(C57,LEN(C57)-1))))</f>
        <v>0</v>
      </c>
      <c r="K59" s="3714" t="str">
        <f ca="1">IFERROR(IF(INDEX(Tabla_Combate,$AT$43,LEFT(C57,LEN(C57)-1))&gt;INDEX(Tabla_Combate,$AT$44,LEFT(C57,LEN(C57)-1)),"Par","Esq"),"-")</f>
        <v>-</v>
      </c>
      <c r="L59" s="4162">
        <f ca="1">IFERROR(INDEX(Tabla_Combate,$AT$46,LEFT(C57,LEN(C57)-1)),0)</f>
        <v>0</v>
      </c>
      <c r="M59" s="741"/>
      <c r="N59" s="4194" t="s">
        <v>1580</v>
      </c>
      <c r="O59" s="4195"/>
      <c r="P59" s="4168"/>
      <c r="Q59" s="4168"/>
      <c r="R59" s="4169"/>
      <c r="S59" s="4177">
        <f ca="1">IFERROR(INDEX(Tabla_Combate,$AT$41,LEFT(N57,LEN(N57)-1)),0)</f>
        <v>0</v>
      </c>
      <c r="T59" s="4174">
        <f ca="1">IFERROR(INDEX(Tabla_Combate,$AT$42,LEFT(N57,LEN(N57)-1)),0)</f>
        <v>0</v>
      </c>
      <c r="U59" s="4153">
        <f ca="1">IF(V59="-",0,IF(V59="Par",INDEX(Tabla_Combate,$AT$43,LEFT(N57,LEN(N57)-1)),INDEX(Tabla_Combate,$AT$44,LEFT(N57,LEN(N57)-1))))</f>
        <v>0</v>
      </c>
      <c r="V59" s="3714" t="str">
        <f ca="1">IFERROR(IF(INDEX(Tabla_Combate,$AT$43,LEFT(N57,LEN(N57)-1))&gt;INDEX(Tabla_Combate,$AT$44,LEFT(N57,LEN(N57)-1)),"Par","Esq"),"-")</f>
        <v>-</v>
      </c>
      <c r="W59" s="4162">
        <f ca="1">IFERROR(INDEX(Tabla_Combate,$AT$46,LEFT(N57,LEN(N57)-1)),0)</f>
        <v>0</v>
      </c>
      <c r="X59" s="741"/>
      <c r="Y59" s="9"/>
      <c r="Z59" s="9"/>
      <c r="AA59" s="1134"/>
      <c r="AB59" s="4185" t="str">
        <f>IF(PDs!E83=0,"",PDs!E83)</f>
        <v/>
      </c>
      <c r="AC59" s="4185"/>
      <c r="AD59" s="4185"/>
      <c r="AE59" s="4185"/>
      <c r="AF59" s="4185"/>
      <c r="AG59" s="4185"/>
      <c r="AH59" s="3603" t="str">
        <f>IF(AB59="","",VLOOKUP(AB59,Tabla_ArsMagnus,6,FALSE))</f>
        <v/>
      </c>
      <c r="AI59" s="3603"/>
      <c r="AJ59" s="3603"/>
      <c r="AK59" s="3603"/>
      <c r="AL59" s="3603"/>
      <c r="AM59" s="3603"/>
      <c r="AN59" s="3603"/>
      <c r="AO59" s="3603"/>
      <c r="AP59" s="3603"/>
      <c r="AQ59" s="3603"/>
      <c r="AR59" s="1201"/>
      <c r="AS59" s="1156"/>
      <c r="AT59" s="1737" t="s">
        <v>8505</v>
      </c>
      <c r="AU59" s="3084" t="b">
        <f>AU58&lt;&gt;"-"</f>
        <v>0</v>
      </c>
      <c r="AV59" s="3085" t="b">
        <f>AV58&lt;&gt;"-"</f>
        <v>0</v>
      </c>
      <c r="AW59" s="3085" t="b">
        <f>AW58&lt;&gt;"-"</f>
        <v>0</v>
      </c>
      <c r="AX59" s="3085" t="b">
        <f>AX58&lt;&gt;"-"</f>
        <v>0</v>
      </c>
      <c r="AY59" s="1758"/>
      <c r="AZ59" s="1758"/>
      <c r="BA59" s="1737"/>
      <c r="BB59" s="1737"/>
      <c r="BC59" s="1737"/>
      <c r="BD59" s="1737"/>
      <c r="BE59" s="1737"/>
      <c r="BF59" s="1737"/>
      <c r="BG59" s="1737"/>
      <c r="BH59" s="1737"/>
    </row>
    <row r="60" spans="1:60" ht="12" customHeight="1" x14ac:dyDescent="0.2">
      <c r="A60" s="9"/>
      <c r="B60" s="1162"/>
      <c r="C60" s="4164" t="str">
        <f>IF(E58=0,"",VLOOKUP(E58,Tabla_ArmasyEscudos,9,FALSE))</f>
        <v/>
      </c>
      <c r="D60" s="4165"/>
      <c r="E60" s="1793" t="s">
        <v>1576</v>
      </c>
      <c r="F60" s="4166" t="s">
        <v>1577</v>
      </c>
      <c r="G60" s="4167"/>
      <c r="H60" s="4177"/>
      <c r="I60" s="4175"/>
      <c r="J60" s="4154"/>
      <c r="K60" s="4176"/>
      <c r="L60" s="4163"/>
      <c r="M60" s="741"/>
      <c r="N60" s="4164" t="str">
        <f>IF(P58=0,"",VLOOKUP(P58,Tabla_ArmasyEscudos,9,FALSE))</f>
        <v/>
      </c>
      <c r="O60" s="4165"/>
      <c r="P60" s="1793" t="s">
        <v>1576</v>
      </c>
      <c r="Q60" s="4166" t="s">
        <v>1577</v>
      </c>
      <c r="R60" s="4167"/>
      <c r="S60" s="4177"/>
      <c r="T60" s="4175"/>
      <c r="U60" s="4154"/>
      <c r="V60" s="4176"/>
      <c r="W60" s="4163"/>
      <c r="X60" s="581"/>
      <c r="Y60" s="9"/>
      <c r="Z60" s="9"/>
      <c r="AA60" s="1134"/>
      <c r="AB60" s="4185"/>
      <c r="AC60" s="4185"/>
      <c r="AD60" s="4185"/>
      <c r="AE60" s="4185"/>
      <c r="AF60" s="4185"/>
      <c r="AG60" s="4185"/>
      <c r="AH60" s="3603"/>
      <c r="AI60" s="3603"/>
      <c r="AJ60" s="3603"/>
      <c r="AK60" s="3603"/>
      <c r="AL60" s="3603"/>
      <c r="AM60" s="3603"/>
      <c r="AN60" s="3603"/>
      <c r="AO60" s="3603"/>
      <c r="AP60" s="3603"/>
      <c r="AQ60" s="3603"/>
      <c r="AR60" s="1201"/>
      <c r="AS60" s="1156"/>
      <c r="AT60" s="1737" t="s">
        <v>3163</v>
      </c>
      <c r="AU60" s="3084"/>
      <c r="AV60" s="3085" t="b">
        <f>AND(AV59,AU59)</f>
        <v>0</v>
      </c>
      <c r="AW60" s="3085" t="b">
        <f>AND(AW59,OR(AU59,AV59))</f>
        <v>0</v>
      </c>
      <c r="AX60" s="3085" t="b">
        <f>AND(AX59,OR(AV59,AW59,AU59))</f>
        <v>0</v>
      </c>
      <c r="AY60" s="1758"/>
      <c r="AZ60" s="1758"/>
      <c r="BA60" s="1737"/>
      <c r="BB60" s="1737"/>
      <c r="BC60" s="1737"/>
      <c r="BD60" s="1737"/>
      <c r="BE60" s="1737"/>
      <c r="BF60" s="1737"/>
      <c r="BG60" s="1737"/>
      <c r="BH60" s="1737"/>
    </row>
    <row r="61" spans="1:60" ht="12" customHeight="1" x14ac:dyDescent="0.2">
      <c r="A61" s="9"/>
      <c r="B61" s="1162"/>
      <c r="C61" s="1413" t="s">
        <v>1568</v>
      </c>
      <c r="D61" s="1414" t="s">
        <v>1569</v>
      </c>
      <c r="E61" s="1414" t="s">
        <v>1557</v>
      </c>
      <c r="F61" s="1414" t="s">
        <v>1570</v>
      </c>
      <c r="G61" s="277" t="s">
        <v>1558</v>
      </c>
      <c r="H61" s="4172" t="s">
        <v>8673</v>
      </c>
      <c r="I61" s="4173"/>
      <c r="J61" s="1518"/>
      <c r="K61" s="4155" t="str">
        <f>IF(Tablas!$G$507&gt;0,"-50 a puntería","")</f>
        <v/>
      </c>
      <c r="L61" s="4156"/>
      <c r="M61" s="741"/>
      <c r="N61" s="1413" t="s">
        <v>1568</v>
      </c>
      <c r="O61" s="1414" t="s">
        <v>1569</v>
      </c>
      <c r="P61" s="1414" t="s">
        <v>1557</v>
      </c>
      <c r="Q61" s="1414" t="s">
        <v>1570</v>
      </c>
      <c r="R61" s="277" t="s">
        <v>1558</v>
      </c>
      <c r="S61" s="4172" t="s">
        <v>8673</v>
      </c>
      <c r="T61" s="4173"/>
      <c r="U61" s="1518"/>
      <c r="V61" s="4155" t="str">
        <f>IF(Tablas!$G$507&gt;0,"-50 a puntería","")</f>
        <v/>
      </c>
      <c r="W61" s="4156"/>
      <c r="X61" s="581"/>
      <c r="Y61" s="9"/>
      <c r="Z61" s="9"/>
      <c r="AA61" s="1134"/>
      <c r="AB61" s="4185" t="str">
        <f>IF(PDs!E84=0,"",PDs!E84)</f>
        <v/>
      </c>
      <c r="AC61" s="4185"/>
      <c r="AD61" s="4185"/>
      <c r="AE61" s="4185"/>
      <c r="AF61" s="4185"/>
      <c r="AG61" s="4185"/>
      <c r="AH61" s="3603" t="str">
        <f>IF(AB61="","",VLOOKUP(AB61,Tabla_ArsMagnus,6,FALSE))</f>
        <v/>
      </c>
      <c r="AI61" s="3603"/>
      <c r="AJ61" s="3603"/>
      <c r="AK61" s="3603"/>
      <c r="AL61" s="3603"/>
      <c r="AM61" s="3603"/>
      <c r="AN61" s="3603"/>
      <c r="AO61" s="3603"/>
      <c r="AP61" s="3603"/>
      <c r="AQ61" s="3603"/>
      <c r="AR61" s="1201"/>
      <c r="AS61" s="1156"/>
      <c r="AT61" s="1737"/>
      <c r="AU61" s="1737"/>
      <c r="AV61" s="1737"/>
      <c r="AW61" s="1737"/>
      <c r="AX61" s="1737"/>
      <c r="AY61" s="3078"/>
      <c r="AZ61" s="1737"/>
      <c r="BA61" s="1737"/>
      <c r="BB61" s="1737"/>
      <c r="BC61" s="1737"/>
      <c r="BD61" s="1737"/>
      <c r="BE61" s="1737"/>
      <c r="BF61" s="1737"/>
      <c r="BG61" s="1737"/>
      <c r="BH61" s="1737"/>
    </row>
    <row r="62" spans="1:60" ht="12" customHeight="1" x14ac:dyDescent="0.2">
      <c r="A62" s="9"/>
      <c r="B62" s="1162"/>
      <c r="C62" s="1062" t="str">
        <f>IF(E59=0,"",VLOOKUP(E59,Tabla_ArmasyEscudos,6,FALSE))</f>
        <v/>
      </c>
      <c r="D62" s="510" t="str">
        <f>IF(E59=0,"",VLOOKUP(E59,Tabla_ArmasyEscudos,7,FALSE))</f>
        <v/>
      </c>
      <c r="E62" s="1794"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95" t="str">
        <f>IF(E59=0,"",IF(Extensióndelauraalarma,5,0)+J62*2/5+VLOOKUP(E59,Tabla_ArmasyEscudos,11,FALSE)+IF(F60=0,0,VLOOKUP(F60,Tabla_ArmasEnormes,7,FALSE))+IFERROR(VLOOKUP(IF(F65=0,FUE,F65+TRUNC(J61/5,0)),Tabla_Fuerza,2),0)+IF(Ojos_de_la_Muerte,5,0))</f>
        <v/>
      </c>
      <c r="G62" s="1796" t="str">
        <f>IF(E58=0,0,MAX(J61*10,0)+VLOOKUP(E58,Tabla_ArmasyEscudos,12,FALSE))&amp;IF(E59=0,"","/ "&amp;MAX(J62*10,0)+VLOOKUP(E59,Tabla_ArmasyEscudos,12,FALSE))</f>
        <v>0</v>
      </c>
      <c r="H62" s="4181" t="s">
        <v>8687</v>
      </c>
      <c r="I62" s="4182"/>
      <c r="J62" s="1517"/>
      <c r="K62" s="4157" t="str">
        <f>IF(F60=0,IF(J62&lt;=0,"","TA defensor: -"&amp;J62/5),IF(Tamaño&lt;VLOOKUP(F60,Tabla_ArmasEnormes,2,FALSE),"Tam. excesivo",IF(J62&lt;=0,"","TA defensor: -"&amp;J62/5)))</f>
        <v/>
      </c>
      <c r="L62" s="4158"/>
      <c r="M62" s="741"/>
      <c r="N62" s="1062" t="str">
        <f>IF(P59=0,"",VLOOKUP(P59,Tabla_ArmasyEscudos,6,FALSE))</f>
        <v/>
      </c>
      <c r="O62" s="510" t="str">
        <f>IF(P59=0,"",VLOOKUP(P59,Tabla_ArmasyEscudos,7,FALSE))</f>
        <v/>
      </c>
      <c r="P62" s="1794"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95" t="str">
        <f>IF(P59=0,"",IF(Extensióndelauraalarma,5,0)+U62*2/5+VLOOKUP(P59,Tabla_ArmasyEscudos,11,FALSE)+IF(Q60=0,0,VLOOKUP(Q60,Tabla_ArmasEnormes,7,FALSE))+IFERROR(VLOOKUP(IF(Q65=0,FUE,Q65+TRUNC(U61/5,0)),Tabla_Fuerza,2),0)+IF(Ojos_de_la_Muerte,5,0))</f>
        <v/>
      </c>
      <c r="R62" s="1796" t="str">
        <f>IF(P58=0,0,MAX(U61*10,0)+VLOOKUP(P58,Tabla_ArmasyEscudos,12,FALSE))&amp;IF(P59=0,"","/ "&amp;MAX(U62*10,0)+VLOOKUP(P59,Tabla_ArmasyEscudos,12,FALSE))</f>
        <v>0</v>
      </c>
      <c r="S62" s="4181" t="s">
        <v>8687</v>
      </c>
      <c r="T62" s="4182"/>
      <c r="U62" s="1517"/>
      <c r="V62" s="4157" t="str">
        <f>IF(Q60=0,IF(U62&lt;=0,"","TA defensor: -"&amp;U62/5),IF(Tamaño&lt;VLOOKUP(Q60,Tabla_ArmasEnormes,2,FALSE),"Tam. excesivo",IF(U62&lt;=0,"","TA defensor: -"&amp;U62/5)))</f>
        <v/>
      </c>
      <c r="W62" s="4158"/>
      <c r="X62" s="581"/>
      <c r="Y62" s="9"/>
      <c r="Z62" s="9"/>
      <c r="AA62" s="1134"/>
      <c r="AB62" s="4185"/>
      <c r="AC62" s="4185"/>
      <c r="AD62" s="4185"/>
      <c r="AE62" s="4185"/>
      <c r="AF62" s="4185"/>
      <c r="AG62" s="4185"/>
      <c r="AH62" s="3603"/>
      <c r="AI62" s="3603"/>
      <c r="AJ62" s="3603"/>
      <c r="AK62" s="3603"/>
      <c r="AL62" s="3603"/>
      <c r="AM62" s="3603"/>
      <c r="AN62" s="3603"/>
      <c r="AO62" s="3603"/>
      <c r="AP62" s="3603"/>
      <c r="AQ62" s="3603"/>
      <c r="AR62" s="1201"/>
      <c r="AS62" s="1156"/>
      <c r="AT62" s="1737"/>
      <c r="AU62" s="1737">
        <v>1</v>
      </c>
      <c r="AV62" s="1737">
        <v>2</v>
      </c>
      <c r="AW62" s="1737">
        <v>3</v>
      </c>
      <c r="AX62" s="1737">
        <v>4</v>
      </c>
      <c r="AY62" s="1737">
        <v>5</v>
      </c>
      <c r="AZ62" s="1737">
        <v>6</v>
      </c>
      <c r="BA62" s="1737"/>
      <c r="BB62" s="1737"/>
      <c r="BC62" s="1737"/>
      <c r="BD62" s="1737"/>
      <c r="BE62" s="1737"/>
      <c r="BF62" s="1737"/>
      <c r="BG62" s="1737"/>
      <c r="BH62" s="1737"/>
    </row>
    <row r="63" spans="1:60" ht="12" customHeight="1" thickBot="1" x14ac:dyDescent="0.25">
      <c r="A63" s="9"/>
      <c r="B63" s="1162"/>
      <c r="C63" s="1413" t="s">
        <v>1581</v>
      </c>
      <c r="D63" s="1770" t="s">
        <v>1582</v>
      </c>
      <c r="E63" s="4159" t="str">
        <f>IF(E58=0,"",IF(E58="Armas naturales",D65,C65))</f>
        <v/>
      </c>
      <c r="F63" s="4160"/>
      <c r="G63" s="4160"/>
      <c r="H63" s="4160"/>
      <c r="I63" s="4160"/>
      <c r="J63" s="4161"/>
      <c r="K63" s="4155" t="str">
        <f ca="1">IFERROR("Turno base: "&amp;VLOOKUP(E58,Tabla_ArmasyEscudos,3,FALSE)+IF(Tamaño&lt;VLOOKUP(F60,Tabla_ArmasEnormes,3,FALSE),IF(OR(F60="Enorme",F60="Gigante"),-40,0),0),"")</f>
        <v/>
      </c>
      <c r="L63" s="4156"/>
      <c r="M63" s="741"/>
      <c r="N63" s="1413" t="s">
        <v>1581</v>
      </c>
      <c r="O63" s="1770" t="s">
        <v>1582</v>
      </c>
      <c r="P63" s="4159" t="str">
        <f>IF(P58=0,"",IF(P58="Armas naturales",O65,N65))</f>
        <v/>
      </c>
      <c r="Q63" s="4160"/>
      <c r="R63" s="4160"/>
      <c r="S63" s="4160"/>
      <c r="T63" s="4160"/>
      <c r="U63" s="4161"/>
      <c r="V63" s="4155" t="str">
        <f ca="1">IFERROR("Turno base: "&amp;VLOOKUP(P58,Tabla_ArmasyEscudos,3,FALSE)+IF(Tamaño&lt;VLOOKUP(Q60,Tabla_ArmasEnormes,3,FALSE),IF(OR(Q60="Enorme",Q60="Gigante"),-40,0),0),"")</f>
        <v/>
      </c>
      <c r="W63" s="4156"/>
      <c r="X63" s="1135"/>
      <c r="Y63" s="9"/>
      <c r="Z63" s="9"/>
      <c r="AA63" s="1134"/>
      <c r="AB63" s="4183" t="str">
        <f>IF(PDs!E85=0,"",PDs!E85)</f>
        <v/>
      </c>
      <c r="AC63" s="4183"/>
      <c r="AD63" s="4183"/>
      <c r="AE63" s="4183"/>
      <c r="AF63" s="4183"/>
      <c r="AG63" s="4183"/>
      <c r="AH63" s="4184" t="str">
        <f>IF(AB63="","",VLOOKUP(AB63,Tabla_ArsMagnus,6,FALSE))</f>
        <v/>
      </c>
      <c r="AI63" s="4184"/>
      <c r="AJ63" s="4184"/>
      <c r="AK63" s="4184"/>
      <c r="AL63" s="4184"/>
      <c r="AM63" s="4184"/>
      <c r="AN63" s="4184"/>
      <c r="AO63" s="4184"/>
      <c r="AP63" s="4184"/>
      <c r="AQ63" s="4184"/>
      <c r="AR63" s="1201"/>
      <c r="AS63" s="1156"/>
      <c r="AT63" s="1737" t="s">
        <v>8661</v>
      </c>
      <c r="AU63" s="1737" t="str">
        <f>IF(OR(Tablas!Y874,Tablas!Y908),"PEN","-")</f>
        <v>-</v>
      </c>
      <c r="AV63" s="1737" t="str">
        <f>IF(OR(Tablas!Y908,Tablas!R1379&gt;0),"FIL","-")</f>
        <v>-</v>
      </c>
      <c r="AW63" s="1737" t="str">
        <f>IF(OR(Tablas!Y938,Tablas!Y939,Extrusióndevacío),"ENE","-")</f>
        <v>-</v>
      </c>
      <c r="AX63" s="1737" t="str">
        <f>IF(Tablas!R1378&gt;0,"CAL","-")</f>
        <v>-</v>
      </c>
      <c r="AY63" s="3078" t="str">
        <f>IF(Tablas!R1380&gt;0,"FRI","-")</f>
        <v>-</v>
      </c>
      <c r="AZ63" s="1737" t="str">
        <f>IF(OR(Tablas!R1379&gt;0,Tablas!R1380&gt;0),"CON","-")</f>
        <v>-</v>
      </c>
      <c r="BA63" s="1737"/>
      <c r="BB63" s="1737"/>
      <c r="BC63" s="1737"/>
      <c r="BD63" s="1737"/>
      <c r="BE63" s="1737"/>
      <c r="BF63" s="1737"/>
      <c r="BG63" s="1737"/>
      <c r="BH63" s="1737"/>
    </row>
    <row r="64" spans="1:60" ht="12" customHeight="1" thickBot="1" x14ac:dyDescent="0.25">
      <c r="A64" s="9"/>
      <c r="B64" s="1162"/>
      <c r="C64" s="1509" t="str">
        <f>IF(E58=0,"",MAX(VLOOKUP(E58,Tabla_ArmasyEscudos,17,FALSE)+IF(F65=0,IF(FUE&lt;3,-30,VLOOKUP(MIN(IF(Zen_IP,20,IF(Inhumanidad_IP,13,10)),E65,FUE),Tabla_AlcanceFUE,2)),VLOOKUP(MIN(E65,F65+TRUNC(J61/5,0)),Tabla_AlcanceFUE,2)),0)*IF(AlcanceIncrementado,2,1))</f>
        <v/>
      </c>
      <c r="D64" s="1510" t="str">
        <f>IF(E58=0,"",VLOOKUP(E58,Tabla_ArmasyEscudos,16,FALSE))</f>
        <v/>
      </c>
      <c r="E64" s="4178" t="str">
        <f>IF(E59=0,"",VLOOKUP(E59,Tabla_ArmasyEscudos,19,FALSE))</f>
        <v/>
      </c>
      <c r="F64" s="4179"/>
      <c r="G64" s="4179"/>
      <c r="H64" s="4179"/>
      <c r="I64" s="4179"/>
      <c r="J64" s="4180"/>
      <c r="K64" s="4170" t="str">
        <f ca="1">IFERROR("FUE min: "&amp;VLOOKUP(E58,Tabla_ArmasyEscudos,IF(C58="A dos manos",5,4),FALSE)+IF(OR(F60="",F60="Normal"),0,2),"")</f>
        <v/>
      </c>
      <c r="L64" s="4171"/>
      <c r="M64" s="1201"/>
      <c r="N64" s="1509" t="str">
        <f>IF(P58=0,"",MAX(VLOOKUP(P58,Tabla_ArmasyEscudos,17,FALSE)+IF(Q65=0,IF(FUE&lt;3,-30,VLOOKUP(MIN(IF(Zen_IP,20,IF(Inhumanidad_IP,13,10)),P65,FUE),Tabla_AlcanceFUE,2)),VLOOKUP(MIN(P65,Q65+TRUNC(U61/5,0)),Tabla_AlcanceFUE,2)),0)*IF(AlcanceIncrementado,2,1))</f>
        <v/>
      </c>
      <c r="O64" s="1510" t="str">
        <f>IF(P58=0,"",VLOOKUP(P58,Tabla_ArmasyEscudos,16,FALSE))</f>
        <v/>
      </c>
      <c r="P64" s="4178" t="str">
        <f>IF(P59=0,"",VLOOKUP(P59,Tabla_ArmasyEscudos,19,FALSE))</f>
        <v/>
      </c>
      <c r="Q64" s="4179"/>
      <c r="R64" s="4179"/>
      <c r="S64" s="4179"/>
      <c r="T64" s="4179"/>
      <c r="U64" s="4180"/>
      <c r="V64" s="4170" t="str">
        <f ca="1">IFERROR("FUE min: "&amp;VLOOKUP(P58,Tabla_ArmasyEscudos,IF(N58="A dos manos",5,4),FALSE)+IF(OR(Q60="",Q60="Normal"),0,2),"")</f>
        <v/>
      </c>
      <c r="W64" s="4171"/>
      <c r="X64" s="581"/>
      <c r="Y64" s="9"/>
      <c r="Z64" s="9"/>
      <c r="AA64" s="1134"/>
      <c r="AB64" s="4183"/>
      <c r="AC64" s="4183"/>
      <c r="AD64" s="4183"/>
      <c r="AE64" s="4183"/>
      <c r="AF64" s="4183"/>
      <c r="AG64" s="4183"/>
      <c r="AH64" s="4184"/>
      <c r="AI64" s="4184"/>
      <c r="AJ64" s="4184"/>
      <c r="AK64" s="4184"/>
      <c r="AL64" s="4184"/>
      <c r="AM64" s="4184"/>
      <c r="AN64" s="4184"/>
      <c r="AO64" s="4184"/>
      <c r="AP64" s="4184"/>
      <c r="AQ64" s="4184"/>
      <c r="AR64" s="1201"/>
      <c r="AS64" s="1156"/>
      <c r="AT64" s="1737" t="s">
        <v>8505</v>
      </c>
      <c r="AU64" s="3084" t="b">
        <f t="shared" ref="AU64:AZ64" si="13">AU63&lt;&gt;"-"</f>
        <v>0</v>
      </c>
      <c r="AV64" s="3084" t="b">
        <f t="shared" si="13"/>
        <v>0</v>
      </c>
      <c r="AW64" s="3084" t="b">
        <f t="shared" si="13"/>
        <v>0</v>
      </c>
      <c r="AX64" s="3084" t="b">
        <f t="shared" si="13"/>
        <v>0</v>
      </c>
      <c r="AY64" s="3084" t="b">
        <f t="shared" si="13"/>
        <v>0</v>
      </c>
      <c r="AZ64" s="3084" t="b">
        <f t="shared" si="13"/>
        <v>0</v>
      </c>
      <c r="BA64" s="1737"/>
      <c r="BB64" s="1737"/>
      <c r="BC64" s="1737"/>
      <c r="BD64" s="1737"/>
      <c r="BE64" s="1737"/>
      <c r="BF64" s="1737"/>
      <c r="BG64" s="1737"/>
      <c r="BH64" s="1737"/>
    </row>
    <row r="65" spans="1:60" ht="12" customHeight="1" thickBot="1" x14ac:dyDescent="0.25">
      <c r="A65" s="9"/>
      <c r="B65" s="1162"/>
      <c r="C65" s="579" t="e">
        <f ca="1">VLOOKUP(E58,Tabla_ArmasyEscudos,19,FALSE)</f>
        <v>#N/A</v>
      </c>
      <c r="D65" s="579" t="str">
        <f>IF(Tablas!$R$1664&gt;0,C65,"Armas naturales a distancia no disponibles")</f>
        <v>Armas naturales a distancia no disponibles</v>
      </c>
      <c r="E65" s="579">
        <f>IF(J61&lt;0,10,IF(J61&gt;20,20,INDEX(Tablas!$L$23:$L$33,MATCH(J61,Tablas!$N$23:$N$33,0))))</f>
        <v>10</v>
      </c>
      <c r="F65" s="579" t="e">
        <f ca="1">INDEX($AW$45:$BF$45,1,SUBSTITUTE(C57,".",""))</f>
        <v>#N/A</v>
      </c>
      <c r="M65" s="579"/>
      <c r="N65" s="579" t="e">
        <f ca="1">VLOOKUP(P58,Tabla_ArmasyEscudos,19,FALSE)</f>
        <v>#N/A</v>
      </c>
      <c r="O65" s="579" t="str">
        <f>IF(Tablas!$R$1664&gt;0,N65,"Armas naturales a distancia no disponibles")</f>
        <v>Armas naturales a distancia no disponibles</v>
      </c>
      <c r="P65" s="579">
        <f>IF(U61&lt;0,10,IF(U61&gt;20,20,INDEX(Tablas!$L$23:$L$33,MATCH(U61,Tablas!$N$23:$N$33,0))))</f>
        <v>10</v>
      </c>
      <c r="Q65" s="579" t="e">
        <f ca="1">INDEX($AW$45:$BF$45,1,SUBSTITUTE(N57,".",""))</f>
        <v>#N/A</v>
      </c>
      <c r="X65" s="581"/>
      <c r="Y65" s="9"/>
      <c r="Z65" s="9"/>
      <c r="AA65" s="489"/>
      <c r="AR65" s="1201"/>
      <c r="AS65" s="1156"/>
      <c r="AT65" s="1737" t="s">
        <v>3163</v>
      </c>
      <c r="AU65" s="3084"/>
      <c r="AV65" s="3084" t="b">
        <f>AND(AV64,AU64)</f>
        <v>0</v>
      </c>
      <c r="AW65" s="3084" t="b">
        <f>AND(AW64,OR(AU64,AV64))</f>
        <v>0</v>
      </c>
      <c r="AX65" s="3084" t="b">
        <f>AND(AX64,OR(AU64,AV64,AW64))</f>
        <v>0</v>
      </c>
      <c r="AY65" s="3086" t="b">
        <f>AND(AY64,OR(AU64,AV64,AW64,AX64))</f>
        <v>0</v>
      </c>
      <c r="AZ65" s="3084" t="b">
        <f>AND(AZ64,OR(AU64,AV64,AW64,AX64,AY64))</f>
        <v>0</v>
      </c>
      <c r="BA65" s="1737"/>
      <c r="BB65" s="1737"/>
      <c r="BC65" s="1737"/>
      <c r="BD65" s="1737"/>
      <c r="BE65" s="1737"/>
      <c r="BF65" s="1737"/>
      <c r="BG65" s="1737"/>
      <c r="BH65" s="1737"/>
    </row>
    <row r="66" spans="1:60" ht="12" customHeight="1" thickBot="1" x14ac:dyDescent="0.25">
      <c r="A66" s="9"/>
      <c r="B66" s="1162"/>
      <c r="C66" s="3115" t="s">
        <v>10091</v>
      </c>
      <c r="D66" s="3116"/>
      <c r="E66" s="3116"/>
      <c r="F66" s="3116"/>
      <c r="G66" s="3116"/>
      <c r="H66" s="3116"/>
      <c r="I66" s="3116"/>
      <c r="J66" s="3116"/>
      <c r="K66" s="3116"/>
      <c r="L66" s="3116"/>
      <c r="M66" s="3116"/>
      <c r="N66" s="3116"/>
      <c r="O66" s="3116"/>
      <c r="P66" s="3116"/>
      <c r="Q66" s="3116"/>
      <c r="R66" s="3116"/>
      <c r="S66" s="3116"/>
      <c r="T66" s="3116"/>
      <c r="U66" s="3116"/>
      <c r="V66" s="3116"/>
      <c r="W66" s="3117"/>
      <c r="X66" s="581"/>
      <c r="Y66" s="9"/>
      <c r="Z66" s="9"/>
      <c r="AA66" s="489"/>
      <c r="AB66" s="3307" t="s">
        <v>9606</v>
      </c>
      <c r="AC66" s="3308"/>
      <c r="AD66" s="3308"/>
      <c r="AE66" s="3308"/>
      <c r="AF66" s="3308"/>
      <c r="AG66" s="3308"/>
      <c r="AH66" s="3308"/>
      <c r="AI66" s="3308"/>
      <c r="AJ66" s="3308"/>
      <c r="AK66" s="3308"/>
      <c r="AL66" s="3308"/>
      <c r="AM66" s="3308"/>
      <c r="AN66" s="3308"/>
      <c r="AO66" s="3308"/>
      <c r="AP66" s="3308"/>
      <c r="AQ66" s="3309"/>
      <c r="AR66" s="1201"/>
      <c r="AS66" s="1156"/>
      <c r="AT66" s="1737"/>
      <c r="AU66" s="1758"/>
      <c r="AV66" s="1758"/>
      <c r="AW66" s="1758"/>
      <c r="AX66" s="1737"/>
      <c r="AY66" s="1737"/>
      <c r="AZ66" s="3078"/>
      <c r="BA66" s="1737"/>
      <c r="BB66" s="1737"/>
      <c r="BC66" s="1737"/>
      <c r="BD66" s="1737"/>
      <c r="BE66" s="1737"/>
      <c r="BF66" s="1737"/>
      <c r="BG66" s="1737"/>
      <c r="BH66" s="1737"/>
    </row>
    <row r="67" spans="1:60" ht="12" customHeight="1" x14ac:dyDescent="0.2">
      <c r="A67" s="9"/>
      <c r="B67" s="1162"/>
      <c r="C67" s="3759"/>
      <c r="D67" s="3760"/>
      <c r="E67" s="3760"/>
      <c r="F67" s="3760"/>
      <c r="G67" s="3760"/>
      <c r="H67" s="3760"/>
      <c r="I67" s="3760"/>
      <c r="J67" s="3760"/>
      <c r="K67" s="3760"/>
      <c r="L67" s="3760"/>
      <c r="M67" s="3760"/>
      <c r="N67" s="3760"/>
      <c r="O67" s="3760"/>
      <c r="P67" s="3760"/>
      <c r="Q67" s="3760"/>
      <c r="R67" s="3760"/>
      <c r="S67" s="3760"/>
      <c r="T67" s="3760"/>
      <c r="U67" s="3760"/>
      <c r="V67" s="3760"/>
      <c r="W67" s="3761"/>
      <c r="X67" s="581"/>
      <c r="Y67" s="9"/>
      <c r="Z67" s="9"/>
      <c r="AA67" s="489"/>
      <c r="AB67" s="3756"/>
      <c r="AC67" s="3757"/>
      <c r="AD67" s="3757"/>
      <c r="AE67" s="3757"/>
      <c r="AF67" s="3757"/>
      <c r="AG67" s="3757"/>
      <c r="AH67" s="3757"/>
      <c r="AI67" s="3757"/>
      <c r="AJ67" s="3757"/>
      <c r="AK67" s="3757"/>
      <c r="AL67" s="3757"/>
      <c r="AM67" s="3757"/>
      <c r="AN67" s="3757"/>
      <c r="AO67" s="3757"/>
      <c r="AP67" s="3757"/>
      <c r="AQ67" s="3758"/>
      <c r="AR67" s="1201"/>
      <c r="AS67" s="1156"/>
      <c r="AT67" s="1737" t="s">
        <v>7215</v>
      </c>
      <c r="AU67" s="1758" t="str">
        <f ca="1">IF(Principal!Y13="Sí",", Acumulación",Combate!$AV50&amp;Combate!$AW50&amp;Combate!$AX50&amp;Combate!$AY50&amp;Combate!$AZ50&amp;Combate!$BA50&amp;Combate!$BB50&amp;Combate!$BC50&amp;Combate!$BD50&amp;Combate!$BE50&amp;Combate!$BF50&amp;Combate!$BG50)</f>
        <v>, 0 Esquiva</v>
      </c>
      <c r="AV67" s="1758"/>
      <c r="AW67" s="1758"/>
      <c r="AX67" s="1737"/>
      <c r="AY67" s="1737"/>
      <c r="AZ67" s="3078"/>
      <c r="BA67" s="1737"/>
      <c r="BB67" s="1737"/>
      <c r="BC67" s="1737"/>
      <c r="BD67" s="1737"/>
      <c r="BE67" s="1737"/>
      <c r="BF67" s="1737"/>
      <c r="BG67" s="1737"/>
      <c r="BH67" s="1737"/>
    </row>
    <row r="68" spans="1:60" ht="12" customHeight="1" x14ac:dyDescent="0.2">
      <c r="A68" s="9"/>
      <c r="B68" s="1162"/>
      <c r="C68" s="3759"/>
      <c r="D68" s="3760"/>
      <c r="E68" s="3760"/>
      <c r="F68" s="3760"/>
      <c r="G68" s="3760"/>
      <c r="H68" s="3760"/>
      <c r="I68" s="3760"/>
      <c r="J68" s="3760"/>
      <c r="K68" s="3760"/>
      <c r="L68" s="3760"/>
      <c r="M68" s="3760"/>
      <c r="N68" s="3760"/>
      <c r="O68" s="3760"/>
      <c r="P68" s="3760"/>
      <c r="Q68" s="3760"/>
      <c r="R68" s="3760"/>
      <c r="S68" s="3760"/>
      <c r="T68" s="3760"/>
      <c r="U68" s="3760"/>
      <c r="V68" s="3760"/>
      <c r="W68" s="3761"/>
      <c r="X68" s="581"/>
      <c r="Y68" s="9"/>
      <c r="Z68" s="9"/>
      <c r="AA68" s="489"/>
      <c r="AB68" s="3759"/>
      <c r="AC68" s="3760"/>
      <c r="AD68" s="3760"/>
      <c r="AE68" s="3760"/>
      <c r="AF68" s="3760"/>
      <c r="AG68" s="3760"/>
      <c r="AH68" s="3760"/>
      <c r="AI68" s="3760"/>
      <c r="AJ68" s="3760"/>
      <c r="AK68" s="3760"/>
      <c r="AL68" s="3760"/>
      <c r="AM68" s="3760"/>
      <c r="AN68" s="3760"/>
      <c r="AO68" s="3760"/>
      <c r="AP68" s="3760"/>
      <c r="AQ68" s="3761"/>
      <c r="AR68" s="1201"/>
      <c r="AS68" s="1156"/>
      <c r="AT68" s="1737"/>
      <c r="AU68" s="1737"/>
      <c r="AV68" s="1737"/>
      <c r="AW68" s="1737"/>
      <c r="AX68" s="1737"/>
      <c r="AY68" s="1737"/>
      <c r="AZ68" s="1737"/>
      <c r="BA68" s="1737"/>
      <c r="BB68" s="1737"/>
      <c r="BC68" s="1737"/>
      <c r="BD68" s="1737"/>
      <c r="BE68" s="1737"/>
      <c r="BF68" s="1737"/>
      <c r="BG68" s="1737"/>
      <c r="BH68" s="1737"/>
    </row>
    <row r="69" spans="1:60" ht="12" customHeight="1" x14ac:dyDescent="0.2">
      <c r="A69" s="9"/>
      <c r="B69" s="1162"/>
      <c r="C69" s="3759"/>
      <c r="D69" s="3760"/>
      <c r="E69" s="3760"/>
      <c r="F69" s="3760"/>
      <c r="G69" s="3760"/>
      <c r="H69" s="3760"/>
      <c r="I69" s="3760"/>
      <c r="J69" s="3760"/>
      <c r="K69" s="3760"/>
      <c r="L69" s="3760"/>
      <c r="M69" s="3760"/>
      <c r="N69" s="3760"/>
      <c r="O69" s="3760"/>
      <c r="P69" s="3760"/>
      <c r="Q69" s="3760"/>
      <c r="R69" s="3760"/>
      <c r="S69" s="3760"/>
      <c r="T69" s="3760"/>
      <c r="U69" s="3760"/>
      <c r="V69" s="3760"/>
      <c r="W69" s="3761"/>
      <c r="X69" s="581"/>
      <c r="Y69" s="9"/>
      <c r="Z69" s="9"/>
      <c r="AA69" s="489"/>
      <c r="AB69" s="3759"/>
      <c r="AC69" s="3760"/>
      <c r="AD69" s="3760"/>
      <c r="AE69" s="3760"/>
      <c r="AF69" s="3760"/>
      <c r="AG69" s="3760"/>
      <c r="AH69" s="3760"/>
      <c r="AI69" s="3760"/>
      <c r="AJ69" s="3760"/>
      <c r="AK69" s="3760"/>
      <c r="AL69" s="3760"/>
      <c r="AM69" s="3760"/>
      <c r="AN69" s="3760"/>
      <c r="AO69" s="3760"/>
      <c r="AP69" s="3760"/>
      <c r="AQ69" s="3761"/>
      <c r="AR69" s="1201"/>
      <c r="AS69" s="1156"/>
      <c r="AT69" s="1737"/>
      <c r="AU69" s="1737"/>
      <c r="AV69" s="1737"/>
      <c r="AW69" s="1737"/>
      <c r="AX69" s="1737"/>
      <c r="AY69" s="1737"/>
      <c r="AZ69" s="1737"/>
      <c r="BA69" s="1737"/>
      <c r="BB69" s="1737"/>
      <c r="BC69" s="1737"/>
      <c r="BD69" s="1737"/>
      <c r="BE69" s="1737"/>
      <c r="BF69" s="1737"/>
      <c r="BG69" s="1737"/>
      <c r="BH69" s="1737"/>
    </row>
    <row r="70" spans="1:60" ht="12" customHeight="1" x14ac:dyDescent="0.2">
      <c r="A70" s="9"/>
      <c r="B70" s="1162"/>
      <c r="C70" s="3759"/>
      <c r="D70" s="3760"/>
      <c r="E70" s="3760"/>
      <c r="F70" s="3760"/>
      <c r="G70" s="3760"/>
      <c r="H70" s="3760"/>
      <c r="I70" s="3760"/>
      <c r="J70" s="3760"/>
      <c r="K70" s="3760"/>
      <c r="L70" s="3760"/>
      <c r="M70" s="3760"/>
      <c r="N70" s="3760"/>
      <c r="O70" s="3760"/>
      <c r="P70" s="3760"/>
      <c r="Q70" s="3760"/>
      <c r="R70" s="3760"/>
      <c r="S70" s="3760"/>
      <c r="T70" s="3760"/>
      <c r="U70" s="3760"/>
      <c r="V70" s="3760"/>
      <c r="W70" s="3761"/>
      <c r="X70" s="581"/>
      <c r="Y70" s="9"/>
      <c r="Z70" s="9"/>
      <c r="AA70" s="489"/>
      <c r="AB70" s="3759"/>
      <c r="AC70" s="3760"/>
      <c r="AD70" s="3760"/>
      <c r="AE70" s="3760"/>
      <c r="AF70" s="3760"/>
      <c r="AG70" s="3760"/>
      <c r="AH70" s="3760"/>
      <c r="AI70" s="3760"/>
      <c r="AJ70" s="3760"/>
      <c r="AK70" s="3760"/>
      <c r="AL70" s="3760"/>
      <c r="AM70" s="3760"/>
      <c r="AN70" s="3760"/>
      <c r="AO70" s="3760"/>
      <c r="AP70" s="3760"/>
      <c r="AQ70" s="3761"/>
      <c r="AR70" s="1201"/>
      <c r="AS70" s="1156"/>
      <c r="AT70" s="1737"/>
      <c r="AU70" s="1737"/>
      <c r="AV70" s="1737"/>
      <c r="AW70" s="1737"/>
      <c r="AX70" s="1737"/>
      <c r="AY70" s="1737"/>
      <c r="AZ70" s="1737"/>
      <c r="BA70" s="1737"/>
      <c r="BB70" s="1737"/>
      <c r="BC70" s="1737"/>
      <c r="BD70" s="1737"/>
      <c r="BE70" s="1737"/>
      <c r="BF70" s="1737"/>
      <c r="BG70" s="1737"/>
      <c r="BH70" s="1737"/>
    </row>
    <row r="71" spans="1:60" ht="12" customHeight="1" thickBot="1" x14ac:dyDescent="0.25">
      <c r="A71" s="9"/>
      <c r="B71" s="1162"/>
      <c r="C71" s="3762"/>
      <c r="D71" s="3763"/>
      <c r="E71" s="3763"/>
      <c r="F71" s="3763"/>
      <c r="G71" s="3763"/>
      <c r="H71" s="3763"/>
      <c r="I71" s="3763"/>
      <c r="J71" s="3763"/>
      <c r="K71" s="3763"/>
      <c r="L71" s="3763"/>
      <c r="M71" s="3763"/>
      <c r="N71" s="3763"/>
      <c r="O71" s="3763"/>
      <c r="P71" s="3763"/>
      <c r="Q71" s="3763"/>
      <c r="R71" s="3763"/>
      <c r="S71" s="3763"/>
      <c r="T71" s="3763"/>
      <c r="U71" s="3763"/>
      <c r="V71" s="3763"/>
      <c r="W71" s="3764"/>
      <c r="X71" s="581"/>
      <c r="Y71" s="9"/>
      <c r="Z71" s="9"/>
      <c r="AA71" s="489"/>
      <c r="AB71" s="3762"/>
      <c r="AC71" s="3763"/>
      <c r="AD71" s="3763"/>
      <c r="AE71" s="3763"/>
      <c r="AF71" s="3763"/>
      <c r="AG71" s="3763"/>
      <c r="AH71" s="3763"/>
      <c r="AI71" s="3763"/>
      <c r="AJ71" s="3763"/>
      <c r="AK71" s="3763"/>
      <c r="AL71" s="3763"/>
      <c r="AM71" s="3763"/>
      <c r="AN71" s="3763"/>
      <c r="AO71" s="3763"/>
      <c r="AP71" s="3763"/>
      <c r="AQ71" s="3764"/>
      <c r="AR71" s="1201"/>
      <c r="AS71" s="1156"/>
      <c r="AT71" s="1737"/>
      <c r="AU71" s="1737"/>
      <c r="AV71" s="1737"/>
      <c r="AW71" s="1737"/>
      <c r="AX71" s="1737"/>
      <c r="AY71" s="1737"/>
      <c r="AZ71" s="1737"/>
      <c r="BA71" s="1737"/>
      <c r="BB71" s="1737"/>
      <c r="BC71" s="1737"/>
      <c r="BD71" s="1737"/>
      <c r="BE71" s="1737"/>
      <c r="BF71" s="1737"/>
      <c r="BG71" s="1737"/>
      <c r="BH71" s="1737"/>
    </row>
    <row r="72" spans="1:60" ht="12" customHeight="1" thickBot="1" x14ac:dyDescent="0.25">
      <c r="A72" s="9"/>
      <c r="B72" s="1163"/>
      <c r="C72" s="791"/>
      <c r="D72" s="791"/>
      <c r="E72" s="791"/>
      <c r="F72" s="791"/>
      <c r="G72" s="791"/>
      <c r="H72" s="791"/>
      <c r="I72" s="1137"/>
      <c r="J72" s="1137"/>
      <c r="K72" s="1137"/>
      <c r="L72" s="1137"/>
      <c r="M72" s="1784"/>
      <c r="N72" s="1137"/>
      <c r="O72" s="1137"/>
      <c r="P72" s="1137"/>
      <c r="Q72" s="1137"/>
      <c r="R72" s="1137"/>
      <c r="S72" s="1137"/>
      <c r="T72" s="1137"/>
      <c r="U72" s="1137"/>
      <c r="V72" s="1137"/>
      <c r="W72" s="1137"/>
      <c r="X72" s="1138"/>
      <c r="Y72" s="9"/>
      <c r="Z72" s="9"/>
      <c r="AA72" s="1136"/>
      <c r="AB72" s="791"/>
      <c r="AC72" s="791"/>
      <c r="AD72" s="791"/>
      <c r="AE72" s="791"/>
      <c r="AF72" s="791"/>
      <c r="AG72" s="791"/>
      <c r="AH72" s="1137"/>
      <c r="AI72" s="1137"/>
      <c r="AJ72" s="1137"/>
      <c r="AK72" s="1137"/>
      <c r="AL72" s="1137"/>
      <c r="AM72" s="1137"/>
      <c r="AN72" s="1137"/>
      <c r="AO72" s="1137"/>
      <c r="AP72" s="1137"/>
      <c r="AQ72" s="1137"/>
      <c r="AR72" s="1202"/>
      <c r="AS72" s="9"/>
      <c r="AT72" s="1737"/>
      <c r="AU72" s="1737"/>
      <c r="AV72" s="1737"/>
      <c r="AW72" s="1737"/>
      <c r="AX72" s="1737"/>
      <c r="AY72" s="1737"/>
      <c r="AZ72" s="1737"/>
      <c r="BA72" s="1737"/>
      <c r="BB72" s="1737"/>
      <c r="BC72" s="1737"/>
      <c r="BD72" s="1737"/>
      <c r="BE72" s="1737"/>
      <c r="BF72" s="1737"/>
      <c r="BG72" s="1737"/>
      <c r="BH72" s="1737"/>
    </row>
    <row r="73" spans="1:60" ht="12" customHeight="1" x14ac:dyDescent="0.2">
      <c r="A73" s="9"/>
      <c r="B73" s="1156"/>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6"/>
      <c r="AS73" s="9"/>
      <c r="AT73" s="3054"/>
      <c r="AU73" s="1737"/>
      <c r="AV73" s="1737"/>
      <c r="AW73" s="1737"/>
      <c r="AX73" s="1737"/>
      <c r="AY73" s="1737"/>
      <c r="AZ73" s="1737"/>
      <c r="BA73" s="1737"/>
      <c r="BB73" s="1737"/>
      <c r="BC73" s="1737"/>
      <c r="BD73" s="1737"/>
      <c r="BE73" s="1737"/>
      <c r="BF73" s="1737"/>
      <c r="BG73" s="1737"/>
      <c r="BH73" s="1737"/>
    </row>
  </sheetData>
  <sheetProtection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80" priority="186" stopIfTrue="1" operator="equal">
      <formula>0</formula>
    </cfRule>
  </conditionalFormatting>
  <conditionalFormatting sqref="I23:L23">
    <cfRule type="expression" dxfId="1079" priority="174" stopIfTrue="1">
      <formula>OR($E$20="Sin equipo",$E$20="")</formula>
    </cfRule>
  </conditionalFormatting>
  <conditionalFormatting sqref="I23">
    <cfRule type="expression" dxfId="1078" priority="165">
      <formula>$H$23&lt;&gt;""</formula>
    </cfRule>
  </conditionalFormatting>
  <conditionalFormatting sqref="E28 E49">
    <cfRule type="expression" dxfId="1077" priority="6063" stopIfTrue="1">
      <formula>COUNTIF(INDIRECT($C28),$E28)=0</formula>
    </cfRule>
  </conditionalFormatting>
  <conditionalFormatting sqref="C28">
    <cfRule type="expression" dxfId="1076" priority="6068" stopIfTrue="1">
      <formula>AND(C28="A dos manos",COUNTIF($R$22:$W$25,$C27&amp;" "&amp;$E28))</formula>
    </cfRule>
  </conditionalFormatting>
  <conditionalFormatting sqref="U22:W25">
    <cfRule type="expression" dxfId="1075" priority="6078" stopIfTrue="1">
      <formula>COUNTIF($R$22:$T$25,U22)&gt;0</formula>
    </cfRule>
    <cfRule type="expression" dxfId="1074" priority="6079" stopIfTrue="1">
      <formula>$R22=$U22</formula>
    </cfRule>
  </conditionalFormatting>
  <conditionalFormatting sqref="R22:T25">
    <cfRule type="expression" dxfId="1073" priority="6080" stopIfTrue="1">
      <formula>COUNTIF($R$22:$W$25,$R22)&gt;1</formula>
    </cfRule>
  </conditionalFormatting>
  <conditionalFormatting sqref="C18:G18">
    <cfRule type="notContainsBlanks" dxfId="1072" priority="164">
      <formula>LEN(TRIM(C18))&gt;0</formula>
    </cfRule>
  </conditionalFormatting>
  <conditionalFormatting sqref="H18:S18">
    <cfRule type="notContainsBlanks" dxfId="1071" priority="163">
      <formula>LEN(TRIM(H18))&gt;0</formula>
    </cfRule>
  </conditionalFormatting>
  <conditionalFormatting sqref="AD14:AD16 AF14:AF16">
    <cfRule type="cellIs" dxfId="1070" priority="143" stopIfTrue="1" operator="lessThan">
      <formula>0</formula>
    </cfRule>
    <cfRule type="cellIs" dxfId="1069" priority="144" stopIfTrue="1" operator="greaterThan">
      <formula>0</formula>
    </cfRule>
  </conditionalFormatting>
  <conditionalFormatting sqref="E63:J63">
    <cfRule type="containsText" dxfId="1068" priority="142" operator="containsText" text="Armas naturales a distancia no disponibles">
      <formula>NOT(ISERROR(SEARCH("Armas naturales a distancia no disponibles",E63)))</formula>
    </cfRule>
  </conditionalFormatting>
  <conditionalFormatting sqref="P63:U63">
    <cfRule type="containsText" dxfId="1067" priority="141" operator="containsText" text="Armas naturales a distancia no disponibles">
      <formula>NOT(ISERROR(SEARCH("Armas naturales a distancia no disponibles",P63)))</formula>
    </cfRule>
  </conditionalFormatting>
  <conditionalFormatting sqref="P54:U54">
    <cfRule type="containsText" dxfId="1066" priority="140" operator="containsText" text="Armas naturales a distancia no disponibles">
      <formula>NOT(ISERROR(SEARCH("Armas naturales a distancia no disponibles",P54)))</formula>
    </cfRule>
  </conditionalFormatting>
  <conditionalFormatting sqref="E54:J54">
    <cfRule type="containsText" dxfId="1065" priority="139" operator="containsText" text="Armas naturales a distancia no disponibles">
      <formula>NOT(ISERROR(SEARCH("Armas naturales a distancia no disponibles",E54)))</formula>
    </cfRule>
  </conditionalFormatting>
  <conditionalFormatting sqref="C32:H32">
    <cfRule type="containsText" dxfId="1064" priority="132" operator="containsText" text="Armas naturales cuerpo a cuerpo no disponibles">
      <formula>NOT(ISERROR(SEARCH("Armas naturales cuerpo a cuerpo no disponibles",C32)))</formula>
    </cfRule>
    <cfRule type="containsText" dxfId="1063" priority="138" operator="containsText" text="Armas naturales no disponibles">
      <formula>NOT(ISERROR(SEARCH("Armas naturales no disponibles",C32)))</formula>
    </cfRule>
  </conditionalFormatting>
  <conditionalFormatting sqref="C28:D28">
    <cfRule type="expression" dxfId="1062" priority="111" stopIfTrue="1">
      <formula>AND(E28&lt;&gt;"",NOT(COUNTIF(INDIRECT(M28),E28)&gt;0))</formula>
    </cfRule>
  </conditionalFormatting>
  <conditionalFormatting sqref="N28">
    <cfRule type="expression" dxfId="1061" priority="110" stopIfTrue="1">
      <formula>AND(N28="A dos manos",COUNTIF($R$22:$W$25,$N27&amp;" "&amp;$P28))</formula>
    </cfRule>
  </conditionalFormatting>
  <conditionalFormatting sqref="N28:O28">
    <cfRule type="expression" dxfId="1060" priority="106" stopIfTrue="1">
      <formula>AND(P28&lt;&gt;"",NOT(COUNTIF(INDIRECT(X28),P28)&gt;0))</formula>
    </cfRule>
  </conditionalFormatting>
  <conditionalFormatting sqref="E35">
    <cfRule type="expression" dxfId="1059" priority="104" stopIfTrue="1">
      <formula>COUNTIF(INDIRECT($C35),$E35)=0</formula>
    </cfRule>
  </conditionalFormatting>
  <conditionalFormatting sqref="C35">
    <cfRule type="expression" dxfId="1058" priority="105" stopIfTrue="1">
      <formula>AND(C35="A dos manos",COUNTIF($R$22:$W$25,$C34&amp;" "&amp;$E35))</formula>
    </cfRule>
  </conditionalFormatting>
  <conditionalFormatting sqref="C35:D35">
    <cfRule type="expression" dxfId="1057" priority="101" stopIfTrue="1">
      <formula>AND(E35&lt;&gt;"",NOT(COUNTIF(INDIRECT(M35),E35)&gt;0))</formula>
    </cfRule>
  </conditionalFormatting>
  <conditionalFormatting sqref="N35">
    <cfRule type="expression" dxfId="1056" priority="100" stopIfTrue="1">
      <formula>AND(N35="A dos manos",COUNTIF($R$22:$W$25,$N34&amp;" "&amp;$P35))</formula>
    </cfRule>
  </conditionalFormatting>
  <conditionalFormatting sqref="N35:O35">
    <cfRule type="expression" dxfId="1055" priority="96" stopIfTrue="1">
      <formula>AND(P35&lt;&gt;"",NOT(COUNTIF(INDIRECT(X35),P35)&gt;0))</formula>
    </cfRule>
  </conditionalFormatting>
  <conditionalFormatting sqref="C42">
    <cfRule type="expression" dxfId="1054" priority="95" stopIfTrue="1">
      <formula>AND(C42="A dos manos",COUNTIF($R$22:$W$25,$C41&amp;" "&amp;$E42))</formula>
    </cfRule>
  </conditionalFormatting>
  <conditionalFormatting sqref="C42:D42">
    <cfRule type="expression" dxfId="1053" priority="91" stopIfTrue="1">
      <formula>AND(E42&lt;&gt;"",NOT(COUNTIF(INDIRECT(M42),E42)&gt;0))</formula>
    </cfRule>
  </conditionalFormatting>
  <conditionalFormatting sqref="N42">
    <cfRule type="expression" dxfId="1052" priority="90" stopIfTrue="1">
      <formula>AND(N42="A dos manos",COUNTIF($R$22:$W$25,$N41&amp;" "&amp;$P42))</formula>
    </cfRule>
  </conditionalFormatting>
  <conditionalFormatting sqref="N42:O42">
    <cfRule type="expression" dxfId="1051" priority="86" stopIfTrue="1">
      <formula>AND(P42&lt;&gt;"",NOT(COUNTIF(INDIRECT(X42),P42)&gt;0))</formula>
    </cfRule>
  </conditionalFormatting>
  <conditionalFormatting sqref="C13:E13">
    <cfRule type="expression" dxfId="1050" priority="8790" stopIfTrue="1">
      <formula>AND($AX$19="Dura",$AX$18="Dura")</formula>
    </cfRule>
    <cfRule type="expression" dxfId="1049" priority="8791" stopIfTrue="1">
      <formula>AND($AX$19="Natural",$AX$18="Natural")</formula>
    </cfRule>
  </conditionalFormatting>
  <conditionalFormatting sqref="C14:E14">
    <cfRule type="expression" dxfId="1048" priority="8792" stopIfTrue="1">
      <formula>AND($AX$20="Dura",OR($AX$19="Dura",$AX$18="Dura"))</formula>
    </cfRule>
    <cfRule type="expression" dxfId="1047" priority="8793" stopIfTrue="1">
      <formula>AND($AX$20="Natural",OR($AX$19="Natural",$AX$18="Natural"))</formula>
    </cfRule>
  </conditionalFormatting>
  <conditionalFormatting sqref="P35">
    <cfRule type="expression" dxfId="1046" priority="85" stopIfTrue="1">
      <formula>COUNTIF(INDIRECT($C35),$E35)=0</formula>
    </cfRule>
  </conditionalFormatting>
  <conditionalFormatting sqref="P28">
    <cfRule type="expression" dxfId="1045" priority="84" stopIfTrue="1">
      <formula>COUNTIF(INDIRECT($C28),$E28)=0</formula>
    </cfRule>
  </conditionalFormatting>
  <conditionalFormatting sqref="E42">
    <cfRule type="expression" dxfId="1044" priority="83" stopIfTrue="1">
      <formula>COUNTIF(INDIRECT($C42),$E42)=0</formula>
    </cfRule>
  </conditionalFormatting>
  <conditionalFormatting sqref="P42">
    <cfRule type="expression" dxfId="1043" priority="82" stopIfTrue="1">
      <formula>COUNTIF(INDIRECT($C42),$E42)=0</formula>
    </cfRule>
  </conditionalFormatting>
  <conditionalFormatting sqref="C49">
    <cfRule type="expression" dxfId="1042" priority="81" stopIfTrue="1">
      <formula>AND(C49="A dos manos",COUNTIF($R$22:$W$25,$C48&amp;" "&amp;$E49))</formula>
    </cfRule>
  </conditionalFormatting>
  <conditionalFormatting sqref="C49:D49">
    <cfRule type="expression" dxfId="1041" priority="80" stopIfTrue="1">
      <formula>AND(E49&lt;&gt;"",NOT(COUNTIF(INDIRECT(M49),E49)&gt;0))</formula>
    </cfRule>
  </conditionalFormatting>
  <conditionalFormatting sqref="N49">
    <cfRule type="expression" dxfId="1040" priority="79" stopIfTrue="1">
      <formula>AND(N49="A dos manos",COUNTIF($R$22:$W$25,$N48&amp;" "&amp;$P49))</formula>
    </cfRule>
  </conditionalFormatting>
  <conditionalFormatting sqref="N49:O49">
    <cfRule type="expression" dxfId="1039" priority="78" stopIfTrue="1">
      <formula>AND(P49&lt;&gt;"",NOT(COUNTIF(INDIRECT(X49),P49)&gt;0))</formula>
    </cfRule>
  </conditionalFormatting>
  <conditionalFormatting sqref="N58">
    <cfRule type="expression" dxfId="1038" priority="77" stopIfTrue="1">
      <formula>AND(N58="A dos manos",COUNTIF($R$22:$W$25,$N57&amp;" "&amp;$P58))</formula>
    </cfRule>
  </conditionalFormatting>
  <conditionalFormatting sqref="N58:O58">
    <cfRule type="expression" dxfId="1037" priority="76" stopIfTrue="1">
      <formula>AND(P58&lt;&gt;"",NOT(COUNTIF(INDIRECT(X58),P58)&gt;0))</formula>
    </cfRule>
  </conditionalFormatting>
  <conditionalFormatting sqref="C58">
    <cfRule type="expression" dxfId="1036" priority="75" stopIfTrue="1">
      <formula>AND(C58="A dos manos",COUNTIF($R$22:$W$25,$C57&amp;" "&amp;$E58))</formula>
    </cfRule>
  </conditionalFormatting>
  <conditionalFormatting sqref="C58:D58">
    <cfRule type="expression" dxfId="1035" priority="74" stopIfTrue="1">
      <formula>AND(E58&lt;&gt;"",NOT(COUNTIF(INDIRECT(M58),E58)&gt;0))</formula>
    </cfRule>
  </conditionalFormatting>
  <conditionalFormatting sqref="K32">
    <cfRule type="expression" dxfId="1034" priority="73" stopIfTrue="1">
      <formula>VALUE(RIGHT(K32,2))&gt;FUE</formula>
    </cfRule>
  </conditionalFormatting>
  <conditionalFormatting sqref="V32">
    <cfRule type="expression" dxfId="1033" priority="72" stopIfTrue="1">
      <formula>VALUE(RIGHT(V32,2))&gt;FUE</formula>
    </cfRule>
  </conditionalFormatting>
  <conditionalFormatting sqref="V39">
    <cfRule type="expression" dxfId="1032" priority="71" stopIfTrue="1">
      <formula>VALUE(RIGHT(V39,2))&gt;FUE</formula>
    </cfRule>
  </conditionalFormatting>
  <conditionalFormatting sqref="K39">
    <cfRule type="expression" dxfId="1031" priority="70" stopIfTrue="1">
      <formula>VALUE(RIGHT(K39,2))&gt;FUE</formula>
    </cfRule>
  </conditionalFormatting>
  <conditionalFormatting sqref="K46">
    <cfRule type="expression" dxfId="1030" priority="69" stopIfTrue="1">
      <formula>VALUE(RIGHT(K46,2))&gt;FUE</formula>
    </cfRule>
  </conditionalFormatting>
  <conditionalFormatting sqref="V46">
    <cfRule type="expression" dxfId="1029" priority="68" stopIfTrue="1">
      <formula>VALUE(RIGHT(V46,2))&gt;FUE</formula>
    </cfRule>
  </conditionalFormatting>
  <conditionalFormatting sqref="V55">
    <cfRule type="expression" dxfId="1028" priority="67" stopIfTrue="1">
      <formula>VALUE(RIGHT(V55,2))&gt;FUE</formula>
    </cfRule>
  </conditionalFormatting>
  <conditionalFormatting sqref="K55">
    <cfRule type="expression" dxfId="1027" priority="66" stopIfTrue="1">
      <formula>VALUE(RIGHT(K55,2))&gt;FUE</formula>
    </cfRule>
  </conditionalFormatting>
  <conditionalFormatting sqref="K64">
    <cfRule type="expression" dxfId="1026" priority="65" stopIfTrue="1">
      <formula>VALUE(RIGHT(K64,2))&gt;FUE</formula>
    </cfRule>
  </conditionalFormatting>
  <conditionalFormatting sqref="V64">
    <cfRule type="expression" dxfId="1025" priority="64" stopIfTrue="1">
      <formula>VALUE(RIGHT(V64,2))&gt;FUE</formula>
    </cfRule>
  </conditionalFormatting>
  <conditionalFormatting sqref="N32:S32">
    <cfRule type="containsText" dxfId="1024" priority="37" operator="containsText" text="Armas naturales cuerpo a cuerpo no disponibles">
      <formula>NOT(ISERROR(SEARCH("Armas naturales cuerpo a cuerpo no disponibles",N32)))</formula>
    </cfRule>
    <cfRule type="containsText" dxfId="1023" priority="38" operator="containsText" text="Armas naturales no disponibles">
      <formula>NOT(ISERROR(SEARCH("Armas naturales no disponibles",N32)))</formula>
    </cfRule>
  </conditionalFormatting>
  <conditionalFormatting sqref="C39:H39">
    <cfRule type="containsText" dxfId="1022" priority="25" operator="containsText" text="Armas naturales cuerpo a cuerpo no disponibles">
      <formula>NOT(ISERROR(SEARCH("Armas naturales cuerpo a cuerpo no disponibles",C39)))</formula>
    </cfRule>
    <cfRule type="containsText" dxfId="1021" priority="26" operator="containsText" text="Armas naturales no disponibles">
      <formula>NOT(ISERROR(SEARCH("Armas naturales no disponibles",C39)))</formula>
    </cfRule>
  </conditionalFormatting>
  <conditionalFormatting sqref="N39:S39">
    <cfRule type="containsText" dxfId="1020" priority="23" operator="containsText" text="Armas naturales cuerpo a cuerpo no disponibles">
      <formula>NOT(ISERROR(SEARCH("Armas naturales cuerpo a cuerpo no disponibles",N39)))</formula>
    </cfRule>
    <cfRule type="containsText" dxfId="1019" priority="24" operator="containsText" text="Armas naturales no disponibles">
      <formula>NOT(ISERROR(SEARCH("Armas naturales no disponibles",N39)))</formula>
    </cfRule>
  </conditionalFormatting>
  <conditionalFormatting sqref="C46:H46">
    <cfRule type="containsText" dxfId="1018" priority="21" operator="containsText" text="Armas naturales cuerpo a cuerpo no disponibles">
      <formula>NOT(ISERROR(SEARCH("Armas naturales cuerpo a cuerpo no disponibles",C46)))</formula>
    </cfRule>
    <cfRule type="containsText" dxfId="1017" priority="22" operator="containsText" text="Armas naturales no disponibles">
      <formula>NOT(ISERROR(SEARCH("Armas naturales no disponibles",C46)))</formula>
    </cfRule>
  </conditionalFormatting>
  <conditionalFormatting sqref="N46:S46">
    <cfRule type="containsText" dxfId="1016" priority="19" operator="containsText" text="Armas naturales cuerpo a cuerpo no disponibles">
      <formula>NOT(ISERROR(SEARCH("Armas naturales cuerpo a cuerpo no disponibles",N46)))</formula>
    </cfRule>
    <cfRule type="containsText" dxfId="1015" priority="20" operator="containsText" text="Armas naturales no disponibles">
      <formula>NOT(ISERROR(SEARCH("Armas naturales no disponibles",N46)))</formula>
    </cfRule>
  </conditionalFormatting>
  <conditionalFormatting sqref="J53">
    <cfRule type="expression" dxfId="1014" priority="7">
      <formula>E50="Munición natural"</formula>
    </cfRule>
  </conditionalFormatting>
  <conditionalFormatting sqref="U53">
    <cfRule type="expression" dxfId="1013" priority="6">
      <formula>P50="Munición natural"</formula>
    </cfRule>
  </conditionalFormatting>
  <conditionalFormatting sqref="U62">
    <cfRule type="expression" dxfId="1012" priority="5">
      <formula>P59="Munición natural"</formula>
    </cfRule>
  </conditionalFormatting>
  <conditionalFormatting sqref="J62">
    <cfRule type="expression" dxfId="1011" priority="4">
      <formula>E59="Munición natural"</formula>
    </cfRule>
  </conditionalFormatting>
  <conditionalFormatting sqref="P49">
    <cfRule type="expression" dxfId="999" priority="3" stopIfTrue="1">
      <formula>COUNTIF(INDIRECT($C49),$E49)=0</formula>
    </cfRule>
  </conditionalFormatting>
  <conditionalFormatting sqref="E58">
    <cfRule type="expression" dxfId="998" priority="2" stopIfTrue="1">
      <formula>COUNTIF(INDIRECT($C58),$E58)=0</formula>
    </cfRule>
  </conditionalFormatting>
  <conditionalFormatting sqref="P58">
    <cfRule type="expression" dxfId="997" priority="1" stopIfTrue="1">
      <formula>COUNTIF(INDIRECT($C58),$E58)=0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P49:R49 E35:G35 E42:G42 E58:G58 P42:R42 E28:G28 P28:R28 P35:R35 E49:G49 P58:R58">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5" id="{A0AF4BB8-A1FD-4462-9DC2-FE8F7E127E43}">
            <xm:f>COUNTA(PDs!$E$59:$E$77)&gt;0</xm:f>
            <x14:dxf>
              <font>
                <b val="0"/>
                <i val="0"/>
              </font>
            </x14:dxf>
          </x14:cfRule>
          <xm:sqref>C20:D20</xm:sqref>
        </x14:conditionalFormatting>
        <x14:conditionalFormatting xmlns:xm="http://schemas.microsoft.com/office/excel/2006/main">
          <x14:cfRule type="expression" priority="17" id="{25252D59-84AE-47C7-B2CB-9D1713DCF24E}">
            <xm:f>OR(P28="Armas naturales",NOT(ISNA(VLOOKUP(P28,Tablas!$AH$822:$AH$831,1,FALSE))))</xm:f>
            <x14:dxf>
              <font>
                <color rgb="FFFF0000"/>
              </font>
            </x14:dxf>
          </x14:cfRule>
          <xm:sqref>U31</xm:sqref>
        </x14:conditionalFormatting>
        <x14:conditionalFormatting xmlns:xm="http://schemas.microsoft.com/office/excel/2006/main">
          <x14:cfRule type="expression" priority="16" id="{51884693-ED63-40EE-9F30-74EFAA4792B6}">
            <xm:f>OR(E28="Armas naturales",NOT(ISNA(VLOOKUP(E28,Tablas!$AH$822:$AH$831,1,FALSE))))</xm:f>
            <x14:dxf>
              <font>
                <color rgb="FFFF0000"/>
              </font>
            </x14:dxf>
          </x14:cfRule>
          <xm:sqref>J31</xm:sqref>
        </x14:conditionalFormatting>
        <x14:conditionalFormatting xmlns:xm="http://schemas.microsoft.com/office/excel/2006/main">
          <x14:cfRule type="expression" priority="15" id="{6457581B-943B-4608-B4F2-DE36738674D0}">
            <xm:f>OR(E35="Armas naturales",NOT(ISNA(VLOOKUP(E35,Tablas!$AH$822:$AH$831,1,FALSE))))</xm:f>
            <x14:dxf>
              <font>
                <color rgb="FFFF0000"/>
              </font>
            </x14:dxf>
          </x14:cfRule>
          <xm:sqref>J38</xm:sqref>
        </x14:conditionalFormatting>
        <x14:conditionalFormatting xmlns:xm="http://schemas.microsoft.com/office/excel/2006/main">
          <x14:cfRule type="expression" priority="14" id="{295AF496-D8D6-49E2-8BA5-DBB5B040F696}">
            <xm:f>OR(P35="Armas naturales",NOT(ISNA(VLOOKUP(P35,Tablas!$AH$822:$AH$831,1,FALSE))))</xm:f>
            <x14:dxf>
              <font>
                <color rgb="FFFF0000"/>
              </font>
            </x14:dxf>
          </x14:cfRule>
          <xm:sqref>U38</xm:sqref>
        </x14:conditionalFormatting>
        <x14:conditionalFormatting xmlns:xm="http://schemas.microsoft.com/office/excel/2006/main">
          <x14:cfRule type="expression" priority="13" id="{435CFE56-6305-42E4-BC26-E9529DE9A040}">
            <xm:f>OR(P42="Armas naturales",NOT(ISNA(VLOOKUP(P42,Tablas!$AH$822:$AH$831,1,FALSE))))</xm:f>
            <x14:dxf>
              <font>
                <color rgb="FFFF0000"/>
              </font>
            </x14:dxf>
          </x14:cfRule>
          <xm:sqref>U45</xm:sqref>
        </x14:conditionalFormatting>
        <x14:conditionalFormatting xmlns:xm="http://schemas.microsoft.com/office/excel/2006/main">
          <x14:cfRule type="expression" priority="12" id="{0B7AFABC-C412-49BC-A896-CF3D4BE46A6E}">
            <xm:f>OR(E42="Armas naturales",NOT(ISNA(VLOOKUP(E42,Tablas!$AH$822:$AH$831,1,FALSE))))</xm:f>
            <x14:dxf>
              <font>
                <color rgb="FFFF0000"/>
              </font>
            </x14:dxf>
          </x14:cfRule>
          <xm:sqref>J45</xm:sqref>
        </x14:conditionalFormatting>
        <x14:conditionalFormatting xmlns:xm="http://schemas.microsoft.com/office/excel/2006/main">
          <x14:cfRule type="expression" priority="11" id="{7D04179D-7DA2-4583-8ED0-BF401E2E0A51}">
            <xm:f>OR(E49="Armas naturales",NOT(ISNA(VLOOKUP(E49,Tablas!$AH$822:$AH$831,1,FALSE))))</xm:f>
            <x14:dxf>
              <font>
                <color rgb="FFFF0000"/>
              </font>
            </x14:dxf>
          </x14:cfRule>
          <xm:sqref>J52</xm:sqref>
        </x14:conditionalFormatting>
        <x14:conditionalFormatting xmlns:xm="http://schemas.microsoft.com/office/excel/2006/main">
          <x14:cfRule type="expression" priority="10" id="{037BD038-6573-4D4B-AAE2-42CE242726DE}">
            <xm:f>OR(P49="Armas naturales",NOT(ISNA(VLOOKUP(P49,Tablas!$AH$822:$AH$831,1,FALSE))))</xm:f>
            <x14:dxf>
              <font>
                <color rgb="FFFF0000"/>
              </font>
            </x14:dxf>
          </x14:cfRule>
          <xm:sqref>U52</xm:sqref>
        </x14:conditionalFormatting>
        <x14:conditionalFormatting xmlns:xm="http://schemas.microsoft.com/office/excel/2006/main">
          <x14:cfRule type="expression" priority="9" id="{B4EC97CF-C931-495D-9EA6-70E2C9094852}">
            <xm:f>OR(E58="Armas naturales",NOT(ISNA(VLOOKUP(E58,Tablas!$AH$822:$AH$831,1,FALSE))))</xm:f>
            <x14:dxf>
              <font>
                <color rgb="FFFF0000"/>
              </font>
            </x14:dxf>
          </x14:cfRule>
          <xm:sqref>J61</xm:sqref>
        </x14:conditionalFormatting>
        <x14:conditionalFormatting xmlns:xm="http://schemas.microsoft.com/office/excel/2006/main">
          <x14:cfRule type="expression" priority="8" id="{39AA441D-0A85-4DC3-A205-09FD7B8011FE}">
            <xm:f>OR(P58="Armas naturales",NOT(ISNA(VLOOKUP(P58,Tablas!$AH$822:$AH$831,1,FALSE))))</xm:f>
            <x14:dxf>
              <font>
                <color rgb="FFFF0000"/>
              </font>
            </x14:dxf>
          </x14:cfRule>
          <xm:sqref>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8"/>
    <col min="3" max="4" width="5.7109375" style="332"/>
    <col min="5" max="5" width="6" style="332" bestFit="1" customWidth="1"/>
    <col min="6" max="14" width="5.7109375" style="332"/>
    <col min="15" max="15" width="5.7109375" style="332" customWidth="1"/>
    <col min="16" max="17" width="5.7109375" style="332"/>
    <col min="18" max="18" width="5.85546875" style="1080" customWidth="1"/>
    <col min="19" max="20" width="1.7109375" style="896"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74"/>
    <col min="40" max="16384" width="5.7109375" style="332"/>
  </cols>
  <sheetData>
    <row r="1" spans="1:40" ht="12" customHeight="1" thickBot="1" x14ac:dyDescent="0.25">
      <c r="A1" s="396"/>
      <c r="B1" s="1085"/>
      <c r="C1" s="396"/>
      <c r="D1" s="396"/>
      <c r="E1" s="396"/>
      <c r="F1" s="396"/>
      <c r="G1" s="396"/>
      <c r="H1" s="396"/>
      <c r="I1" s="396"/>
      <c r="J1" s="396"/>
      <c r="K1" s="396"/>
      <c r="L1" s="396"/>
      <c r="M1" s="396"/>
      <c r="N1" s="396"/>
      <c r="O1" s="396"/>
      <c r="P1" s="396"/>
      <c r="Q1" s="396"/>
      <c r="R1" s="1074"/>
      <c r="S1" s="897"/>
      <c r="T1" s="897"/>
      <c r="U1" s="396"/>
      <c r="V1" s="396"/>
      <c r="W1" s="396"/>
      <c r="X1" s="396"/>
      <c r="Y1" s="396"/>
      <c r="Z1" s="396"/>
      <c r="AA1" s="396"/>
      <c r="AB1" s="396"/>
      <c r="AC1" s="396"/>
      <c r="AD1" s="396"/>
      <c r="AE1" s="396"/>
      <c r="AF1" s="396"/>
      <c r="AG1" s="396"/>
      <c r="AH1" s="396"/>
      <c r="AI1" s="396"/>
      <c r="AJ1" s="396"/>
      <c r="AK1" s="396"/>
      <c r="AL1" s="396"/>
      <c r="AM1" s="3087" t="s">
        <v>8741</v>
      </c>
      <c r="AN1" s="3088"/>
    </row>
    <row r="2" spans="1:40" ht="12" customHeight="1" thickBot="1" x14ac:dyDescent="0.25">
      <c r="A2" s="396"/>
      <c r="B2" s="1086"/>
      <c r="C2" s="398"/>
      <c r="D2" s="398"/>
      <c r="E2" s="398"/>
      <c r="F2" s="398"/>
      <c r="G2" s="398"/>
      <c r="H2" s="398"/>
      <c r="I2" s="398"/>
      <c r="J2" s="398"/>
      <c r="K2" s="398"/>
      <c r="L2" s="398"/>
      <c r="M2" s="398"/>
      <c r="N2" s="398"/>
      <c r="O2" s="398"/>
      <c r="P2" s="398"/>
      <c r="Q2" s="398"/>
      <c r="R2" s="1075"/>
      <c r="S2" s="897"/>
      <c r="T2" s="897"/>
      <c r="U2" s="397"/>
      <c r="V2" s="398"/>
      <c r="W2" s="398"/>
      <c r="X2" s="398"/>
      <c r="Y2" s="398"/>
      <c r="Z2" s="398"/>
      <c r="AA2" s="398"/>
      <c r="AB2" s="398"/>
      <c r="AC2" s="398"/>
      <c r="AD2" s="398"/>
      <c r="AE2" s="398"/>
      <c r="AF2" s="398"/>
      <c r="AG2" s="398"/>
      <c r="AH2" s="398"/>
      <c r="AI2" s="398"/>
      <c r="AJ2" s="398"/>
      <c r="AK2" s="399"/>
      <c r="AL2" s="396"/>
      <c r="AM2" s="3087"/>
      <c r="AN2" s="3088"/>
    </row>
    <row r="3" spans="1:40" ht="12" customHeight="1" x14ac:dyDescent="0.2">
      <c r="A3" s="396"/>
      <c r="B3" s="1087"/>
      <c r="C3" s="4522" t="s">
        <v>10165</v>
      </c>
      <c r="D3" s="4523"/>
      <c r="E3" s="4523"/>
      <c r="F3" s="4523"/>
      <c r="G3" s="4523"/>
      <c r="H3" s="4523"/>
      <c r="I3" s="400"/>
      <c r="J3" s="400"/>
      <c r="K3" s="400"/>
      <c r="L3" s="400"/>
      <c r="M3" s="400"/>
      <c r="N3" s="400"/>
      <c r="O3" s="400"/>
      <c r="P3" s="400"/>
      <c r="Q3" s="401"/>
      <c r="R3" s="1076"/>
      <c r="S3" s="897"/>
      <c r="T3" s="897"/>
      <c r="U3" s="279"/>
      <c r="V3" s="4522" t="s">
        <v>10165</v>
      </c>
      <c r="W3" s="4523"/>
      <c r="X3" s="4523"/>
      <c r="Y3" s="4523"/>
      <c r="Z3" s="4523"/>
      <c r="AA3" s="2757"/>
      <c r="AB3" s="400"/>
      <c r="AC3" s="400"/>
      <c r="AD3" s="400"/>
      <c r="AE3" s="400"/>
      <c r="AF3" s="400"/>
      <c r="AG3" s="400"/>
      <c r="AH3" s="400"/>
      <c r="AI3" s="400"/>
      <c r="AJ3" s="401"/>
      <c r="AK3" s="402"/>
      <c r="AL3" s="396"/>
      <c r="AM3" s="3087"/>
      <c r="AN3" s="3088"/>
    </row>
    <row r="4" spans="1:40" ht="12" customHeight="1" x14ac:dyDescent="0.2">
      <c r="A4" s="396"/>
      <c r="B4" s="1087"/>
      <c r="C4" s="4524"/>
      <c r="D4" s="4525"/>
      <c r="E4" s="4525"/>
      <c r="F4" s="4525"/>
      <c r="G4" s="4525"/>
      <c r="H4" s="4525"/>
      <c r="I4" s="330"/>
      <c r="J4" s="4528" t="s">
        <v>1323</v>
      </c>
      <c r="K4" s="4529"/>
      <c r="L4" s="4307" t="str">
        <f>IF(OR(General!$F$22="",General!$F$22=0),"",General!$F$22)</f>
        <v/>
      </c>
      <c r="M4" s="4307"/>
      <c r="N4" s="4307"/>
      <c r="O4" s="4307"/>
      <c r="P4" s="4307"/>
      <c r="Q4" s="356"/>
      <c r="R4" s="1077"/>
      <c r="S4" s="897"/>
      <c r="T4" s="897"/>
      <c r="U4" s="279"/>
      <c r="V4" s="4524"/>
      <c r="W4" s="4533"/>
      <c r="X4" s="4533"/>
      <c r="Y4" s="4533"/>
      <c r="Z4" s="4533"/>
      <c r="AA4" s="2758"/>
      <c r="AB4" s="330"/>
      <c r="AC4" s="4528" t="s">
        <v>1323</v>
      </c>
      <c r="AD4" s="4529"/>
      <c r="AE4" s="4307" t="str">
        <f>IF(OR(General!$F$22="",General!$F$22=0),"",General!$F$22)</f>
        <v/>
      </c>
      <c r="AF4" s="4307"/>
      <c r="AG4" s="4307"/>
      <c r="AH4" s="4307"/>
      <c r="AI4" s="4307"/>
      <c r="AJ4" s="356"/>
      <c r="AK4" s="402"/>
      <c r="AL4" s="396"/>
      <c r="AM4" s="3087"/>
      <c r="AN4" s="3088"/>
    </row>
    <row r="5" spans="1:40" ht="12" customHeight="1" x14ac:dyDescent="0.2">
      <c r="A5" s="396"/>
      <c r="B5" s="1087"/>
      <c r="C5" s="4524"/>
      <c r="D5" s="4525"/>
      <c r="E5" s="4525"/>
      <c r="F5" s="4525"/>
      <c r="G5" s="4525"/>
      <c r="H5" s="4525"/>
      <c r="I5" s="330"/>
      <c r="J5" s="4518" t="s">
        <v>1324</v>
      </c>
      <c r="K5" s="4519"/>
      <c r="L5" s="3140" t="str">
        <f>IF(LEN(PDs!$E$11)&lt;=General!$AO$5,PDs!$E$11,"… /"&amp;RIGHT(PDs!$E$11,General!$AO$5-FIND("/",RIGHT(PDs!$E$11,General!$AO$5))))</f>
        <v/>
      </c>
      <c r="M5" s="3140"/>
      <c r="N5" s="3140"/>
      <c r="O5" s="2264" t="s">
        <v>1325</v>
      </c>
      <c r="P5" s="2265" t="str">
        <f>Principal!$O$6</f>
        <v>0</v>
      </c>
      <c r="Q5" s="403"/>
      <c r="R5" s="1077"/>
      <c r="S5" s="897"/>
      <c r="T5" s="897"/>
      <c r="U5" s="279"/>
      <c r="V5" s="4524"/>
      <c r="W5" s="4533"/>
      <c r="X5" s="4533"/>
      <c r="Y5" s="4533"/>
      <c r="Z5" s="4533"/>
      <c r="AA5" s="2758"/>
      <c r="AB5" s="330"/>
      <c r="AC5" s="4518" t="s">
        <v>1324</v>
      </c>
      <c r="AD5" s="4519"/>
      <c r="AE5" s="3140" t="str">
        <f>IF(LEN(PDs!$E$11)&lt;=General!$AO$5,PDs!$E$11,"… /"&amp;RIGHT(PDs!$E$11,General!$AO$5-FIND("/",RIGHT(PDs!$E$11,General!$AO$5))))</f>
        <v/>
      </c>
      <c r="AF5" s="3140"/>
      <c r="AG5" s="3140"/>
      <c r="AH5" s="2264" t="s">
        <v>1325</v>
      </c>
      <c r="AI5" s="2265" t="str">
        <f>Principal!$O$6</f>
        <v>0</v>
      </c>
      <c r="AJ5" s="403"/>
      <c r="AK5" s="402"/>
      <c r="AL5" s="396"/>
      <c r="AM5" s="3087"/>
      <c r="AN5" s="3088"/>
    </row>
    <row r="6" spans="1:40" ht="12" customHeight="1" x14ac:dyDescent="0.2">
      <c r="A6" s="396"/>
      <c r="B6" s="1087"/>
      <c r="C6" s="4524"/>
      <c r="D6" s="4525"/>
      <c r="E6" s="4525"/>
      <c r="F6" s="4525"/>
      <c r="G6" s="4525"/>
      <c r="H6" s="4525"/>
      <c r="I6" s="330"/>
      <c r="J6" s="4520" t="s">
        <v>1583</v>
      </c>
      <c r="K6" s="4521"/>
      <c r="L6" s="4521"/>
      <c r="M6" s="4521"/>
      <c r="N6" s="4521"/>
      <c r="O6" s="4521"/>
      <c r="P6" s="4521"/>
      <c r="Q6" s="403"/>
      <c r="R6" s="1077"/>
      <c r="S6" s="897"/>
      <c r="T6" s="897"/>
      <c r="U6" s="279"/>
      <c r="V6" s="4524"/>
      <c r="W6" s="4533"/>
      <c r="X6" s="4533"/>
      <c r="Y6" s="4533"/>
      <c r="Z6" s="4533"/>
      <c r="AA6" s="2758"/>
      <c r="AB6" s="330"/>
      <c r="AC6" s="4520" t="s">
        <v>8500</v>
      </c>
      <c r="AD6" s="4521"/>
      <c r="AE6" s="4521"/>
      <c r="AF6" s="4521"/>
      <c r="AG6" s="4521"/>
      <c r="AH6" s="4521"/>
      <c r="AI6" s="4521"/>
      <c r="AJ6" s="403"/>
      <c r="AK6" s="402"/>
      <c r="AL6" s="396"/>
      <c r="AM6" s="3087"/>
      <c r="AN6" s="3088"/>
    </row>
    <row r="7" spans="1:40" ht="12" customHeight="1" x14ac:dyDescent="0.2">
      <c r="A7" s="396"/>
      <c r="B7" s="1087"/>
      <c r="C7" s="4524"/>
      <c r="D7" s="4525"/>
      <c r="E7" s="4525"/>
      <c r="F7" s="4525"/>
      <c r="G7" s="4525"/>
      <c r="H7" s="4525"/>
      <c r="I7" s="330"/>
      <c r="J7" s="4521"/>
      <c r="K7" s="4521"/>
      <c r="L7" s="4521"/>
      <c r="M7" s="4521"/>
      <c r="N7" s="4521"/>
      <c r="O7" s="4521"/>
      <c r="P7" s="4521"/>
      <c r="Q7" s="403"/>
      <c r="R7" s="1077"/>
      <c r="S7" s="897"/>
      <c r="T7" s="897"/>
      <c r="U7" s="279"/>
      <c r="V7" s="4524"/>
      <c r="W7" s="4533"/>
      <c r="X7" s="4533"/>
      <c r="Y7" s="4533"/>
      <c r="Z7" s="4533"/>
      <c r="AA7" s="2758"/>
      <c r="AB7" s="330"/>
      <c r="AC7" s="4521"/>
      <c r="AD7" s="4521"/>
      <c r="AE7" s="4521"/>
      <c r="AF7" s="4521"/>
      <c r="AG7" s="4521"/>
      <c r="AH7" s="4521"/>
      <c r="AI7" s="4521"/>
      <c r="AJ7" s="403"/>
      <c r="AK7" s="402"/>
      <c r="AL7" s="396"/>
      <c r="AM7" s="3087"/>
      <c r="AN7" s="3088"/>
    </row>
    <row r="8" spans="1:40" ht="12" customHeight="1" thickBot="1" x14ac:dyDescent="0.25">
      <c r="A8" s="396"/>
      <c r="B8" s="1087"/>
      <c r="C8" s="4526"/>
      <c r="D8" s="4527"/>
      <c r="E8" s="4527"/>
      <c r="F8" s="4527"/>
      <c r="G8" s="4527"/>
      <c r="H8" s="4527"/>
      <c r="I8" s="404"/>
      <c r="J8" s="404"/>
      <c r="K8" s="404"/>
      <c r="L8" s="404"/>
      <c r="M8" s="404"/>
      <c r="N8" s="404"/>
      <c r="O8" s="404"/>
      <c r="P8" s="404"/>
      <c r="Q8" s="405"/>
      <c r="R8" s="1077"/>
      <c r="S8" s="897"/>
      <c r="T8" s="897"/>
      <c r="U8" s="279"/>
      <c r="V8" s="4526"/>
      <c r="W8" s="4527"/>
      <c r="X8" s="4527"/>
      <c r="Y8" s="4527"/>
      <c r="Z8" s="4527"/>
      <c r="AA8" s="2759"/>
      <c r="AB8" s="404"/>
      <c r="AC8" s="404"/>
      <c r="AD8" s="404"/>
      <c r="AE8" s="404"/>
      <c r="AF8" s="404"/>
      <c r="AG8" s="404"/>
      <c r="AH8" s="404"/>
      <c r="AI8" s="404"/>
      <c r="AJ8" s="405"/>
      <c r="AK8" s="402"/>
      <c r="AL8" s="396"/>
      <c r="AM8" s="3087"/>
      <c r="AN8" s="3088"/>
    </row>
    <row r="9" spans="1:40" ht="12" customHeight="1" thickBot="1" x14ac:dyDescent="0.25">
      <c r="A9" s="396"/>
      <c r="B9" s="1087"/>
      <c r="R9" s="1077"/>
      <c r="S9" s="897"/>
      <c r="T9" s="897"/>
      <c r="U9" s="279"/>
      <c r="V9" s="4509"/>
      <c r="W9" s="4509"/>
      <c r="X9" s="4509"/>
      <c r="Y9" s="4509"/>
      <c r="Z9" s="4509"/>
      <c r="AA9" s="4509"/>
      <c r="AB9" s="4509"/>
      <c r="AC9" s="4509"/>
      <c r="AD9" s="4509"/>
      <c r="AE9" s="4509"/>
      <c r="AF9" s="4509"/>
      <c r="AG9" s="4509"/>
      <c r="AH9" s="4509"/>
      <c r="AI9" s="4509"/>
      <c r="AJ9" s="4509"/>
      <c r="AK9" s="402"/>
      <c r="AL9" s="396"/>
      <c r="AM9" s="3087"/>
      <c r="AN9" s="3088"/>
    </row>
    <row r="10" spans="1:40" ht="12" customHeight="1" thickBot="1" x14ac:dyDescent="0.25">
      <c r="A10" s="396"/>
      <c r="B10" s="1087"/>
      <c r="C10" s="4418" t="s">
        <v>1585</v>
      </c>
      <c r="D10" s="4517"/>
      <c r="E10" s="4517"/>
      <c r="F10" s="4419"/>
      <c r="G10" s="1870"/>
      <c r="H10" s="1617" t="s">
        <v>8311</v>
      </c>
      <c r="I10" s="1553" t="s">
        <v>2088</v>
      </c>
      <c r="J10" s="1081"/>
      <c r="K10" s="4391" t="s">
        <v>1586</v>
      </c>
      <c r="L10" s="4392"/>
      <c r="M10" s="4392"/>
      <c r="N10" s="4392"/>
      <c r="O10" s="4392"/>
      <c r="P10" s="4395">
        <f>IF(Q10=0,40,"-")</f>
        <v>40</v>
      </c>
      <c r="Q10" s="4397"/>
      <c r="R10" s="4498" t="b">
        <f>P10="-"</f>
        <v>0</v>
      </c>
      <c r="S10" s="897"/>
      <c r="T10" s="897"/>
      <c r="U10" s="279"/>
      <c r="V10" s="4510" t="s">
        <v>1587</v>
      </c>
      <c r="W10" s="4511"/>
      <c r="X10" s="4511"/>
      <c r="Y10" s="4512"/>
      <c r="Z10" s="426"/>
      <c r="AA10" s="4513" t="s">
        <v>1588</v>
      </c>
      <c r="AB10" s="4514"/>
      <c r="AC10" s="4514"/>
      <c r="AD10" s="4514"/>
      <c r="AE10" s="4514"/>
      <c r="AF10" s="4514"/>
      <c r="AG10" s="4514"/>
      <c r="AH10" s="4514"/>
      <c r="AI10" s="4514"/>
      <c r="AJ10" s="4515"/>
      <c r="AK10" s="402"/>
      <c r="AL10" s="396"/>
      <c r="AM10" s="3087"/>
      <c r="AN10" s="3088"/>
    </row>
    <row r="11" spans="1:40" ht="12" customHeight="1" thickBot="1" x14ac:dyDescent="0.25">
      <c r="A11" s="396"/>
      <c r="B11" s="1087"/>
      <c r="C11" s="440"/>
      <c r="D11" s="342" t="s">
        <v>1589</v>
      </c>
      <c r="E11" s="342" t="s">
        <v>8793</v>
      </c>
      <c r="F11" s="1869" t="s">
        <v>1590</v>
      </c>
      <c r="G11" s="4530" t="s">
        <v>1591</v>
      </c>
      <c r="H11" s="4531"/>
      <c r="I11" s="4532"/>
      <c r="J11" s="1081"/>
      <c r="K11" s="4393"/>
      <c r="L11" s="4394"/>
      <c r="M11" s="4394"/>
      <c r="N11" s="4394"/>
      <c r="O11" s="4394"/>
      <c r="P11" s="4396"/>
      <c r="Q11" s="4398"/>
      <c r="R11" s="4498" t="b">
        <f>P11="-"</f>
        <v>0</v>
      </c>
      <c r="S11" s="897"/>
      <c r="T11" s="897"/>
      <c r="U11" s="279"/>
      <c r="V11" s="4458" t="s">
        <v>1592</v>
      </c>
      <c r="W11" s="4479"/>
      <c r="X11" s="4497"/>
      <c r="Y11" s="4500"/>
      <c r="Z11" s="441"/>
      <c r="AA11" s="4437" t="s">
        <v>1593</v>
      </c>
      <c r="AB11" s="4438"/>
      <c r="AC11" s="4504"/>
      <c r="AD11" s="4438" t="s">
        <v>1594</v>
      </c>
      <c r="AE11" s="4438"/>
      <c r="AF11" s="4438"/>
      <c r="AG11" s="4438"/>
      <c r="AH11" s="4438"/>
      <c r="AI11" s="4438"/>
      <c r="AJ11" s="4516"/>
      <c r="AK11" s="402"/>
      <c r="AL11" s="396"/>
      <c r="AM11" s="3087"/>
      <c r="AN11" s="3088"/>
    </row>
    <row r="12" spans="1:40" ht="12" customHeight="1" x14ac:dyDescent="0.2">
      <c r="A12" s="396"/>
      <c r="B12" s="1087"/>
      <c r="C12" s="4499" t="s">
        <v>1373</v>
      </c>
      <c r="D12" s="4442">
        <f>PDs!$AA36</f>
        <v>0</v>
      </c>
      <c r="E12" s="4450">
        <f>IF(Tablas!$G$379,D12,CEILING(Ki!D12/2,1))</f>
        <v>0</v>
      </c>
      <c r="F12" s="4444" t="str">
        <f>IF(OR(Tablas!$G$382&gt;0,Tablas!$H$1445&gt;0,$I$10&lt;&gt;"No"),"-",PDs!$AA$30)</f>
        <v>-</v>
      </c>
      <c r="G12" s="4506"/>
      <c r="H12" s="4507"/>
      <c r="I12" s="4508"/>
      <c r="J12" s="1081"/>
      <c r="K12" s="4380" t="s">
        <v>1595</v>
      </c>
      <c r="L12" s="4381"/>
      <c r="M12" s="4381"/>
      <c r="N12" s="4381"/>
      <c r="O12" s="4381"/>
      <c r="P12" s="1473">
        <f>IF(Q12=0,30,"-")</f>
        <v>30</v>
      </c>
      <c r="Q12" s="1619"/>
      <c r="R12" s="1077" t="b">
        <f>P12="-"</f>
        <v>0</v>
      </c>
      <c r="S12" s="897"/>
      <c r="T12" s="897"/>
      <c r="U12" s="279"/>
      <c r="V12" s="4458"/>
      <c r="W12" s="4479"/>
      <c r="X12" s="4482"/>
      <c r="Y12" s="4484"/>
      <c r="Z12" s="441"/>
      <c r="AA12" s="4501"/>
      <c r="AB12" s="4502"/>
      <c r="AC12" s="4503"/>
      <c r="AD12" s="4494"/>
      <c r="AE12" s="4495"/>
      <c r="AF12" s="4495"/>
      <c r="AG12" s="4495"/>
      <c r="AH12" s="4495"/>
      <c r="AI12" s="4495"/>
      <c r="AJ12" s="4496"/>
      <c r="AK12" s="402"/>
      <c r="AL12" s="396"/>
      <c r="AM12" s="3087"/>
      <c r="AN12" s="3088"/>
    </row>
    <row r="13" spans="1:40" ht="12" customHeight="1" x14ac:dyDescent="0.2">
      <c r="A13" s="396"/>
      <c r="B13" s="1087"/>
      <c r="C13" s="4458"/>
      <c r="D13" s="4459"/>
      <c r="E13" s="4505"/>
      <c r="F13" s="4460"/>
      <c r="G13" s="4465"/>
      <c r="H13" s="4466"/>
      <c r="I13" s="3699"/>
      <c r="J13" s="1081"/>
      <c r="K13" s="442" t="s">
        <v>1596</v>
      </c>
      <c r="L13" s="4464" t="s">
        <v>1597</v>
      </c>
      <c r="M13" s="4464"/>
      <c r="N13" s="4464"/>
      <c r="O13" s="4464"/>
      <c r="P13" s="1473">
        <f>IF(Q13=0,20,"-")</f>
        <v>20</v>
      </c>
      <c r="Q13" s="1620"/>
      <c r="R13" s="1077" t="b">
        <f t="shared" ref="R13:R62" si="0">P13="-"</f>
        <v>0</v>
      </c>
      <c r="S13" s="897"/>
      <c r="T13" s="897"/>
      <c r="U13" s="279"/>
      <c r="V13" s="4458" t="s">
        <v>1598</v>
      </c>
      <c r="W13" s="4479"/>
      <c r="X13" s="4482"/>
      <c r="Y13" s="4484"/>
      <c r="Z13" s="354"/>
      <c r="AA13" s="3484"/>
      <c r="AB13" s="3485"/>
      <c r="AC13" s="4476"/>
      <c r="AD13" s="4477"/>
      <c r="AE13" s="3486"/>
      <c r="AF13" s="3486"/>
      <c r="AG13" s="3486"/>
      <c r="AH13" s="3486"/>
      <c r="AI13" s="3486"/>
      <c r="AJ13" s="4478"/>
      <c r="AK13" s="402"/>
      <c r="AL13" s="396"/>
      <c r="AM13" s="3087"/>
      <c r="AN13" s="3088"/>
    </row>
    <row r="14" spans="1:40" ht="12" customHeight="1" x14ac:dyDescent="0.2">
      <c r="A14" s="396"/>
      <c r="B14" s="1087"/>
      <c r="C14" s="4452" t="s">
        <v>1498</v>
      </c>
      <c r="D14" s="4454">
        <f>PDs!$AA37</f>
        <v>0</v>
      </c>
      <c r="E14" s="4462">
        <f>IF(Tablas!$G$379,D14,CEILING(Ki!D14/2,1))</f>
        <v>0</v>
      </c>
      <c r="F14" s="4456" t="str">
        <f>IF(OR(Tablas!$G$382&gt;0,Tablas!$H$1445&gt;0,$I$10&lt;&gt;"No"),"-",PDs!$AA$31)</f>
        <v>-</v>
      </c>
      <c r="G14" s="4467"/>
      <c r="H14" s="4468"/>
      <c r="I14" s="4469"/>
      <c r="J14" s="1081"/>
      <c r="K14" s="442" t="s">
        <v>1599</v>
      </c>
      <c r="L14" s="443" t="s">
        <v>1600</v>
      </c>
      <c r="M14" s="4414" t="s">
        <v>1601</v>
      </c>
      <c r="N14" s="4414"/>
      <c r="O14" s="4414"/>
      <c r="P14" s="1473">
        <f>IF(Q14=0,10,"-")</f>
        <v>10</v>
      </c>
      <c r="Q14" s="1620"/>
      <c r="R14" s="1077" t="b">
        <f t="shared" si="0"/>
        <v>0</v>
      </c>
      <c r="S14" s="897"/>
      <c r="T14" s="897"/>
      <c r="U14" s="279"/>
      <c r="V14" s="4458"/>
      <c r="W14" s="4479"/>
      <c r="X14" s="4482"/>
      <c r="Y14" s="4484"/>
      <c r="Z14" s="430"/>
      <c r="AA14" s="3484"/>
      <c r="AB14" s="3485"/>
      <c r="AC14" s="4476"/>
      <c r="AD14" s="4477"/>
      <c r="AE14" s="3486"/>
      <c r="AF14" s="3486"/>
      <c r="AG14" s="3486"/>
      <c r="AH14" s="3486"/>
      <c r="AI14" s="3486"/>
      <c r="AJ14" s="4478"/>
      <c r="AK14" s="402"/>
      <c r="AL14" s="396"/>
      <c r="AM14" s="3087"/>
      <c r="AN14" s="3088"/>
    </row>
    <row r="15" spans="1:40" ht="12" customHeight="1" x14ac:dyDescent="0.2">
      <c r="A15" s="396"/>
      <c r="B15" s="1087"/>
      <c r="C15" s="4452"/>
      <c r="D15" s="4454"/>
      <c r="E15" s="4462"/>
      <c r="F15" s="4456"/>
      <c r="G15" s="4467"/>
      <c r="H15" s="4468"/>
      <c r="I15" s="4469"/>
      <c r="J15" s="1081"/>
      <c r="K15" s="442" t="s">
        <v>1596</v>
      </c>
      <c r="L15" s="4414" t="s">
        <v>1602</v>
      </c>
      <c r="M15" s="4414"/>
      <c r="N15" s="4414"/>
      <c r="O15" s="4414"/>
      <c r="P15" s="1473">
        <f>IF(Q15=0,40,"-")</f>
        <v>40</v>
      </c>
      <c r="Q15" s="1620"/>
      <c r="R15" s="1077" t="b">
        <f t="shared" si="0"/>
        <v>0</v>
      </c>
      <c r="S15" s="897"/>
      <c r="T15" s="897"/>
      <c r="U15" s="279"/>
      <c r="V15" s="4458" t="s">
        <v>1603</v>
      </c>
      <c r="W15" s="4479"/>
      <c r="X15" s="4482"/>
      <c r="Y15" s="4484"/>
      <c r="Z15" s="444"/>
      <c r="AA15" s="3484"/>
      <c r="AB15" s="3485"/>
      <c r="AC15" s="4476"/>
      <c r="AD15" s="4477"/>
      <c r="AE15" s="3486"/>
      <c r="AF15" s="3486"/>
      <c r="AG15" s="3486"/>
      <c r="AH15" s="3486"/>
      <c r="AI15" s="3486"/>
      <c r="AJ15" s="4478"/>
      <c r="AK15" s="402"/>
      <c r="AL15" s="396"/>
      <c r="AM15" s="3087"/>
      <c r="AN15" s="3088"/>
    </row>
    <row r="16" spans="1:40" ht="12" customHeight="1" x14ac:dyDescent="0.2">
      <c r="A16" s="396"/>
      <c r="B16" s="1087"/>
      <c r="C16" s="4458" t="s">
        <v>1378</v>
      </c>
      <c r="D16" s="4459">
        <f>PDs!$AA38</f>
        <v>0</v>
      </c>
      <c r="E16" s="4461">
        <f>IF(Tablas!$G$379,D16,CEILING(Ki!D16/2,1))</f>
        <v>0</v>
      </c>
      <c r="F16" s="4460" t="str">
        <f>IF(OR(Tablas!$G$382&gt;0,Tablas!$H$1445&gt;0,$I$10&lt;&gt;"No"),"-",PDs!$AA$32)</f>
        <v>-</v>
      </c>
      <c r="G16" s="4465"/>
      <c r="H16" s="4466"/>
      <c r="I16" s="3699"/>
      <c r="J16" s="1081"/>
      <c r="K16" s="442" t="s">
        <v>1596</v>
      </c>
      <c r="L16" s="4414" t="s">
        <v>1604</v>
      </c>
      <c r="M16" s="4414"/>
      <c r="N16" s="4414"/>
      <c r="O16" s="4414"/>
      <c r="P16" s="1473">
        <f>IF(Q16=0,10,"-")</f>
        <v>10</v>
      </c>
      <c r="Q16" s="1620"/>
      <c r="R16" s="1077" t="b">
        <f t="shared" si="0"/>
        <v>0</v>
      </c>
      <c r="S16" s="897"/>
      <c r="T16" s="897"/>
      <c r="U16" s="279"/>
      <c r="V16" s="4458"/>
      <c r="W16" s="4479"/>
      <c r="X16" s="4482"/>
      <c r="Y16" s="4484"/>
      <c r="Z16" s="444"/>
      <c r="AA16" s="3484"/>
      <c r="AB16" s="3485"/>
      <c r="AC16" s="4476"/>
      <c r="AD16" s="4477"/>
      <c r="AE16" s="3486"/>
      <c r="AF16" s="3486"/>
      <c r="AG16" s="3486"/>
      <c r="AH16" s="3486"/>
      <c r="AI16" s="3486"/>
      <c r="AJ16" s="4478"/>
      <c r="AK16" s="402"/>
      <c r="AL16" s="396"/>
      <c r="AM16" s="3087"/>
      <c r="AN16" s="3088"/>
    </row>
    <row r="17" spans="1:40" ht="12" customHeight="1" x14ac:dyDescent="0.2">
      <c r="A17" s="396"/>
      <c r="B17" s="1087"/>
      <c r="C17" s="4458"/>
      <c r="D17" s="4459"/>
      <c r="E17" s="4461"/>
      <c r="F17" s="4460"/>
      <c r="G17" s="4465"/>
      <c r="H17" s="4466"/>
      <c r="I17" s="3699"/>
      <c r="J17" s="1081"/>
      <c r="K17" s="442" t="s">
        <v>1599</v>
      </c>
      <c r="L17" s="445" t="s">
        <v>1596</v>
      </c>
      <c r="M17" s="4464" t="s">
        <v>1605</v>
      </c>
      <c r="N17" s="4464"/>
      <c r="O17" s="4464"/>
      <c r="P17" s="1473">
        <f>IF(Q17=0,30,"-")</f>
        <v>30</v>
      </c>
      <c r="Q17" s="1620"/>
      <c r="R17" s="1077" t="b">
        <f t="shared" si="0"/>
        <v>0</v>
      </c>
      <c r="S17" s="897"/>
      <c r="T17" s="897"/>
      <c r="U17" s="279"/>
      <c r="V17" s="4458" t="s">
        <v>1606</v>
      </c>
      <c r="W17" s="4479"/>
      <c r="X17" s="4482"/>
      <c r="Y17" s="4484"/>
      <c r="Z17" s="446"/>
      <c r="AA17" s="3484"/>
      <c r="AB17" s="3485"/>
      <c r="AC17" s="4476"/>
      <c r="AD17" s="4477"/>
      <c r="AE17" s="3486"/>
      <c r="AF17" s="3486"/>
      <c r="AG17" s="3486"/>
      <c r="AH17" s="3486"/>
      <c r="AI17" s="3486"/>
      <c r="AJ17" s="4478"/>
      <c r="AK17" s="402"/>
      <c r="AL17" s="396"/>
      <c r="AM17" s="3087"/>
      <c r="AN17" s="3088"/>
    </row>
    <row r="18" spans="1:40" ht="12" customHeight="1" x14ac:dyDescent="0.2">
      <c r="A18" s="396"/>
      <c r="B18" s="1087"/>
      <c r="C18" s="4452" t="s">
        <v>1383</v>
      </c>
      <c r="D18" s="4454">
        <f>PDs!$AA39</f>
        <v>0</v>
      </c>
      <c r="E18" s="4462">
        <f>IF(Tablas!$G$379,D18,CEILING(Ki!D18/2,1))</f>
        <v>0</v>
      </c>
      <c r="F18" s="4456" t="str">
        <f>IF(OR(Tablas!$G$382&gt;0,Tablas!$H$1445&gt;0,$I$10&lt;&gt;"No"),"-",PDs!$AA$33)</f>
        <v>-</v>
      </c>
      <c r="G18" s="4467"/>
      <c r="H18" s="4468"/>
      <c r="I18" s="4469"/>
      <c r="J18" s="1081"/>
      <c r="K18" s="442" t="s">
        <v>1599</v>
      </c>
      <c r="L18" s="445" t="s">
        <v>1599</v>
      </c>
      <c r="M18" s="445" t="s">
        <v>1607</v>
      </c>
      <c r="N18" s="4493" t="s">
        <v>1608</v>
      </c>
      <c r="O18" s="4493"/>
      <c r="P18" s="1473">
        <f>IF(Q18=0,20,"-")</f>
        <v>20</v>
      </c>
      <c r="Q18" s="1620"/>
      <c r="R18" s="1077" t="b">
        <f t="shared" si="0"/>
        <v>0</v>
      </c>
      <c r="S18" s="897"/>
      <c r="T18" s="897"/>
      <c r="U18" s="279"/>
      <c r="V18" s="4458"/>
      <c r="W18" s="4479"/>
      <c r="X18" s="4482"/>
      <c r="Y18" s="4484"/>
      <c r="Z18" s="447"/>
      <c r="AA18" s="3484"/>
      <c r="AB18" s="3485"/>
      <c r="AC18" s="4476"/>
      <c r="AD18" s="4477"/>
      <c r="AE18" s="3486"/>
      <c r="AF18" s="3486"/>
      <c r="AG18" s="3486"/>
      <c r="AH18" s="3486"/>
      <c r="AI18" s="3486"/>
      <c r="AJ18" s="4478"/>
      <c r="AK18" s="402"/>
      <c r="AL18" s="396"/>
      <c r="AM18" s="3087"/>
      <c r="AN18" s="3088"/>
    </row>
    <row r="19" spans="1:40" ht="12" customHeight="1" x14ac:dyDescent="0.2">
      <c r="A19" s="396"/>
      <c r="B19" s="1087"/>
      <c r="C19" s="4452"/>
      <c r="D19" s="4454"/>
      <c r="E19" s="4462"/>
      <c r="F19" s="4456"/>
      <c r="G19" s="4467"/>
      <c r="H19" s="4468"/>
      <c r="I19" s="4469"/>
      <c r="J19" s="1081"/>
      <c r="K19" s="442" t="s">
        <v>1599</v>
      </c>
      <c r="L19" s="445" t="s">
        <v>1596</v>
      </c>
      <c r="M19" s="4464" t="s">
        <v>1609</v>
      </c>
      <c r="N19" s="4464"/>
      <c r="O19" s="4464"/>
      <c r="P19" s="1473">
        <f>IF(Q19=0,30,"-")</f>
        <v>30</v>
      </c>
      <c r="Q19" s="1620"/>
      <c r="R19" s="1077" t="b">
        <f t="shared" si="0"/>
        <v>0</v>
      </c>
      <c r="S19" s="897"/>
      <c r="T19" s="897"/>
      <c r="U19" s="279"/>
      <c r="V19" s="4458" t="s">
        <v>1610</v>
      </c>
      <c r="W19" s="4479"/>
      <c r="X19" s="4482"/>
      <c r="Y19" s="4484"/>
      <c r="Z19" s="447"/>
      <c r="AA19" s="3484"/>
      <c r="AB19" s="3485"/>
      <c r="AC19" s="4476"/>
      <c r="AD19" s="4477"/>
      <c r="AE19" s="3486"/>
      <c r="AF19" s="3486"/>
      <c r="AG19" s="3486"/>
      <c r="AH19" s="3486"/>
      <c r="AI19" s="3486"/>
      <c r="AJ19" s="4478"/>
      <c r="AK19" s="402"/>
      <c r="AL19" s="396"/>
      <c r="AM19" s="3087"/>
      <c r="AN19" s="3088"/>
    </row>
    <row r="20" spans="1:40" ht="12" customHeight="1" thickBot="1" x14ac:dyDescent="0.25">
      <c r="A20" s="396"/>
      <c r="B20" s="1087"/>
      <c r="C20" s="4458" t="s">
        <v>1391</v>
      </c>
      <c r="D20" s="4459">
        <f>PDs!$AA40</f>
        <v>0</v>
      </c>
      <c r="E20" s="4461">
        <f>IF(Tablas!$G$379,D20,CEILING(Ki!D20/2,1))</f>
        <v>0</v>
      </c>
      <c r="F20" s="4460" t="str">
        <f>IF(OR(Tablas!$G$382&gt;0,Tablas!$H$1445&gt;0,$I$10&lt;&gt;"No"),"-",PDs!$AA$34)</f>
        <v>-</v>
      </c>
      <c r="G20" s="4465"/>
      <c r="H20" s="4466"/>
      <c r="I20" s="3699"/>
      <c r="J20" s="1081"/>
      <c r="K20" s="442" t="s">
        <v>1599</v>
      </c>
      <c r="L20" s="445" t="s">
        <v>1599</v>
      </c>
      <c r="M20" s="445" t="s">
        <v>1596</v>
      </c>
      <c r="N20" s="4414" t="s">
        <v>1611</v>
      </c>
      <c r="O20" s="4414"/>
      <c r="P20" s="1473">
        <f>IF(Q20=0,30,"-")</f>
        <v>30</v>
      </c>
      <c r="Q20" s="1620"/>
      <c r="R20" s="1077" t="b">
        <f t="shared" si="0"/>
        <v>0</v>
      </c>
      <c r="S20" s="897"/>
      <c r="T20" s="897"/>
      <c r="U20" s="279"/>
      <c r="V20" s="4480"/>
      <c r="W20" s="4481"/>
      <c r="X20" s="4483"/>
      <c r="Y20" s="4485"/>
      <c r="Z20" s="447"/>
      <c r="AA20" s="4473"/>
      <c r="AB20" s="4474"/>
      <c r="AC20" s="4475"/>
      <c r="AD20" s="4490"/>
      <c r="AE20" s="4491"/>
      <c r="AF20" s="4491"/>
      <c r="AG20" s="4491"/>
      <c r="AH20" s="4491"/>
      <c r="AI20" s="4491"/>
      <c r="AJ20" s="4492"/>
      <c r="AK20" s="402"/>
      <c r="AL20" s="396"/>
      <c r="AM20" s="3087"/>
      <c r="AN20" s="3088"/>
    </row>
    <row r="21" spans="1:40" ht="12" customHeight="1" thickBot="1" x14ac:dyDescent="0.25">
      <c r="A21" s="396"/>
      <c r="B21" s="1087"/>
      <c r="C21" s="4458"/>
      <c r="D21" s="4459"/>
      <c r="E21" s="4461"/>
      <c r="F21" s="4460"/>
      <c r="G21" s="4465"/>
      <c r="H21" s="4466"/>
      <c r="I21" s="3699"/>
      <c r="J21" s="1081"/>
      <c r="K21" s="442" t="s">
        <v>1599</v>
      </c>
      <c r="L21" s="445" t="s">
        <v>1599</v>
      </c>
      <c r="M21" s="445" t="s">
        <v>1599</v>
      </c>
      <c r="N21" s="4464" t="s">
        <v>1612</v>
      </c>
      <c r="O21" s="4464"/>
      <c r="P21" s="1473">
        <f>IF(Q21=0,40,"-")</f>
        <v>40</v>
      </c>
      <c r="Q21" s="1620"/>
      <c r="R21" s="1077" t="b">
        <f t="shared" si="0"/>
        <v>0</v>
      </c>
      <c r="S21" s="897"/>
      <c r="T21" s="897"/>
      <c r="U21" s="279"/>
      <c r="AK21" s="402"/>
      <c r="AL21" s="396"/>
      <c r="AM21" s="3087"/>
      <c r="AN21" s="3088"/>
    </row>
    <row r="22" spans="1:40" ht="12" customHeight="1" thickBot="1" x14ac:dyDescent="0.25">
      <c r="A22" s="396"/>
      <c r="B22" s="1087"/>
      <c r="C22" s="4452" t="s">
        <v>1392</v>
      </c>
      <c r="D22" s="4454">
        <f>PDs!$AA41</f>
        <v>0</v>
      </c>
      <c r="E22" s="4462">
        <f>IF(Tablas!$G$379,D22,CEILING(Ki!D22/2,1))</f>
        <v>0</v>
      </c>
      <c r="F22" s="4456" t="str">
        <f>IF(OR(Tablas!$G$382&gt;0,Tablas!$H$1445&gt;0,$I$10&lt;&gt;"No"),"-",PDs!$AA$35)</f>
        <v>-</v>
      </c>
      <c r="G22" s="4467"/>
      <c r="H22" s="4468"/>
      <c r="I22" s="4469"/>
      <c r="J22" s="1081"/>
      <c r="K22" s="442" t="s">
        <v>1599</v>
      </c>
      <c r="L22" s="445" t="s">
        <v>1599</v>
      </c>
      <c r="M22" s="445" t="s">
        <v>1607</v>
      </c>
      <c r="N22" s="4414" t="s">
        <v>1613</v>
      </c>
      <c r="O22" s="4414"/>
      <c r="P22" s="1473">
        <f>IF(Q22=0,30,"-")</f>
        <v>30</v>
      </c>
      <c r="Q22" s="1620"/>
      <c r="R22" s="1077" t="b">
        <f t="shared" si="0"/>
        <v>0</v>
      </c>
      <c r="S22" s="897"/>
      <c r="T22" s="897"/>
      <c r="U22" s="279"/>
      <c r="V22" s="4415" t="s">
        <v>1636</v>
      </c>
      <c r="W22" s="4416"/>
      <c r="X22" s="4417"/>
      <c r="Y22" s="4486"/>
      <c r="Z22" s="4487"/>
      <c r="AA22" s="4488"/>
      <c r="AB22" s="4487"/>
      <c r="AC22" s="4488"/>
      <c r="AD22" s="4487"/>
      <c r="AE22" s="4488"/>
      <c r="AF22" s="4487"/>
      <c r="AG22" s="4488"/>
      <c r="AH22" s="4487"/>
      <c r="AI22" s="4488"/>
      <c r="AJ22" s="4489"/>
      <c r="AK22" s="402"/>
      <c r="AL22" s="396"/>
      <c r="AM22" s="3087"/>
      <c r="AN22" s="3088"/>
    </row>
    <row r="23" spans="1:40" ht="12" customHeight="1" thickBot="1" x14ac:dyDescent="0.25">
      <c r="A23" s="396"/>
      <c r="B23" s="1087"/>
      <c r="C23" s="4453"/>
      <c r="D23" s="4455"/>
      <c r="E23" s="4463"/>
      <c r="F23" s="4457"/>
      <c r="G23" s="4470"/>
      <c r="H23" s="4471"/>
      <c r="I23" s="4472"/>
      <c r="J23" s="1081"/>
      <c r="K23" s="442" t="s">
        <v>1599</v>
      </c>
      <c r="L23" s="445" t="s">
        <v>1599</v>
      </c>
      <c r="M23" s="448"/>
      <c r="N23" s="4464" t="s">
        <v>1614</v>
      </c>
      <c r="O23" s="4464"/>
      <c r="P23" s="1473">
        <f>IF(Q23=0,40,"-")</f>
        <v>40</v>
      </c>
      <c r="Q23" s="1620"/>
      <c r="R23" s="1077" t="b">
        <f t="shared" si="0"/>
        <v>0</v>
      </c>
      <c r="S23" s="897"/>
      <c r="T23" s="897"/>
      <c r="U23" s="449"/>
      <c r="AK23" s="402"/>
      <c r="AL23" s="396"/>
      <c r="AM23" s="3087"/>
      <c r="AN23" s="3088"/>
    </row>
    <row r="24" spans="1:40" ht="12" customHeight="1" thickBot="1" x14ac:dyDescent="0.25">
      <c r="A24" s="396"/>
      <c r="B24" s="1087"/>
      <c r="C24" s="1082" t="s">
        <v>1615</v>
      </c>
      <c r="D24" s="4442">
        <f>D12+D14+D16+D18+D20+D22</f>
        <v>0</v>
      </c>
      <c r="E24" s="4450">
        <f>E12+E14+E16+E18+E20+E22</f>
        <v>0</v>
      </c>
      <c r="F24" s="4444">
        <f>IF(OR(Tablas!$G$382&gt;0,Tablas!$H$1445&gt;0),((PDs!W34*6)+(PDs!V30+PDs!V31+PDs!V32+PDs!V33+PDs!V34+PDs!V35)),SUM(PDs!$AA$30:$AA$35))</f>
        <v>0</v>
      </c>
      <c r="G24" s="4446" t="str">
        <f>IF(I10&lt;&gt;"no","Con Unificación del Ki no se unifican las acumulaciones","")</f>
        <v>Con Unificación del Ki no se unifican las acumulaciones</v>
      </c>
      <c r="H24" s="4446"/>
      <c r="I24" s="4447"/>
      <c r="J24" s="1081"/>
      <c r="K24" s="442" t="s">
        <v>1599</v>
      </c>
      <c r="L24" s="445" t="s">
        <v>1607</v>
      </c>
      <c r="M24" s="4414" t="s">
        <v>1616</v>
      </c>
      <c r="N24" s="4414"/>
      <c r="O24" s="4414"/>
      <c r="P24" s="1473">
        <f>IF(Q24=0,20,"-")</f>
        <v>20</v>
      </c>
      <c r="Q24" s="1620"/>
      <c r="R24" s="1077" t="b">
        <f t="shared" si="0"/>
        <v>0</v>
      </c>
      <c r="S24" s="897"/>
      <c r="T24" s="897"/>
      <c r="U24" s="449"/>
      <c r="V24" s="4415" t="s">
        <v>1584</v>
      </c>
      <c r="W24" s="4416"/>
      <c r="X24" s="4416"/>
      <c r="Y24" s="4416"/>
      <c r="Z24" s="4416"/>
      <c r="AA24" s="4416"/>
      <c r="AB24" s="4416"/>
      <c r="AC24" s="4416"/>
      <c r="AD24" s="4416"/>
      <c r="AE24" s="4416"/>
      <c r="AF24" s="4416"/>
      <c r="AG24" s="4416"/>
      <c r="AH24" s="4416"/>
      <c r="AI24" s="4416"/>
      <c r="AJ24" s="4417"/>
      <c r="AK24" s="402"/>
      <c r="AL24" s="396"/>
      <c r="AM24" s="3087" t="s">
        <v>9293</v>
      </c>
      <c r="AN24" s="3088"/>
    </row>
    <row r="25" spans="1:40" ht="12" customHeight="1" thickBot="1" x14ac:dyDescent="0.25">
      <c r="A25" s="396"/>
      <c r="B25" s="1087"/>
      <c r="C25" s="450" t="s">
        <v>1349</v>
      </c>
      <c r="D25" s="4443"/>
      <c r="E25" s="4451"/>
      <c r="F25" s="4445"/>
      <c r="G25" s="4448"/>
      <c r="H25" s="4448"/>
      <c r="I25" s="4449"/>
      <c r="J25" s="1081"/>
      <c r="K25" s="442" t="s">
        <v>1596</v>
      </c>
      <c r="L25" s="4414" t="s">
        <v>1617</v>
      </c>
      <c r="M25" s="4414"/>
      <c r="N25" s="4414"/>
      <c r="O25" s="4414"/>
      <c r="P25" s="1473">
        <f>IF(Q25=0,50,"-")</f>
        <v>50</v>
      </c>
      <c r="Q25" s="1620"/>
      <c r="R25" s="1077" t="b">
        <f t="shared" si="0"/>
        <v>0</v>
      </c>
      <c r="S25" s="897"/>
      <c r="T25" s="897"/>
      <c r="U25" s="449">
        <f>IF(V26=0,0,1)</f>
        <v>0</v>
      </c>
      <c r="AK25" s="402"/>
      <c r="AL25" s="396"/>
      <c r="AM25" s="3087" t="s">
        <v>1365</v>
      </c>
      <c r="AN25" s="3088" t="s">
        <v>3163</v>
      </c>
    </row>
    <row r="26" spans="1:40" ht="12" customHeight="1" thickBot="1" x14ac:dyDescent="0.25">
      <c r="A26" s="396"/>
      <c r="B26" s="1087"/>
      <c r="J26" s="1081"/>
      <c r="K26" s="442" t="s">
        <v>1607</v>
      </c>
      <c r="L26" s="4414" t="s">
        <v>1618</v>
      </c>
      <c r="M26" s="4414"/>
      <c r="N26" s="4414"/>
      <c r="O26" s="4414"/>
      <c r="P26" s="1473">
        <f>IF(Q26=0,20,"-")</f>
        <v>20</v>
      </c>
      <c r="Q26" s="1620"/>
      <c r="R26" s="1077" t="b">
        <f t="shared" si="0"/>
        <v>0</v>
      </c>
      <c r="S26" s="897"/>
      <c r="T26" s="897"/>
      <c r="U26" s="449"/>
      <c r="V26" s="4361"/>
      <c r="W26" s="4362"/>
      <c r="X26" s="4362"/>
      <c r="Y26" s="4362"/>
      <c r="Z26" s="4362"/>
      <c r="AA26" s="4363"/>
      <c r="AB26" s="1975" t="s">
        <v>1500</v>
      </c>
      <c r="AD26" s="4361"/>
      <c r="AE26" s="4362"/>
      <c r="AF26" s="4362"/>
      <c r="AG26" s="4362"/>
      <c r="AH26" s="4362"/>
      <c r="AI26" s="4363"/>
      <c r="AJ26" s="1975" t="s">
        <v>1500</v>
      </c>
      <c r="AK26" s="402"/>
      <c r="AL26" s="396"/>
      <c r="AM26" s="308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088" t="str">
        <f>IFERROR(LEFT(AM26,LEN(AM26)-2),"")</f>
        <v/>
      </c>
    </row>
    <row r="27" spans="1:40" ht="12" customHeight="1" thickBot="1" x14ac:dyDescent="0.25">
      <c r="A27" s="396"/>
      <c r="B27" s="1087"/>
      <c r="C27" s="4415" t="s">
        <v>1619</v>
      </c>
      <c r="D27" s="4416"/>
      <c r="E27" s="4416"/>
      <c r="F27" s="4417"/>
      <c r="H27" s="4418" t="s">
        <v>1620</v>
      </c>
      <c r="I27" s="4419"/>
      <c r="J27" s="1081"/>
      <c r="K27" s="4380" t="s">
        <v>1621</v>
      </c>
      <c r="L27" s="4382"/>
      <c r="M27" s="4382"/>
      <c r="N27" s="4382"/>
      <c r="O27" s="4382"/>
      <c r="P27" s="1473">
        <f>IF(Q27=0,10,"-")</f>
        <v>10</v>
      </c>
      <c r="Q27" s="1620"/>
      <c r="R27" s="1077" t="b">
        <f t="shared" si="0"/>
        <v>0</v>
      </c>
      <c r="S27" s="897"/>
      <c r="T27" s="897"/>
      <c r="U27" s="449">
        <f>IF(V28=0,0,1)</f>
        <v>1</v>
      </c>
      <c r="V27" s="4406" t="str">
        <f>IF(V26="","",VLOOKUP(V26,'Tablas Técnicas'!$C$655:$H$854,6,FALSE))</f>
        <v/>
      </c>
      <c r="W27" s="4407"/>
      <c r="X27" s="4407"/>
      <c r="Y27" s="4407"/>
      <c r="Z27" s="1961" t="s">
        <v>1325</v>
      </c>
      <c r="AA27" s="1779" t="str">
        <f>IF(V26="","",VLOOKUP(V26,'Tablas Técnicas'!$C$655:$E$854,3,FALSE))</f>
        <v/>
      </c>
      <c r="AB27" s="1976">
        <f>IF(V26="",0,VLOOKUP(V26,'Tablas Técnicas'!$C$655:$K$854,5,FALSE))</f>
        <v>0</v>
      </c>
      <c r="AD27" s="4406" t="str">
        <f>IF(AD26="","",VLOOKUP(AD26,'Tablas Técnicas'!$C$655:$H$854,6,FALSE))</f>
        <v/>
      </c>
      <c r="AE27" s="4407"/>
      <c r="AF27" s="4407"/>
      <c r="AG27" s="4407"/>
      <c r="AH27" s="1961" t="s">
        <v>1325</v>
      </c>
      <c r="AI27" s="1779" t="str">
        <f>IF(AD26="","",VLOOKUP(AD26,'Tablas Técnicas'!$C$655:$E$854,3,FALSE))</f>
        <v/>
      </c>
      <c r="AJ27" s="1976">
        <f>IF(AD26="",0,VLOOKUP(AD26,'Tablas Técnicas'!$C$655:$K$854,5,FALSE))</f>
        <v>0</v>
      </c>
      <c r="AK27" s="402"/>
      <c r="AL27" s="396"/>
      <c r="AM27" s="3087"/>
      <c r="AN27" s="3088"/>
    </row>
    <row r="28" spans="1:40" ht="12" customHeight="1" x14ac:dyDescent="0.2">
      <c r="A28" s="396"/>
      <c r="B28" s="1087"/>
      <c r="C28" s="4426" t="s">
        <v>1622</v>
      </c>
      <c r="D28" s="4427"/>
      <c r="E28" s="4428" t="s">
        <v>1623</v>
      </c>
      <c r="F28" s="4429"/>
      <c r="G28" s="1165">
        <f>Tablas!H1011</f>
        <v>0</v>
      </c>
      <c r="H28" s="4430"/>
      <c r="I28" s="4431"/>
      <c r="J28" s="1081"/>
      <c r="K28" s="442" t="s">
        <v>1607</v>
      </c>
      <c r="L28" s="4414" t="s">
        <v>1624</v>
      </c>
      <c r="M28" s="4414"/>
      <c r="N28" s="4414"/>
      <c r="O28" s="4414"/>
      <c r="P28" s="1473">
        <f>IF(Q28=0,20,"-")</f>
        <v>20</v>
      </c>
      <c r="Q28" s="1620"/>
      <c r="R28" s="1077" t="b">
        <f t="shared" si="0"/>
        <v>0</v>
      </c>
      <c r="S28" s="897"/>
      <c r="T28" s="897"/>
      <c r="U28" s="449"/>
      <c r="V28" s="4366" t="str">
        <f>IFERROR(VLOOKUP(V26,'Tablas Técnicas'!$C$655:$I$854,7,FALSE),"")</f>
        <v/>
      </c>
      <c r="W28" s="4367"/>
      <c r="X28" s="4367"/>
      <c r="Y28" s="4367"/>
      <c r="Z28" s="4367"/>
      <c r="AA28" s="4367"/>
      <c r="AB28" s="4368"/>
      <c r="AD28" s="4366" t="str">
        <f>IFERROR(VLOOKUP(AD26,'Tablas Técnicas'!$C$655:$I$854,7,FALSE),"")</f>
        <v/>
      </c>
      <c r="AE28" s="4367"/>
      <c r="AF28" s="4367"/>
      <c r="AG28" s="4367"/>
      <c r="AH28" s="4367"/>
      <c r="AI28" s="4367"/>
      <c r="AJ28" s="4368"/>
      <c r="AK28" s="402"/>
      <c r="AL28" s="396"/>
      <c r="AM28" s="3087"/>
      <c r="AN28" s="3088"/>
    </row>
    <row r="29" spans="1:40" ht="12" customHeight="1" x14ac:dyDescent="0.2">
      <c r="A29" s="396"/>
      <c r="B29" s="1087"/>
      <c r="C29" s="4420">
        <f>CM_final</f>
        <v>0</v>
      </c>
      <c r="D29" s="4421"/>
      <c r="E29" s="4421">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424"/>
      <c r="H29" s="4404"/>
      <c r="I29" s="4405"/>
      <c r="J29" s="1081"/>
      <c r="K29" s="451"/>
      <c r="L29" s="445" t="s">
        <v>1596</v>
      </c>
      <c r="M29" s="4414" t="s">
        <v>1625</v>
      </c>
      <c r="N29" s="4414"/>
      <c r="O29" s="4414"/>
      <c r="P29" s="1473">
        <f>IF(Q29=0,10,"-")</f>
        <v>10</v>
      </c>
      <c r="Q29" s="1620"/>
      <c r="R29" s="1077" t="b">
        <f t="shared" si="0"/>
        <v>0</v>
      </c>
      <c r="S29" s="897"/>
      <c r="T29" s="897"/>
      <c r="U29" s="449">
        <f>IF(V30=0,0,1)</f>
        <v>0</v>
      </c>
      <c r="V29" s="4366"/>
      <c r="W29" s="4367"/>
      <c r="X29" s="4367"/>
      <c r="Y29" s="4367"/>
      <c r="Z29" s="4367"/>
      <c r="AA29" s="4367"/>
      <c r="AB29" s="4368"/>
      <c r="AD29" s="4366"/>
      <c r="AE29" s="4367"/>
      <c r="AF29" s="4367"/>
      <c r="AG29" s="4367"/>
      <c r="AH29" s="4367"/>
      <c r="AI29" s="4367"/>
      <c r="AJ29" s="4368"/>
      <c r="AK29" s="402"/>
      <c r="AL29" s="396"/>
      <c r="AM29" s="3087"/>
      <c r="AN29" s="3088"/>
    </row>
    <row r="30" spans="1:40" ht="12" customHeight="1" x14ac:dyDescent="0.2">
      <c r="A30" s="396"/>
      <c r="B30" s="1087"/>
      <c r="C30" s="4422"/>
      <c r="D30" s="4423"/>
      <c r="E30" s="4423"/>
      <c r="F30" s="4425"/>
      <c r="H30" s="4401"/>
      <c r="I30" s="4402"/>
      <c r="J30" s="1081"/>
      <c r="K30" s="451"/>
      <c r="L30" s="445" t="s">
        <v>1599</v>
      </c>
      <c r="M30" s="445" t="s">
        <v>1607</v>
      </c>
      <c r="N30" s="1474" t="s">
        <v>8307</v>
      </c>
      <c r="O30" s="1474"/>
      <c r="P30" s="1473">
        <f>IF(Q30=0,20,"-")</f>
        <v>20</v>
      </c>
      <c r="Q30" s="1620"/>
      <c r="R30" s="1077" t="b">
        <f t="shared" si="0"/>
        <v>0</v>
      </c>
      <c r="S30" s="897"/>
      <c r="T30" s="897"/>
      <c r="U30" s="449"/>
      <c r="V30" s="4366"/>
      <c r="W30" s="4367"/>
      <c r="X30" s="4367"/>
      <c r="Y30" s="4367"/>
      <c r="Z30" s="4367"/>
      <c r="AA30" s="4367"/>
      <c r="AB30" s="4368"/>
      <c r="AD30" s="4366"/>
      <c r="AE30" s="4367"/>
      <c r="AF30" s="4367"/>
      <c r="AG30" s="4367"/>
      <c r="AH30" s="4367"/>
      <c r="AI30" s="4367"/>
      <c r="AJ30" s="4368"/>
      <c r="AK30" s="402"/>
      <c r="AL30" s="396"/>
      <c r="AM30" s="3087"/>
      <c r="AN30" s="3088"/>
    </row>
    <row r="31" spans="1:40" ht="12" customHeight="1" thickBot="1" x14ac:dyDescent="0.25">
      <c r="A31" s="396"/>
      <c r="B31" s="1087"/>
      <c r="C31" s="4411" t="str">
        <f>IF(E29&gt;C29,"Exceso de CM",IF(Tablas!$X$21,IF(E29&gt;C29*VLOOKUP(Nivel_Sobrenatural,Tablas!$S$9:$X$12,4,FALSE),"Exceso de CM inicial",""),""))</f>
        <v/>
      </c>
      <c r="D31" s="4412"/>
      <c r="E31" s="4412"/>
      <c r="F31" s="4413"/>
      <c r="H31" s="4401"/>
      <c r="I31" s="4402"/>
      <c r="J31" s="1081"/>
      <c r="K31" s="451"/>
      <c r="L31" s="445" t="s">
        <v>1607</v>
      </c>
      <c r="M31" s="4414" t="s">
        <v>1626</v>
      </c>
      <c r="N31" s="4414"/>
      <c r="O31" s="4414"/>
      <c r="P31" s="1473">
        <f>IF(Q31=0,20,"-")</f>
        <v>20</v>
      </c>
      <c r="Q31" s="1620"/>
      <c r="R31" s="1077" t="b">
        <f t="shared" si="0"/>
        <v>0</v>
      </c>
      <c r="S31" s="897"/>
      <c r="T31" s="897"/>
      <c r="U31" s="449">
        <f>IF(V32=0,0,1)</f>
        <v>0</v>
      </c>
      <c r="V31" s="4366" t="str">
        <f>IFERROR(IF(VLOOKUP(V26,'Tablas Técnicas'!$C$655:$J$854,8,FALSE)="","",VLOOKUP(V26,'Tablas Técnicas'!$C$655:$J$854,8,FALSE)),"")</f>
        <v/>
      </c>
      <c r="W31" s="4367"/>
      <c r="X31" s="4367"/>
      <c r="Y31" s="4367"/>
      <c r="Z31" s="4367"/>
      <c r="AA31" s="4367"/>
      <c r="AB31" s="4368"/>
      <c r="AD31" s="4366" t="str">
        <f>IFERROR(IF(VLOOKUP(AD26,'Tablas Técnicas'!$C$655:$J$854,8,FALSE)="","",VLOOKUP(AD26,'Tablas Técnicas'!$C$655:$J$854,8,FALSE)),"")</f>
        <v/>
      </c>
      <c r="AE31" s="4367"/>
      <c r="AF31" s="4367"/>
      <c r="AG31" s="4367"/>
      <c r="AH31" s="4367"/>
      <c r="AI31" s="4367"/>
      <c r="AJ31" s="4368"/>
      <c r="AK31" s="402"/>
      <c r="AL31" s="396"/>
      <c r="AM31" s="3087"/>
      <c r="AN31" s="3088"/>
    </row>
    <row r="32" spans="1:40" ht="12" customHeight="1" thickBot="1" x14ac:dyDescent="0.25">
      <c r="A32" s="396"/>
      <c r="B32" s="1087"/>
      <c r="H32" s="4404"/>
      <c r="I32" s="4405"/>
      <c r="J32" s="1081"/>
      <c r="K32" s="4380" t="s">
        <v>1627</v>
      </c>
      <c r="L32" s="4381"/>
      <c r="M32" s="4381"/>
      <c r="N32" s="4381"/>
      <c r="O32" s="4381"/>
      <c r="P32" s="1473">
        <f>IF(Q32=0,10,"-")</f>
        <v>10</v>
      </c>
      <c r="Q32" s="1620"/>
      <c r="R32" s="1077" t="b">
        <f t="shared" si="0"/>
        <v>0</v>
      </c>
      <c r="S32" s="897"/>
      <c r="T32" s="897"/>
      <c r="U32" s="449"/>
      <c r="V32" s="4369"/>
      <c r="W32" s="4370"/>
      <c r="X32" s="4370"/>
      <c r="Y32" s="4370"/>
      <c r="Z32" s="4370"/>
      <c r="AA32" s="4370"/>
      <c r="AB32" s="4371"/>
      <c r="AD32" s="4369"/>
      <c r="AE32" s="4370"/>
      <c r="AF32" s="4370"/>
      <c r="AG32" s="4370"/>
      <c r="AH32" s="4370"/>
      <c r="AI32" s="4370"/>
      <c r="AJ32" s="4371"/>
      <c r="AK32" s="402"/>
      <c r="AL32" s="396"/>
      <c r="AM32" s="3087"/>
      <c r="AN32" s="3088"/>
    </row>
    <row r="33" spans="1:40" ht="12" customHeight="1" thickBot="1" x14ac:dyDescent="0.25">
      <c r="A33" s="396"/>
      <c r="B33" s="1087"/>
      <c r="C33" s="4439" t="s">
        <v>1628</v>
      </c>
      <c r="D33" s="4440"/>
      <c r="E33" s="4440"/>
      <c r="F33" s="4441"/>
      <c r="H33" s="4404"/>
      <c r="I33" s="4405"/>
      <c r="J33" s="1081"/>
      <c r="K33" s="442" t="s">
        <v>1596</v>
      </c>
      <c r="L33" s="4382" t="s">
        <v>1629</v>
      </c>
      <c r="M33" s="4381"/>
      <c r="N33" s="4381"/>
      <c r="O33" s="4381"/>
      <c r="P33" s="1473">
        <f t="shared" ref="P33:P40" si="1">IF(Q33=0,10,"-")</f>
        <v>10</v>
      </c>
      <c r="Q33" s="1620"/>
      <c r="R33" s="1077" t="b">
        <f t="shared" si="0"/>
        <v>0</v>
      </c>
      <c r="S33" s="897"/>
      <c r="T33" s="897"/>
      <c r="U33" s="449">
        <f>IF(V34=0,0,1)</f>
        <v>0</v>
      </c>
      <c r="V33" s="1970"/>
      <c r="W33" s="1970"/>
      <c r="X33" s="1970"/>
      <c r="Y33" s="1970"/>
      <c r="Z33" s="1971"/>
      <c r="AA33" s="1972"/>
      <c r="AB33" s="1973"/>
      <c r="AD33" s="1970"/>
      <c r="AE33" s="1970"/>
      <c r="AF33" s="1970"/>
      <c r="AG33" s="1970"/>
      <c r="AH33" s="1971"/>
      <c r="AI33" s="1972"/>
      <c r="AJ33" s="1973"/>
      <c r="AK33" s="402"/>
      <c r="AL33" s="396"/>
      <c r="AM33" s="3087"/>
      <c r="AN33" s="3088"/>
    </row>
    <row r="34" spans="1:40" ht="12" customHeight="1" x14ac:dyDescent="0.2">
      <c r="A34" s="396"/>
      <c r="B34" s="1087"/>
      <c r="C34" s="4437" t="s">
        <v>1375</v>
      </c>
      <c r="D34" s="4438"/>
      <c r="E34" s="1622" t="s">
        <v>1418</v>
      </c>
      <c r="F34" s="1623" t="s">
        <v>1349</v>
      </c>
      <c r="H34" s="4401"/>
      <c r="I34" s="4402"/>
      <c r="J34" s="1081"/>
      <c r="K34" s="442" t="s">
        <v>1630</v>
      </c>
      <c r="L34" s="445" t="s">
        <v>1607</v>
      </c>
      <c r="M34" s="4382" t="s">
        <v>1631</v>
      </c>
      <c r="N34" s="4382"/>
      <c r="O34" s="4382"/>
      <c r="P34" s="1473">
        <f t="shared" si="1"/>
        <v>10</v>
      </c>
      <c r="Q34" s="1620"/>
      <c r="R34" s="1077" t="b">
        <f t="shared" si="0"/>
        <v>0</v>
      </c>
      <c r="S34" s="897"/>
      <c r="T34" s="897"/>
      <c r="U34" s="449"/>
      <c r="V34" s="4361"/>
      <c r="W34" s="4362"/>
      <c r="X34" s="4362"/>
      <c r="Y34" s="4362"/>
      <c r="Z34" s="4362"/>
      <c r="AA34" s="4363"/>
      <c r="AB34" s="1975" t="s">
        <v>1500</v>
      </c>
      <c r="AD34" s="4361"/>
      <c r="AE34" s="4362"/>
      <c r="AF34" s="4362"/>
      <c r="AG34" s="4362"/>
      <c r="AH34" s="4362"/>
      <c r="AI34" s="4363"/>
      <c r="AJ34" s="1975" t="s">
        <v>1500</v>
      </c>
      <c r="AK34" s="402"/>
      <c r="AL34" s="396"/>
      <c r="AM34" s="3087"/>
      <c r="AN34" s="3088"/>
    </row>
    <row r="35" spans="1:40" ht="12" customHeight="1" x14ac:dyDescent="0.2">
      <c r="A35" s="396"/>
      <c r="B35" s="1087"/>
      <c r="C35" s="4399" t="s">
        <v>1632</v>
      </c>
      <c r="D35" s="4400"/>
      <c r="E35" s="2228"/>
      <c r="F35" s="1780" t="str">
        <f>IF(Ki!P13="-",TRUNC((Ki!C29+Advertir_final)/2+E35+Tablas!$CD$225+IF(Tablas!$G$386&gt;0,10*PDs!$R$17,0),0),"-")</f>
        <v>-</v>
      </c>
      <c r="H35" s="4401"/>
      <c r="I35" s="4402"/>
      <c r="J35" s="1083"/>
      <c r="K35" s="442" t="s">
        <v>1630</v>
      </c>
      <c r="L35" s="396"/>
      <c r="M35" s="445" t="s">
        <v>1607</v>
      </c>
      <c r="N35" s="4403" t="s">
        <v>1633</v>
      </c>
      <c r="O35" s="4403"/>
      <c r="P35" s="1473">
        <f t="shared" si="1"/>
        <v>10</v>
      </c>
      <c r="Q35" s="1620"/>
      <c r="R35" s="1077" t="b">
        <f t="shared" si="0"/>
        <v>0</v>
      </c>
      <c r="S35" s="897"/>
      <c r="T35" s="897"/>
      <c r="U35" s="449">
        <f>IF(V36=0,0,1)</f>
        <v>1</v>
      </c>
      <c r="V35" s="4406" t="str">
        <f>IF(V34="","",VLOOKUP(V34,'Tablas Técnicas'!$C$655:$H$854,6,FALSE))</f>
        <v/>
      </c>
      <c r="W35" s="4407"/>
      <c r="X35" s="4407"/>
      <c r="Y35" s="4407"/>
      <c r="Z35" s="1961" t="s">
        <v>1325</v>
      </c>
      <c r="AA35" s="1779" t="str">
        <f>IF(V34="","",VLOOKUP(V34,'Tablas Técnicas'!$C$655:$E$854,3,FALSE))</f>
        <v/>
      </c>
      <c r="AB35" s="1976">
        <f>IF(V34="",0,VLOOKUP(V34,'Tablas Técnicas'!$C$655:$K$854,5,FALSE))</f>
        <v>0</v>
      </c>
      <c r="AD35" s="4406" t="str">
        <f>IF(AD34="","",VLOOKUP(AD34,'Tablas Técnicas'!$C$655:$H$854,6,FALSE))</f>
        <v/>
      </c>
      <c r="AE35" s="4407"/>
      <c r="AF35" s="4407"/>
      <c r="AG35" s="4407"/>
      <c r="AH35" s="1961" t="s">
        <v>1325</v>
      </c>
      <c r="AI35" s="1779" t="str">
        <f>IF(AD34="","",VLOOKUP(AD34,'Tablas Técnicas'!$C$655:$E$854,3,FALSE))</f>
        <v/>
      </c>
      <c r="AJ35" s="1976">
        <f>IF(AD34="",0,VLOOKUP(AD34,'Tablas Técnicas'!$C$655:$K$854,5,FALSE))</f>
        <v>0</v>
      </c>
      <c r="AK35" s="402"/>
      <c r="AL35" s="396"/>
      <c r="AM35" s="3087"/>
      <c r="AN35" s="3088"/>
    </row>
    <row r="36" spans="1:40" ht="12" customHeight="1" x14ac:dyDescent="0.2">
      <c r="A36" s="396"/>
      <c r="B36" s="1087"/>
      <c r="C36" s="4399" t="s">
        <v>1634</v>
      </c>
      <c r="D36" s="4400"/>
      <c r="E36" s="2229"/>
      <c r="F36" s="1781" t="str">
        <f>IF(OcultacióndelKi,TRUNC((Ocultarse_final+Ki!$C$29)/2+E36+IF(Raza="D'Anjayni",50,0)+IF(Nephilim="Nephilim D'Anjayni",30,0)+Tablas!$CE$225+IF(Tablas!$G$381&gt;0,10*PDs!$R$17,0),0),"-")</f>
        <v>-</v>
      </c>
      <c r="H36" s="4404"/>
      <c r="I36" s="4405"/>
      <c r="J36" s="1083"/>
      <c r="K36" s="442" t="s">
        <v>1596</v>
      </c>
      <c r="L36" s="4382" t="s">
        <v>1635</v>
      </c>
      <c r="M36" s="4381"/>
      <c r="N36" s="4381"/>
      <c r="O36" s="4381"/>
      <c r="P36" s="1473">
        <f t="shared" si="1"/>
        <v>10</v>
      </c>
      <c r="Q36" s="1620"/>
      <c r="R36" s="1077" t="b">
        <f t="shared" si="0"/>
        <v>0</v>
      </c>
      <c r="S36" s="897"/>
      <c r="T36" s="897"/>
      <c r="U36" s="449"/>
      <c r="V36" s="4366" t="str">
        <f>IFERROR(VLOOKUP(V34,'Tablas Técnicas'!$C$655:$I$854,7,FALSE),"")</f>
        <v/>
      </c>
      <c r="W36" s="4367"/>
      <c r="X36" s="4367"/>
      <c r="Y36" s="4367"/>
      <c r="Z36" s="4367"/>
      <c r="AA36" s="4367"/>
      <c r="AB36" s="4368"/>
      <c r="AD36" s="4366" t="str">
        <f>IFERROR(VLOOKUP(AD34,'Tablas Técnicas'!$C$655:$I$854,7,FALSE),"")</f>
        <v/>
      </c>
      <c r="AE36" s="4367"/>
      <c r="AF36" s="4367"/>
      <c r="AG36" s="4367"/>
      <c r="AH36" s="4367"/>
      <c r="AI36" s="4367"/>
      <c r="AJ36" s="4368"/>
      <c r="AK36" s="402"/>
      <c r="AL36" s="396"/>
      <c r="AM36" s="3087"/>
      <c r="AN36" s="3088"/>
    </row>
    <row r="37" spans="1:40" ht="12" customHeight="1" thickBot="1" x14ac:dyDescent="0.25">
      <c r="A37" s="396"/>
      <c r="B37" s="1087"/>
      <c r="C37" s="4432"/>
      <c r="D37" s="4433"/>
      <c r="E37" s="4433"/>
      <c r="F37" s="4434"/>
      <c r="H37" s="4435"/>
      <c r="I37" s="4436"/>
      <c r="J37" s="1083"/>
      <c r="K37" s="442" t="s">
        <v>1630</v>
      </c>
      <c r="L37" s="445" t="s">
        <v>1596</v>
      </c>
      <c r="M37" s="4382" t="s">
        <v>1636</v>
      </c>
      <c r="N37" s="4382"/>
      <c r="O37" s="4382"/>
      <c r="P37" s="1473">
        <f t="shared" si="1"/>
        <v>10</v>
      </c>
      <c r="Q37" s="1620"/>
      <c r="R37" s="1077" t="b">
        <f t="shared" si="0"/>
        <v>0</v>
      </c>
      <c r="S37" s="897"/>
      <c r="T37" s="897"/>
      <c r="U37" s="449">
        <f>IF(V38=0,0,1)</f>
        <v>0</v>
      </c>
      <c r="V37" s="4366"/>
      <c r="W37" s="4367"/>
      <c r="X37" s="4367"/>
      <c r="Y37" s="4367"/>
      <c r="Z37" s="4367"/>
      <c r="AA37" s="4367"/>
      <c r="AB37" s="4368"/>
      <c r="AD37" s="4366"/>
      <c r="AE37" s="4367"/>
      <c r="AF37" s="4367"/>
      <c r="AG37" s="4367"/>
      <c r="AH37" s="4367"/>
      <c r="AI37" s="4367"/>
      <c r="AJ37" s="4368"/>
      <c r="AK37" s="402"/>
      <c r="AL37" s="396"/>
      <c r="AM37" s="3087"/>
      <c r="AN37" s="3088"/>
    </row>
    <row r="38" spans="1:40" ht="12" customHeight="1" thickBot="1" x14ac:dyDescent="0.25">
      <c r="A38" s="396"/>
      <c r="B38" s="1087"/>
      <c r="J38" s="1083"/>
      <c r="K38" s="442" t="s">
        <v>1630</v>
      </c>
      <c r="L38" s="445" t="s">
        <v>1596</v>
      </c>
      <c r="M38" s="4382" t="s">
        <v>1637</v>
      </c>
      <c r="N38" s="4382"/>
      <c r="O38" s="4382"/>
      <c r="P38" s="1473">
        <f t="shared" si="1"/>
        <v>10</v>
      </c>
      <c r="Q38" s="1620"/>
      <c r="R38" s="1077" t="b">
        <f t="shared" si="0"/>
        <v>0</v>
      </c>
      <c r="S38" s="897"/>
      <c r="T38" s="897"/>
      <c r="U38" s="449"/>
      <c r="V38" s="4366"/>
      <c r="W38" s="4367"/>
      <c r="X38" s="4367"/>
      <c r="Y38" s="4367"/>
      <c r="Z38" s="4367"/>
      <c r="AA38" s="4367"/>
      <c r="AB38" s="4368"/>
      <c r="AD38" s="4366"/>
      <c r="AE38" s="4367"/>
      <c r="AF38" s="4367"/>
      <c r="AG38" s="4367"/>
      <c r="AH38" s="4367"/>
      <c r="AI38" s="4367"/>
      <c r="AJ38" s="4368"/>
      <c r="AK38" s="402"/>
      <c r="AL38" s="396"/>
      <c r="AM38" s="3087"/>
      <c r="AN38" s="3088"/>
    </row>
    <row r="39" spans="1:40" ht="12" customHeight="1" x14ac:dyDescent="0.2">
      <c r="A39" s="396"/>
      <c r="B39" s="1087"/>
      <c r="C39" s="4386" t="s">
        <v>1638</v>
      </c>
      <c r="D39" s="4387"/>
      <c r="E39" s="4387"/>
      <c r="F39" s="4388"/>
      <c r="G39" s="4389" t="s">
        <v>1639</v>
      </c>
      <c r="H39" s="4390"/>
      <c r="I39" s="1618">
        <f>IF(Tablas!$G$387&gt;0,2,1)-IF(Ki!C40="",0,1)-IF(Ki!C41="",0,1)</f>
        <v>1</v>
      </c>
      <c r="J39" s="1083"/>
      <c r="K39" s="442" t="s">
        <v>1630</v>
      </c>
      <c r="L39" s="445" t="s">
        <v>1596</v>
      </c>
      <c r="M39" s="4382" t="str">
        <f>"Alcance incrementado"</f>
        <v>Alcance incrementado</v>
      </c>
      <c r="N39" s="4382"/>
      <c r="O39" s="4382"/>
      <c r="P39" s="1473">
        <f t="shared" si="1"/>
        <v>10</v>
      </c>
      <c r="Q39" s="1620"/>
      <c r="R39" s="1077" t="b">
        <f t="shared" si="0"/>
        <v>0</v>
      </c>
      <c r="S39" s="897"/>
      <c r="T39" s="897"/>
      <c r="U39" s="449">
        <f>IF(V40=0,0,1)</f>
        <v>0</v>
      </c>
      <c r="V39" s="4366" t="str">
        <f>IFERROR(IF(VLOOKUP(V34,'Tablas Técnicas'!$C$655:$J$854,8,FALSE)="","",VLOOKUP(V34,'Tablas Técnicas'!$C$655:$J$854,8,FALSE)),"")</f>
        <v/>
      </c>
      <c r="W39" s="4367"/>
      <c r="X39" s="4367"/>
      <c r="Y39" s="4367"/>
      <c r="Z39" s="4367"/>
      <c r="AA39" s="4367"/>
      <c r="AB39" s="4368"/>
      <c r="AD39" s="4366" t="str">
        <f>IFERROR(IF(VLOOKUP(AD34,'Tablas Técnicas'!$C$655:$J$854,8,FALSE)="","",VLOOKUP(AD34,'Tablas Técnicas'!$C$655:$J$854,8,FALSE)),"")</f>
        <v/>
      </c>
      <c r="AE39" s="4367"/>
      <c r="AF39" s="4367"/>
      <c r="AG39" s="4367"/>
      <c r="AH39" s="4367"/>
      <c r="AI39" s="4367"/>
      <c r="AJ39" s="4368"/>
      <c r="AK39" s="402"/>
      <c r="AL39" s="396"/>
      <c r="AM39" s="3087"/>
      <c r="AN39" s="3088"/>
    </row>
    <row r="40" spans="1:40" ht="12" customHeight="1" thickBot="1" x14ac:dyDescent="0.25">
      <c r="A40" s="396"/>
      <c r="B40" s="1087"/>
      <c r="C40" s="4383"/>
      <c r="D40" s="4384"/>
      <c r="E40" s="4384"/>
      <c r="F40" s="4384"/>
      <c r="G40" s="4384"/>
      <c r="H40" s="4385"/>
      <c r="I40" s="514" t="str">
        <f>IF(C40=0,"",VLOOKUP(C40,Tablas!$D$1065:$M$1071,2))</f>
        <v/>
      </c>
      <c r="J40" s="1083"/>
      <c r="K40" s="442" t="s">
        <v>1630</v>
      </c>
      <c r="L40" s="445" t="s">
        <v>1607</v>
      </c>
      <c r="M40" s="4382" t="s">
        <v>1640</v>
      </c>
      <c r="N40" s="4382"/>
      <c r="O40" s="4382"/>
      <c r="P40" s="1473">
        <f t="shared" si="1"/>
        <v>10</v>
      </c>
      <c r="Q40" s="1620"/>
      <c r="R40" s="1077" t="b">
        <f t="shared" si="0"/>
        <v>0</v>
      </c>
      <c r="S40" s="897"/>
      <c r="T40" s="897"/>
      <c r="U40" s="449"/>
      <c r="V40" s="4369"/>
      <c r="W40" s="4370"/>
      <c r="X40" s="4370"/>
      <c r="Y40" s="4370"/>
      <c r="Z40" s="4370"/>
      <c r="AA40" s="4370"/>
      <c r="AB40" s="4371"/>
      <c r="AD40" s="4369"/>
      <c r="AE40" s="4370"/>
      <c r="AF40" s="4370"/>
      <c r="AG40" s="4370"/>
      <c r="AH40" s="4370"/>
      <c r="AI40" s="4370"/>
      <c r="AJ40" s="4371"/>
      <c r="AK40" s="402"/>
      <c r="AL40" s="396"/>
      <c r="AM40" s="3087"/>
      <c r="AN40" s="3088"/>
    </row>
    <row r="41" spans="1:40" ht="12" customHeight="1" thickBot="1" x14ac:dyDescent="0.25">
      <c r="A41" s="396"/>
      <c r="B41" s="1087"/>
      <c r="C41" s="4408"/>
      <c r="D41" s="4409"/>
      <c r="E41" s="4409"/>
      <c r="F41" s="4409"/>
      <c r="G41" s="4409"/>
      <c r="H41" s="4410"/>
      <c r="I41" s="515" t="str">
        <f>IF(C41=0,"",VLOOKUP(C41,Tablas!$D$1065:$M$1071,2))</f>
        <v/>
      </c>
      <c r="J41" s="1083"/>
      <c r="K41" s="442" t="s">
        <v>1596</v>
      </c>
      <c r="L41" s="4382" t="s">
        <v>1641</v>
      </c>
      <c r="M41" s="4381"/>
      <c r="N41" s="4381"/>
      <c r="O41" s="4381"/>
      <c r="P41" s="1473">
        <f>IF(Q41=0,20,"-")</f>
        <v>20</v>
      </c>
      <c r="Q41" s="1620"/>
      <c r="R41" s="1077" t="b">
        <f t="shared" si="0"/>
        <v>0</v>
      </c>
      <c r="S41" s="897"/>
      <c r="T41" s="897"/>
      <c r="U41" s="449">
        <f>IF(V42=0,0,1)</f>
        <v>0</v>
      </c>
      <c r="V41" s="1970"/>
      <c r="W41" s="1970"/>
      <c r="X41" s="1970"/>
      <c r="Y41" s="1970"/>
      <c r="Z41" s="1971"/>
      <c r="AA41" s="1972"/>
      <c r="AB41" s="1973"/>
      <c r="AD41" s="1970"/>
      <c r="AE41" s="1970"/>
      <c r="AF41" s="1970"/>
      <c r="AG41" s="1970"/>
      <c r="AH41" s="1971"/>
      <c r="AI41" s="1972"/>
      <c r="AJ41" s="1973"/>
      <c r="AK41" s="402"/>
      <c r="AL41" s="396"/>
      <c r="AM41" s="3087"/>
      <c r="AN41" s="3088"/>
    </row>
    <row r="42" spans="1:40" ht="12" customHeight="1" thickBot="1" x14ac:dyDescent="0.25">
      <c r="A42" s="396"/>
      <c r="B42" s="1087"/>
      <c r="J42" s="1084"/>
      <c r="K42" s="442" t="s">
        <v>1596</v>
      </c>
      <c r="L42" s="4382" t="s">
        <v>1642</v>
      </c>
      <c r="M42" s="4381"/>
      <c r="N42" s="4381"/>
      <c r="O42" s="4381"/>
      <c r="P42" s="1473">
        <f>IF(Q42=0,30,"-")</f>
        <v>30</v>
      </c>
      <c r="Q42" s="1620"/>
      <c r="R42" s="1077" t="b">
        <f t="shared" si="0"/>
        <v>0</v>
      </c>
      <c r="S42" s="897"/>
      <c r="T42" s="897"/>
      <c r="U42" s="449"/>
      <c r="V42" s="4361"/>
      <c r="W42" s="4362"/>
      <c r="X42" s="4362"/>
      <c r="Y42" s="4362"/>
      <c r="Z42" s="4362"/>
      <c r="AA42" s="4363"/>
      <c r="AB42" s="1975" t="s">
        <v>1500</v>
      </c>
      <c r="AD42" s="4361"/>
      <c r="AE42" s="4362"/>
      <c r="AF42" s="4362"/>
      <c r="AG42" s="4362"/>
      <c r="AH42" s="4362"/>
      <c r="AI42" s="4363"/>
      <c r="AJ42" s="1975" t="s">
        <v>1500</v>
      </c>
      <c r="AK42" s="402"/>
      <c r="AL42" s="396"/>
      <c r="AM42" s="3087"/>
      <c r="AN42" s="3088"/>
    </row>
    <row r="43" spans="1:40" ht="12" customHeight="1" x14ac:dyDescent="0.2">
      <c r="A43" s="396"/>
      <c r="B43" s="1087"/>
      <c r="C43" s="4391" t="s">
        <v>1643</v>
      </c>
      <c r="D43" s="4392"/>
      <c r="E43" s="4392"/>
      <c r="F43" s="4392"/>
      <c r="G43" s="4392"/>
      <c r="H43" s="4395">
        <f>IF(I43=0,70,"-")</f>
        <v>70</v>
      </c>
      <c r="I43" s="4397"/>
      <c r="J43" s="1084"/>
      <c r="K43" s="442" t="s">
        <v>1607</v>
      </c>
      <c r="L43" s="4382" t="s">
        <v>1644</v>
      </c>
      <c r="M43" s="4381"/>
      <c r="N43" s="4381"/>
      <c r="O43" s="4381"/>
      <c r="P43" s="1473">
        <f>IF(Q43=0,10,"-")</f>
        <v>10</v>
      </c>
      <c r="Q43" s="1620"/>
      <c r="R43" s="1077" t="b">
        <f t="shared" si="0"/>
        <v>0</v>
      </c>
      <c r="S43" s="897"/>
      <c r="T43" s="897"/>
      <c r="U43" s="449">
        <f>IF(V44=0,0,1)</f>
        <v>1</v>
      </c>
      <c r="V43" s="4364" t="str">
        <f>IF(V42="","",VLOOKUP(V42,'Tablas Técnicas'!$C$655:$H$854,6,FALSE))</f>
        <v/>
      </c>
      <c r="W43" s="4365"/>
      <c r="X43" s="4365"/>
      <c r="Y43" s="4365"/>
      <c r="Z43" s="1961" t="s">
        <v>1325</v>
      </c>
      <c r="AA43" s="1779" t="str">
        <f>IF(V42="","",VLOOKUP(V42,'Tablas Técnicas'!$C$655:$E$854,3,FALSE))</f>
        <v/>
      </c>
      <c r="AB43" s="1976">
        <f>IF(V42="",0,VLOOKUP(V42,'Tablas Técnicas'!$C$655:$K$854,5,FALSE))</f>
        <v>0</v>
      </c>
      <c r="AD43" s="4364" t="str">
        <f>IF(AD42="","",VLOOKUP(AD42,'Tablas Técnicas'!$C$655:$H$854,6,FALSE))</f>
        <v/>
      </c>
      <c r="AE43" s="4365"/>
      <c r="AF43" s="4365"/>
      <c r="AG43" s="4365"/>
      <c r="AH43" s="1961" t="s">
        <v>1325</v>
      </c>
      <c r="AI43" s="1779" t="str">
        <f>IF(AD42="","",VLOOKUP(AD42,'Tablas Técnicas'!$C$655:$E$854,3,FALSE))</f>
        <v/>
      </c>
      <c r="AJ43" s="1976">
        <f>IF(AD42="",0,VLOOKUP(AD42,'Tablas Técnicas'!$C$655:$K$854,5,FALSE))</f>
        <v>0</v>
      </c>
      <c r="AK43" s="402"/>
      <c r="AL43" s="396"/>
      <c r="AM43" s="3087"/>
      <c r="AN43" s="3088"/>
    </row>
    <row r="44" spans="1:40" ht="12" customHeight="1" thickBot="1" x14ac:dyDescent="0.25">
      <c r="A44" s="396"/>
      <c r="B44" s="1087"/>
      <c r="C44" s="4393"/>
      <c r="D44" s="4394"/>
      <c r="E44" s="4394"/>
      <c r="F44" s="4394"/>
      <c r="G44" s="4394"/>
      <c r="H44" s="4396"/>
      <c r="I44" s="4398"/>
      <c r="J44" s="1084"/>
      <c r="K44" s="4380" t="s">
        <v>1645</v>
      </c>
      <c r="L44" s="4381"/>
      <c r="M44" s="4381"/>
      <c r="N44" s="4381"/>
      <c r="O44" s="4381"/>
      <c r="P44" s="1473">
        <f t="shared" ref="P44:P53" si="2">IF(Q44=0,10,"-")</f>
        <v>10</v>
      </c>
      <c r="Q44" s="1620"/>
      <c r="R44" s="1077" t="b">
        <f t="shared" si="0"/>
        <v>0</v>
      </c>
      <c r="S44" s="897"/>
      <c r="T44" s="897"/>
      <c r="U44" s="449"/>
      <c r="V44" s="4366" t="str">
        <f>IFERROR(VLOOKUP(V42,'Tablas Técnicas'!$C$655:$I$854,7,FALSE),"")</f>
        <v/>
      </c>
      <c r="W44" s="4367"/>
      <c r="X44" s="4367"/>
      <c r="Y44" s="4367"/>
      <c r="Z44" s="4367"/>
      <c r="AA44" s="4367"/>
      <c r="AB44" s="4368"/>
      <c r="AD44" s="4366" t="str">
        <f>IFERROR(VLOOKUP(AD42,'Tablas Técnicas'!$C$655:$I$854,7,FALSE),"")</f>
        <v/>
      </c>
      <c r="AE44" s="4367"/>
      <c r="AF44" s="4367"/>
      <c r="AG44" s="4367"/>
      <c r="AH44" s="4367"/>
      <c r="AI44" s="4367"/>
      <c r="AJ44" s="4368"/>
      <c r="AK44" s="402"/>
      <c r="AL44" s="396"/>
      <c r="AM44" s="3087"/>
      <c r="AN44" s="3088"/>
    </row>
    <row r="45" spans="1:40" ht="12" customHeight="1" x14ac:dyDescent="0.2">
      <c r="A45" s="396"/>
      <c r="B45" s="1078" t="b">
        <f t="shared" ref="B45:B62" si="3">H45="-"</f>
        <v>0</v>
      </c>
      <c r="C45" s="4380" t="s">
        <v>1646</v>
      </c>
      <c r="D45" s="4381"/>
      <c r="E45" s="4381"/>
      <c r="F45" s="4381"/>
      <c r="G45" s="4381"/>
      <c r="H45" s="1473">
        <f>IF(I45=0,20,"-")</f>
        <v>20</v>
      </c>
      <c r="I45" s="1619"/>
      <c r="K45" s="442" t="s">
        <v>1596</v>
      </c>
      <c r="L45" s="4382" t="s">
        <v>1647</v>
      </c>
      <c r="M45" s="4381"/>
      <c r="N45" s="4381"/>
      <c r="O45" s="4381"/>
      <c r="P45" s="1473">
        <f t="shared" si="2"/>
        <v>10</v>
      </c>
      <c r="Q45" s="1620"/>
      <c r="R45" s="1077" t="b">
        <f t="shared" si="0"/>
        <v>0</v>
      </c>
      <c r="S45" s="897"/>
      <c r="T45" s="897"/>
      <c r="U45" s="449">
        <f>IF(V46=0,0,1)</f>
        <v>0</v>
      </c>
      <c r="V45" s="4366"/>
      <c r="W45" s="4367"/>
      <c r="X45" s="4367"/>
      <c r="Y45" s="4367"/>
      <c r="Z45" s="4367"/>
      <c r="AA45" s="4367"/>
      <c r="AB45" s="4368"/>
      <c r="AD45" s="4366"/>
      <c r="AE45" s="4367"/>
      <c r="AF45" s="4367"/>
      <c r="AG45" s="4367"/>
      <c r="AH45" s="4367"/>
      <c r="AI45" s="4367"/>
      <c r="AJ45" s="4368"/>
      <c r="AK45" s="402"/>
      <c r="AL45" s="396"/>
      <c r="AM45" s="3087"/>
      <c r="AN45" s="3088"/>
    </row>
    <row r="46" spans="1:40" ht="12" customHeight="1" x14ac:dyDescent="0.2">
      <c r="A46" s="396"/>
      <c r="B46" s="1078" t="b">
        <f t="shared" si="3"/>
        <v>0</v>
      </c>
      <c r="C46" s="442" t="s">
        <v>1607</v>
      </c>
      <c r="D46" s="4382" t="s">
        <v>1648</v>
      </c>
      <c r="E46" s="4381"/>
      <c r="F46" s="4381"/>
      <c r="G46" s="4381"/>
      <c r="H46" s="1473">
        <f>IF(I46=0,30,"-")</f>
        <v>30</v>
      </c>
      <c r="I46" s="1620"/>
      <c r="K46" s="442" t="s">
        <v>1630</v>
      </c>
      <c r="L46" s="445" t="s">
        <v>1596</v>
      </c>
      <c r="M46" s="4382" t="s">
        <v>1649</v>
      </c>
      <c r="N46" s="4382"/>
      <c r="O46" s="4382"/>
      <c r="P46" s="1473">
        <f t="shared" si="2"/>
        <v>10</v>
      </c>
      <c r="Q46" s="1620"/>
      <c r="R46" s="1077" t="b">
        <f t="shared" si="0"/>
        <v>0</v>
      </c>
      <c r="S46" s="897"/>
      <c r="T46" s="897"/>
      <c r="U46" s="449"/>
      <c r="V46" s="4366"/>
      <c r="W46" s="4367"/>
      <c r="X46" s="4367"/>
      <c r="Y46" s="4367"/>
      <c r="Z46" s="4367"/>
      <c r="AA46" s="4367"/>
      <c r="AB46" s="4368"/>
      <c r="AD46" s="4366"/>
      <c r="AE46" s="4367"/>
      <c r="AF46" s="4367"/>
      <c r="AG46" s="4367"/>
      <c r="AH46" s="4367"/>
      <c r="AI46" s="4367"/>
      <c r="AJ46" s="4368"/>
      <c r="AK46" s="402"/>
      <c r="AL46" s="396"/>
      <c r="AM46" s="3087"/>
      <c r="AN46" s="3088"/>
    </row>
    <row r="47" spans="1:40" ht="12" customHeight="1" x14ac:dyDescent="0.2">
      <c r="A47" s="396"/>
      <c r="B47" s="1078" t="b">
        <f t="shared" si="3"/>
        <v>0</v>
      </c>
      <c r="C47" s="4380" t="s">
        <v>1650</v>
      </c>
      <c r="D47" s="4382"/>
      <c r="E47" s="4382"/>
      <c r="F47" s="4382"/>
      <c r="G47" s="4382"/>
      <c r="H47" s="1473">
        <f>IF(I47=0,30,"-")</f>
        <v>30</v>
      </c>
      <c r="I47" s="1620"/>
      <c r="K47" s="442" t="s">
        <v>1630</v>
      </c>
      <c r="L47" s="445" t="s">
        <v>1607</v>
      </c>
      <c r="M47" s="4382" t="s">
        <v>1651</v>
      </c>
      <c r="N47" s="4382"/>
      <c r="O47" s="4382"/>
      <c r="P47" s="1473">
        <f t="shared" si="2"/>
        <v>10</v>
      </c>
      <c r="Q47" s="1620"/>
      <c r="R47" s="1077" t="b">
        <f t="shared" si="0"/>
        <v>0</v>
      </c>
      <c r="S47" s="897"/>
      <c r="T47" s="897"/>
      <c r="U47" s="449">
        <f>IF(V48=0,0,1)</f>
        <v>0</v>
      </c>
      <c r="V47" s="4366" t="str">
        <f>IFERROR(IF(VLOOKUP(V42,'Tablas Técnicas'!$C$655:$J$854,8,FALSE)="","",VLOOKUP(V42,'Tablas Técnicas'!$C$655:$J$854,8,FALSE)),"")</f>
        <v/>
      </c>
      <c r="W47" s="4367"/>
      <c r="X47" s="4367"/>
      <c r="Y47" s="4367"/>
      <c r="Z47" s="4367"/>
      <c r="AA47" s="4367"/>
      <c r="AB47" s="4368"/>
      <c r="AD47" s="4366" t="str">
        <f>IFERROR(IF(VLOOKUP(AD42,'Tablas Técnicas'!$C$655:$J$854,8,FALSE)="","",VLOOKUP(AD42,'Tablas Técnicas'!$C$655:$J$854,8,FALSE)),"")</f>
        <v/>
      </c>
      <c r="AE47" s="4367"/>
      <c r="AF47" s="4367"/>
      <c r="AG47" s="4367"/>
      <c r="AH47" s="4367"/>
      <c r="AI47" s="4367"/>
      <c r="AJ47" s="4368"/>
      <c r="AK47" s="402"/>
      <c r="AL47" s="396"/>
      <c r="AM47" s="3087"/>
      <c r="AN47" s="3088"/>
    </row>
    <row r="48" spans="1:40" ht="12" customHeight="1" thickBot="1" x14ac:dyDescent="0.25">
      <c r="A48" s="396"/>
      <c r="B48" s="1078" t="b">
        <f t="shared" si="3"/>
        <v>0</v>
      </c>
      <c r="C48" s="442" t="s">
        <v>1607</v>
      </c>
      <c r="D48" s="4382" t="s">
        <v>1652</v>
      </c>
      <c r="E48" s="4382"/>
      <c r="F48" s="4382"/>
      <c r="G48" s="4382"/>
      <c r="H48" s="1473">
        <f>IF(I48=0,20,"-")</f>
        <v>20</v>
      </c>
      <c r="I48" s="1620"/>
      <c r="K48" s="442" t="s">
        <v>1607</v>
      </c>
      <c r="L48" s="4382" t="s">
        <v>1653</v>
      </c>
      <c r="M48" s="4381"/>
      <c r="N48" s="4381"/>
      <c r="O48" s="4381"/>
      <c r="P48" s="1473">
        <f t="shared" si="2"/>
        <v>10</v>
      </c>
      <c r="Q48" s="1620"/>
      <c r="R48" s="1077" t="b">
        <f t="shared" si="0"/>
        <v>0</v>
      </c>
      <c r="S48" s="897"/>
      <c r="T48" s="897"/>
      <c r="U48" s="449"/>
      <c r="V48" s="4369"/>
      <c r="W48" s="4370"/>
      <c r="X48" s="4370"/>
      <c r="Y48" s="4370"/>
      <c r="Z48" s="4370"/>
      <c r="AA48" s="4370"/>
      <c r="AB48" s="4371"/>
      <c r="AD48" s="4369"/>
      <c r="AE48" s="4370"/>
      <c r="AF48" s="4370"/>
      <c r="AG48" s="4370"/>
      <c r="AH48" s="4370"/>
      <c r="AI48" s="4370"/>
      <c r="AJ48" s="4371"/>
      <c r="AK48" s="402"/>
      <c r="AL48" s="396"/>
      <c r="AM48" s="3087"/>
      <c r="AN48" s="3088"/>
    </row>
    <row r="49" spans="1:40" ht="12" customHeight="1" thickBot="1" x14ac:dyDescent="0.25">
      <c r="A49" s="396"/>
      <c r="B49" s="1078" t="b">
        <f t="shared" si="3"/>
        <v>0</v>
      </c>
      <c r="C49" s="4380" t="s">
        <v>1654</v>
      </c>
      <c r="D49" s="4382"/>
      <c r="E49" s="4382"/>
      <c r="F49" s="4382"/>
      <c r="G49" s="4382"/>
      <c r="H49" s="1473">
        <f>IF(I49=0,30,"-")</f>
        <v>30</v>
      </c>
      <c r="I49" s="1620"/>
      <c r="K49" s="4380" t="s">
        <v>1655</v>
      </c>
      <c r="L49" s="4381"/>
      <c r="M49" s="4381"/>
      <c r="N49" s="4381"/>
      <c r="O49" s="4381"/>
      <c r="P49" s="1473">
        <f t="shared" si="2"/>
        <v>10</v>
      </c>
      <c r="Q49" s="1620"/>
      <c r="R49" s="1077" t="b">
        <f t="shared" si="0"/>
        <v>0</v>
      </c>
      <c r="S49" s="897"/>
      <c r="T49" s="897"/>
      <c r="U49" s="449">
        <f>IF(V50=0,0,1)</f>
        <v>0</v>
      </c>
      <c r="V49" s="1970"/>
      <c r="W49" s="1970"/>
      <c r="X49" s="1970"/>
      <c r="Y49" s="1970"/>
      <c r="Z49" s="1971"/>
      <c r="AA49" s="1972"/>
      <c r="AB49" s="1973"/>
      <c r="AD49" s="1970"/>
      <c r="AE49" s="1970"/>
      <c r="AF49" s="1970"/>
      <c r="AG49" s="1970"/>
      <c r="AH49" s="1971"/>
      <c r="AI49" s="1972"/>
      <c r="AJ49" s="1973"/>
      <c r="AK49" s="402"/>
      <c r="AL49" s="396"/>
      <c r="AM49" s="3087"/>
      <c r="AN49" s="3088"/>
    </row>
    <row r="50" spans="1:40" ht="12" customHeight="1" x14ac:dyDescent="0.2">
      <c r="A50" s="396"/>
      <c r="B50" s="1078" t="b">
        <f t="shared" si="3"/>
        <v>0</v>
      </c>
      <c r="C50" s="442" t="s">
        <v>1607</v>
      </c>
      <c r="D50" s="4382" t="s">
        <v>1656</v>
      </c>
      <c r="E50" s="4382"/>
      <c r="F50" s="4382"/>
      <c r="G50" s="4382"/>
      <c r="H50" s="1473">
        <f>IF(I50=0,20,"-")</f>
        <v>20</v>
      </c>
      <c r="I50" s="1620"/>
      <c r="K50" s="442" t="s">
        <v>1596</v>
      </c>
      <c r="L50" s="4382" t="s">
        <v>1657</v>
      </c>
      <c r="M50" s="4381"/>
      <c r="N50" s="4381"/>
      <c r="O50" s="4381"/>
      <c r="P50" s="1473">
        <f>IF(AND(Q50=0,NOT(Raza="D'Anjayni"),NOT(Nephilim="Nephilim D'Anjayni")),10,"-")</f>
        <v>10</v>
      </c>
      <c r="Q50" s="1620"/>
      <c r="R50" s="1077" t="b">
        <f>P50="-"</f>
        <v>0</v>
      </c>
      <c r="S50" s="897"/>
      <c r="T50" s="897"/>
      <c r="U50" s="449"/>
      <c r="V50" s="4361"/>
      <c r="W50" s="4362"/>
      <c r="X50" s="4362"/>
      <c r="Y50" s="4362"/>
      <c r="Z50" s="4362"/>
      <c r="AA50" s="4363"/>
      <c r="AB50" s="1975" t="s">
        <v>1500</v>
      </c>
      <c r="AD50" s="4361"/>
      <c r="AE50" s="4362"/>
      <c r="AF50" s="4362"/>
      <c r="AG50" s="4362"/>
      <c r="AH50" s="4362"/>
      <c r="AI50" s="4363"/>
      <c r="AJ50" s="1975" t="s">
        <v>1500</v>
      </c>
      <c r="AK50" s="402"/>
      <c r="AL50" s="396"/>
      <c r="AM50" s="3087"/>
      <c r="AN50" s="3088"/>
    </row>
    <row r="51" spans="1:40" ht="12" customHeight="1" x14ac:dyDescent="0.2">
      <c r="A51" s="396"/>
      <c r="B51" s="1078" t="b">
        <f t="shared" si="3"/>
        <v>0</v>
      </c>
      <c r="C51" s="4380" t="s">
        <v>1658</v>
      </c>
      <c r="D51" s="4382"/>
      <c r="E51" s="4382"/>
      <c r="F51" s="4382"/>
      <c r="G51" s="4382"/>
      <c r="H51" s="1473">
        <f>IF(I51=0,30,"-")</f>
        <v>30</v>
      </c>
      <c r="I51" s="1620"/>
      <c r="K51" s="442" t="s">
        <v>1630</v>
      </c>
      <c r="L51" s="445" t="s">
        <v>1596</v>
      </c>
      <c r="M51" s="4382" t="s">
        <v>1659</v>
      </c>
      <c r="N51" s="4382"/>
      <c r="O51" s="4382"/>
      <c r="P51" s="1473">
        <f t="shared" si="2"/>
        <v>10</v>
      </c>
      <c r="Q51" s="1620"/>
      <c r="R51" s="1077" t="b">
        <f t="shared" si="0"/>
        <v>0</v>
      </c>
      <c r="S51" s="897"/>
      <c r="T51" s="897"/>
      <c r="U51" s="449">
        <f>IF(V52=0,0,1)</f>
        <v>1</v>
      </c>
      <c r="V51" s="4364" t="str">
        <f>IF(V50="","",VLOOKUP(V50,'Tablas Técnicas'!$C$655:$H$854,6,FALSE))</f>
        <v/>
      </c>
      <c r="W51" s="4365"/>
      <c r="X51" s="4365"/>
      <c r="Y51" s="4365"/>
      <c r="Z51" s="1961" t="s">
        <v>1325</v>
      </c>
      <c r="AA51" s="1779" t="str">
        <f>IF(V50="","",VLOOKUP(V50,'Tablas Técnicas'!$C$655:$E$854,3,FALSE))</f>
        <v/>
      </c>
      <c r="AB51" s="1976">
        <f>IF(V50="",0,VLOOKUP(V50,'Tablas Técnicas'!$C$655:$K$854,5,FALSE))</f>
        <v>0</v>
      </c>
      <c r="AD51" s="4364" t="str">
        <f>IF(AD50="","",VLOOKUP(AD50,'Tablas Técnicas'!$C$655:$H$854,6,FALSE))</f>
        <v/>
      </c>
      <c r="AE51" s="4365"/>
      <c r="AF51" s="4365"/>
      <c r="AG51" s="4365"/>
      <c r="AH51" s="1961" t="s">
        <v>1325</v>
      </c>
      <c r="AI51" s="1779" t="str">
        <f>IF(AD50="","",VLOOKUP(AD50,'Tablas Técnicas'!$C$655:$E$854,3,FALSE))</f>
        <v/>
      </c>
      <c r="AJ51" s="1976">
        <f>IF(AD50="",0,VLOOKUP(AD50,'Tablas Técnicas'!$C$655:$K$854,5,FALSE))</f>
        <v>0</v>
      </c>
      <c r="AK51" s="402"/>
      <c r="AL51" s="396"/>
      <c r="AM51" s="3087"/>
      <c r="AN51" s="3088"/>
    </row>
    <row r="52" spans="1:40" ht="12" customHeight="1" x14ac:dyDescent="0.2">
      <c r="A52" s="396"/>
      <c r="B52" s="1078" t="b">
        <f t="shared" si="3"/>
        <v>0</v>
      </c>
      <c r="C52" s="442" t="s">
        <v>1607</v>
      </c>
      <c r="D52" s="4382" t="s">
        <v>1660</v>
      </c>
      <c r="E52" s="4382"/>
      <c r="F52" s="4382"/>
      <c r="G52" s="4382"/>
      <c r="H52" s="1473">
        <f>IF(I52=0,20,"-")</f>
        <v>20</v>
      </c>
      <c r="I52" s="1620"/>
      <c r="K52" s="442" t="s">
        <v>1630</v>
      </c>
      <c r="L52" s="445" t="s">
        <v>1607</v>
      </c>
      <c r="M52" s="4382" t="s">
        <v>1661</v>
      </c>
      <c r="N52" s="4382"/>
      <c r="O52" s="4382"/>
      <c r="P52" s="1473">
        <f t="shared" si="2"/>
        <v>10</v>
      </c>
      <c r="Q52" s="1620"/>
      <c r="R52" s="1077" t="b">
        <f t="shared" si="0"/>
        <v>0</v>
      </c>
      <c r="S52" s="897"/>
      <c r="T52" s="897"/>
      <c r="U52" s="449"/>
      <c r="V52" s="4366" t="str">
        <f>IFERROR(VLOOKUP(V50,'Tablas Técnicas'!$C$655:$I$854,7,FALSE),"")</f>
        <v/>
      </c>
      <c r="W52" s="4367"/>
      <c r="X52" s="4367"/>
      <c r="Y52" s="4367"/>
      <c r="Z52" s="4367"/>
      <c r="AA52" s="4367"/>
      <c r="AB52" s="4368"/>
      <c r="AD52" s="4366" t="str">
        <f>IFERROR(VLOOKUP(AD50,'Tablas Técnicas'!$C$655:$I$854,7,FALSE),"")</f>
        <v/>
      </c>
      <c r="AE52" s="4367"/>
      <c r="AF52" s="4367"/>
      <c r="AG52" s="4367"/>
      <c r="AH52" s="4367"/>
      <c r="AI52" s="4367"/>
      <c r="AJ52" s="4368"/>
      <c r="AK52" s="402"/>
      <c r="AL52" s="396"/>
      <c r="AM52" s="3087"/>
      <c r="AN52" s="3088"/>
    </row>
    <row r="53" spans="1:40" ht="12" customHeight="1" x14ac:dyDescent="0.2">
      <c r="A53" s="396"/>
      <c r="B53" s="1078" t="b">
        <f t="shared" si="3"/>
        <v>0</v>
      </c>
      <c r="C53" s="4380" t="s">
        <v>1662</v>
      </c>
      <c r="D53" s="4381"/>
      <c r="E53" s="4381"/>
      <c r="F53" s="4381"/>
      <c r="G53" s="4381"/>
      <c r="H53" s="1473">
        <f>IF(I53=0,30,"-")</f>
        <v>30</v>
      </c>
      <c r="I53" s="1620"/>
      <c r="K53" s="442" t="s">
        <v>1596</v>
      </c>
      <c r="L53" s="4382" t="s">
        <v>1663</v>
      </c>
      <c r="M53" s="4381"/>
      <c r="N53" s="4381"/>
      <c r="O53" s="4381"/>
      <c r="P53" s="1473">
        <f t="shared" si="2"/>
        <v>10</v>
      </c>
      <c r="Q53" s="1620"/>
      <c r="R53" s="1077" t="b">
        <f t="shared" si="0"/>
        <v>0</v>
      </c>
      <c r="S53" s="897"/>
      <c r="T53" s="897"/>
      <c r="U53" s="449">
        <f>IF(V54=0,0,1)</f>
        <v>0</v>
      </c>
      <c r="V53" s="4366"/>
      <c r="W53" s="4367"/>
      <c r="X53" s="4367"/>
      <c r="Y53" s="4367"/>
      <c r="Z53" s="4367"/>
      <c r="AA53" s="4367"/>
      <c r="AB53" s="4368"/>
      <c r="AD53" s="4366"/>
      <c r="AE53" s="4367"/>
      <c r="AF53" s="4367"/>
      <c r="AG53" s="4367"/>
      <c r="AH53" s="4367"/>
      <c r="AI53" s="4367"/>
      <c r="AJ53" s="4368"/>
      <c r="AK53" s="402"/>
      <c r="AL53" s="396"/>
      <c r="AM53" s="3087"/>
      <c r="AN53" s="3088"/>
    </row>
    <row r="54" spans="1:40" ht="12" customHeight="1" x14ac:dyDescent="0.2">
      <c r="A54" s="396"/>
      <c r="B54" s="1078" t="b">
        <f t="shared" si="3"/>
        <v>0</v>
      </c>
      <c r="C54" s="4380" t="s">
        <v>1664</v>
      </c>
      <c r="D54" s="4381"/>
      <c r="E54" s="4381"/>
      <c r="F54" s="4381"/>
      <c r="G54" s="4381"/>
      <c r="H54" s="1473">
        <f>IF(I54=0,30,"-")</f>
        <v>30</v>
      </c>
      <c r="I54" s="1620"/>
      <c r="J54" s="2670"/>
      <c r="K54" s="442" t="s">
        <v>1630</v>
      </c>
      <c r="L54" s="445" t="s">
        <v>1596</v>
      </c>
      <c r="M54" s="4382" t="s">
        <v>1665</v>
      </c>
      <c r="N54" s="4382"/>
      <c r="O54" s="4382"/>
      <c r="P54" s="1473">
        <f>IF(Q54=0,20,"-")</f>
        <v>20</v>
      </c>
      <c r="Q54" s="1620"/>
      <c r="R54" s="1077" t="b">
        <f t="shared" si="0"/>
        <v>0</v>
      </c>
      <c r="S54" s="897"/>
      <c r="T54" s="897"/>
      <c r="U54" s="449"/>
      <c r="V54" s="4366"/>
      <c r="W54" s="4367"/>
      <c r="X54" s="4367"/>
      <c r="Y54" s="4367"/>
      <c r="Z54" s="4367"/>
      <c r="AA54" s="4367"/>
      <c r="AB54" s="4368"/>
      <c r="AD54" s="4366"/>
      <c r="AE54" s="4367"/>
      <c r="AF54" s="4367"/>
      <c r="AG54" s="4367"/>
      <c r="AH54" s="4367"/>
      <c r="AI54" s="4367"/>
      <c r="AJ54" s="4368"/>
      <c r="AK54" s="402"/>
      <c r="AL54" s="396"/>
      <c r="AM54" s="3087"/>
      <c r="AN54" s="3088"/>
    </row>
    <row r="55" spans="1:40" ht="12" customHeight="1" x14ac:dyDescent="0.2">
      <c r="A55" s="396"/>
      <c r="B55" s="1078" t="b">
        <f t="shared" si="3"/>
        <v>0</v>
      </c>
      <c r="C55" s="442" t="s">
        <v>1596</v>
      </c>
      <c r="D55" s="4382" t="s">
        <v>1666</v>
      </c>
      <c r="E55" s="4381"/>
      <c r="F55" s="4381"/>
      <c r="G55" s="4381"/>
      <c r="H55" s="1473">
        <f>IF(I55=0,30,"-")</f>
        <v>30</v>
      </c>
      <c r="I55" s="1620"/>
      <c r="K55" s="442" t="s">
        <v>1630</v>
      </c>
      <c r="L55" s="445" t="s">
        <v>1596</v>
      </c>
      <c r="M55" s="4382" t="s">
        <v>1667</v>
      </c>
      <c r="N55" s="4382"/>
      <c r="O55" s="4382"/>
      <c r="P55" s="1473">
        <f>IF(Q55=0,20,"-")</f>
        <v>20</v>
      </c>
      <c r="Q55" s="1620"/>
      <c r="R55" s="1077" t="b">
        <f t="shared" si="0"/>
        <v>0</v>
      </c>
      <c r="S55" s="897"/>
      <c r="T55" s="897"/>
      <c r="U55" s="449">
        <f>IF(V56=0,0,1)</f>
        <v>0</v>
      </c>
      <c r="V55" s="4366" t="str">
        <f>IFERROR(IF(VLOOKUP(V50,'Tablas Técnicas'!$C$655:$J$854,8,FALSE)="","",VLOOKUP(V50,'Tablas Técnicas'!$C$655:$J$854,8,FALSE)),"")</f>
        <v/>
      </c>
      <c r="W55" s="4367"/>
      <c r="X55" s="4367"/>
      <c r="Y55" s="4367"/>
      <c r="Z55" s="4367"/>
      <c r="AA55" s="4367"/>
      <c r="AB55" s="4368"/>
      <c r="AD55" s="4366" t="str">
        <f>IFERROR(IF(VLOOKUP(AD50,'Tablas Técnicas'!$C$655:$J$854,8,FALSE)="","",VLOOKUP(AD50,'Tablas Técnicas'!$C$655:$J$854,8,FALSE)),"")</f>
        <v/>
      </c>
      <c r="AE55" s="4367"/>
      <c r="AF55" s="4367"/>
      <c r="AG55" s="4367"/>
      <c r="AH55" s="4367"/>
      <c r="AI55" s="4367"/>
      <c r="AJ55" s="4368"/>
      <c r="AK55" s="402"/>
      <c r="AL55" s="396"/>
      <c r="AM55" s="3087"/>
      <c r="AN55" s="3088"/>
    </row>
    <row r="56" spans="1:40" ht="12" customHeight="1" thickBot="1" x14ac:dyDescent="0.25">
      <c r="A56" s="396"/>
      <c r="B56" s="1078" t="b">
        <f t="shared" si="3"/>
        <v>0</v>
      </c>
      <c r="C56" s="4380" t="s">
        <v>1668</v>
      </c>
      <c r="D56" s="4381"/>
      <c r="E56" s="4381"/>
      <c r="F56" s="4381"/>
      <c r="G56" s="4381"/>
      <c r="H56" s="1473">
        <f>IF(I56=0,10,"-")</f>
        <v>10</v>
      </c>
      <c r="I56" s="1620"/>
      <c r="K56" s="442" t="s">
        <v>1630</v>
      </c>
      <c r="L56" s="445" t="s">
        <v>1607</v>
      </c>
      <c r="M56" s="4382" t="s">
        <v>1669</v>
      </c>
      <c r="N56" s="4382"/>
      <c r="O56" s="4382"/>
      <c r="P56" s="1473">
        <f>IF(Q56=0,20,"-")</f>
        <v>20</v>
      </c>
      <c r="Q56" s="1620"/>
      <c r="R56" s="1077" t="b">
        <f t="shared" si="0"/>
        <v>0</v>
      </c>
      <c r="S56" s="897"/>
      <c r="T56" s="897"/>
      <c r="U56" s="449"/>
      <c r="V56" s="4369"/>
      <c r="W56" s="4370"/>
      <c r="X56" s="4370"/>
      <c r="Y56" s="4370"/>
      <c r="Z56" s="4370"/>
      <c r="AA56" s="4370"/>
      <c r="AB56" s="4371"/>
      <c r="AD56" s="4369"/>
      <c r="AE56" s="4370"/>
      <c r="AF56" s="4370"/>
      <c r="AG56" s="4370"/>
      <c r="AH56" s="4370"/>
      <c r="AI56" s="4370"/>
      <c r="AJ56" s="4371"/>
      <c r="AK56" s="402"/>
      <c r="AL56" s="396"/>
      <c r="AM56" s="3087"/>
      <c r="AN56" s="3088"/>
    </row>
    <row r="57" spans="1:40" ht="12" customHeight="1" thickBot="1" x14ac:dyDescent="0.25">
      <c r="A57" s="396"/>
      <c r="B57" s="1078" t="b">
        <f t="shared" si="3"/>
        <v>0</v>
      </c>
      <c r="C57" s="442" t="s">
        <v>1596</v>
      </c>
      <c r="D57" s="4382" t="s">
        <v>1670</v>
      </c>
      <c r="E57" s="4381"/>
      <c r="F57" s="4381"/>
      <c r="G57" s="4381"/>
      <c r="H57" s="1473">
        <f>IF(I57=0,10,"-")</f>
        <v>10</v>
      </c>
      <c r="I57" s="1620"/>
      <c r="K57" s="442" t="s">
        <v>1596</v>
      </c>
      <c r="L57" s="4382" t="s">
        <v>1671</v>
      </c>
      <c r="M57" s="4381"/>
      <c r="N57" s="4381"/>
      <c r="O57" s="4381"/>
      <c r="P57" s="1473">
        <f>IF(Q57=0,20,"-")</f>
        <v>20</v>
      </c>
      <c r="Q57" s="1620"/>
      <c r="R57" s="1077" t="b">
        <f t="shared" si="0"/>
        <v>0</v>
      </c>
      <c r="S57" s="897"/>
      <c r="T57" s="897"/>
      <c r="U57" s="449">
        <f>IF(V58=0,0,1)</f>
        <v>0</v>
      </c>
      <c r="V57" s="1970"/>
      <c r="W57" s="1970"/>
      <c r="X57" s="1970"/>
      <c r="Y57" s="1970"/>
      <c r="Z57" s="1971"/>
      <c r="AA57" s="1972"/>
      <c r="AB57" s="1973"/>
      <c r="AD57" s="1970"/>
      <c r="AE57" s="1970"/>
      <c r="AF57" s="1970"/>
      <c r="AG57" s="1970"/>
      <c r="AH57" s="1971"/>
      <c r="AI57" s="1972"/>
      <c r="AJ57" s="1973"/>
      <c r="AK57" s="402"/>
      <c r="AL57" s="396"/>
      <c r="AM57" s="3087"/>
      <c r="AN57" s="3088"/>
    </row>
    <row r="58" spans="1:40" ht="12" customHeight="1" x14ac:dyDescent="0.2">
      <c r="A58" s="396"/>
      <c r="B58" s="1078" t="b">
        <f t="shared" si="3"/>
        <v>0</v>
      </c>
      <c r="C58" s="442" t="s">
        <v>1596</v>
      </c>
      <c r="D58" s="4382" t="s">
        <v>1672</v>
      </c>
      <c r="E58" s="4381"/>
      <c r="F58" s="4381"/>
      <c r="G58" s="4381"/>
      <c r="H58" s="1473">
        <f>IF(I58=0,20,"-")</f>
        <v>20</v>
      </c>
      <c r="I58" s="1620"/>
      <c r="K58" s="442" t="s">
        <v>1630</v>
      </c>
      <c r="L58" s="445" t="s">
        <v>1607</v>
      </c>
      <c r="M58" s="4382" t="s">
        <v>1673</v>
      </c>
      <c r="N58" s="4382"/>
      <c r="O58" s="4382"/>
      <c r="P58" s="1473">
        <f>IF(Q58=0,20,"-")</f>
        <v>20</v>
      </c>
      <c r="Q58" s="1620"/>
      <c r="R58" s="1077" t="b">
        <f t="shared" si="0"/>
        <v>0</v>
      </c>
      <c r="S58" s="897"/>
      <c r="T58" s="897"/>
      <c r="U58" s="449"/>
      <c r="V58" s="4361"/>
      <c r="W58" s="4362"/>
      <c r="X58" s="4362"/>
      <c r="Y58" s="4362"/>
      <c r="Z58" s="4362"/>
      <c r="AA58" s="4363"/>
      <c r="AB58" s="1975" t="s">
        <v>1500</v>
      </c>
      <c r="AD58" s="4361"/>
      <c r="AE58" s="4362"/>
      <c r="AF58" s="4362"/>
      <c r="AG58" s="4362"/>
      <c r="AH58" s="4362"/>
      <c r="AI58" s="4363"/>
      <c r="AJ58" s="1975" t="s">
        <v>1500</v>
      </c>
      <c r="AK58" s="402"/>
      <c r="AL58" s="396"/>
      <c r="AM58" s="3087"/>
      <c r="AN58" s="3088"/>
    </row>
    <row r="59" spans="1:40" ht="12" customHeight="1" x14ac:dyDescent="0.2">
      <c r="A59" s="396"/>
      <c r="B59" s="1078" t="b">
        <f t="shared" si="3"/>
        <v>0</v>
      </c>
      <c r="C59" s="442" t="s">
        <v>1607</v>
      </c>
      <c r="D59" s="4382" t="s">
        <v>1674</v>
      </c>
      <c r="E59" s="4381"/>
      <c r="F59" s="4381"/>
      <c r="G59" s="4381"/>
      <c r="H59" s="1473">
        <f>IF(I59=0,20,"-")</f>
        <v>20</v>
      </c>
      <c r="I59" s="1620"/>
      <c r="K59" s="442" t="s">
        <v>1630</v>
      </c>
      <c r="L59" s="445"/>
      <c r="M59" s="445" t="s">
        <v>1607</v>
      </c>
      <c r="N59" s="1474" t="s">
        <v>1675</v>
      </c>
      <c r="O59" s="1474"/>
      <c r="P59" s="1473">
        <f>IF(Q59=0,10,"-")</f>
        <v>10</v>
      </c>
      <c r="Q59" s="1620"/>
      <c r="R59" s="1077" t="b">
        <f t="shared" si="0"/>
        <v>0</v>
      </c>
      <c r="S59" s="897"/>
      <c r="T59" s="897"/>
      <c r="U59" s="449">
        <f>IF(V60=0,0,1)</f>
        <v>1</v>
      </c>
      <c r="V59" s="4364" t="str">
        <f>IF(V58="","",VLOOKUP(V58,'Tablas Técnicas'!$C$655:$H$854,6,FALSE))</f>
        <v/>
      </c>
      <c r="W59" s="4365"/>
      <c r="X59" s="4365"/>
      <c r="Y59" s="4365"/>
      <c r="Z59" s="1961" t="s">
        <v>1325</v>
      </c>
      <c r="AA59" s="1779" t="str">
        <f>IF(V58="","",VLOOKUP(V58,'Tablas Técnicas'!$C$655:$E$854,3,FALSE))</f>
        <v/>
      </c>
      <c r="AB59" s="1976">
        <f>IF(V58="",0,VLOOKUP(V58,'Tablas Técnicas'!$C$655:$K$854,5,FALSE))</f>
        <v>0</v>
      </c>
      <c r="AD59" s="4364" t="str">
        <f>IF(AD58="","",VLOOKUP(AD58,'Tablas Técnicas'!$C$655:$H$854,6,FALSE))</f>
        <v/>
      </c>
      <c r="AE59" s="4365"/>
      <c r="AF59" s="4365"/>
      <c r="AG59" s="4365"/>
      <c r="AH59" s="1961" t="s">
        <v>1325</v>
      </c>
      <c r="AI59" s="1779" t="str">
        <f>IF(AD58="","",VLOOKUP(AD58,'Tablas Técnicas'!$C$655:$E$854,3,FALSE))</f>
        <v/>
      </c>
      <c r="AJ59" s="1976">
        <f>IF(AD58="",0,VLOOKUP(AD58,'Tablas Técnicas'!$C$655:$K$854,5,FALSE))</f>
        <v>0</v>
      </c>
      <c r="AK59" s="402"/>
      <c r="AL59" s="396"/>
      <c r="AM59" s="3087"/>
      <c r="AN59" s="3088"/>
    </row>
    <row r="60" spans="1:40" ht="12" customHeight="1" x14ac:dyDescent="0.3">
      <c r="A60" s="396"/>
      <c r="B60" s="1078" t="b">
        <f t="shared" si="3"/>
        <v>0</v>
      </c>
      <c r="C60" s="452"/>
      <c r="D60" s="445" t="s">
        <v>1607</v>
      </c>
      <c r="E60" s="4382" t="s">
        <v>1676</v>
      </c>
      <c r="F60" s="4382"/>
      <c r="G60" s="4382"/>
      <c r="H60" s="1473">
        <f>IF(I60=0,40,"-")</f>
        <v>40</v>
      </c>
      <c r="I60" s="1620"/>
      <c r="K60" s="442" t="s">
        <v>1607</v>
      </c>
      <c r="L60" s="4382" t="s">
        <v>1677</v>
      </c>
      <c r="M60" s="4382"/>
      <c r="N60" s="4382"/>
      <c r="O60" s="4382"/>
      <c r="P60" s="1473">
        <f>IF(Q60=0,20,"-")</f>
        <v>20</v>
      </c>
      <c r="Q60" s="1620"/>
      <c r="R60" s="1077" t="b">
        <f t="shared" si="0"/>
        <v>0</v>
      </c>
      <c r="S60" s="897"/>
      <c r="T60" s="897"/>
      <c r="U60" s="449"/>
      <c r="V60" s="4366" t="str">
        <f>IFERROR(VLOOKUP(V58,'Tablas Técnicas'!$C$655:$I$854,7,FALSE),"")</f>
        <v/>
      </c>
      <c r="W60" s="4367"/>
      <c r="X60" s="4367"/>
      <c r="Y60" s="4367"/>
      <c r="Z60" s="4367"/>
      <c r="AA60" s="4367"/>
      <c r="AB60" s="4368"/>
      <c r="AD60" s="4366" t="str">
        <f>IFERROR(VLOOKUP(AD58,'Tablas Técnicas'!$C$655:$I$854,7,FALSE),"")</f>
        <v/>
      </c>
      <c r="AE60" s="4367"/>
      <c r="AF60" s="4367"/>
      <c r="AG60" s="4367"/>
      <c r="AH60" s="4367"/>
      <c r="AI60" s="4367"/>
      <c r="AJ60" s="4368"/>
      <c r="AK60" s="402"/>
      <c r="AL60" s="396"/>
      <c r="AM60" s="3087"/>
      <c r="AN60" s="3088"/>
    </row>
    <row r="61" spans="1:40" ht="12" customHeight="1" x14ac:dyDescent="0.2">
      <c r="A61" s="396"/>
      <c r="B61" s="1078" t="b">
        <f t="shared" si="3"/>
        <v>0</v>
      </c>
      <c r="C61" s="4380" t="s">
        <v>1678</v>
      </c>
      <c r="D61" s="4381"/>
      <c r="E61" s="4381"/>
      <c r="F61" s="4381"/>
      <c r="G61" s="4381"/>
      <c r="H61" s="1473">
        <f>IF(I61=0,30,"-")</f>
        <v>30</v>
      </c>
      <c r="I61" s="1620"/>
      <c r="K61" s="451"/>
      <c r="L61" s="445" t="s">
        <v>1607</v>
      </c>
      <c r="M61" s="4382" t="s">
        <v>1679</v>
      </c>
      <c r="N61" s="4382"/>
      <c r="O61" s="4382"/>
      <c r="P61" s="1473">
        <f>IF(Q61=0,20,"-")</f>
        <v>20</v>
      </c>
      <c r="Q61" s="1620"/>
      <c r="R61" s="1077" t="b">
        <f t="shared" si="0"/>
        <v>0</v>
      </c>
      <c r="S61" s="897"/>
      <c r="T61" s="897"/>
      <c r="U61" s="449">
        <f>IF(V62=0,0,1)</f>
        <v>0</v>
      </c>
      <c r="V61" s="4366"/>
      <c r="W61" s="4367"/>
      <c r="X61" s="4367"/>
      <c r="Y61" s="4367"/>
      <c r="Z61" s="4367"/>
      <c r="AA61" s="4367"/>
      <c r="AB61" s="4368"/>
      <c r="AD61" s="4366"/>
      <c r="AE61" s="4367"/>
      <c r="AF61" s="4367"/>
      <c r="AG61" s="4367"/>
      <c r="AH61" s="4367"/>
      <c r="AI61" s="4367"/>
      <c r="AJ61" s="4368"/>
      <c r="AK61" s="402"/>
      <c r="AL61" s="396"/>
      <c r="AM61" s="3087"/>
      <c r="AN61" s="3088"/>
    </row>
    <row r="62" spans="1:40" ht="12" customHeight="1" x14ac:dyDescent="0.2">
      <c r="A62" s="396"/>
      <c r="B62" s="1078" t="b">
        <f t="shared" si="3"/>
        <v>0</v>
      </c>
      <c r="C62" s="4380" t="s">
        <v>1680</v>
      </c>
      <c r="D62" s="4381"/>
      <c r="E62" s="4381"/>
      <c r="F62" s="4381"/>
      <c r="G62" s="4381"/>
      <c r="H62" s="1473">
        <f>IF(I62=0,10,"-")</f>
        <v>10</v>
      </c>
      <c r="I62" s="1620"/>
      <c r="K62" s="4380" t="s">
        <v>1681</v>
      </c>
      <c r="L62" s="4381"/>
      <c r="M62" s="4381"/>
      <c r="N62" s="4381"/>
      <c r="O62" s="4381"/>
      <c r="P62" s="1473">
        <f>IF(Q62=0,50,"-")</f>
        <v>50</v>
      </c>
      <c r="Q62" s="1620"/>
      <c r="R62" s="1077" t="b">
        <f t="shared" si="0"/>
        <v>0</v>
      </c>
      <c r="S62" s="897"/>
      <c r="T62" s="897"/>
      <c r="U62" s="449"/>
      <c r="V62" s="4366"/>
      <c r="W62" s="4367"/>
      <c r="X62" s="4367"/>
      <c r="Y62" s="4367"/>
      <c r="Z62" s="4367"/>
      <c r="AA62" s="4367"/>
      <c r="AB62" s="4368"/>
      <c r="AD62" s="4366"/>
      <c r="AE62" s="4367"/>
      <c r="AF62" s="4367"/>
      <c r="AG62" s="4367"/>
      <c r="AH62" s="4367"/>
      <c r="AI62" s="4367"/>
      <c r="AJ62" s="4368"/>
      <c r="AK62" s="402"/>
      <c r="AL62" s="396"/>
      <c r="AM62" s="3087"/>
      <c r="AN62" s="3088"/>
    </row>
    <row r="63" spans="1:40" ht="12" customHeight="1" x14ac:dyDescent="0.2">
      <c r="A63" s="396"/>
      <c r="B63" s="1088">
        <f>IF(COUNTIF(HabilidadesEsenciales_Adquiridas,"Inhumanidad")+COUNTIF(Principal!V30:AE35,"Inhumanidad")&gt;0,1,0)</f>
        <v>0</v>
      </c>
      <c r="C63" s="4380" t="s">
        <v>1682</v>
      </c>
      <c r="D63" s="4381"/>
      <c r="E63" s="4381"/>
      <c r="F63" s="4381"/>
      <c r="G63" s="4381"/>
      <c r="H63" s="1473">
        <f>IF(I63=0,20,"-")</f>
        <v>20</v>
      </c>
      <c r="I63" s="1620"/>
      <c r="K63" s="4380" t="s">
        <v>1682</v>
      </c>
      <c r="L63" s="4382"/>
      <c r="M63" s="4382"/>
      <c r="N63" s="4382"/>
      <c r="O63" s="4382"/>
      <c r="P63" s="1473">
        <f>IF(Q63=0,30,"-")</f>
        <v>30</v>
      </c>
      <c r="Q63" s="1620"/>
      <c r="R63" s="1077"/>
      <c r="S63" s="897"/>
      <c r="T63" s="897"/>
      <c r="U63" s="449">
        <f>IF(V64=0,0,1)</f>
        <v>0</v>
      </c>
      <c r="V63" s="4366" t="str">
        <f>IFERROR(IF(VLOOKUP(V58,'Tablas Técnicas'!$C$655:$J$854,8,FALSE)="","",VLOOKUP(V58,'Tablas Técnicas'!$C$655:$J$854,8,FALSE)),"")</f>
        <v/>
      </c>
      <c r="W63" s="4367"/>
      <c r="X63" s="4367"/>
      <c r="Y63" s="4367"/>
      <c r="Z63" s="4367"/>
      <c r="AA63" s="4367"/>
      <c r="AB63" s="4368"/>
      <c r="AD63" s="4366" t="str">
        <f>IFERROR(IF(VLOOKUP(AD58,'Tablas Técnicas'!$C$655:$J$854,8,FALSE)="","",VLOOKUP(AD58,'Tablas Técnicas'!$C$655:$J$854,8,FALSE)),"")</f>
        <v/>
      </c>
      <c r="AE63" s="4367"/>
      <c r="AF63" s="4367"/>
      <c r="AG63" s="4367"/>
      <c r="AH63" s="4367"/>
      <c r="AI63" s="4367"/>
      <c r="AJ63" s="4368"/>
      <c r="AK63" s="402"/>
      <c r="AL63" s="396"/>
      <c r="AM63" s="3087"/>
      <c r="AN63" s="3088"/>
    </row>
    <row r="64" spans="1:40" ht="12" customHeight="1" thickBot="1" x14ac:dyDescent="0.25">
      <c r="A64" s="396"/>
      <c r="B64" s="1088">
        <f>IF(COUNTIF(HabilidadesEsenciales_Adquiridas,"Zen")+COUNTIF(Principal!V30:AE35,"Zen")&gt;0,1,0)</f>
        <v>0</v>
      </c>
      <c r="C64" s="453" t="s">
        <v>1607</v>
      </c>
      <c r="D64" s="4378" t="s">
        <v>1683</v>
      </c>
      <c r="E64" s="4379"/>
      <c r="F64" s="4379"/>
      <c r="G64" s="4379"/>
      <c r="H64" s="1554">
        <f>IF(I64=0,40,"-")</f>
        <v>40</v>
      </c>
      <c r="I64" s="1621"/>
      <c r="K64" s="453" t="s">
        <v>1607</v>
      </c>
      <c r="L64" s="4378" t="s">
        <v>1683</v>
      </c>
      <c r="M64" s="4378"/>
      <c r="N64" s="4378"/>
      <c r="O64" s="4378"/>
      <c r="P64" s="1554">
        <f>IF(Q64=0,50,"-")</f>
        <v>50</v>
      </c>
      <c r="Q64" s="1621"/>
      <c r="R64" s="1077"/>
      <c r="S64" s="897"/>
      <c r="T64" s="897"/>
      <c r="U64" s="454"/>
      <c r="V64" s="4369"/>
      <c r="W64" s="4370"/>
      <c r="X64" s="4370"/>
      <c r="Y64" s="4370"/>
      <c r="Z64" s="4370"/>
      <c r="AA64" s="4370"/>
      <c r="AB64" s="4371"/>
      <c r="AD64" s="4369"/>
      <c r="AE64" s="4370"/>
      <c r="AF64" s="4370"/>
      <c r="AG64" s="4370"/>
      <c r="AH64" s="4370"/>
      <c r="AI64" s="4370"/>
      <c r="AJ64" s="4371"/>
      <c r="AK64" s="402"/>
      <c r="AL64" s="396"/>
      <c r="AM64" s="3087"/>
      <c r="AN64" s="3088"/>
    </row>
    <row r="65" spans="1:40" ht="12" customHeight="1" thickBot="1" x14ac:dyDescent="0.25">
      <c r="A65" s="396"/>
      <c r="B65" s="1088"/>
      <c r="C65" s="2174"/>
      <c r="D65" s="1024"/>
      <c r="E65" s="323"/>
      <c r="F65" s="323"/>
      <c r="G65" s="323"/>
      <c r="H65" s="2175"/>
      <c r="I65" s="2200"/>
      <c r="J65" s="323"/>
      <c r="K65" s="2174"/>
      <c r="L65" s="1024"/>
      <c r="M65" s="1024"/>
      <c r="N65" s="1024"/>
      <c r="O65" s="1024"/>
      <c r="P65" s="2175"/>
      <c r="Q65" s="2200"/>
      <c r="R65" s="1077"/>
      <c r="S65" s="897"/>
      <c r="T65" s="897"/>
      <c r="U65" s="454"/>
      <c r="V65" s="2173"/>
      <c r="W65" s="2173"/>
      <c r="X65" s="2173"/>
      <c r="Y65" s="2173"/>
      <c r="Z65" s="2173"/>
      <c r="AA65" s="2173"/>
      <c r="AB65" s="2173"/>
      <c r="AC65" s="323"/>
      <c r="AD65" s="2173"/>
      <c r="AE65" s="2173"/>
      <c r="AF65" s="2173"/>
      <c r="AG65" s="2173"/>
      <c r="AH65" s="2173"/>
      <c r="AI65" s="2173"/>
      <c r="AJ65" s="2173"/>
      <c r="AK65" s="402"/>
      <c r="AL65" s="396"/>
      <c r="AM65" s="3087"/>
      <c r="AN65" s="3088"/>
    </row>
    <row r="66" spans="1:40" ht="12" customHeight="1" thickBot="1" x14ac:dyDescent="0.25">
      <c r="A66" s="396"/>
      <c r="B66" s="1088"/>
      <c r="C66" s="3307" t="s">
        <v>9609</v>
      </c>
      <c r="D66" s="3308"/>
      <c r="E66" s="3308"/>
      <c r="F66" s="3308"/>
      <c r="G66" s="3308"/>
      <c r="H66" s="3308"/>
      <c r="I66" s="3308"/>
      <c r="J66" s="3308"/>
      <c r="K66" s="3308"/>
      <c r="L66" s="3308"/>
      <c r="M66" s="3308"/>
      <c r="N66" s="3308"/>
      <c r="O66" s="3308"/>
      <c r="P66" s="3308"/>
      <c r="Q66" s="3309"/>
      <c r="R66" s="1077"/>
      <c r="S66" s="897"/>
      <c r="T66" s="897"/>
      <c r="U66" s="454"/>
      <c r="V66" s="4361"/>
      <c r="W66" s="4362"/>
      <c r="X66" s="4362"/>
      <c r="Y66" s="4362"/>
      <c r="Z66" s="4362"/>
      <c r="AA66" s="4363"/>
      <c r="AB66" s="1975" t="s">
        <v>1500</v>
      </c>
      <c r="AC66" s="323"/>
      <c r="AD66" s="4361"/>
      <c r="AE66" s="4362"/>
      <c r="AF66" s="4362"/>
      <c r="AG66" s="4362"/>
      <c r="AH66" s="4362"/>
      <c r="AI66" s="4363"/>
      <c r="AJ66" s="1975" t="s">
        <v>1500</v>
      </c>
      <c r="AK66" s="402"/>
      <c r="AL66" s="396"/>
      <c r="AM66" s="3087"/>
      <c r="AN66" s="3088"/>
    </row>
    <row r="67" spans="1:40" ht="12" customHeight="1" x14ac:dyDescent="0.2">
      <c r="A67" s="396"/>
      <c r="B67" s="1088"/>
      <c r="C67" s="4372"/>
      <c r="D67" s="4373"/>
      <c r="E67" s="4373"/>
      <c r="F67" s="4373"/>
      <c r="G67" s="4373"/>
      <c r="H67" s="4373"/>
      <c r="I67" s="4373"/>
      <c r="J67" s="4373"/>
      <c r="K67" s="4373"/>
      <c r="L67" s="4373"/>
      <c r="M67" s="4373"/>
      <c r="N67" s="4373"/>
      <c r="O67" s="4373"/>
      <c r="P67" s="4373"/>
      <c r="Q67" s="4374"/>
      <c r="R67" s="1077"/>
      <c r="S67" s="897"/>
      <c r="T67" s="897"/>
      <c r="U67" s="454"/>
      <c r="V67" s="4364" t="str">
        <f>IF(V66="","",VLOOKUP(V66,'Tablas Técnicas'!$C$655:$H$854,6,FALSE))</f>
        <v/>
      </c>
      <c r="W67" s="4365"/>
      <c r="X67" s="4365"/>
      <c r="Y67" s="4365"/>
      <c r="Z67" s="1961" t="s">
        <v>1325</v>
      </c>
      <c r="AA67" s="1779" t="str">
        <f>IF(V66="","",VLOOKUP(V66,'Tablas Técnicas'!$C$655:$E$854,3,FALSE))</f>
        <v/>
      </c>
      <c r="AB67" s="1976">
        <f>IF(V66="",0,VLOOKUP(V66,'Tablas Técnicas'!$C$655:$K$854,5,FALSE))</f>
        <v>0</v>
      </c>
      <c r="AC67" s="323"/>
      <c r="AD67" s="4364" t="str">
        <f>IF(AD66="","",VLOOKUP(AD66,'Tablas Técnicas'!$C$655:$H$854,6,FALSE))</f>
        <v/>
      </c>
      <c r="AE67" s="4365"/>
      <c r="AF67" s="4365"/>
      <c r="AG67" s="4365"/>
      <c r="AH67" s="1961" t="s">
        <v>1325</v>
      </c>
      <c r="AI67" s="1779" t="str">
        <f>IF(AD66="","",VLOOKUP(AD66,'Tablas Técnicas'!$C$655:$E$854,3,FALSE))</f>
        <v/>
      </c>
      <c r="AJ67" s="1976">
        <f>IF(AD66="",0,VLOOKUP(AD66,'Tablas Técnicas'!$C$655:$K$854,5,FALSE))</f>
        <v>0</v>
      </c>
      <c r="AK67" s="402"/>
      <c r="AL67" s="396"/>
      <c r="AM67" s="3087"/>
      <c r="AN67" s="3088"/>
    </row>
    <row r="68" spans="1:40" ht="12" customHeight="1" x14ac:dyDescent="0.2">
      <c r="A68" s="396"/>
      <c r="B68" s="1088"/>
      <c r="C68" s="4372"/>
      <c r="D68" s="4373"/>
      <c r="E68" s="4373"/>
      <c r="F68" s="4373"/>
      <c r="G68" s="4373"/>
      <c r="H68" s="4373"/>
      <c r="I68" s="4373"/>
      <c r="J68" s="4373"/>
      <c r="K68" s="4373"/>
      <c r="L68" s="4373"/>
      <c r="M68" s="4373"/>
      <c r="N68" s="4373"/>
      <c r="O68" s="4373"/>
      <c r="P68" s="4373"/>
      <c r="Q68" s="4374"/>
      <c r="R68" s="1077"/>
      <c r="S68" s="897"/>
      <c r="T68" s="897"/>
      <c r="U68" s="454"/>
      <c r="V68" s="4366" t="str">
        <f>IFERROR(VLOOKUP(V66,'Tablas Técnicas'!$C$655:$I$854,7,FALSE),"")</f>
        <v/>
      </c>
      <c r="W68" s="4367"/>
      <c r="X68" s="4367"/>
      <c r="Y68" s="4367"/>
      <c r="Z68" s="4367"/>
      <c r="AA68" s="4367"/>
      <c r="AB68" s="4368"/>
      <c r="AC68" s="323"/>
      <c r="AD68" s="4366" t="str">
        <f>IFERROR(VLOOKUP(AD66,'Tablas Técnicas'!$C$655:$I$854,7,FALSE),"")</f>
        <v/>
      </c>
      <c r="AE68" s="4367"/>
      <c r="AF68" s="4367"/>
      <c r="AG68" s="4367"/>
      <c r="AH68" s="4367"/>
      <c r="AI68" s="4367"/>
      <c r="AJ68" s="4368"/>
      <c r="AK68" s="402"/>
      <c r="AL68" s="396"/>
      <c r="AM68" s="3087"/>
      <c r="AN68" s="3088"/>
    </row>
    <row r="69" spans="1:40" ht="12" customHeight="1" x14ac:dyDescent="0.2">
      <c r="A69" s="396"/>
      <c r="B69" s="1088"/>
      <c r="C69" s="4372"/>
      <c r="D69" s="4373"/>
      <c r="E69" s="4373"/>
      <c r="F69" s="4373"/>
      <c r="G69" s="4373"/>
      <c r="H69" s="4373"/>
      <c r="I69" s="4373"/>
      <c r="J69" s="4373"/>
      <c r="K69" s="4373"/>
      <c r="L69" s="4373"/>
      <c r="M69" s="4373"/>
      <c r="N69" s="4373"/>
      <c r="O69" s="4373"/>
      <c r="P69" s="4373"/>
      <c r="Q69" s="4374"/>
      <c r="R69" s="1077"/>
      <c r="S69" s="897"/>
      <c r="T69" s="897"/>
      <c r="U69" s="454"/>
      <c r="V69" s="4366"/>
      <c r="W69" s="4367"/>
      <c r="X69" s="4367"/>
      <c r="Y69" s="4367"/>
      <c r="Z69" s="4367"/>
      <c r="AA69" s="4367"/>
      <c r="AB69" s="4368"/>
      <c r="AC69" s="323"/>
      <c r="AD69" s="4366"/>
      <c r="AE69" s="4367"/>
      <c r="AF69" s="4367"/>
      <c r="AG69" s="4367"/>
      <c r="AH69" s="4367"/>
      <c r="AI69" s="4367"/>
      <c r="AJ69" s="4368"/>
      <c r="AK69" s="402"/>
      <c r="AL69" s="396"/>
      <c r="AM69" s="3087"/>
      <c r="AN69" s="3088"/>
    </row>
    <row r="70" spans="1:40" ht="12" customHeight="1" x14ac:dyDescent="0.2">
      <c r="A70" s="396"/>
      <c r="B70" s="1088"/>
      <c r="C70" s="4372"/>
      <c r="D70" s="4373"/>
      <c r="E70" s="4373"/>
      <c r="F70" s="4373"/>
      <c r="G70" s="4373"/>
      <c r="H70" s="4373"/>
      <c r="I70" s="4373"/>
      <c r="J70" s="4373"/>
      <c r="K70" s="4373"/>
      <c r="L70" s="4373"/>
      <c r="M70" s="4373"/>
      <c r="N70" s="4373"/>
      <c r="O70" s="4373"/>
      <c r="P70" s="4373"/>
      <c r="Q70" s="4374"/>
      <c r="R70" s="1077"/>
      <c r="S70" s="897"/>
      <c r="T70" s="897"/>
      <c r="U70" s="454"/>
      <c r="V70" s="4366"/>
      <c r="W70" s="4367"/>
      <c r="X70" s="4367"/>
      <c r="Y70" s="4367"/>
      <c r="Z70" s="4367"/>
      <c r="AA70" s="4367"/>
      <c r="AB70" s="4368"/>
      <c r="AC70" s="323"/>
      <c r="AD70" s="4366"/>
      <c r="AE70" s="4367"/>
      <c r="AF70" s="4367"/>
      <c r="AG70" s="4367"/>
      <c r="AH70" s="4367"/>
      <c r="AI70" s="4367"/>
      <c r="AJ70" s="4368"/>
      <c r="AK70" s="402"/>
      <c r="AL70" s="396"/>
      <c r="AM70" s="3087"/>
      <c r="AN70" s="3088"/>
    </row>
    <row r="71" spans="1:40" ht="12" customHeight="1" x14ac:dyDescent="0.2">
      <c r="A71" s="396"/>
      <c r="B71" s="1088"/>
      <c r="C71" s="4372"/>
      <c r="D71" s="4373"/>
      <c r="E71" s="4373"/>
      <c r="F71" s="4373"/>
      <c r="G71" s="4373"/>
      <c r="H71" s="4373"/>
      <c r="I71" s="4373"/>
      <c r="J71" s="4373"/>
      <c r="K71" s="4373"/>
      <c r="L71" s="4373"/>
      <c r="M71" s="4373"/>
      <c r="N71" s="4373"/>
      <c r="O71" s="4373"/>
      <c r="P71" s="4373"/>
      <c r="Q71" s="4374"/>
      <c r="R71" s="1077"/>
      <c r="S71" s="897"/>
      <c r="T71" s="897"/>
      <c r="U71" s="454"/>
      <c r="V71" s="4366" t="str">
        <f>IFERROR(IF(VLOOKUP(V66,'Tablas Técnicas'!$C$655:$J$854,8,FALSE)="","",VLOOKUP(V66,'Tablas Técnicas'!$C$655:$J$854,8,FALSE)),"")</f>
        <v/>
      </c>
      <c r="W71" s="4367"/>
      <c r="X71" s="4367"/>
      <c r="Y71" s="4367"/>
      <c r="Z71" s="4367"/>
      <c r="AA71" s="4367"/>
      <c r="AB71" s="4368"/>
      <c r="AC71" s="323"/>
      <c r="AD71" s="4366" t="str">
        <f>IFERROR(IF(VLOOKUP(AD66,'Tablas Técnicas'!$C$655:$J$854,8,FALSE)="","",VLOOKUP(AD66,'Tablas Técnicas'!$C$655:$J$854,8,FALSE)),"")</f>
        <v/>
      </c>
      <c r="AE71" s="4367"/>
      <c r="AF71" s="4367"/>
      <c r="AG71" s="4367"/>
      <c r="AH71" s="4367"/>
      <c r="AI71" s="4367"/>
      <c r="AJ71" s="4368"/>
      <c r="AK71" s="402"/>
      <c r="AL71" s="396"/>
      <c r="AM71" s="3087"/>
      <c r="AN71" s="3088"/>
    </row>
    <row r="72" spans="1:40" ht="12" customHeight="1" thickBot="1" x14ac:dyDescent="0.25">
      <c r="A72" s="396"/>
      <c r="B72" s="1088"/>
      <c r="C72" s="4375"/>
      <c r="D72" s="4376"/>
      <c r="E72" s="4376"/>
      <c r="F72" s="4376"/>
      <c r="G72" s="4376"/>
      <c r="H72" s="4376"/>
      <c r="I72" s="4376"/>
      <c r="J72" s="4376"/>
      <c r="K72" s="4376"/>
      <c r="L72" s="4376"/>
      <c r="M72" s="4376"/>
      <c r="N72" s="4376"/>
      <c r="O72" s="4376"/>
      <c r="P72" s="4376"/>
      <c r="Q72" s="4377"/>
      <c r="R72" s="1077"/>
      <c r="S72" s="897"/>
      <c r="T72" s="897"/>
      <c r="U72" s="454"/>
      <c r="V72" s="4369"/>
      <c r="W72" s="4370"/>
      <c r="X72" s="4370"/>
      <c r="Y72" s="4370"/>
      <c r="Z72" s="4370"/>
      <c r="AA72" s="4370"/>
      <c r="AB72" s="4371"/>
      <c r="AC72" s="323"/>
      <c r="AD72" s="4369"/>
      <c r="AE72" s="4370"/>
      <c r="AF72" s="4370"/>
      <c r="AG72" s="4370"/>
      <c r="AH72" s="4370"/>
      <c r="AI72" s="4370"/>
      <c r="AJ72" s="4371"/>
      <c r="AK72" s="402"/>
      <c r="AL72" s="396"/>
      <c r="AM72" s="3087"/>
      <c r="AN72" s="3088"/>
    </row>
    <row r="73" spans="1:40" ht="12" customHeight="1" thickBot="1" x14ac:dyDescent="0.25">
      <c r="A73" s="396"/>
      <c r="B73" s="1089"/>
      <c r="C73" s="424"/>
      <c r="D73" s="424"/>
      <c r="E73" s="424"/>
      <c r="F73" s="424"/>
      <c r="G73" s="424"/>
      <c r="H73" s="424"/>
      <c r="I73" s="424"/>
      <c r="J73" s="424"/>
      <c r="K73" s="424"/>
      <c r="L73" s="424"/>
      <c r="M73" s="424"/>
      <c r="N73" s="424"/>
      <c r="O73" s="424"/>
      <c r="P73" s="424"/>
      <c r="Q73" s="424"/>
      <c r="R73" s="1079"/>
      <c r="S73" s="897"/>
      <c r="T73" s="897"/>
      <c r="U73" s="280"/>
      <c r="V73" s="424"/>
      <c r="W73" s="424"/>
      <c r="X73" s="424"/>
      <c r="Y73" s="424"/>
      <c r="Z73" s="424"/>
      <c r="AA73" s="424"/>
      <c r="AB73" s="424"/>
      <c r="AC73" s="424"/>
      <c r="AD73" s="424"/>
      <c r="AE73" s="424"/>
      <c r="AF73" s="424"/>
      <c r="AG73" s="424"/>
      <c r="AH73" s="424"/>
      <c r="AI73" s="424"/>
      <c r="AJ73" s="424"/>
      <c r="AK73" s="425"/>
      <c r="AL73" s="396"/>
      <c r="AM73" s="3087"/>
      <c r="AN73" s="3088"/>
    </row>
    <row r="74" spans="1:40" ht="12" customHeight="1" x14ac:dyDescent="0.2">
      <c r="A74" s="396"/>
      <c r="B74" s="1085"/>
      <c r="C74" s="396"/>
      <c r="D74" s="396"/>
      <c r="E74" s="396"/>
      <c r="F74" s="396"/>
      <c r="G74" s="396"/>
      <c r="H74" s="396"/>
      <c r="I74" s="396"/>
      <c r="J74" s="396"/>
      <c r="K74" s="396"/>
      <c r="L74" s="396"/>
      <c r="M74" s="396"/>
      <c r="N74" s="396"/>
      <c r="O74" s="396"/>
      <c r="P74" s="396"/>
      <c r="Q74" s="396"/>
      <c r="R74" s="1074"/>
      <c r="S74" s="897"/>
      <c r="T74" s="897"/>
      <c r="U74" s="396"/>
      <c r="V74" s="396"/>
      <c r="W74" s="396"/>
      <c r="X74" s="396"/>
      <c r="Y74" s="396"/>
      <c r="Z74" s="396"/>
      <c r="AA74" s="396"/>
      <c r="AB74" s="396"/>
      <c r="AC74" s="396"/>
      <c r="AD74" s="396"/>
      <c r="AE74" s="396"/>
      <c r="AF74" s="396"/>
      <c r="AG74" s="396"/>
      <c r="AH74" s="396"/>
      <c r="AI74" s="396"/>
      <c r="AJ74" s="396"/>
      <c r="AK74" s="396"/>
      <c r="AL74" s="396"/>
      <c r="AM74" s="3087"/>
      <c r="AN74" s="3088"/>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96" priority="126" stopIfTrue="1">
      <formula>H28=0</formula>
    </cfRule>
  </conditionalFormatting>
  <conditionalFormatting sqref="Y11:Y20">
    <cfRule type="expression" dxfId="995" priority="125" stopIfTrue="1">
      <formula>X11=0</formula>
    </cfRule>
  </conditionalFormatting>
  <conditionalFormatting sqref="C56:G56">
    <cfRule type="expression" dxfId="994" priority="123" stopIfTrue="1">
      <formula>AND(NOT($H$43="-"),$H$56="-")</formula>
    </cfRule>
    <cfRule type="expression" dxfId="993" priority="124" stopIfTrue="1">
      <formula>$H$56="-"</formula>
    </cfRule>
  </conditionalFormatting>
  <conditionalFormatting sqref="D57:G57">
    <cfRule type="expression" dxfId="992" priority="122" stopIfTrue="1">
      <formula>AND(NOT($H$56="-"),$H$57="-")</formula>
    </cfRule>
  </conditionalFormatting>
  <conditionalFormatting sqref="D58:G58">
    <cfRule type="expression" dxfId="991" priority="120" stopIfTrue="1">
      <formula>AND(NOT($H$56="-"),$H$58="-")</formula>
    </cfRule>
    <cfRule type="expression" dxfId="990" priority="121" stopIfTrue="1">
      <formula>$H$58="-"</formula>
    </cfRule>
  </conditionalFormatting>
  <conditionalFormatting sqref="H28:I28">
    <cfRule type="expression" dxfId="989" priority="119" stopIfTrue="1">
      <formula>$G$28=0</formula>
    </cfRule>
  </conditionalFormatting>
  <conditionalFormatting sqref="K12:O12">
    <cfRule type="expression" dxfId="988" priority="118" stopIfTrue="1">
      <formula>AND(NOT($P$10="-"),$P$12="-")</formula>
    </cfRule>
  </conditionalFormatting>
  <conditionalFormatting sqref="L13:O13">
    <cfRule type="expression" dxfId="987" priority="116" stopIfTrue="1">
      <formula>AND(NOT($P$12="-"),$P$13="-")</formula>
    </cfRule>
    <cfRule type="expression" dxfId="986" priority="117" stopIfTrue="1">
      <formula>$P$13="-"</formula>
    </cfRule>
  </conditionalFormatting>
  <conditionalFormatting sqref="M14:O14">
    <cfRule type="expression" dxfId="985" priority="115" stopIfTrue="1">
      <formula>AND(NOT($P$13="-"),$P$14="-")</formula>
    </cfRule>
  </conditionalFormatting>
  <conditionalFormatting sqref="L15:O15">
    <cfRule type="expression" dxfId="984" priority="114" stopIfTrue="1">
      <formula>AND(NOT($P$12="-"),$P$15="-")</formula>
    </cfRule>
  </conditionalFormatting>
  <conditionalFormatting sqref="L16:O16">
    <cfRule type="expression" dxfId="983" priority="112" stopIfTrue="1">
      <formula>AND(NOT($P$12="-"),$P$16="-")</formula>
    </cfRule>
    <cfRule type="expression" dxfId="982" priority="113" stopIfTrue="1">
      <formula>$P$16="-"</formula>
    </cfRule>
  </conditionalFormatting>
  <conditionalFormatting sqref="M17:O17">
    <cfRule type="expression" dxfId="981" priority="111" stopIfTrue="1">
      <formula>AND(NOT($P$16="-"),$P$17="-")</formula>
    </cfRule>
  </conditionalFormatting>
  <conditionalFormatting sqref="N18:O18">
    <cfRule type="expression" dxfId="980" priority="110" stopIfTrue="1">
      <formula>AND(NOT($P$17="-"),$P$18="-")</formula>
    </cfRule>
  </conditionalFormatting>
  <conditionalFormatting sqref="M19:O19">
    <cfRule type="expression" dxfId="979" priority="109" stopIfTrue="1">
      <formula>AND(NOT($P$16="-"),$P$19="-")</formula>
    </cfRule>
  </conditionalFormatting>
  <conditionalFormatting sqref="N20:O20">
    <cfRule type="expression" dxfId="978" priority="108" stopIfTrue="1">
      <formula>AND(NOT($P$19="-"),$P$20="-")</formula>
    </cfRule>
  </conditionalFormatting>
  <conditionalFormatting sqref="N21:O21">
    <cfRule type="expression" dxfId="977" priority="107" stopIfTrue="1">
      <formula>AND(NOT($P$20="-"),$P$21="-")</formula>
    </cfRule>
  </conditionalFormatting>
  <conditionalFormatting sqref="N22:O22">
    <cfRule type="expression" dxfId="976" priority="106" stopIfTrue="1">
      <formula>AND(NOT($P$19="-"),$P$22="-")</formula>
    </cfRule>
  </conditionalFormatting>
  <conditionalFormatting sqref="N23:O23">
    <cfRule type="expression" dxfId="975" priority="105" stopIfTrue="1">
      <formula>AND(NOT($P$22="-"),$P$23="-")</formula>
    </cfRule>
  </conditionalFormatting>
  <conditionalFormatting sqref="M24:O24">
    <cfRule type="expression" dxfId="974" priority="104" stopIfTrue="1">
      <formula>AND(NOT($P$16="-"),$P$24="-")</formula>
    </cfRule>
  </conditionalFormatting>
  <conditionalFormatting sqref="L25:O25">
    <cfRule type="expression" dxfId="973" priority="103" stopIfTrue="1">
      <formula>AND(NOT($P$12="-"),$P$25="-")</formula>
    </cfRule>
  </conditionalFormatting>
  <conditionalFormatting sqref="L26:O26">
    <cfRule type="expression" dxfId="972" priority="102" stopIfTrue="1">
      <formula>AND(NOT($P$12="-"),$P$26="-")</formula>
    </cfRule>
  </conditionalFormatting>
  <conditionalFormatting sqref="K27:O27">
    <cfRule type="expression" dxfId="971" priority="101" stopIfTrue="1">
      <formula>AND(NOT($P$10="-"),$P$27="-")</formula>
    </cfRule>
  </conditionalFormatting>
  <conditionalFormatting sqref="L28:O28">
    <cfRule type="expression" dxfId="970" priority="100" stopIfTrue="1">
      <formula>AND(NOT($P$27="-"),$P$28="-")</formula>
    </cfRule>
  </conditionalFormatting>
  <conditionalFormatting sqref="M29:O29">
    <cfRule type="expression" dxfId="969" priority="99" stopIfTrue="1">
      <formula>AND(NOT($P$28="-"),$P$29="-")</formula>
    </cfRule>
  </conditionalFormatting>
  <conditionalFormatting sqref="N30:O30">
    <cfRule type="expression" dxfId="968" priority="98" stopIfTrue="1">
      <formula>AND(NOT($P$28="-"),$P$30="-")</formula>
    </cfRule>
  </conditionalFormatting>
  <conditionalFormatting sqref="M31:O31">
    <cfRule type="expression" dxfId="967" priority="26" stopIfTrue="1">
      <formula>AND(NOT($P$28="-"),$P$31="-")</formula>
    </cfRule>
    <cfRule type="expression" dxfId="966" priority="97">
      <formula>$P$31="-"</formula>
    </cfRule>
  </conditionalFormatting>
  <conditionalFormatting sqref="K32:O32">
    <cfRule type="expression" dxfId="965" priority="96" stopIfTrue="1">
      <formula>AND(NOT($P$10="-"),$P$32="-")</formula>
    </cfRule>
  </conditionalFormatting>
  <conditionalFormatting sqref="L33:O33">
    <cfRule type="expression" dxfId="964" priority="94" stopIfTrue="1">
      <formula>AND(NOT($P$32="-"),$P$33="-")</formula>
    </cfRule>
    <cfRule type="expression" dxfId="963" priority="95" stopIfTrue="1">
      <formula>$P$33="-"</formula>
    </cfRule>
  </conditionalFormatting>
  <conditionalFormatting sqref="M37:O37">
    <cfRule type="expression" dxfId="962" priority="25" stopIfTrue="1">
      <formula>AND(NOT($P$36="-"),$P$37="-")</formula>
    </cfRule>
    <cfRule type="expression" dxfId="961" priority="93">
      <formula>$P$37="-"</formula>
    </cfRule>
  </conditionalFormatting>
  <conditionalFormatting sqref="M38:O38">
    <cfRule type="expression" dxfId="960" priority="91" stopIfTrue="1">
      <formula>AND(NOT($P$36="-"),$P$38="-")</formula>
    </cfRule>
    <cfRule type="expression" dxfId="959" priority="92" stopIfTrue="1">
      <formula>$P$38="-"</formula>
    </cfRule>
  </conditionalFormatting>
  <conditionalFormatting sqref="M40:O40">
    <cfRule type="expression" dxfId="958" priority="89" stopIfTrue="1">
      <formula>AND(NOT($P$36="-"),$P$40="-")</formula>
    </cfRule>
    <cfRule type="expression" dxfId="957" priority="90" stopIfTrue="1">
      <formula>$P$40="-"</formula>
    </cfRule>
  </conditionalFormatting>
  <conditionalFormatting sqref="L41:O41">
    <cfRule type="expression" dxfId="956" priority="88" stopIfTrue="1">
      <formula>AND(NOT($P$32="-"),$P$41="-")</formula>
    </cfRule>
  </conditionalFormatting>
  <conditionalFormatting sqref="L42:O42">
    <cfRule type="expression" dxfId="955" priority="87" stopIfTrue="1">
      <formula>AND(NOT($P$32="-"),$P$42="-")</formula>
    </cfRule>
  </conditionalFormatting>
  <conditionalFormatting sqref="L43:O43">
    <cfRule type="expression" dxfId="954" priority="86" stopIfTrue="1">
      <formula>AND(NOT($P$32="-"),$P$43="-")</formula>
    </cfRule>
  </conditionalFormatting>
  <conditionalFormatting sqref="K44:O44">
    <cfRule type="expression" dxfId="953" priority="85" stopIfTrue="1">
      <formula>AND(NOT($P$10="-"),$P$44="-")</formula>
    </cfRule>
  </conditionalFormatting>
  <conditionalFormatting sqref="L45:O45">
    <cfRule type="expression" dxfId="952" priority="84" stopIfTrue="1">
      <formula>AND(NOT($P$44="-"),$P$45="-")</formula>
    </cfRule>
  </conditionalFormatting>
  <conditionalFormatting sqref="M46:O46">
    <cfRule type="expression" dxfId="951" priority="83" stopIfTrue="1">
      <formula>AND(NOT($P$45="-"),$P$46="-")</formula>
    </cfRule>
  </conditionalFormatting>
  <conditionalFormatting sqref="M47:O47">
    <cfRule type="expression" dxfId="950" priority="82" stopIfTrue="1">
      <formula>AND(NOT($P$45="-"),$P$47="-")</formula>
    </cfRule>
  </conditionalFormatting>
  <conditionalFormatting sqref="L48:O48">
    <cfRule type="expression" dxfId="949" priority="81" stopIfTrue="1">
      <formula>AND(NOT($P$44="-"),$P$48="-")</formula>
    </cfRule>
  </conditionalFormatting>
  <conditionalFormatting sqref="K49:O49">
    <cfRule type="expression" dxfId="948" priority="80" stopIfTrue="1">
      <formula>AND(NOT($P$10="-"),$P$49="-")</formula>
    </cfRule>
  </conditionalFormatting>
  <conditionalFormatting sqref="L50:O50">
    <cfRule type="expression" dxfId="947" priority="24" stopIfTrue="1">
      <formula>AND(NOT($P$49="-"),Raza&lt;&gt;"D'Anjayni",Nephilim&lt;&gt;"Nephilim D'Anjayni",$P$50="-")</formula>
    </cfRule>
    <cfRule type="expression" dxfId="946" priority="78">
      <formula>$P$50="-"</formula>
    </cfRule>
  </conditionalFormatting>
  <conditionalFormatting sqref="M51:O52">
    <cfRule type="expression" dxfId="945" priority="76" stopIfTrue="1">
      <formula>AND(NOT(OcultacióndelKi),$P51="-")</formula>
    </cfRule>
  </conditionalFormatting>
  <conditionalFormatting sqref="L53:O53">
    <cfRule type="expression" dxfId="944" priority="75" stopIfTrue="1">
      <formula>AND(NOT($P$49="-"),$P$53="-")</formula>
    </cfRule>
  </conditionalFormatting>
  <conditionalFormatting sqref="M54:O54">
    <cfRule type="expression" dxfId="943" priority="74" stopIfTrue="1">
      <formula>AND(NOT($P$53="-"),$P$54="-")</formula>
    </cfRule>
  </conditionalFormatting>
  <conditionalFormatting sqref="M55:O55">
    <cfRule type="expression" dxfId="942" priority="73" stopIfTrue="1">
      <formula>AND(NOT($P$53="-"),$P$55="-")</formula>
    </cfRule>
  </conditionalFormatting>
  <conditionalFormatting sqref="M56:O56">
    <cfRule type="expression" dxfId="941" priority="72" stopIfTrue="1">
      <formula>AND(NOT($P$53="-"),$P$56="-")</formula>
    </cfRule>
  </conditionalFormatting>
  <conditionalFormatting sqref="L57:O57">
    <cfRule type="expression" dxfId="940" priority="70" stopIfTrue="1">
      <formula>AND(NOT($P$49="-"),$P$57="-")</formula>
    </cfRule>
    <cfRule type="expression" dxfId="939" priority="71" stopIfTrue="1">
      <formula>$P$57="-"</formula>
    </cfRule>
  </conditionalFormatting>
  <conditionalFormatting sqref="M58:O58">
    <cfRule type="expression" dxfId="938" priority="69" stopIfTrue="1">
      <formula>AND(NOT($P$57="-"),$P$58="-")</formula>
    </cfRule>
  </conditionalFormatting>
  <conditionalFormatting sqref="N59:O59">
    <cfRule type="expression" dxfId="937" priority="68" stopIfTrue="1">
      <formula>AND(NOT($P$57="-"),$P$59="-")</formula>
    </cfRule>
  </conditionalFormatting>
  <conditionalFormatting sqref="L60:O60">
    <cfRule type="expression" dxfId="936" priority="67" stopIfTrue="1">
      <formula>AND(NOT($P$49="-"),$P$60="-")</formula>
    </cfRule>
  </conditionalFormatting>
  <conditionalFormatting sqref="M61:O61">
    <cfRule type="expression" dxfId="935" priority="66" stopIfTrue="1">
      <formula>AND(NOT($P$60="-"),$P$61="-")</formula>
    </cfRule>
  </conditionalFormatting>
  <conditionalFormatting sqref="K62:O62">
    <cfRule type="expression" dxfId="934" priority="65" stopIfTrue="1">
      <formula>AND(NOT($P$10="-"),$P$62="-")</formula>
    </cfRule>
  </conditionalFormatting>
  <conditionalFormatting sqref="C45:G45">
    <cfRule type="expression" dxfId="933" priority="64" stopIfTrue="1">
      <formula>AND(NOT($H$43="-"),$H$45="-")</formula>
    </cfRule>
  </conditionalFormatting>
  <conditionalFormatting sqref="D46:G46">
    <cfRule type="expression" dxfId="932" priority="63" stopIfTrue="1">
      <formula>AND(NOT($H$45="-"),$H$46="-")</formula>
    </cfRule>
  </conditionalFormatting>
  <conditionalFormatting sqref="C47:G47">
    <cfRule type="expression" dxfId="931" priority="62" stopIfTrue="1">
      <formula>AND(NOT($H$43="-"),$H$47="-")</formula>
    </cfRule>
  </conditionalFormatting>
  <conditionalFormatting sqref="D48:G48">
    <cfRule type="expression" dxfId="930" priority="61" stopIfTrue="1">
      <formula>AND(NOT($H$47="-"),$H$48="-")</formula>
    </cfRule>
  </conditionalFormatting>
  <conditionalFormatting sqref="C49:G49">
    <cfRule type="expression" dxfId="929" priority="60" stopIfTrue="1">
      <formula>AND(NOT($H$43="-"),$H$49="-")</formula>
    </cfRule>
  </conditionalFormatting>
  <conditionalFormatting sqref="D50:G50">
    <cfRule type="expression" dxfId="928" priority="59" stopIfTrue="1">
      <formula>AND(NOT($H$49="-"),$H$50="-")</formula>
    </cfRule>
  </conditionalFormatting>
  <conditionalFormatting sqref="C51:G51">
    <cfRule type="expression" dxfId="927" priority="58" stopIfTrue="1">
      <formula>AND(NOT($H$43="-"),$H$51="-")</formula>
    </cfRule>
  </conditionalFormatting>
  <conditionalFormatting sqref="D52:G52">
    <cfRule type="expression" dxfId="926" priority="57" stopIfTrue="1">
      <formula>AND(NOT($H$51="-"),$H$52="-")</formula>
    </cfRule>
  </conditionalFormatting>
  <conditionalFormatting sqref="C53:G53">
    <cfRule type="expression" dxfId="925" priority="56" stopIfTrue="1">
      <formula>AND(NOT($H$43="-"),$H$53="-")</formula>
    </cfRule>
  </conditionalFormatting>
  <conditionalFormatting sqref="C54:G54">
    <cfRule type="expression" dxfId="924" priority="55" stopIfTrue="1">
      <formula>AND(NOT($H$43="-"),$H$54="-")</formula>
    </cfRule>
  </conditionalFormatting>
  <conditionalFormatting sqref="D59:G59">
    <cfRule type="expression" dxfId="923" priority="54" stopIfTrue="1">
      <formula>AND(NOT($H$56="-"),$H$59="-")</formula>
    </cfRule>
  </conditionalFormatting>
  <conditionalFormatting sqref="E60:G60">
    <cfRule type="expression" dxfId="922" priority="53" stopIfTrue="1">
      <formula>AND(NOT($H$59="-"),$H$60="-")</formula>
    </cfRule>
  </conditionalFormatting>
  <conditionalFormatting sqref="I39">
    <cfRule type="cellIs" dxfId="921" priority="52" stopIfTrue="1" operator="lessThan">
      <formula>0</formula>
    </cfRule>
  </conditionalFormatting>
  <conditionalFormatting sqref="C61:G61">
    <cfRule type="expression" dxfId="920" priority="51" stopIfTrue="1">
      <formula>AND(NOT($H$43="-"),$H$61="-")</formula>
    </cfRule>
  </conditionalFormatting>
  <conditionalFormatting sqref="C62:G62">
    <cfRule type="expression" dxfId="919" priority="50" stopIfTrue="1">
      <formula>AND(NOT($H$43="-"),$H$62="-")</formula>
    </cfRule>
  </conditionalFormatting>
  <conditionalFormatting sqref="E29:F30">
    <cfRule type="cellIs" dxfId="918" priority="49" stopIfTrue="1" operator="greaterThan">
      <formula>$C$29</formula>
    </cfRule>
  </conditionalFormatting>
  <conditionalFormatting sqref="M34:O34">
    <cfRule type="expression" dxfId="917" priority="48" stopIfTrue="1">
      <formula>AND(NOT($P$33="-"),$P$34="-")</formula>
    </cfRule>
  </conditionalFormatting>
  <conditionalFormatting sqref="N35:O35">
    <cfRule type="expression" dxfId="916" priority="46" stopIfTrue="1">
      <formula>AND(NOT($P$34="-"),$P$35="-")</formula>
    </cfRule>
    <cfRule type="expression" dxfId="915" priority="47" stopIfTrue="1">
      <formula>$P$35="-"</formula>
    </cfRule>
  </conditionalFormatting>
  <conditionalFormatting sqref="L36:O36">
    <cfRule type="expression" dxfId="914" priority="44" stopIfTrue="1">
      <formula>AND(NOT($P$32="-"),$P$36="-")</formula>
    </cfRule>
    <cfRule type="expression" dxfId="913" priority="45" stopIfTrue="1">
      <formula>AND($P$36="-",$M$39="Alcance incrementado")</formula>
    </cfRule>
  </conditionalFormatting>
  <conditionalFormatting sqref="M39:O39">
    <cfRule type="expression" dxfId="912" priority="42" stopIfTrue="1">
      <formula>AND(NOT($P$36="-"),$P$39="-")</formula>
    </cfRule>
    <cfRule type="expression" dxfId="911" priority="43" stopIfTrue="1">
      <formula>AND($P$39="-",$M$39="Aura incrementada")</formula>
    </cfRule>
  </conditionalFormatting>
  <conditionalFormatting sqref="D55:G55">
    <cfRule type="expression" dxfId="910" priority="41" stopIfTrue="1">
      <formula>AND(OR(NOT($H$54="-"),NOT($H$56="-")),$H$55="-")</formula>
    </cfRule>
  </conditionalFormatting>
  <conditionalFormatting sqref="K63:O63">
    <cfRule type="expression" dxfId="909" priority="4844" stopIfTrue="1">
      <formula>AND(NOT($P$10="-"),$P$63="-",NOT($B$63=1))</formula>
    </cfRule>
    <cfRule type="expression" dxfId="908" priority="4845" stopIfTrue="1">
      <formula>$P$63="-"</formula>
    </cfRule>
  </conditionalFormatting>
  <conditionalFormatting sqref="L64:O65">
    <cfRule type="expression" dxfId="907" priority="4846" stopIfTrue="1">
      <formula>AND(NOT($P$63="-"),$P$64="-",NOT($B$64=1))</formula>
    </cfRule>
    <cfRule type="expression" dxfId="906" priority="4847" stopIfTrue="1">
      <formula>$P$64="-"</formula>
    </cfRule>
  </conditionalFormatting>
  <conditionalFormatting sqref="C63:G63">
    <cfRule type="expression" dxfId="905" priority="4848" stopIfTrue="1">
      <formula>AND(NOT($H$43="-"),$H$63="-",NOT($B$63=1))</formula>
    </cfRule>
    <cfRule type="expression" dxfId="904" priority="4849" stopIfTrue="1">
      <formula>$H$63="-"</formula>
    </cfRule>
  </conditionalFormatting>
  <conditionalFormatting sqref="D64:G65">
    <cfRule type="expression" dxfId="903" priority="4850" stopIfTrue="1">
      <formula>AND(NOT($H$63="-"),$H$64="-",NOT($B$64=1))</formula>
    </cfRule>
    <cfRule type="expression" dxfId="902" priority="4851" stopIfTrue="1">
      <formula>$H$64="-"</formula>
    </cfRule>
  </conditionalFormatting>
  <conditionalFormatting sqref="AI22:AJ22">
    <cfRule type="expression" dxfId="901" priority="32">
      <formula>$Q$37=60</formula>
    </cfRule>
  </conditionalFormatting>
  <conditionalFormatting sqref="AG22:AH22">
    <cfRule type="expression" dxfId="900" priority="31">
      <formula>$Q$37&gt;=50</formula>
    </cfRule>
  </conditionalFormatting>
  <conditionalFormatting sqref="AE22:AF22">
    <cfRule type="expression" dxfId="899" priority="30">
      <formula>$Q$37&gt;=40</formula>
    </cfRule>
  </conditionalFormatting>
  <conditionalFormatting sqref="AC22:AD22">
    <cfRule type="expression" dxfId="898" priority="29">
      <formula>$Q$37&gt;=30</formula>
    </cfRule>
  </conditionalFormatting>
  <conditionalFormatting sqref="AA22:AB22">
    <cfRule type="expression" dxfId="897" priority="28">
      <formula>$Q$37&gt;=20</formula>
    </cfRule>
  </conditionalFormatting>
  <conditionalFormatting sqref="Y22:Z22">
    <cfRule type="expression" dxfId="896" priority="27">
      <formula>$Q$37&gt;=10</formula>
    </cfRule>
  </conditionalFormatting>
  <conditionalFormatting sqref="V26">
    <cfRule type="expression" dxfId="895" priority="23">
      <formula>LEN(V26)&gt;50</formula>
    </cfRule>
  </conditionalFormatting>
  <conditionalFormatting sqref="AD26">
    <cfRule type="expression" dxfId="894" priority="11">
      <formula>LEN(AD26)&gt;50</formula>
    </cfRule>
  </conditionalFormatting>
  <conditionalFormatting sqref="V34">
    <cfRule type="expression" dxfId="893" priority="10">
      <formula>LEN(V34)&gt;50</formula>
    </cfRule>
  </conditionalFormatting>
  <conditionalFormatting sqref="V42">
    <cfRule type="expression" dxfId="892" priority="9">
      <formula>LEN(V42)&gt;50</formula>
    </cfRule>
  </conditionalFormatting>
  <conditionalFormatting sqref="AD34">
    <cfRule type="expression" dxfId="891" priority="8">
      <formula>LEN(AD34)&gt;50</formula>
    </cfRule>
  </conditionalFormatting>
  <conditionalFormatting sqref="AD42">
    <cfRule type="expression" dxfId="890" priority="7">
      <formula>LEN(AD42)&gt;50</formula>
    </cfRule>
  </conditionalFormatting>
  <conditionalFormatting sqref="AD50">
    <cfRule type="expression" dxfId="889" priority="6">
      <formula>LEN(AD50)&gt;50</formula>
    </cfRule>
  </conditionalFormatting>
  <conditionalFormatting sqref="V50">
    <cfRule type="expression" dxfId="888" priority="5">
      <formula>LEN(V50)&gt;50</formula>
    </cfRule>
  </conditionalFormatting>
  <conditionalFormatting sqref="V58">
    <cfRule type="expression" dxfId="887" priority="4">
      <formula>LEN(V58)&gt;50</formula>
    </cfRule>
  </conditionalFormatting>
  <conditionalFormatting sqref="V66">
    <cfRule type="expression" dxfId="886" priority="3">
      <formula>LEN(V66)&gt;50</formula>
    </cfRule>
  </conditionalFormatting>
  <conditionalFormatting sqref="AD58">
    <cfRule type="expression" dxfId="885" priority="2">
      <formula>LEN(AD58)&gt;50</formula>
    </cfRule>
  </conditionalFormatting>
  <conditionalFormatting sqref="AD66">
    <cfRule type="expression" dxfId="884"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25" customWidth="1"/>
    <col min="2" max="2" width="3" style="2101" customWidth="1"/>
    <col min="3" max="3" width="5.7109375" style="1925" customWidth="1"/>
    <col min="4" max="4" width="5.7109375" style="1927" customWidth="1"/>
    <col min="5" max="25" width="5.7109375" style="1925" customWidth="1"/>
    <col min="26" max="26" width="6" style="1925" bestFit="1" customWidth="1"/>
    <col min="27" max="33" width="5.7109375" style="1925" customWidth="1"/>
    <col min="34" max="34" width="3" style="2101" customWidth="1"/>
    <col min="35" max="35" width="2.7109375" style="1923" customWidth="1"/>
    <col min="36" max="42" width="5.7109375" style="1923" customWidth="1"/>
    <col min="43" max="43" width="5.7109375" style="1924" customWidth="1"/>
    <col min="44" max="49" width="5.7109375" style="1925" customWidth="1"/>
    <col min="50" max="50" width="5" style="1925" customWidth="1"/>
    <col min="51" max="51" width="5.7109375" style="1923" customWidth="1"/>
    <col min="52" max="16384" width="5.7109375" style="1925"/>
  </cols>
  <sheetData>
    <row r="1" spans="1:51" ht="12.2" customHeight="1" thickBot="1" x14ac:dyDescent="0.25">
      <c r="A1" s="1921"/>
      <c r="B1" s="2097"/>
      <c r="C1" s="1921"/>
      <c r="D1" s="1921"/>
      <c r="E1" s="1922"/>
      <c r="F1" s="1921"/>
      <c r="G1" s="1921"/>
      <c r="H1" s="1921"/>
      <c r="I1" s="1921"/>
      <c r="J1" s="1921"/>
      <c r="K1" s="1921"/>
      <c r="L1" s="1921"/>
      <c r="M1" s="1921"/>
      <c r="N1" s="1921"/>
      <c r="O1" s="1921"/>
      <c r="P1" s="1921"/>
      <c r="Q1" s="1921"/>
      <c r="R1" s="1921"/>
      <c r="S1" s="1921"/>
      <c r="T1" s="1921"/>
      <c r="U1" s="1921"/>
      <c r="V1" s="1921"/>
      <c r="W1" s="1921"/>
      <c r="X1" s="1921"/>
      <c r="Y1" s="1921"/>
      <c r="Z1" s="1921"/>
      <c r="AA1" s="1921"/>
      <c r="AB1" s="1921"/>
      <c r="AC1" s="1921"/>
      <c r="AD1" s="1921"/>
      <c r="AE1" s="1921"/>
      <c r="AF1" s="1921"/>
      <c r="AG1" s="1921"/>
      <c r="AH1" s="2097"/>
      <c r="AI1" s="1921"/>
      <c r="AJ1" s="3089" t="s">
        <v>8741</v>
      </c>
      <c r="AK1" s="3089"/>
      <c r="AL1" s="3089"/>
      <c r="AM1" s="3089"/>
      <c r="AN1" s="3089"/>
      <c r="AO1" s="3089"/>
      <c r="AP1" s="3089"/>
      <c r="AQ1" s="3089"/>
      <c r="AR1" s="3090"/>
      <c r="AS1" s="3090"/>
      <c r="AT1" s="3090"/>
      <c r="AU1" s="3091"/>
      <c r="AV1" s="3091"/>
      <c r="AW1" s="3091"/>
      <c r="AX1" s="3091"/>
      <c r="AY1" s="3089"/>
    </row>
    <row r="2" spans="1:51" ht="12.2" customHeight="1" thickBot="1" x14ac:dyDescent="0.25">
      <c r="A2" s="2185"/>
      <c r="B2" s="2098"/>
      <c r="C2" s="2039"/>
      <c r="D2" s="2039"/>
      <c r="E2" s="1926"/>
      <c r="F2" s="2039"/>
      <c r="G2" s="2039"/>
      <c r="H2" s="2039"/>
      <c r="I2" s="2039"/>
      <c r="J2" s="2039"/>
      <c r="K2" s="2039"/>
      <c r="L2" s="2039"/>
      <c r="M2" s="2039"/>
      <c r="N2" s="2039"/>
      <c r="O2" s="2039"/>
      <c r="P2" s="2039"/>
      <c r="Q2" s="2039"/>
      <c r="R2" s="2039"/>
      <c r="S2" s="2039"/>
      <c r="T2" s="2039"/>
      <c r="U2" s="2039"/>
      <c r="V2" s="2039"/>
      <c r="W2" s="2039"/>
      <c r="X2" s="2039"/>
      <c r="Y2" s="2039"/>
      <c r="Z2" s="2039"/>
      <c r="AA2" s="2039"/>
      <c r="AB2" s="2039"/>
      <c r="AC2" s="2039"/>
      <c r="AD2" s="2039"/>
      <c r="AE2" s="2039"/>
      <c r="AF2" s="2039"/>
      <c r="AG2" s="2039"/>
      <c r="AH2" s="2192"/>
      <c r="AI2" s="1921"/>
      <c r="AJ2" s="3092" t="s">
        <v>9304</v>
      </c>
      <c r="AK2" s="3089"/>
      <c r="AL2" s="3089"/>
      <c r="AM2" s="3089"/>
      <c r="AN2" s="3089"/>
      <c r="AO2" s="3089"/>
      <c r="AP2" s="3089"/>
      <c r="AQ2" s="3089"/>
      <c r="AR2" s="3090"/>
      <c r="AS2" s="3090"/>
      <c r="AT2" s="3090"/>
      <c r="AU2" s="3091"/>
      <c r="AV2" s="3091"/>
      <c r="AW2" s="3091"/>
      <c r="AX2" s="3091"/>
      <c r="AY2" s="3089"/>
    </row>
    <row r="3" spans="1:51" ht="12.2" customHeight="1" x14ac:dyDescent="0.2">
      <c r="A3" s="2185"/>
      <c r="B3" s="2099"/>
      <c r="C3" s="4522" t="s">
        <v>10165</v>
      </c>
      <c r="D3" s="4523"/>
      <c r="E3" s="4523"/>
      <c r="F3" s="4523"/>
      <c r="G3" s="4523"/>
      <c r="H3" s="4523"/>
      <c r="I3" s="2527"/>
      <c r="J3" s="2527"/>
      <c r="K3" s="2527"/>
      <c r="L3" s="2527"/>
      <c r="M3" s="2527"/>
      <c r="N3" s="2527"/>
      <c r="O3" s="2527"/>
      <c r="P3" s="2527"/>
      <c r="Q3" s="2527"/>
      <c r="R3" s="2527"/>
      <c r="S3" s="2527"/>
      <c r="T3" s="2527"/>
      <c r="U3" s="2527"/>
      <c r="V3" s="2527"/>
      <c r="W3" s="2527"/>
      <c r="X3" s="2527"/>
      <c r="Y3" s="2527"/>
      <c r="Z3" s="2527"/>
      <c r="AA3" s="2527"/>
      <c r="AB3" s="2527"/>
      <c r="AC3" s="2527"/>
      <c r="AD3" s="2658"/>
      <c r="AE3" s="4706"/>
      <c r="AF3" s="4706"/>
      <c r="AG3" s="4707"/>
      <c r="AH3" s="2193"/>
      <c r="AI3" s="1921"/>
      <c r="AJ3" s="3089" t="s">
        <v>1456</v>
      </c>
      <c r="AK3" s="3089"/>
      <c r="AL3" s="3089"/>
      <c r="AM3" s="3089"/>
      <c r="AN3" s="3089"/>
      <c r="AO3" s="3089"/>
      <c r="AP3" s="3089"/>
      <c r="AQ3" s="3089"/>
      <c r="AR3" s="3090"/>
      <c r="AS3" s="3090"/>
      <c r="AT3" s="3090"/>
      <c r="AU3" s="3091"/>
      <c r="AV3" s="3091"/>
      <c r="AW3" s="3091"/>
      <c r="AX3" s="3091"/>
      <c r="AY3" s="3089"/>
    </row>
    <row r="4" spans="1:51" ht="12.2" customHeight="1" x14ac:dyDescent="0.2">
      <c r="A4" s="2185"/>
      <c r="B4" s="2099"/>
      <c r="C4" s="4524"/>
      <c r="D4" s="4525"/>
      <c r="E4" s="4525"/>
      <c r="F4" s="4525"/>
      <c r="G4" s="4525"/>
      <c r="H4" s="4525"/>
      <c r="I4" s="2495"/>
      <c r="J4" s="3144" t="s">
        <v>1323</v>
      </c>
      <c r="K4" s="3144"/>
      <c r="L4" s="4712" t="str">
        <f>IF(OR(General!$F$22="",General!$F$22=0),"",General!$F$22)</f>
        <v/>
      </c>
      <c r="M4" s="4712"/>
      <c r="N4" s="4712"/>
      <c r="O4" s="4712"/>
      <c r="P4" s="4712"/>
      <c r="Q4" s="4712"/>
      <c r="R4" s="4713" t="s">
        <v>10095</v>
      </c>
      <c r="S4" s="4713"/>
      <c r="T4" s="4713"/>
      <c r="U4" s="4713"/>
      <c r="V4" s="2533"/>
      <c r="W4" s="2533"/>
      <c r="X4" s="4696" t="s">
        <v>9565</v>
      </c>
      <c r="Y4" s="4696"/>
      <c r="Z4" s="4696"/>
      <c r="AA4" s="4696"/>
      <c r="AB4" s="4696"/>
      <c r="AC4" s="4696"/>
      <c r="AD4" s="2533"/>
      <c r="AE4" s="4708"/>
      <c r="AF4" s="4708"/>
      <c r="AG4" s="4709"/>
      <c r="AH4" s="2193"/>
      <c r="AI4" s="1921"/>
      <c r="AJ4" s="3089" t="s">
        <v>5724</v>
      </c>
      <c r="AK4" s="3089"/>
      <c r="AL4" s="3089"/>
      <c r="AM4" s="3089"/>
      <c r="AN4" s="3089"/>
      <c r="AO4" s="3089"/>
      <c r="AP4" s="3089"/>
      <c r="AQ4" s="3090"/>
      <c r="AR4" s="3091"/>
      <c r="AS4" s="3091"/>
      <c r="AT4" s="3091"/>
      <c r="AU4" s="3091"/>
      <c r="AV4" s="3091"/>
      <c r="AW4" s="3091"/>
      <c r="AX4" s="3091"/>
      <c r="AY4" s="3089"/>
    </row>
    <row r="5" spans="1:51" ht="12.2" customHeight="1" x14ac:dyDescent="0.2">
      <c r="A5" s="2185"/>
      <c r="B5" s="2099"/>
      <c r="C5" s="4524"/>
      <c r="D5" s="4525"/>
      <c r="E5" s="4525"/>
      <c r="F5" s="4525"/>
      <c r="G5" s="4525"/>
      <c r="H5" s="4525"/>
      <c r="I5" s="2495"/>
      <c r="J5" s="4563" t="s">
        <v>1324</v>
      </c>
      <c r="K5" s="4563"/>
      <c r="L5" s="3140" t="str">
        <f>IF(LEN(PDs!$E$11)&lt;=General!$AO$5,PDs!$E$11,"… /"&amp;RIGHT(PDs!$E$11,General!$AO$5-FIND("/",RIGHT(PDs!$E$11,General!$AO$5))))</f>
        <v/>
      </c>
      <c r="M5" s="3140"/>
      <c r="N5" s="3140"/>
      <c r="O5" s="2534" t="s">
        <v>1325</v>
      </c>
      <c r="P5" s="2535" t="str">
        <f>Principal!$O$6</f>
        <v>0</v>
      </c>
      <c r="Q5" s="2536"/>
      <c r="R5" s="4565" t="str">
        <f>Ki!C12&amp;" "&amp;Ki!D12&amp;" "&amp;Ki!C14&amp;" "&amp;Ki!D14&amp;" "&amp;Ki!C16&amp;" "&amp;Ki!D16&amp;"
"&amp;Ki!C18&amp;" "&amp;Ki!D18&amp;" "&amp;Ki!C20&amp;" "&amp;Ki!D20&amp;" "&amp;Ki!C22&amp;" "&amp;Ki!D22</f>
        <v>AGI 0 CON 0 DES 0
FUE 0 POD 0 VOL 0</v>
      </c>
      <c r="S5" s="4565"/>
      <c r="T5" s="4565"/>
      <c r="U5" s="4565"/>
      <c r="V5" s="2533"/>
      <c r="W5" s="2533"/>
      <c r="X5" s="4699"/>
      <c r="Y5" s="4699"/>
      <c r="Z5" s="4699"/>
      <c r="AA5" s="4699"/>
      <c r="AB5" s="4699"/>
      <c r="AC5" s="4699"/>
      <c r="AD5" s="2536"/>
      <c r="AE5" s="4708"/>
      <c r="AF5" s="4708"/>
      <c r="AG5" s="4709"/>
      <c r="AH5" s="2193"/>
      <c r="AI5" s="1921"/>
      <c r="AJ5" s="3089" t="s">
        <v>8835</v>
      </c>
      <c r="AK5" s="3089"/>
      <c r="AL5" s="3089"/>
      <c r="AM5" s="3089"/>
      <c r="AN5" s="3089"/>
      <c r="AO5" s="3089"/>
      <c r="AP5" s="3089"/>
      <c r="AQ5" s="3090"/>
      <c r="AR5" s="3091"/>
      <c r="AS5" s="3091"/>
      <c r="AT5" s="3091"/>
      <c r="AU5" s="3091"/>
      <c r="AV5" s="3091"/>
      <c r="AW5" s="3091"/>
      <c r="AX5" s="3091"/>
      <c r="AY5" s="3089"/>
    </row>
    <row r="6" spans="1:51" ht="12.2" customHeight="1" x14ac:dyDescent="0.2">
      <c r="A6" s="2185"/>
      <c r="B6" s="2099"/>
      <c r="C6" s="4524"/>
      <c r="D6" s="4525"/>
      <c r="E6" s="4525"/>
      <c r="F6" s="4525"/>
      <c r="G6" s="4525"/>
      <c r="H6" s="4525"/>
      <c r="I6" s="2495"/>
      <c r="J6" s="4696" t="s">
        <v>3182</v>
      </c>
      <c r="K6" s="4697"/>
      <c r="L6" s="4697"/>
      <c r="M6" s="4697"/>
      <c r="N6" s="4697"/>
      <c r="O6" s="4697"/>
      <c r="P6" s="4697"/>
      <c r="Q6" s="2536"/>
      <c r="R6" s="4565"/>
      <c r="S6" s="4565"/>
      <c r="T6" s="4565"/>
      <c r="U6" s="4565"/>
      <c r="V6" s="2533"/>
      <c r="W6" s="4700"/>
      <c r="X6" s="4701"/>
      <c r="Y6" s="4701"/>
      <c r="Z6" s="4701"/>
      <c r="AA6" s="4701"/>
      <c r="AB6" s="4701"/>
      <c r="AC6" s="4701"/>
      <c r="AD6" s="4702"/>
      <c r="AE6" s="4708"/>
      <c r="AF6" s="4708"/>
      <c r="AG6" s="4709"/>
      <c r="AH6" s="2193"/>
      <c r="AI6" s="1921"/>
      <c r="AJ6" s="3089" t="s">
        <v>8838</v>
      </c>
      <c r="AK6" s="3089"/>
      <c r="AL6" s="3089"/>
      <c r="AM6" s="3089"/>
      <c r="AN6" s="3089"/>
      <c r="AO6" s="3089"/>
      <c r="AP6" s="3089"/>
      <c r="AQ6" s="3090"/>
      <c r="AR6" s="3091"/>
      <c r="AS6" s="3091"/>
      <c r="AT6" s="3091"/>
      <c r="AU6" s="3091"/>
      <c r="AV6" s="3091"/>
      <c r="AW6" s="3091"/>
      <c r="AX6" s="3091"/>
      <c r="AY6" s="3089"/>
    </row>
    <row r="7" spans="1:51" ht="12.2" customHeight="1" x14ac:dyDescent="0.2">
      <c r="A7" s="2185"/>
      <c r="B7" s="2099"/>
      <c r="C7" s="4524"/>
      <c r="D7" s="4525"/>
      <c r="E7" s="4525"/>
      <c r="F7" s="4525"/>
      <c r="G7" s="4525"/>
      <c r="H7" s="4525"/>
      <c r="I7" s="2495"/>
      <c r="J7" s="4697"/>
      <c r="K7" s="4697"/>
      <c r="L7" s="4697"/>
      <c r="M7" s="4697"/>
      <c r="N7" s="4697"/>
      <c r="O7" s="4697"/>
      <c r="P7" s="4697"/>
      <c r="Q7" s="2533"/>
      <c r="R7" s="4565"/>
      <c r="S7" s="4565"/>
      <c r="T7" s="4565"/>
      <c r="U7" s="4565"/>
      <c r="V7" s="2533"/>
      <c r="W7" s="4703"/>
      <c r="X7" s="4704"/>
      <c r="Y7" s="4704"/>
      <c r="Z7" s="4704"/>
      <c r="AA7" s="4704"/>
      <c r="AB7" s="4704"/>
      <c r="AC7" s="4704"/>
      <c r="AD7" s="4705"/>
      <c r="AE7" s="4708"/>
      <c r="AF7" s="4708"/>
      <c r="AG7" s="4709"/>
      <c r="AH7" s="2193"/>
      <c r="AI7" s="1921"/>
      <c r="AJ7" s="3093"/>
      <c r="AK7" s="3089"/>
      <c r="AL7" s="3089"/>
      <c r="AM7" s="3089"/>
      <c r="AN7" s="3089"/>
      <c r="AO7" s="3089"/>
      <c r="AP7" s="3089"/>
      <c r="AQ7" s="3090"/>
      <c r="AR7" s="3091"/>
      <c r="AS7" s="3091"/>
      <c r="AT7" s="3091"/>
      <c r="AU7" s="3091"/>
      <c r="AV7" s="3091"/>
      <c r="AW7" s="3091"/>
      <c r="AX7" s="3091"/>
      <c r="AY7" s="3089"/>
    </row>
    <row r="8" spans="1:51" ht="12.2" customHeight="1" thickBot="1" x14ac:dyDescent="0.25">
      <c r="A8" s="2185"/>
      <c r="B8" s="2099"/>
      <c r="C8" s="4526"/>
      <c r="D8" s="4527"/>
      <c r="E8" s="4527"/>
      <c r="F8" s="4527"/>
      <c r="G8" s="4527"/>
      <c r="H8" s="4527"/>
      <c r="I8" s="2528"/>
      <c r="J8" s="2528"/>
      <c r="K8" s="2528"/>
      <c r="L8" s="2528"/>
      <c r="M8" s="2528"/>
      <c r="N8" s="2528"/>
      <c r="O8" s="2528"/>
      <c r="P8" s="2528"/>
      <c r="Q8" s="2528"/>
      <c r="R8" s="2528"/>
      <c r="S8" s="2528"/>
      <c r="T8" s="2528"/>
      <c r="U8" s="2528"/>
      <c r="V8" s="2528"/>
      <c r="W8" s="2528"/>
      <c r="X8" s="2528"/>
      <c r="Y8" s="2528"/>
      <c r="Z8" s="2528"/>
      <c r="AA8" s="2528"/>
      <c r="AB8" s="2528"/>
      <c r="AC8" s="2528"/>
      <c r="AD8" s="2659"/>
      <c r="AE8" s="4710"/>
      <c r="AF8" s="4710"/>
      <c r="AG8" s="4711"/>
      <c r="AH8" s="2193"/>
      <c r="AI8" s="1921"/>
      <c r="AJ8" s="3092" t="s">
        <v>2802</v>
      </c>
      <c r="AK8" s="3089"/>
      <c r="AL8" s="3089"/>
      <c r="AM8" s="3089"/>
      <c r="AN8" s="3089"/>
      <c r="AO8" s="3089"/>
      <c r="AP8" s="3089"/>
      <c r="AQ8" s="3090"/>
      <c r="AR8" s="3091"/>
      <c r="AS8" s="3091"/>
      <c r="AT8" s="3091"/>
      <c r="AU8" s="3091"/>
      <c r="AV8" s="3091"/>
      <c r="AW8" s="3091"/>
      <c r="AX8" s="3091"/>
      <c r="AY8" s="3089"/>
    </row>
    <row r="9" spans="1:51" ht="12.2" customHeight="1" x14ac:dyDescent="0.2">
      <c r="A9" s="2185"/>
      <c r="B9" s="2099">
        <v>0</v>
      </c>
      <c r="C9" s="2540"/>
      <c r="D9" s="2540"/>
      <c r="E9" s="2559"/>
      <c r="F9" s="2540"/>
      <c r="G9" s="2540"/>
      <c r="H9" s="2540"/>
      <c r="I9" s="2540"/>
      <c r="J9" s="2540"/>
      <c r="K9" s="2540"/>
      <c r="L9" s="2540"/>
      <c r="M9" s="2540"/>
      <c r="N9" s="2540"/>
      <c r="O9" s="2540"/>
      <c r="P9" s="2540"/>
      <c r="Q9" s="2540"/>
      <c r="R9" s="2540"/>
      <c r="S9" s="2540"/>
      <c r="T9" s="2540"/>
      <c r="U9" s="2540"/>
      <c r="V9" s="2540"/>
      <c r="W9" s="2540"/>
      <c r="X9" s="2540"/>
      <c r="Y9" s="2540"/>
      <c r="Z9" s="2540"/>
      <c r="AA9" s="2540"/>
      <c r="AB9" s="2540"/>
      <c r="AC9" s="2540"/>
      <c r="AD9" s="2540"/>
      <c r="AE9" s="2540"/>
      <c r="AF9" s="2540"/>
      <c r="AG9" s="2540"/>
      <c r="AH9" s="2193"/>
      <c r="AI9" s="1921"/>
      <c r="AJ9" s="3089" t="s">
        <v>8806</v>
      </c>
      <c r="AK9" s="3089"/>
      <c r="AL9" s="3089"/>
      <c r="AM9" s="3089"/>
      <c r="AN9" s="3089"/>
      <c r="AO9" s="3089"/>
      <c r="AP9" s="3089"/>
      <c r="AQ9" s="3090"/>
      <c r="AR9" s="3091"/>
      <c r="AS9" s="3091"/>
      <c r="AT9" s="3091"/>
      <c r="AU9" s="3091"/>
      <c r="AV9" s="3091"/>
      <c r="AW9" s="3091"/>
      <c r="AX9" s="3091"/>
      <c r="AY9" s="3089"/>
    </row>
    <row r="10" spans="1:51" ht="12.2" customHeight="1" x14ac:dyDescent="0.2">
      <c r="A10" s="2185"/>
      <c r="B10" s="2099"/>
      <c r="C10" s="2560"/>
      <c r="D10" s="2560"/>
      <c r="E10" s="2560"/>
      <c r="F10" s="2560"/>
      <c r="G10" s="2543"/>
      <c r="H10" s="2560"/>
      <c r="I10" s="2560"/>
      <c r="J10" s="2560"/>
      <c r="K10" s="2560"/>
      <c r="L10" s="2560"/>
      <c r="M10" s="2560"/>
      <c r="N10" s="2560"/>
      <c r="O10" s="2560"/>
      <c r="P10" s="2560"/>
      <c r="Q10" s="2560"/>
      <c r="R10" s="2560"/>
      <c r="S10" s="2560"/>
      <c r="T10" s="2560"/>
      <c r="U10" s="2560"/>
      <c r="V10" s="2560"/>
      <c r="W10" s="2560"/>
      <c r="X10" s="2560"/>
      <c r="Y10" s="2560"/>
      <c r="Z10" s="2560"/>
      <c r="AA10" s="2560"/>
      <c r="AB10" s="2560"/>
      <c r="AC10" s="2560"/>
      <c r="AD10" s="2560"/>
      <c r="AE10" s="2560"/>
      <c r="AF10" s="2560"/>
      <c r="AG10" s="2560"/>
      <c r="AH10" s="2193"/>
      <c r="AI10" s="1921"/>
      <c r="AJ10" s="3089" t="s">
        <v>524</v>
      </c>
      <c r="AK10" s="3089"/>
      <c r="AL10" s="3089"/>
      <c r="AM10" s="3089"/>
      <c r="AN10" s="3089"/>
      <c r="AO10" s="3089"/>
      <c r="AP10" s="3089"/>
      <c r="AQ10" s="3089"/>
      <c r="AR10" s="3089"/>
      <c r="AS10" s="3089"/>
      <c r="AT10" s="3089"/>
      <c r="AU10" s="3089"/>
      <c r="AV10" s="3089"/>
      <c r="AW10" s="3091"/>
      <c r="AX10" s="3091"/>
      <c r="AY10" s="3089"/>
    </row>
    <row r="11" spans="1:51" ht="12.2" customHeight="1" thickBot="1" x14ac:dyDescent="0.25">
      <c r="A11" s="2185"/>
      <c r="B11" s="2099"/>
      <c r="C11" s="2034"/>
      <c r="D11" s="2034"/>
      <c r="E11" s="2034"/>
      <c r="F11" s="2034"/>
      <c r="G11" s="2034"/>
      <c r="H11" s="2034"/>
      <c r="I11" s="2034"/>
      <c r="J11" s="2034"/>
      <c r="K11" s="2034"/>
      <c r="L11" s="2034"/>
      <c r="M11" s="2034"/>
      <c r="N11" s="2034"/>
      <c r="O11" s="2034"/>
      <c r="P11" s="2034"/>
      <c r="Q11" s="2034"/>
      <c r="R11" s="2034"/>
      <c r="S11" s="2034"/>
      <c r="T11" s="2034"/>
      <c r="U11" s="2034"/>
      <c r="V11" s="2034"/>
      <c r="W11" s="2034"/>
      <c r="X11" s="2034"/>
      <c r="Y11" s="2034"/>
      <c r="Z11" s="2034"/>
      <c r="AA11" s="2034"/>
      <c r="AB11" s="2034"/>
      <c r="AC11" s="2034"/>
      <c r="AD11" s="2034"/>
      <c r="AE11" s="2034"/>
      <c r="AF11" s="2034"/>
      <c r="AG11" s="2034"/>
      <c r="AH11" s="2193"/>
      <c r="AI11" s="1921"/>
      <c r="AJ11" s="4536"/>
      <c r="AK11" s="4536"/>
      <c r="AL11" s="4536"/>
      <c r="AM11" s="4536"/>
      <c r="AN11" s="4536"/>
      <c r="AO11" s="4536"/>
      <c r="AP11" s="4536"/>
      <c r="AQ11" s="4536"/>
      <c r="AR11" s="4536"/>
      <c r="AS11" s="4536"/>
      <c r="AT11" s="4536"/>
      <c r="AU11" s="4536"/>
      <c r="AV11" s="4536"/>
      <c r="AW11" s="4536"/>
      <c r="AX11" s="4536"/>
      <c r="AY11" s="4536"/>
    </row>
    <row r="12" spans="1:51" ht="12.2" customHeight="1" x14ac:dyDescent="0.2">
      <c r="A12" s="2185"/>
      <c r="B12" s="2099">
        <v>1</v>
      </c>
      <c r="C12" s="4537" t="str">
        <f>"Técnica "&amp;B12</f>
        <v>Técnica 1</v>
      </c>
      <c r="D12" s="4636" t="s">
        <v>8716</v>
      </c>
      <c r="E12" s="4637"/>
      <c r="F12" s="4637"/>
      <c r="G12" s="4637"/>
      <c r="H12" s="4637"/>
      <c r="I12" s="4637"/>
      <c r="J12" s="4637"/>
      <c r="K12" s="4637"/>
      <c r="L12" s="4637"/>
      <c r="M12" s="4637"/>
      <c r="N12" s="4638"/>
      <c r="O12" s="4642" t="s">
        <v>1325</v>
      </c>
      <c r="P12" s="4644">
        <v>1</v>
      </c>
      <c r="Q12" s="4646" t="s">
        <v>8800</v>
      </c>
      <c r="R12" s="4647"/>
      <c r="S12" s="4650" t="s">
        <v>1381</v>
      </c>
      <c r="T12" s="4651" t="s">
        <v>1506</v>
      </c>
      <c r="U12" s="4653">
        <f>MAX(IF(P12=3,60,IF(P12=2,40,20)),MIN(SUM(N16:N23)-10*Y21+AC21+IF(S12="Sí",10*P12,0)+IF(COUNTIF(K16:M20,"Mantenido")&gt;0,P12*10)+MAX(IF(COUNTIF(K16:M20,"Sostenimiento Menor")&gt;0,P12*20)+IF(COUNTIF(K16:M20,"Sostenimiento Mayor")&gt;0,P12*30))))</f>
        <v>20</v>
      </c>
      <c r="V12" s="4646" t="s">
        <v>8801</v>
      </c>
      <c r="W12" s="4651"/>
      <c r="X12" s="4566" t="str">
        <f>IFERROR(LEFT(AK28&amp;AL28&amp;AM28&amp;AN28&amp;AO28&amp;AP28,LEN(AK28&amp;AL28&amp;AM28&amp;AN28&amp;AO28&amp;AP28)-2),"")</f>
        <v/>
      </c>
      <c r="Y12" s="4566"/>
      <c r="Z12" s="4566"/>
      <c r="AA12" s="4566"/>
      <c r="AB12" s="4566"/>
      <c r="AC12" s="4566"/>
      <c r="AD12" s="4566"/>
      <c r="AE12" s="4566"/>
      <c r="AF12" s="4566"/>
      <c r="AG12" s="4567"/>
      <c r="AH12" s="2193"/>
      <c r="AI12" s="4558"/>
      <c r="AJ12" s="3094" t="s">
        <v>9342</v>
      </c>
      <c r="AK12" s="3094"/>
      <c r="AL12" s="3094"/>
      <c r="AM12" s="3094"/>
      <c r="AN12" s="3094"/>
      <c r="AO12" s="3094"/>
      <c r="AP12" s="3094"/>
      <c r="AQ12" s="3094"/>
      <c r="AR12" s="3094"/>
      <c r="AS12" s="3089"/>
      <c r="AT12" s="3089"/>
      <c r="AU12" s="3089"/>
      <c r="AV12" s="3089"/>
      <c r="AW12" s="3091"/>
      <c r="AX12" s="3091"/>
      <c r="AY12" s="3089"/>
    </row>
    <row r="13" spans="1:51" ht="12.2" customHeight="1" x14ac:dyDescent="0.2">
      <c r="A13" s="2185"/>
      <c r="B13" s="2099">
        <v>1</v>
      </c>
      <c r="C13" s="4538"/>
      <c r="D13" s="4639"/>
      <c r="E13" s="4685"/>
      <c r="F13" s="4685"/>
      <c r="G13" s="4685"/>
      <c r="H13" s="4685"/>
      <c r="I13" s="4685"/>
      <c r="J13" s="4685"/>
      <c r="K13" s="4685"/>
      <c r="L13" s="4685"/>
      <c r="M13" s="4685"/>
      <c r="N13" s="4686"/>
      <c r="O13" s="4643"/>
      <c r="P13" s="4645"/>
      <c r="Q13" s="4648"/>
      <c r="R13" s="4649"/>
      <c r="S13" s="4645"/>
      <c r="T13" s="4687"/>
      <c r="U13" s="4688"/>
      <c r="V13" s="4648"/>
      <c r="W13" s="4687"/>
      <c r="X13" s="4693"/>
      <c r="Y13" s="4693"/>
      <c r="Z13" s="4693"/>
      <c r="AA13" s="4693"/>
      <c r="AB13" s="4693"/>
      <c r="AC13" s="4693"/>
      <c r="AD13" s="4693"/>
      <c r="AE13" s="4693"/>
      <c r="AF13" s="4693"/>
      <c r="AG13" s="4569"/>
      <c r="AH13" s="2193"/>
      <c r="AI13" s="4558"/>
      <c r="AJ13" s="3094"/>
      <c r="AK13" s="3094" t="s">
        <v>9343</v>
      </c>
      <c r="AL13" s="3094" t="s">
        <v>10464</v>
      </c>
      <c r="AM13" s="3095"/>
      <c r="AN13" s="3095"/>
      <c r="AO13" s="3095"/>
      <c r="AP13" s="3095"/>
      <c r="AQ13" s="3095"/>
      <c r="AR13" s="3094"/>
      <c r="AS13" s="3089"/>
      <c r="AT13" s="3089"/>
      <c r="AU13" s="3089"/>
      <c r="AV13" s="3089"/>
      <c r="AW13" s="3091"/>
      <c r="AX13" s="4536" t="s">
        <v>9312</v>
      </c>
      <c r="AY13" s="4536"/>
    </row>
    <row r="14" spans="1:51" ht="12.2" customHeight="1" x14ac:dyDescent="0.2">
      <c r="A14" s="2185"/>
      <c r="B14" s="2099">
        <v>1</v>
      </c>
      <c r="C14" s="4538"/>
      <c r="D14" s="4549" t="s">
        <v>2824</v>
      </c>
      <c r="E14" s="4550"/>
      <c r="F14" s="4550"/>
      <c r="G14" s="4550"/>
      <c r="H14" s="4550"/>
      <c r="I14" s="4550"/>
      <c r="J14" s="4550"/>
      <c r="K14" s="4633" t="s">
        <v>9636</v>
      </c>
      <c r="L14" s="4633"/>
      <c r="M14" s="4633"/>
      <c r="N14" s="4550" t="s">
        <v>1500</v>
      </c>
      <c r="O14" s="4633" t="s">
        <v>2822</v>
      </c>
      <c r="P14" s="4633" t="s">
        <v>8802</v>
      </c>
      <c r="Q14" s="4550" t="s">
        <v>1364</v>
      </c>
      <c r="R14" s="4550"/>
      <c r="S14" s="4550"/>
      <c r="T14" s="4550"/>
      <c r="U14" s="4550"/>
      <c r="V14" s="4613" t="s">
        <v>1373</v>
      </c>
      <c r="W14" s="4608"/>
      <c r="X14" s="4613" t="s">
        <v>1498</v>
      </c>
      <c r="Y14" s="4614"/>
      <c r="Z14" s="4608" t="s">
        <v>1378</v>
      </c>
      <c r="AA14" s="4608"/>
      <c r="AB14" s="4613" t="s">
        <v>1383</v>
      </c>
      <c r="AC14" s="4614"/>
      <c r="AD14" s="4608" t="s">
        <v>1391</v>
      </c>
      <c r="AE14" s="4608"/>
      <c r="AF14" s="4613" t="s">
        <v>1392</v>
      </c>
      <c r="AG14" s="4609"/>
      <c r="AH14" s="2193"/>
      <c r="AI14" s="4558"/>
      <c r="AJ14" s="3089"/>
      <c r="AK14" s="3089"/>
      <c r="AL14" s="3089" t="s">
        <v>9614</v>
      </c>
      <c r="AM14" s="3089"/>
      <c r="AN14" s="3089"/>
      <c r="AO14" s="3089"/>
      <c r="AP14" s="3089"/>
      <c r="AQ14" s="3089"/>
      <c r="AR14" s="3091"/>
      <c r="AS14" s="3091" t="s">
        <v>9332</v>
      </c>
      <c r="AT14" s="3091" t="s">
        <v>9333</v>
      </c>
      <c r="AU14" s="3089" t="s">
        <v>9321</v>
      </c>
      <c r="AV14" s="3089" t="s">
        <v>9322</v>
      </c>
      <c r="AW14" s="3091" t="s">
        <v>1500</v>
      </c>
      <c r="AX14" s="3091" t="s">
        <v>8804</v>
      </c>
      <c r="AY14" s="3089" t="s">
        <v>8805</v>
      </c>
    </row>
    <row r="15" spans="1:51" ht="12.2" customHeight="1" x14ac:dyDescent="0.2">
      <c r="A15" s="2185"/>
      <c r="B15" s="2099">
        <v>1</v>
      </c>
      <c r="C15" s="4538"/>
      <c r="D15" s="4691"/>
      <c r="E15" s="4692"/>
      <c r="F15" s="4692"/>
      <c r="G15" s="4692"/>
      <c r="H15" s="4692"/>
      <c r="I15" s="4692"/>
      <c r="J15" s="4692"/>
      <c r="K15" s="4689"/>
      <c r="L15" s="4689"/>
      <c r="M15" s="4689"/>
      <c r="N15" s="4679"/>
      <c r="O15" s="4689"/>
      <c r="P15" s="4690"/>
      <c r="Q15" s="4679"/>
      <c r="R15" s="4679"/>
      <c r="S15" s="4679"/>
      <c r="T15" s="4679"/>
      <c r="U15" s="4679"/>
      <c r="V15" s="2537" t="s">
        <v>9311</v>
      </c>
      <c r="W15" s="2538" t="s">
        <v>2828</v>
      </c>
      <c r="X15" s="2537" t="s">
        <v>9311</v>
      </c>
      <c r="Y15" s="2538" t="s">
        <v>2828</v>
      </c>
      <c r="Z15" s="2537" t="s">
        <v>9311</v>
      </c>
      <c r="AA15" s="2538" t="s">
        <v>2828</v>
      </c>
      <c r="AB15" s="2537" t="s">
        <v>9311</v>
      </c>
      <c r="AC15" s="2538" t="s">
        <v>2828</v>
      </c>
      <c r="AD15" s="2537" t="s">
        <v>9311</v>
      </c>
      <c r="AE15" s="2538" t="s">
        <v>2828</v>
      </c>
      <c r="AF15" s="2537" t="s">
        <v>9311</v>
      </c>
      <c r="AG15" s="2539" t="s">
        <v>2828</v>
      </c>
      <c r="AH15" s="2193"/>
      <c r="AI15" s="4558"/>
      <c r="AJ15" s="3089"/>
      <c r="AK15" s="3089" t="s">
        <v>9313</v>
      </c>
      <c r="AL15" s="3089">
        <v>1</v>
      </c>
      <c r="AM15" s="3089">
        <v>2</v>
      </c>
      <c r="AN15" s="3089">
        <v>3</v>
      </c>
      <c r="AO15" s="3089">
        <v>4</v>
      </c>
      <c r="AP15" s="3089">
        <v>5</v>
      </c>
      <c r="AQ15" s="3089">
        <v>6</v>
      </c>
      <c r="AR15" s="3089">
        <v>7</v>
      </c>
      <c r="AS15" s="3091"/>
      <c r="AT15" s="3089" t="s">
        <v>9344</v>
      </c>
      <c r="AU15" s="3091"/>
      <c r="AV15" s="3091"/>
      <c r="AW15" s="3091" t="s">
        <v>9344</v>
      </c>
      <c r="AX15" s="3091"/>
      <c r="AY15" s="3089"/>
    </row>
    <row r="16" spans="1:51" ht="12.2" customHeight="1" x14ac:dyDescent="0.2">
      <c r="A16" s="2185"/>
      <c r="B16" s="2099">
        <v>1</v>
      </c>
      <c r="C16" s="4538"/>
      <c r="D16" s="4624" t="s">
        <v>8806</v>
      </c>
      <c r="E16" s="4625"/>
      <c r="F16" s="4626"/>
      <c r="G16" s="4627"/>
      <c r="H16" s="4627"/>
      <c r="I16" s="4627"/>
      <c r="J16" s="4628"/>
      <c r="K16" s="4595" t="s">
        <v>1456</v>
      </c>
      <c r="L16" s="4596"/>
      <c r="M16" s="4597"/>
      <c r="N16" s="2531">
        <f>IF(AW16&gt;0,IF(VLOOKUP(F16,'Tablas Técnicas'!$O$9:$X$88,10,0),MAX(5,AW16-5),AW16),0)</f>
        <v>0</v>
      </c>
      <c r="O16" s="2531" t="str">
        <f>AS16&amp;" / "&amp;AT16</f>
        <v>0 / 0</v>
      </c>
      <c r="P16" s="2531" t="str">
        <f t="array" ref="P16">W16+Y16+AA16+AC16+AE16+AG16&amp;" / "&amp;IF(K16&lt;&gt;"Mantenido",0,SUM(IF($AL16:$AR16='Tablas Técnicas'!$L$10:$L$643,'Tablas Técnicas'!$H$10:$H$643,0)))</f>
        <v>0 / 0</v>
      </c>
      <c r="Q16" s="4632" t="str">
        <f>IFERROR(VLOOKUP(F16,'Tablas Técnicas'!$O$9:$T$88,5,FALSE),"")</f>
        <v/>
      </c>
      <c r="R16" s="4632"/>
      <c r="S16" s="4632"/>
      <c r="T16" s="4632"/>
      <c r="U16" s="4632"/>
      <c r="V16" s="2055"/>
      <c r="W16" s="2056"/>
      <c r="X16" s="2055"/>
      <c r="Y16" s="2057"/>
      <c r="Z16" s="2058"/>
      <c r="AA16" s="2056"/>
      <c r="AB16" s="2055"/>
      <c r="AC16" s="2057"/>
      <c r="AD16" s="2058"/>
      <c r="AE16" s="2056"/>
      <c r="AF16" s="2055"/>
      <c r="AG16" s="2059"/>
      <c r="AH16" s="2193"/>
      <c r="AI16" s="4558"/>
      <c r="AJ16" s="3089">
        <v>1</v>
      </c>
      <c r="AK16" s="3089">
        <f>P12</f>
        <v>1</v>
      </c>
      <c r="AL16" s="3089" t="str">
        <f>IF(AND(ISNUMBER(MATCH($F16,'Tablas Técnicas'!$L$10:$L$643,0)),INDEX($D29:$D35,Tablas!A$1)="",COUNTIF(AM16:$AS16,$F16)=0),$F16,IF(INDEX($D29:$D35,Tablas!A$1)="","",$F16&amp;INDEX($D29:$D35,Tablas!A$1)))</f>
        <v/>
      </c>
      <c r="AM16" s="3089" t="str">
        <f>IF(AND(ISNUMBER(MATCH($F16,'Tablas Técnicas'!$L$10:$L$643,0)),INDEX($D29:$D35,Tablas!B$1)="",COUNTIF(AN16:$AS16,$F16)=0),$F16,IF(INDEX($D29:$D35,Tablas!B$1)="","",$F16&amp;INDEX($D29:$D35,Tablas!B$1)))</f>
        <v/>
      </c>
      <c r="AN16" s="3089" t="str">
        <f>IF(AND(ISNUMBER(MATCH($F16,'Tablas Técnicas'!$L$10:$L$643,0)),INDEX($D29:$D35,Tablas!C$1)="",COUNTIF(AO16:$AS16,$F16)=0),$F16,IF(INDEX($D29:$D35,Tablas!C$1)="","",$F16&amp;INDEX($D29:$D35,Tablas!C$1)))</f>
        <v/>
      </c>
      <c r="AO16" s="3089" t="str">
        <f>IF(AND(ISNUMBER(MATCH($F16,'Tablas Técnicas'!$L$10:$L$643,0)),INDEX($D29:$D35,Tablas!D$1)="",COUNTIF(AP16:$AS16,$F16)=0),$F16,IF(INDEX($D29:$D35,Tablas!D$1)="","",$F16&amp;INDEX($D29:$D35,Tablas!D$1)))</f>
        <v/>
      </c>
      <c r="AP16" s="3089" t="str">
        <f>IF(AND(ISNUMBER(MATCH($F16,'Tablas Técnicas'!$L$10:$L$643,0)),INDEX($D29:$D35,Tablas!E$1)="",COUNTIF(AQ16:$AS16,$F16)=0),$F16,IF(INDEX($D29:$D35,Tablas!E$1)="","",$F16&amp;INDEX($D29:$D35,Tablas!E$1)))</f>
        <v/>
      </c>
      <c r="AQ16" s="3089" t="str">
        <f>IF(AND(ISNUMBER(MATCH($F16,'Tablas Técnicas'!$L$10:$L$643,0)),INDEX($D29:$D35,Tablas!F$1)="",COUNTIF(AR16:$AS16,$F16)=0),$F16,IF(INDEX($D29:$D35,Tablas!F$1)="","",$F16&amp;INDEX($D29:$D35,Tablas!F$1)))</f>
        <v/>
      </c>
      <c r="AR16" s="3089" t="str">
        <f>IF(AND(ISNUMBER(MATCH($F16,'Tablas Técnicas'!$L$10:$L$643,0)),INDEX($D29:$D35,Tablas!G$1)="",COUNTIF(AS16:$AS16,$F16)=0),$F16,IF(INDEX($D29:$D35,Tablas!G$1)="","",$F16&amp;INDEX($D29:$D35,Tablas!G$1)))</f>
        <v/>
      </c>
      <c r="AS16" s="3091">
        <f>V16+X16+Z16+AB16+AD16+AF16</f>
        <v>0</v>
      </c>
      <c r="AT16" s="3091">
        <f t="array" ref="AT16">SUM(IF($AL16:$AR16='Tablas Técnicas'!$L$10:$L$643,IF(D16="Primario",'Tablas Técnicas'!$E$10:$E$643,'Tablas Técnicas'!$F$10:$F$643)+IF(K16="Sostenimiento menor",'Tablas Técnicas'!$I$10:$I$643,IF(K16="sostenimiento mayor",'Tablas Técnicas'!$J$10:$J$643,0)),0),0)+VALUE(RIGHT(P16,2))+AU16+AV16</f>
        <v>0</v>
      </c>
      <c r="AU16" s="3091">
        <f>IFERROR(IF(V16=0,0,VALUE(MID(Q16,SEARCH("AGI",Q16)+4,1))),0)+IFERROR(IF(X16=0,0,VALUE(MID(Q16,SEARCH("CON",Q16)+4,1))),0)+IFERROR(IF(Z16=0,0,VALUE(MID(Q16,SEARCH("DES",Q16)+4,1))),0)+IFERROR(IF(AB16=0,0,VALUE(MID(Q16,SEARCH("FUE",Q16)+4,1))),0)+IFERROR(IF(AD16=0,0,VALUE(MID(Q16,SEARCH("POD",Q16)+4,1))),0)+IFERROR(IF(AF16=0,0,VALUE(MID(Q16,SEARCH("VOL",Q16)+4,1))),0)</f>
        <v>0</v>
      </c>
      <c r="AV16" s="3091">
        <f>(COUNTIF(AL16:AR16,"*Estado añadido:*")-1)*COUNTIF(AL16:AR16,"*Estado añadido:*")</f>
        <v>0</v>
      </c>
      <c r="AW16" s="3091">
        <f t="array" ref="AW16">SUM(IF($AL16:$AR16='Tablas Técnicas'!$L$10:$L$643,'Tablas Técnicas'!$G$10:$G$643,0))</f>
        <v>0</v>
      </c>
      <c r="AX16" s="3089" t="str">
        <f>IF(F16="","",F16&amp;" ("&amp;IF(AL16="","",SUBSTITUTE(AL16,F16,"")&amp;", ")&amp;IF(AM16="","",SUBSTITUTE(AM16,F16,"")&amp;", ")&amp;IF(AN16="","",SUBSTITUTE(AN16,F16,"")&amp;", ")&amp;IF(AO16="","",SUBSTITUTE(AO16,F16,"")&amp;", ")&amp;IF(AP16="","",SUBSTITUTE(AP16,F16,"")&amp;", ")&amp;IF(AQ16="","",SUBSTITUTE(AQ16,F16,"")&amp;", ")&amp;IF(AR16="","",SUBSTITUTE(AR16,F16,"")&amp;", ")&amp;IF(OR(K16="",K16="-"),"",K16&amp;", "))</f>
        <v/>
      </c>
      <c r="AY16" s="3089" t="str">
        <f>IFERROR(LEFT(AX16,LEN(AX16)-2)&amp;"), ","")</f>
        <v/>
      </c>
    </row>
    <row r="17" spans="1:51" ht="12.2" customHeight="1" x14ac:dyDescent="0.2">
      <c r="A17" s="2185"/>
      <c r="B17" s="2099">
        <v>1</v>
      </c>
      <c r="C17" s="4538"/>
      <c r="D17" s="4583" t="s">
        <v>524</v>
      </c>
      <c r="E17" s="4584"/>
      <c r="F17" s="4615"/>
      <c r="G17" s="4616"/>
      <c r="H17" s="4616"/>
      <c r="I17" s="4616"/>
      <c r="J17" s="4617"/>
      <c r="K17" s="4618" t="s">
        <v>1456</v>
      </c>
      <c r="L17" s="4619"/>
      <c r="M17" s="4620"/>
      <c r="N17" s="2540">
        <f>IF(AW17&gt;0,IF(VLOOKUP(F17,'Tablas Técnicas'!$O$9:$X$88,10,0),MAX(5,AW17-5),AW17),0)</f>
        <v>0</v>
      </c>
      <c r="O17" s="2540" t="str">
        <f>AS17&amp;" / "&amp;AT17</f>
        <v>0 / 0</v>
      </c>
      <c r="P17" s="2540" t="str">
        <f t="array" ref="P17">W17+Y17+AA17+AC17+AE17+AG17&amp;" / "&amp;IF(K17&lt;&gt;"Mantenido",0,SUM(IF($AL17:$AR17='Tablas Técnicas'!$L$10:$L$643,'Tablas Técnicas'!$H$10:$H$643,0)))</f>
        <v>0 / 0</v>
      </c>
      <c r="Q17" s="4684" t="str">
        <f>IFERROR(VLOOKUP(F17,'Tablas Técnicas'!$O$9:$T$88,5,FALSE),"")</f>
        <v/>
      </c>
      <c r="R17" s="4684"/>
      <c r="S17" s="4684"/>
      <c r="T17" s="4684"/>
      <c r="U17" s="4684"/>
      <c r="V17" s="2060"/>
      <c r="W17" s="2061"/>
      <c r="X17" s="2060"/>
      <c r="Y17" s="2062"/>
      <c r="Z17" s="2063"/>
      <c r="AA17" s="2061"/>
      <c r="AB17" s="2060"/>
      <c r="AC17" s="2062"/>
      <c r="AD17" s="2063"/>
      <c r="AE17" s="2061"/>
      <c r="AF17" s="2060"/>
      <c r="AG17" s="2064"/>
      <c r="AH17" s="2193"/>
      <c r="AI17" s="4558"/>
      <c r="AJ17" s="3089">
        <v>2</v>
      </c>
      <c r="AK17" s="3089">
        <f>P12</f>
        <v>1</v>
      </c>
      <c r="AL17" s="3089" t="str">
        <f>IF(AND(ISNUMBER(MATCH($F17,'Tablas Técnicas'!$L$10:$L$643,0)),INDEX($J29:$J35,Tablas!A$1)="",COUNTIF(AM17:$AS17,$F17)=0),$F17,IF(INDEX($J29:$J35,Tablas!A$1)="","",$F17&amp;INDEX($J29:$J35,Tablas!A$1)))</f>
        <v/>
      </c>
      <c r="AM17" s="3089" t="str">
        <f>IF(AND(ISNUMBER(MATCH($F17,'Tablas Técnicas'!$L$10:$L$643,0)),INDEX($J29:$J35,Tablas!B$1)="",COUNTIF(AN17:$AS17,$F17)=0),$F17,IF(INDEX($J29:$J35,Tablas!B$1)="","",$F17&amp;INDEX($J29:$J35,Tablas!B$1)))</f>
        <v/>
      </c>
      <c r="AN17" s="3089" t="str">
        <f>IF(AND(ISNUMBER(MATCH($F17,'Tablas Técnicas'!$L$10:$L$643,0)),INDEX($J29:$J35,Tablas!C$1)="",COUNTIF(AO17:$AS17,$F17)=0),$F17,IF(INDEX($J29:$J35,Tablas!C$1)="","",$F17&amp;INDEX($J29:$J35,Tablas!C$1)))</f>
        <v/>
      </c>
      <c r="AO17" s="3089" t="str">
        <f>IF(AND(ISNUMBER(MATCH($F17,'Tablas Técnicas'!$L$10:$L$643,0)),INDEX($J29:$J35,Tablas!D$1)="",COUNTIF(AP17:$AS17,$F17)=0),$F17,IF(INDEX($J29:$J35,Tablas!D$1)="","",$F17&amp;INDEX($J29:$J35,Tablas!D$1)))</f>
        <v/>
      </c>
      <c r="AP17" s="3089" t="str">
        <f>IF(AND(ISNUMBER(MATCH($F17,'Tablas Técnicas'!$L$10:$L$643,0)),INDEX($J29:$J35,Tablas!E$1)="",COUNTIF(AQ17:$AS17,$F17)=0),$F17,IF(INDEX($J29:$J35,Tablas!E$1)="","",$F17&amp;INDEX($J29:$J35,Tablas!E$1)))</f>
        <v/>
      </c>
      <c r="AQ17" s="3089" t="str">
        <f>IF(AND(ISNUMBER(MATCH($F17,'Tablas Técnicas'!$L$10:$L$643,0)),INDEX($J29:$J35,Tablas!F$1)="",COUNTIF(AR17:$AS17,$F17)=0),$F17,IF(INDEX($J29:$J35,Tablas!F$1)="","",$F17&amp;INDEX($J29:$J35,Tablas!F$1)))</f>
        <v/>
      </c>
      <c r="AR17" s="3089" t="str">
        <f>IF(AND(ISNUMBER(MATCH($F17,'Tablas Técnicas'!$L$10:$L$643,0)),INDEX($J29:$J35,Tablas!G$1)="",COUNTIF(AS17:$AS17,$F17)=0),$F17,IF(INDEX($J29:$J35,Tablas!G$1)="","",$F17&amp;INDEX($J29:$J35,Tablas!G$1)))</f>
        <v/>
      </c>
      <c r="AS17" s="3091">
        <f>V17+X17+Z17+AB17+AD17+AF17</f>
        <v>0</v>
      </c>
      <c r="AT17" s="3091">
        <f t="array" ref="AT17">SUM(IF($AL17:$AR17='Tablas Técnicas'!$L$10:$L$643,IF(D17="Primario",'Tablas Técnicas'!$E$10:$E$643,'Tablas Técnicas'!$F$10:$F$643)+IF(K17="Sostenimiento menor",'Tablas Técnicas'!$I$10:$I$643,IF(K17="sostenimiento mayor",'Tablas Técnicas'!$J$10:$J$643,0)),0),0)+VALUE(RIGHT(P17,2))+AU17+AV17</f>
        <v>0</v>
      </c>
      <c r="AU17" s="3091">
        <f>IFERROR(IF(V17=0,0,VALUE(MID(Q17,SEARCH("AGI",Q17)+4,1))),0)+IFERROR(IF(X17=0,0,VALUE(MID(Q17,SEARCH("CON",Q17)+4,1))),0)+IFERROR(IF(Z17=0,0,VALUE(MID(Q17,SEARCH("DES",Q17)+4,1))),0)+IFERROR(IF(AB17=0,0,VALUE(MID(Q17,SEARCH("FUE",Q17)+4,1))),0)+IFERROR(IF(AD17=0,0,VALUE(MID(Q17,SEARCH("POD",Q17)+4,1))),0)+IFERROR(IF(AF17=0,0,VALUE(MID(Q17,SEARCH("VOL",Q17)+4,1))),0)</f>
        <v>0</v>
      </c>
      <c r="AV17" s="3091">
        <f>(COUNTIF(AL17:AR17,"*Estado añadido:*")-1)*COUNTIF(AL17:AR17,"*Estado añadido:*")</f>
        <v>0</v>
      </c>
      <c r="AW17" s="3091">
        <f t="array" ref="AW17">SUM(IF($AL17:$AR17='Tablas Técnicas'!$L$10:$L$643,'Tablas Técnicas'!$G$10:$G$643,0))</f>
        <v>0</v>
      </c>
      <c r="AX17" s="3089" t="str">
        <f>IF(F17="","",F17&amp;" ("&amp;IF(AL17="","",SUBSTITUTE(AL17,F17,"")&amp;", ")&amp;IF(AM17="","",SUBSTITUTE(AM17,F17,"")&amp;", ")&amp;IF(AN17="","",SUBSTITUTE(AN17,F17,"")&amp;", ")&amp;IF(AO17="","",SUBSTITUTE(AO17,F17,"")&amp;", ")&amp;IF(AP17="","",SUBSTITUTE(AP17,F17,"")&amp;", ")&amp;IF(AQ17="","",SUBSTITUTE(AQ17,F17,"")&amp;", ")&amp;IF(AR17="","",SUBSTITUTE(AR17,F17,"")&amp;", ")&amp;IF(OR(K17="",K17="-"),"",K17&amp;", "))</f>
        <v/>
      </c>
      <c r="AY17" s="3089" t="str">
        <f>IFERROR(LEFT(AX17,LEN(AX17)-2)&amp;"), ","")</f>
        <v/>
      </c>
    </row>
    <row r="18" spans="1:51" ht="12.2" customHeight="1" x14ac:dyDescent="0.2">
      <c r="A18" s="2185"/>
      <c r="B18" s="2099">
        <v>1</v>
      </c>
      <c r="C18" s="4538"/>
      <c r="D18" s="4629" t="s">
        <v>524</v>
      </c>
      <c r="E18" s="4630"/>
      <c r="F18" s="4559"/>
      <c r="G18" s="4560"/>
      <c r="H18" s="4560"/>
      <c r="I18" s="4560"/>
      <c r="J18" s="4561"/>
      <c r="K18" s="4621" t="s">
        <v>1456</v>
      </c>
      <c r="L18" s="4622"/>
      <c r="M18" s="4623"/>
      <c r="N18" s="2536">
        <f>IF(AW18&gt;0,IF(VLOOKUP(F18,'Tablas Técnicas'!$O$9:$X$88,10,0),MAX(5,AW18-5),AW18),0)</f>
        <v>0</v>
      </c>
      <c r="O18" s="2536" t="str">
        <f>AS18&amp;" / "&amp;AT18</f>
        <v>0 / 0</v>
      </c>
      <c r="P18" s="2536" t="str">
        <f t="array" ref="P18">W18+Y18+AA18+AC18+AE18+AG18&amp;" / "&amp;IF(K18&lt;&gt;"Mantenido",0,SUM(IF($AL18:$AR18='Tablas Técnicas'!$L$10:$L$643,'Tablas Técnicas'!$H$10:$H$643,0)))</f>
        <v>0 / 0</v>
      </c>
      <c r="Q18" s="4680" t="str">
        <f>IFERROR(VLOOKUP(F18,'Tablas Técnicas'!$O$9:$T$88,5,FALSE),"")</f>
        <v/>
      </c>
      <c r="R18" s="4680"/>
      <c r="S18" s="4680"/>
      <c r="T18" s="4680"/>
      <c r="U18" s="4680"/>
      <c r="V18" s="2065"/>
      <c r="W18" s="2066"/>
      <c r="X18" s="2065"/>
      <c r="Y18" s="2067"/>
      <c r="Z18" s="2068"/>
      <c r="AA18" s="2066"/>
      <c r="AB18" s="2065"/>
      <c r="AC18" s="2067"/>
      <c r="AD18" s="2068"/>
      <c r="AE18" s="2066"/>
      <c r="AF18" s="2065"/>
      <c r="AG18" s="2069"/>
      <c r="AH18" s="2193"/>
      <c r="AI18" s="4558"/>
      <c r="AJ18" s="3089">
        <v>3</v>
      </c>
      <c r="AK18" s="3089">
        <f>P12</f>
        <v>1</v>
      </c>
      <c r="AL18" s="3089" t="str">
        <f>IF(AND(ISNUMBER(MATCH($F18,'Tablas Técnicas'!$L$10:$L$643,0)),INDEX($P29:$P35,Tablas!A$1)="",COUNTIF(AM18:$AS18,$F18)=0),$F18,IF(INDEX($P29:$P35,Tablas!A$1)="","",$F18&amp;INDEX($P29:$P35,Tablas!A$1)))</f>
        <v/>
      </c>
      <c r="AM18" s="3089" t="str">
        <f>IF(AND(ISNUMBER(MATCH($F18,'Tablas Técnicas'!$L$10:$L$643,0)),INDEX($P29:$P35,Tablas!B$1)="",COUNTIF(AN18:$AS18,$F18)=0),$F18,IF(INDEX($P29:$P35,Tablas!B$1)="","",$F18&amp;INDEX($P29:$P35,Tablas!B$1)))</f>
        <v/>
      </c>
      <c r="AN18" s="3089" t="str">
        <f>IF(AND(ISNUMBER(MATCH($F18,'Tablas Técnicas'!$L$10:$L$643,0)),INDEX($P29:$P35,Tablas!C$1)="",COUNTIF(AO18:$AS18,$F18)=0),$F18,IF(INDEX($P29:$P35,Tablas!C$1)="","",$F18&amp;INDEX($P29:$P35,Tablas!C$1)))</f>
        <v/>
      </c>
      <c r="AO18" s="3089" t="str">
        <f>IF(AND(ISNUMBER(MATCH($F18,'Tablas Técnicas'!$L$10:$L$643,0)),INDEX($P29:$P35,Tablas!D$1)="",COUNTIF(AP18:$AS18,$F18)=0),$F18,IF(INDEX($P29:$P35,Tablas!D$1)="","",$F18&amp;INDEX($P29:$P35,Tablas!D$1)))</f>
        <v/>
      </c>
      <c r="AP18" s="3089" t="str">
        <f>IF(AND(ISNUMBER(MATCH($F18,'Tablas Técnicas'!$L$10:$L$643,0)),INDEX($P29:$P35,Tablas!E$1)="",COUNTIF(AQ18:$AS18,$F18)=0),$F18,IF(INDEX($P29:$P35,Tablas!E$1)="","",$F18&amp;INDEX($P29:$P35,Tablas!E$1)))</f>
        <v/>
      </c>
      <c r="AQ18" s="3089" t="str">
        <f>IF(AND(ISNUMBER(MATCH($F18,'Tablas Técnicas'!$L$10:$L$643,0)),INDEX($P29:$P35,Tablas!F$1)="",COUNTIF(AR18:$AS18,$F18)=0),$F18,IF(INDEX($P29:$P35,Tablas!F$1)="","",$F18&amp;INDEX($P29:$P35,Tablas!F$1)))</f>
        <v/>
      </c>
      <c r="AR18" s="3089" t="str">
        <f>IF(AND(ISNUMBER(MATCH($F18,'Tablas Técnicas'!$L$10:$L$643,0)),INDEX($P29:$P35,Tablas!G$1)="",COUNTIF(AS18:$AS18,$F18)=0),$F18,IF(INDEX($P29:$P35,Tablas!G$1)="","",$F18&amp;INDEX($P29:$P35,Tablas!G$1)))</f>
        <v/>
      </c>
      <c r="AS18" s="3091">
        <f>V18+X18+Z18+AB18+AD18+AF18</f>
        <v>0</v>
      </c>
      <c r="AT18" s="3091">
        <f t="array" ref="AT18">SUM(IF($AL18:$AR18='Tablas Técnicas'!$L$10:$L$643,IF(D18="Primario",'Tablas Técnicas'!$E$10:$E$643,'Tablas Técnicas'!$F$10:$F$643)+IF(K18="Sostenimiento menor",'Tablas Técnicas'!$I$10:$I$643,IF(K18="sostenimiento mayor",'Tablas Técnicas'!$J$10:$J$643,0)),0),0)+VALUE(RIGHT(P18,2))+AU18+AV18</f>
        <v>0</v>
      </c>
      <c r="AU18" s="3091">
        <f>IFERROR(IF(V18=0,0,VALUE(MID(Q18,SEARCH("AGI",Q18)+4,1))),0)+IFERROR(IF(X18=0,0,VALUE(MID(Q18,SEARCH("CON",Q18)+4,1))),0)+IFERROR(IF(Z18=0,0,VALUE(MID(Q18,SEARCH("DES",Q18)+4,1))),0)+IFERROR(IF(AB18=0,0,VALUE(MID(Q18,SEARCH("FUE",Q18)+4,1))),0)+IFERROR(IF(AD18=0,0,VALUE(MID(Q18,SEARCH("POD",Q18)+4,1))),0)+IFERROR(IF(AF18=0,0,VALUE(MID(Q18,SEARCH("VOL",Q18)+4,1))),0)</f>
        <v>0</v>
      </c>
      <c r="AV18" s="3091">
        <f>(COUNTIF(AL18:AR18,"*Estado añadido:*")-1)*COUNTIF(AL18:AR18,"*Estado añadido:*")</f>
        <v>0</v>
      </c>
      <c r="AW18" s="3091">
        <f t="array" ref="AW18">SUM(IF($AL18:$AR18='Tablas Técnicas'!$L$10:$L$643,'Tablas Técnicas'!$G$10:$G$643,0))</f>
        <v>0</v>
      </c>
      <c r="AX18" s="3089" t="str">
        <f>IF(F18="","",F18&amp;" ("&amp;IF(AL18="","",SUBSTITUTE(AL18,F18,"")&amp;", ")&amp;IF(AM18="","",SUBSTITUTE(AM18,F18,"")&amp;", ")&amp;IF(AN18="","",SUBSTITUTE(AN18,F18,"")&amp;", ")&amp;IF(AO18="","",SUBSTITUTE(AO18,F18,"")&amp;", ")&amp;IF(AP18="","",SUBSTITUTE(AP18,F18,"")&amp;", ")&amp;IF(AQ18="","",SUBSTITUTE(AQ18,F18,"")&amp;", ")&amp;IF(AR18="","",SUBSTITUTE(AR18,F18,"")&amp;", ")&amp;IF(OR(K18="",K18="-"),"",K18&amp;", "))</f>
        <v/>
      </c>
      <c r="AY18" s="3089" t="str">
        <f>IFERROR(LEFT(AX18,LEN(AX18)-2)&amp;"), ","")</f>
        <v/>
      </c>
    </row>
    <row r="19" spans="1:51" ht="12.2" customHeight="1" x14ac:dyDescent="0.2">
      <c r="A19" s="2185"/>
      <c r="B19" s="2099">
        <v>1</v>
      </c>
      <c r="C19" s="4538"/>
      <c r="D19" s="4583" t="s">
        <v>524</v>
      </c>
      <c r="E19" s="4584"/>
      <c r="F19" s="4615"/>
      <c r="G19" s="4616"/>
      <c r="H19" s="4616"/>
      <c r="I19" s="4616"/>
      <c r="J19" s="4617"/>
      <c r="K19" s="4618" t="s">
        <v>1456</v>
      </c>
      <c r="L19" s="4619"/>
      <c r="M19" s="4620"/>
      <c r="N19" s="2540">
        <f>IF(AW19&gt;0,IF(VLOOKUP(F19,'Tablas Técnicas'!$O$9:$X$88,10,0),MAX(5,AW19-5),AW19),0)</f>
        <v>0</v>
      </c>
      <c r="O19" s="2540" t="str">
        <f>AS19&amp;" / "&amp;AT19</f>
        <v>0 / 0</v>
      </c>
      <c r="P19" s="2540" t="str">
        <f t="array" ref="P19">W19+Y19+AA19+AC19+AE19+AG19&amp;" / "&amp;IF(K19&lt;&gt;"Mantenido",0,SUM(IF($AL19:$AR19='Tablas Técnicas'!$L$10:$L$643,'Tablas Técnicas'!$H$10:$H$643,0)))</f>
        <v>0 / 0</v>
      </c>
      <c r="Q19" s="4684" t="str">
        <f>IFERROR(VLOOKUP(F19,'Tablas Técnicas'!$O$9:$T$88,5,FALSE),"")</f>
        <v/>
      </c>
      <c r="R19" s="4684"/>
      <c r="S19" s="4684"/>
      <c r="T19" s="4684"/>
      <c r="U19" s="4684"/>
      <c r="V19" s="2060"/>
      <c r="W19" s="2061"/>
      <c r="X19" s="2060"/>
      <c r="Y19" s="2062"/>
      <c r="Z19" s="2063"/>
      <c r="AA19" s="2061"/>
      <c r="AB19" s="2060"/>
      <c r="AC19" s="2062"/>
      <c r="AD19" s="2063"/>
      <c r="AE19" s="2061"/>
      <c r="AF19" s="2060"/>
      <c r="AG19" s="2064"/>
      <c r="AH19" s="2193"/>
      <c r="AI19" s="4558"/>
      <c r="AJ19" s="3089">
        <v>4</v>
      </c>
      <c r="AK19" s="3089">
        <f>P12</f>
        <v>1</v>
      </c>
      <c r="AL19" s="3089" t="str">
        <f>IF(AND(ISNUMBER(MATCH($F19,'Tablas Técnicas'!$L$10:$L$643,0)),INDEX($V29:$V35,Tablas!A$1)="",COUNTIF(AM19:$AS19,$F19)=0),$F19,IF(INDEX($V29:$V35,Tablas!A$1)="","",$F19&amp;INDEX($V29:$V35,Tablas!A$1)))</f>
        <v/>
      </c>
      <c r="AM19" s="3089" t="str">
        <f>IF(AND(ISNUMBER(MATCH($F19,'Tablas Técnicas'!$L$10:$L$643,0)),INDEX($V29:$V35,Tablas!B$1)="",COUNTIF(AN19:$AS19,$F19)=0),$F19,IF(INDEX($V29:$V35,Tablas!B$1)="","",$F19&amp;INDEX($V29:$V35,Tablas!B$1)))</f>
        <v/>
      </c>
      <c r="AN19" s="3089" t="str">
        <f>IF(AND(ISNUMBER(MATCH($F19,'Tablas Técnicas'!$L$10:$L$643,0)),INDEX($V29:$V35,Tablas!C$1)="",COUNTIF(AO19:$AS19,$F19)=0),$F19,IF(INDEX($V29:$V35,Tablas!C$1)="","",$F19&amp;INDEX($V29:$V35,Tablas!C$1)))</f>
        <v/>
      </c>
      <c r="AO19" s="3089" t="str">
        <f>IF(AND(ISNUMBER(MATCH($F19,'Tablas Técnicas'!$L$10:$L$643,0)),INDEX($V29:$V35,Tablas!D$1)="",COUNTIF(AP19:$AS19,$F19)=0),$F19,IF(INDEX($V29:$V35,Tablas!D$1)="","",$F19&amp;INDEX($V29:$V35,Tablas!D$1)))</f>
        <v/>
      </c>
      <c r="AP19" s="3089" t="str">
        <f>IF(AND(ISNUMBER(MATCH($F19,'Tablas Técnicas'!$L$10:$L$643,0)),INDEX($V29:$V35,Tablas!E$1)="",COUNTIF(AQ19:$AS19,$F19)=0),$F19,IF(INDEX($V29:$V35,Tablas!E$1)="","",$F19&amp;INDEX($V29:$V35,Tablas!E$1)))</f>
        <v/>
      </c>
      <c r="AQ19" s="3089" t="str">
        <f>IF(AND(ISNUMBER(MATCH($F19,'Tablas Técnicas'!$L$10:$L$643,0)),INDEX($V29:$V35,Tablas!F$1)="",COUNTIF(AR19:$AS19,$F19)=0),$F19,IF(INDEX($V29:$V35,Tablas!F$1)="","",$F19&amp;INDEX($V29:$V35,Tablas!F$1)))</f>
        <v/>
      </c>
      <c r="AR19" s="3089" t="str">
        <f>IF(AND(ISNUMBER(MATCH($F19,'Tablas Técnicas'!$L$10:$L$643,0)),INDEX($V29:$V35,Tablas!G$1)="",COUNTIF(AS19:$AS19,$F19)=0),$F19,IF(INDEX($V29:$V35,Tablas!G$1)="","",$F19&amp;INDEX($V29:$V35,Tablas!G$1)))</f>
        <v/>
      </c>
      <c r="AS19" s="3091">
        <f>V19+X19+Z19+AB19+AD19+AF19</f>
        <v>0</v>
      </c>
      <c r="AT19" s="3091">
        <f t="array" ref="AT19">SUM(IF($AL19:$AR19='Tablas Técnicas'!$L$10:$L$643,IF(D19="Primario",'Tablas Técnicas'!$E$10:$E$643,'Tablas Técnicas'!$F$10:$F$643)+IF(K19="Sostenimiento menor",'Tablas Técnicas'!$I$10:$I$643,IF(K19="sostenimiento mayor",'Tablas Técnicas'!$J$10:$J$643,0)),0),0)+VALUE(RIGHT(P19,2))+AU19+AV19</f>
        <v>0</v>
      </c>
      <c r="AU19" s="3091">
        <f>IFERROR(IF(V19=0,0,VALUE(MID(Q19,SEARCH("AGI",Q19)+4,1))),0)+IFERROR(IF(X19=0,0,VALUE(MID(Q19,SEARCH("CON",Q19)+4,1))),0)+IFERROR(IF(Z19=0,0,VALUE(MID(Q19,SEARCH("DES",Q19)+4,1))),0)+IFERROR(IF(AB19=0,0,VALUE(MID(Q19,SEARCH("FUE",Q19)+4,1))),0)+IFERROR(IF(AD19=0,0,VALUE(MID(Q19,SEARCH("POD",Q19)+4,1))),0)+IFERROR(IF(AF19=0,0,VALUE(MID(Q19,SEARCH("VOL",Q19)+4,1))),0)</f>
        <v>0</v>
      </c>
      <c r="AV19" s="3091">
        <f>(COUNTIF(AL19:AR19,"*Estado añadido:*")-1)*COUNTIF(AL19:AR19,"*Estado añadido:*")</f>
        <v>0</v>
      </c>
      <c r="AW19" s="3091">
        <f t="array" ref="AW19">SUM(IF($AL19:$AR19='Tablas Técnicas'!$L$10:$L$643,'Tablas Técnicas'!$G$10:$G$643,0))</f>
        <v>0</v>
      </c>
      <c r="AX19" s="3089" t="str">
        <f>IF(F19="","",F19&amp;" ("&amp;IF(AL19="","",SUBSTITUTE(AL19,F19,"")&amp;", ")&amp;IF(AM19="","",SUBSTITUTE(AM19,F19,"")&amp;", ")&amp;IF(AN19="","",SUBSTITUTE(AN19,F19,"")&amp;", ")&amp;IF(AO19="","",SUBSTITUTE(AO19,F19,"")&amp;", ")&amp;IF(AP19="","",SUBSTITUTE(AP19,F19,"")&amp;", ")&amp;IF(AQ19="","",SUBSTITUTE(AQ19,F19,"")&amp;", ")&amp;IF(AR19="","",SUBSTITUTE(AR19,F19,"")&amp;", ")&amp;IF(OR(K19="",K19="-"),"",K19&amp;", "))</f>
        <v/>
      </c>
      <c r="AY19" s="3089" t="str">
        <f>IFERROR(LEFT(AX19,LEN(AX19)-2)&amp;"), ","")</f>
        <v/>
      </c>
    </row>
    <row r="20" spans="1:51" ht="12.2" customHeight="1" thickBot="1" x14ac:dyDescent="0.25">
      <c r="A20" s="2185"/>
      <c r="B20" s="2099">
        <v>1</v>
      </c>
      <c r="C20" s="4538"/>
      <c r="D20" s="4586" t="s">
        <v>524</v>
      </c>
      <c r="E20" s="4587"/>
      <c r="F20" s="4543"/>
      <c r="G20" s="4544"/>
      <c r="H20" s="4544"/>
      <c r="I20" s="4544"/>
      <c r="J20" s="4545"/>
      <c r="K20" s="4546" t="s">
        <v>1456</v>
      </c>
      <c r="L20" s="4547"/>
      <c r="M20" s="4548"/>
      <c r="N20" s="2541">
        <f>IF(AW20&gt;0,IF(VLOOKUP(F20,'Tablas Técnicas'!$O$9:$X$88,10,0),MAX(5,AW20-5),AW20),0)</f>
        <v>0</v>
      </c>
      <c r="O20" s="2541" t="str">
        <f>AS20&amp;" / "&amp;AT20</f>
        <v>0 / 0</v>
      </c>
      <c r="P20" s="2541" t="str">
        <f t="array" ref="P20">W20+Y20+AA20+AC20+AE20+AG20&amp;" / "&amp;IF(K20&lt;&gt;"Mantenido",0,SUM(IF($AL20:$AR20='Tablas Técnicas'!$L$10:$L$643,'Tablas Técnicas'!$H$10:$H$643,0)))</f>
        <v>0 / 0</v>
      </c>
      <c r="Q20" s="4681" t="str">
        <f>IFERROR(VLOOKUP(F20,'Tablas Técnicas'!$O$9:$T$88,5,FALSE),"")</f>
        <v/>
      </c>
      <c r="R20" s="4681"/>
      <c r="S20" s="4681"/>
      <c r="T20" s="4681"/>
      <c r="U20" s="4681"/>
      <c r="V20" s="2070"/>
      <c r="W20" s="2071"/>
      <c r="X20" s="2070"/>
      <c r="Y20" s="2072"/>
      <c r="Z20" s="2073"/>
      <c r="AA20" s="2071"/>
      <c r="AB20" s="2070"/>
      <c r="AC20" s="2072"/>
      <c r="AD20" s="2073"/>
      <c r="AE20" s="2071"/>
      <c r="AF20" s="2070"/>
      <c r="AG20" s="2074"/>
      <c r="AH20" s="2193"/>
      <c r="AI20" s="4558"/>
      <c r="AJ20" s="3089">
        <v>5</v>
      </c>
      <c r="AK20" s="3089">
        <f>P12</f>
        <v>1</v>
      </c>
      <c r="AL20" s="3089" t="str">
        <f>IF(AND(ISNUMBER(MATCH($F20,'Tablas Técnicas'!$L$10:$L$643,0)),INDEX($AB29:$AB35,Tablas!A$1)="",COUNTIF(AM20:$AS20,$F20)=0),$F20,IF(INDEX($AB29:$AB35,Tablas!A$1)="","",$F20&amp;INDEX($AB29:$AB35,Tablas!A$1)))</f>
        <v/>
      </c>
      <c r="AM20" s="3089" t="str">
        <f>IF(AND(ISNUMBER(MATCH($F20,'Tablas Técnicas'!$L$10:$L$643,0)),INDEX($AB29:$AB35,Tablas!B$1)="",COUNTIF(AN20:$AS20,$F20)=0),$F20,IF(INDEX($AB29:$AB35,Tablas!B$1)="","",$F20&amp;INDEX($AB29:$AB35,Tablas!B$1)))</f>
        <v/>
      </c>
      <c r="AN20" s="3089" t="str">
        <f>IF(AND(ISNUMBER(MATCH($F20,'Tablas Técnicas'!$L$10:$L$643,0)),INDEX($AB29:$AB35,Tablas!C$1)="",COUNTIF(AO20:$AS20,$F20)=0),$F20,IF(INDEX($AB29:$AB35,Tablas!C$1)="","",$F20&amp;INDEX($AB29:$AB35,Tablas!C$1)))</f>
        <v/>
      </c>
      <c r="AO20" s="3089" t="str">
        <f>IF(AND(ISNUMBER(MATCH($F20,'Tablas Técnicas'!$L$10:$L$643,0)),INDEX($AB29:$AB35,Tablas!D$1)="",COUNTIF(AP20:$AS20,$F20)=0),$F20,IF(INDEX($AB29:$AB35,Tablas!D$1)="","",$F20&amp;INDEX($AB29:$AB35,Tablas!D$1)))</f>
        <v/>
      </c>
      <c r="AP20" s="3089" t="str">
        <f>IF(AND(ISNUMBER(MATCH($F20,'Tablas Técnicas'!$L$10:$L$643,0)),INDEX($AB29:$AB35,Tablas!E$1)="",COUNTIF(AQ20:$AS20,$F20)=0),$F20,IF(INDEX($AB29:$AB35,Tablas!E$1)="","",$F20&amp;INDEX($AB29:$AB35,Tablas!E$1)))</f>
        <v/>
      </c>
      <c r="AQ20" s="3089" t="str">
        <f>IF(AND(ISNUMBER(MATCH($F20,'Tablas Técnicas'!$L$10:$L$643,0)),INDEX($AB29:$AB35,Tablas!F$1)="",COUNTIF(AR20:$AS20,$F20)=0),$F20,IF(INDEX($AB29:$AB35,Tablas!F$1)="","",$F20&amp;INDEX($AB29:$AB35,Tablas!F$1)))</f>
        <v/>
      </c>
      <c r="AR20" s="3089" t="str">
        <f>IF(AND(ISNUMBER(MATCH($F20,'Tablas Técnicas'!$L$10:$L$643,0)),INDEX($AB29:$AB35,Tablas!G$1)="",COUNTIF(AS20:$AS20,$F20)=0),$F20,IF(INDEX($AB29:$AB35,Tablas!G$1)="","",$F20&amp;INDEX($AB29:$AB35,Tablas!G$1)))</f>
        <v/>
      </c>
      <c r="AS20" s="3091">
        <f>V20+X20+Z20+AB20+AD20+AF20</f>
        <v>0</v>
      </c>
      <c r="AT20" s="3091">
        <f t="array" ref="AT20">SUM(IF($AL20:$AR20='Tablas Técnicas'!$L$10:$L$643,IF(D20="Primario",'Tablas Técnicas'!$E$10:$E$643,'Tablas Técnicas'!$F$10:$F$643)+IF(K20="Sostenimiento menor",'Tablas Técnicas'!$I$10:$I$643,IF(K20="sostenimiento mayor",'Tablas Técnicas'!$J$10:$J$643,0)),0),0)+VALUE(RIGHT(P20,2))+AU20+AV20</f>
        <v>0</v>
      </c>
      <c r="AU20" s="3091">
        <f>IFERROR(IF(V20=0,0,VALUE(MID(Q20,SEARCH("AGI",Q20)+4,1))),0)+IFERROR(IF(X20=0,0,VALUE(MID(Q20,SEARCH("CON",Q20)+4,1))),0)+IFERROR(IF(Z20=0,0,VALUE(MID(Q20,SEARCH("DES",Q20)+4,1))),0)+IFERROR(IF(AB20=0,0,VALUE(MID(Q20,SEARCH("FUE",Q20)+4,1))),0)+IFERROR(IF(AD20=0,0,VALUE(MID(Q20,SEARCH("POD",Q20)+4,1))),0)+IFERROR(IF(AF20=0,0,VALUE(MID(Q20,SEARCH("VOL",Q20)+4,1))),0)</f>
        <v>0</v>
      </c>
      <c r="AV20" s="3091">
        <f>(COUNTIF(AL20:AR20,"*Estado añadido:*")-1)*COUNTIF(AL20:AR20,"*Estado añadido:*")</f>
        <v>0</v>
      </c>
      <c r="AW20" s="3091">
        <f t="array" ref="AW20">SUM(IF($AL20:$AR20='Tablas Técnicas'!$L$10:$L$643,'Tablas Técnicas'!$G$10:$G$643,0))</f>
        <v>0</v>
      </c>
      <c r="AX20" s="3089" t="str">
        <f>IF(F20="","",F20&amp;" ("&amp;IF(AL20="","",SUBSTITUTE(AL20,F20,"")&amp;", ")&amp;IF(AM20="","",SUBSTITUTE(AM20,F20,"")&amp;", ")&amp;IF(AN20="","",SUBSTITUTE(AN20,F20,"")&amp;", ")&amp;IF(AO20="","",SUBSTITUTE(AO20,F20,"")&amp;", ")&amp;IF(AP20="","",SUBSTITUTE(AP20,F20,"")&amp;", ")&amp;IF(AQ20="","",SUBSTITUTE(AQ20,F20,"")&amp;", ")&amp;IF(AR20="","",SUBSTITUTE(AR20,F20,"")&amp;", ")&amp;IF(OR(K20="",K20="-"),"",K20&amp;", "))</f>
        <v/>
      </c>
      <c r="AY20" s="3089" t="str">
        <f>IFERROR(LEFT(AX20,LEN(AX20)-2)&amp;"), ","")</f>
        <v/>
      </c>
    </row>
    <row r="21" spans="1:51" ht="12.2" customHeight="1" x14ac:dyDescent="0.2">
      <c r="A21" s="2185"/>
      <c r="B21" s="2099">
        <v>1</v>
      </c>
      <c r="C21" s="4538"/>
      <c r="D21" s="4589" t="s">
        <v>2819</v>
      </c>
      <c r="E21" s="4590"/>
      <c r="F21" s="4610"/>
      <c r="G21" s="4611"/>
      <c r="H21" s="4611"/>
      <c r="I21" s="4611"/>
      <c r="J21" s="4612"/>
      <c r="K21" s="4628"/>
      <c r="L21" s="4657"/>
      <c r="M21" s="4658"/>
      <c r="N21" s="1929" t="str">
        <f>IFERROR(INDEX('Tablas Técnicas'!$Q$200:$Q$301,MATCH(F21&amp;K21,'Tablas Técnicas'!$S$200:$S$301,0)),"")</f>
        <v/>
      </c>
      <c r="O21" s="4659"/>
      <c r="P21" s="4660"/>
      <c r="Q21" s="4661"/>
      <c r="R21" s="4660"/>
      <c r="S21" s="2531" t="str">
        <f>IFERROR("Nivel: "&amp;MAX(1,INDEX('Tablas Técnicas'!$R$200:$R$301,MATCH(F21&amp;K21,'Tablas Técnicas'!$S$200:$S$301,0))),"")</f>
        <v/>
      </c>
      <c r="T21" s="1930"/>
      <c r="U21" s="1931" t="str">
        <f>IFERROR("("&amp;VLOOKUP(F21,'Tablas Técnicas'!$O$165:$Q$192,3,FALSE)&amp;")","")</f>
        <v/>
      </c>
      <c r="V21" s="4598" t="s">
        <v>9625</v>
      </c>
      <c r="W21" s="4599"/>
      <c r="X21" s="4600"/>
      <c r="Y21" s="2542">
        <v>0</v>
      </c>
      <c r="Z21" s="4694" t="s">
        <v>8811</v>
      </c>
      <c r="AA21" s="4602"/>
      <c r="AB21" s="4603"/>
      <c r="AC21" s="2542">
        <v>0</v>
      </c>
      <c r="AD21" s="4695" t="str">
        <f>"Ki sin repartir: "&amp;AL29-AL30&amp;IF(AM29=0,""," ("&amp;AM29-AM30&amp;")")</f>
        <v>Ki sin repartir: 0</v>
      </c>
      <c r="AE21" s="4605"/>
      <c r="AF21" s="4605"/>
      <c r="AG21" s="4606"/>
      <c r="AH21" s="2193"/>
      <c r="AI21" s="4558"/>
      <c r="AJ21" s="3089">
        <v>1</v>
      </c>
      <c r="AK21" s="3089">
        <f>P12</f>
        <v>1</v>
      </c>
      <c r="AL21" s="3089" t="e">
        <f>VLOOKUP(F21,'Tablas Técnicas'!$O$165:$Q$188,2,FALSE)</f>
        <v>#N/A</v>
      </c>
      <c r="AM21" s="3089"/>
      <c r="AN21" s="3090"/>
      <c r="AO21" s="3089"/>
      <c r="AP21" s="3089"/>
      <c r="AQ21" s="3090"/>
      <c r="AR21" s="3089"/>
      <c r="AS21" s="3089"/>
      <c r="AT21" s="3089"/>
      <c r="AU21" s="3089"/>
      <c r="AV21" s="3089"/>
      <c r="AW21" s="3091"/>
      <c r="AX21" s="3091"/>
      <c r="AY21" s="3089" t="str">
        <f>IF(F21="","",F21&amp;IF(K21="",""," ("&amp;IF(F21="Atadura Elemental",O21&amp;IF(Q21="","",", "&amp;Q21),K21)&amp;")")&amp;", ")</f>
        <v/>
      </c>
    </row>
    <row r="22" spans="1:51" ht="12.2" customHeight="1" x14ac:dyDescent="0.2">
      <c r="A22" s="2185"/>
      <c r="B22" s="2099">
        <v>1</v>
      </c>
      <c r="C22" s="4538"/>
      <c r="D22" s="4591"/>
      <c r="E22" s="4592"/>
      <c r="F22" s="4662"/>
      <c r="G22" s="4663"/>
      <c r="H22" s="4663"/>
      <c r="I22" s="4663"/>
      <c r="J22" s="4664"/>
      <c r="K22" s="4617"/>
      <c r="L22" s="4677"/>
      <c r="M22" s="4678"/>
      <c r="N22" s="1932" t="str">
        <f>IFERROR(INDEX('Tablas Técnicas'!$Q$200:$Q$301,MATCH(F22&amp;K22,'Tablas Técnicas'!$S$200:$S$301,0)),"")</f>
        <v/>
      </c>
      <c r="O22" s="4665"/>
      <c r="P22" s="4666"/>
      <c r="Q22" s="4667"/>
      <c r="R22" s="4666"/>
      <c r="S22" s="2540" t="str">
        <f>IFERROR("Nivel: "&amp;MAX(1,INDEX('Tablas Técnicas'!$R$200:$R$301,MATCH(F22&amp;K22,'Tablas Técnicas'!$S$200:$S$301,0))),"")</f>
        <v/>
      </c>
      <c r="T22" s="2543"/>
      <c r="U22" s="2544" t="str">
        <f>IFERROR("("&amp;VLOOKUP(F22,'Tablas Técnicas'!$O$165:$Q$192,3,FALSE)&amp;")","")</f>
        <v/>
      </c>
      <c r="V22" s="4607" t="str">
        <f>"Mod. "&amp;V14</f>
        <v>Mod. AGI</v>
      </c>
      <c r="W22" s="4608"/>
      <c r="X22" s="4607" t="str">
        <f>"Mod. "&amp;X14</f>
        <v>Mod. CON</v>
      </c>
      <c r="Y22" s="4608"/>
      <c r="Z22" s="4607" t="str">
        <f>"Mod. "&amp;Z14</f>
        <v>Mod. DES</v>
      </c>
      <c r="AA22" s="4608"/>
      <c r="AB22" s="4607" t="str">
        <f>"Mod. "&amp;AB14</f>
        <v>Mod. FUE</v>
      </c>
      <c r="AC22" s="4608"/>
      <c r="AD22" s="4607" t="str">
        <f>"Mod. "&amp;AD14</f>
        <v>Mod. POD</v>
      </c>
      <c r="AE22" s="4608"/>
      <c r="AF22" s="4607" t="str">
        <f>"Mod. "&amp;AF14</f>
        <v>Mod. VOL</v>
      </c>
      <c r="AG22" s="4609"/>
      <c r="AH22" s="2193"/>
      <c r="AI22" s="4558"/>
      <c r="AJ22" s="3089">
        <v>2</v>
      </c>
      <c r="AK22" s="3089">
        <f>P12</f>
        <v>1</v>
      </c>
      <c r="AL22" s="3089" t="e">
        <f>VLOOKUP(F22,'Tablas Técnicas'!$O$165:$Q$188,2,FALSE)</f>
        <v>#N/A</v>
      </c>
      <c r="AM22" s="3089"/>
      <c r="AN22" s="3090"/>
      <c r="AO22" s="3089"/>
      <c r="AP22" s="3089"/>
      <c r="AQ22" s="3090"/>
      <c r="AR22" s="3089"/>
      <c r="AS22" s="3089"/>
      <c r="AT22" s="3089"/>
      <c r="AU22" s="3089"/>
      <c r="AV22" s="3089"/>
      <c r="AW22" s="3091"/>
      <c r="AX22" s="3091"/>
      <c r="AY22" s="3089" t="str">
        <f>IF(F22="","",F22&amp;IF(K22="",""," ("&amp;IF(F22="Atadura Elemental",O22&amp;IF(Q22="","",", "&amp;Q22),K22)&amp;")")&amp;", ")</f>
        <v/>
      </c>
    </row>
    <row r="23" spans="1:51" ht="12.2" customHeight="1" thickBot="1" x14ac:dyDescent="0.25">
      <c r="A23" s="2185"/>
      <c r="B23" s="2099">
        <v>1</v>
      </c>
      <c r="C23" s="4538"/>
      <c r="D23" s="4682"/>
      <c r="E23" s="4683"/>
      <c r="F23" s="4668"/>
      <c r="G23" s="4669"/>
      <c r="H23" s="4669"/>
      <c r="I23" s="4669"/>
      <c r="J23" s="4670"/>
      <c r="K23" s="4672"/>
      <c r="L23" s="4673"/>
      <c r="M23" s="4674"/>
      <c r="N23" s="1933" t="str">
        <f>IFERROR(INDEX('Tablas Técnicas'!$Q$200:$Q$301,MATCH(F23&amp;K23,'Tablas Técnicas'!$S$200:$S$301,0)),"")</f>
        <v/>
      </c>
      <c r="O23" s="4655"/>
      <c r="P23" s="4656"/>
      <c r="Q23" s="4671"/>
      <c r="R23" s="4656"/>
      <c r="S23" s="2541" t="str">
        <f>IFERROR("Nivel: "&amp;MAX(1,INDEX('Tablas Técnicas'!$R$200:$R$301,MATCH(F23&amp;K23,'Tablas Técnicas'!$S$200:$S$301,0))),"")</f>
        <v/>
      </c>
      <c r="T23" s="2545"/>
      <c r="U23" s="2546" t="str">
        <f>IFERROR("("&amp;VLOOKUP(F23,'Tablas Técnicas'!$O$165:$Q$192,3,FALSE)&amp;")","")</f>
        <v/>
      </c>
      <c r="V23" s="4564"/>
      <c r="W23" s="4562"/>
      <c r="X23" s="4562"/>
      <c r="Y23" s="4562"/>
      <c r="Z23" s="4562"/>
      <c r="AA23" s="4562"/>
      <c r="AB23" s="4562"/>
      <c r="AC23" s="4562"/>
      <c r="AD23" s="4562"/>
      <c r="AE23" s="4562"/>
      <c r="AF23" s="4562"/>
      <c r="AG23" s="4574"/>
      <c r="AH23" s="2193"/>
      <c r="AI23" s="4558"/>
      <c r="AJ23" s="3089">
        <v>3</v>
      </c>
      <c r="AK23" s="3089">
        <f>P12</f>
        <v>1</v>
      </c>
      <c r="AL23" s="3089" t="e">
        <f>VLOOKUP(F23,'Tablas Técnicas'!$O$165:$Q$188,2,FALSE)</f>
        <v>#N/A</v>
      </c>
      <c r="AM23" s="3089"/>
      <c r="AN23" s="3090"/>
      <c r="AO23" s="3089"/>
      <c r="AP23" s="3089"/>
      <c r="AQ23" s="3090"/>
      <c r="AR23" s="3091"/>
      <c r="AS23" s="3091"/>
      <c r="AT23" s="3091"/>
      <c r="AU23" s="3091"/>
      <c r="AV23" s="3091"/>
      <c r="AW23" s="3091"/>
      <c r="AX23" s="3091"/>
      <c r="AY23" s="3089" t="str">
        <f>IF(F23="","",F23&amp;IF(K23="",""," ("&amp;IF(F23="Atadura Elemental",O23&amp;IF(Q23="","",", "&amp;Q23),K23)&amp;")")&amp;", ")</f>
        <v/>
      </c>
    </row>
    <row r="24" spans="1:51" ht="12.2" customHeight="1" x14ac:dyDescent="0.2">
      <c r="A24" s="2185"/>
      <c r="B24" s="2099">
        <v>1</v>
      </c>
      <c r="C24" s="4538"/>
      <c r="D24" s="4549" t="s">
        <v>9306</v>
      </c>
      <c r="E24" s="4550"/>
      <c r="F24" s="4550"/>
      <c r="G24" s="4550"/>
      <c r="H24" s="4550"/>
      <c r="I24" s="4550"/>
      <c r="J24" s="4550"/>
      <c r="K24" s="4550"/>
      <c r="L24" s="4550"/>
      <c r="M24" s="4550"/>
      <c r="N24" s="4550"/>
      <c r="O24" s="4550"/>
      <c r="P24" s="4550"/>
      <c r="Q24" s="4550"/>
      <c r="R24" s="4550"/>
      <c r="S24" s="4550"/>
      <c r="T24" s="4550"/>
      <c r="U24" s="4550"/>
      <c r="V24" s="4679"/>
      <c r="W24" s="4679"/>
      <c r="X24" s="4679"/>
      <c r="Y24" s="4679"/>
      <c r="Z24" s="4679"/>
      <c r="AA24" s="4679"/>
      <c r="AB24" s="4679"/>
      <c r="AC24" s="4679"/>
      <c r="AD24" s="4679"/>
      <c r="AE24" s="4679"/>
      <c r="AF24" s="4679"/>
      <c r="AG24" s="4552"/>
      <c r="AH24" s="2193"/>
      <c r="AI24" s="4558"/>
      <c r="AJ24" s="3089"/>
      <c r="AK24" s="3089"/>
      <c r="AL24" s="3089"/>
      <c r="AM24" s="3089"/>
      <c r="AN24" s="3090" t="s">
        <v>8812</v>
      </c>
      <c r="AO24" s="3089" t="e">
        <f>LEFT(AY16&amp;AY17&amp;AY18&amp;AY19&amp;AY20,LEN(AY16&amp;AY17&amp;AY18&amp;AY19&amp;AY20)-2)</f>
        <v>#VALUE!</v>
      </c>
      <c r="AP24" s="3089"/>
      <c r="AQ24" s="3090"/>
      <c r="AR24" s="3091"/>
      <c r="AS24" s="3091"/>
      <c r="AT24" s="3091"/>
      <c r="AU24" s="3090"/>
      <c r="AV24" s="3090"/>
      <c r="AW24" s="3091"/>
      <c r="AX24" s="3091"/>
      <c r="AY24" s="3089"/>
    </row>
    <row r="25" spans="1:51" ht="12.2" customHeight="1" x14ac:dyDescent="0.2">
      <c r="A25" s="2185"/>
      <c r="B25" s="2099">
        <v>1</v>
      </c>
      <c r="C25" s="4538"/>
      <c r="D25" s="4553" t="str">
        <f>IF(F16="","",F16)</f>
        <v/>
      </c>
      <c r="E25" s="4554"/>
      <c r="F25" s="4554"/>
      <c r="G25" s="4554"/>
      <c r="H25" s="4554"/>
      <c r="I25" s="4555"/>
      <c r="J25" s="4553" t="str">
        <f>IF(F17="","",F17)</f>
        <v/>
      </c>
      <c r="K25" s="4554"/>
      <c r="L25" s="4554"/>
      <c r="M25" s="4554"/>
      <c r="N25" s="4554"/>
      <c r="O25" s="4555"/>
      <c r="P25" s="4554" t="str">
        <f>IF(F18="","",F18)</f>
        <v/>
      </c>
      <c r="Q25" s="4554"/>
      <c r="R25" s="4554"/>
      <c r="S25" s="4554"/>
      <c r="T25" s="4554"/>
      <c r="U25" s="4555"/>
      <c r="V25" s="4553" t="str">
        <f>IF(F19="","",F19)</f>
        <v/>
      </c>
      <c r="W25" s="4554"/>
      <c r="X25" s="4554"/>
      <c r="Y25" s="4554"/>
      <c r="Z25" s="4554"/>
      <c r="AA25" s="4555"/>
      <c r="AB25" s="4554" t="str">
        <f>IF(F20="","",F20)</f>
        <v/>
      </c>
      <c r="AC25" s="4554"/>
      <c r="AD25" s="4554"/>
      <c r="AE25" s="4554"/>
      <c r="AF25" s="4554"/>
      <c r="AG25" s="4577"/>
      <c r="AH25" s="2193"/>
      <c r="AI25" s="4558"/>
      <c r="AJ25" s="3089"/>
      <c r="AK25" s="3089"/>
      <c r="AL25" s="3089"/>
      <c r="AM25" s="3089"/>
      <c r="AN25" s="3090" t="s">
        <v>8813</v>
      </c>
      <c r="AO25" s="3089" t="e">
        <f>LEFT(AY21&amp;AY22&amp;AY23,LEN(AY21&amp;AY22&amp;AY23)-2)</f>
        <v>#VALUE!</v>
      </c>
      <c r="AP25" s="3089"/>
      <c r="AQ25" s="3090"/>
      <c r="AR25" s="3091"/>
      <c r="AS25" s="3091"/>
      <c r="AT25" s="3091"/>
      <c r="AU25" s="3090"/>
      <c r="AV25" s="3090"/>
      <c r="AW25" s="3091"/>
      <c r="AX25" s="3091"/>
      <c r="AY25" s="3089"/>
    </row>
    <row r="26" spans="1:51" ht="12.2" customHeight="1" x14ac:dyDescent="0.2">
      <c r="A26" s="2185"/>
      <c r="B26" s="2099">
        <v>1</v>
      </c>
      <c r="C26" s="4538"/>
      <c r="D26" s="2044" t="s">
        <v>1836</v>
      </c>
      <c r="E26" s="2536" t="str">
        <f>IFERROR(VLOOKUP(D25,'Tablas Técnicas'!$O$9:$T$88,3,FALSE),"")</f>
        <v/>
      </c>
      <c r="F26" s="2547"/>
      <c r="G26" s="2548"/>
      <c r="H26" s="2548" t="s">
        <v>1363</v>
      </c>
      <c r="I26" s="2536" t="str">
        <f>IFERROR(VLOOKUP(D25,'Tablas Técnicas'!$O$9:$T$88,4,FALSE),"")</f>
        <v/>
      </c>
      <c r="J26" s="2044" t="s">
        <v>1836</v>
      </c>
      <c r="K26" s="2536" t="str">
        <f>IFERROR(VLOOKUP(J25,'Tablas Técnicas'!$O$9:$T$88,3,FALSE),"")</f>
        <v/>
      </c>
      <c r="L26" s="2547"/>
      <c r="M26" s="2548"/>
      <c r="N26" s="2548" t="s">
        <v>1363</v>
      </c>
      <c r="O26" s="1934" t="str">
        <f>IFERROR(VLOOKUP(J25,'Tablas Técnicas'!$O$9:$T$88,4,FALSE),"")</f>
        <v/>
      </c>
      <c r="P26" s="2548" t="s">
        <v>1836</v>
      </c>
      <c r="Q26" s="2536" t="str">
        <f>IFERROR(VLOOKUP(P25,'Tablas Técnicas'!$O$9:$T$88,3,FALSE),"")</f>
        <v/>
      </c>
      <c r="R26" s="2547"/>
      <c r="S26" s="2548"/>
      <c r="T26" s="2548" t="s">
        <v>1363</v>
      </c>
      <c r="U26" s="2536" t="str">
        <f>IFERROR(VLOOKUP(P25,'Tablas Técnicas'!$O$9:$T$88,4,FALSE),"")</f>
        <v/>
      </c>
      <c r="V26" s="2044" t="s">
        <v>1836</v>
      </c>
      <c r="W26" s="2536" t="str">
        <f>IFERROR(VLOOKUP(V25,'Tablas Técnicas'!$O$9:$T$88,3,FALSE),"")</f>
        <v/>
      </c>
      <c r="X26" s="2547"/>
      <c r="Y26" s="2548"/>
      <c r="Z26" s="2548" t="s">
        <v>1363</v>
      </c>
      <c r="AA26" s="1934" t="str">
        <f>IFERROR(VLOOKUP(V25,'Tablas Técnicas'!$O$9:$T$88,4,FALSE),"")</f>
        <v/>
      </c>
      <c r="AB26" s="2548" t="s">
        <v>1836</v>
      </c>
      <c r="AC26" s="2536" t="str">
        <f>IFERROR(VLOOKUP(AB25,'Tablas Técnicas'!$O$9:$T$88,3,FALSE),"")</f>
        <v/>
      </c>
      <c r="AD26" s="2547"/>
      <c r="AE26" s="2548"/>
      <c r="AF26" s="2548" t="s">
        <v>1363</v>
      </c>
      <c r="AG26" s="1935" t="str">
        <f>IFERROR(VLOOKUP(AB25,'Tablas Técnicas'!$O$9:$T$88,4,FALSE),"")</f>
        <v/>
      </c>
      <c r="AH26" s="2193"/>
      <c r="AI26" s="4558"/>
      <c r="AJ26" s="3089"/>
      <c r="AK26" s="3089"/>
      <c r="AL26" s="3089"/>
      <c r="AM26" s="3089"/>
      <c r="AN26" s="3090"/>
      <c r="AO26" s="3089"/>
      <c r="AP26" s="3089"/>
      <c r="AQ26" s="3090"/>
      <c r="AR26" s="3091"/>
      <c r="AS26" s="3091"/>
      <c r="AT26" s="3091"/>
      <c r="AU26" s="3091"/>
      <c r="AV26" s="3091"/>
      <c r="AW26" s="3091"/>
      <c r="AX26" s="3091"/>
      <c r="AY26" s="3089"/>
    </row>
    <row r="27" spans="1:51" ht="12.2" customHeight="1" x14ac:dyDescent="0.2">
      <c r="A27" s="2185"/>
      <c r="B27" s="2099">
        <v>1</v>
      </c>
      <c r="C27" s="4538"/>
      <c r="D27" s="2045" t="s">
        <v>8814</v>
      </c>
      <c r="E27" s="2548"/>
      <c r="F27" s="2547"/>
      <c r="G27" s="2549"/>
      <c r="H27" s="2549"/>
      <c r="I27" s="2546" t="str">
        <f>IFERROR(IF(D25="Ataque Elemental",IF(NOT(ISNA(VLOOKUP(D29,'Tablas Técnicas'!$O$100:$O$105,1,0))),D29,"Variable"),VLOOKUP(D25,'Tablas Técnicas'!$O$9:$W$88,9,FALSE)),"")</f>
        <v/>
      </c>
      <c r="J27" s="2550" t="s">
        <v>8814</v>
      </c>
      <c r="K27" s="2551"/>
      <c r="L27" s="2552"/>
      <c r="M27" s="2553"/>
      <c r="N27" s="2553"/>
      <c r="O27" s="2554" t="str">
        <f>IFERROR(IF(J25="Ataque Elemental",IF(NOT(ISNA(VLOOKUP(J29,'Tablas Técnicas'!$O$100:$O$105,1,0))),J29,"Variable"),VLOOKUP(J25,'Tablas Técnicas'!$O$9:$W$88,9,FALSE)),"")</f>
        <v/>
      </c>
      <c r="P27" s="2555" t="s">
        <v>8814</v>
      </c>
      <c r="Q27" s="2551"/>
      <c r="R27" s="2552"/>
      <c r="S27" s="2553"/>
      <c r="T27" s="2553"/>
      <c r="U27" s="2546" t="str">
        <f>IFERROR(IF(P25="Ataque Elemental",IF(NOT(ISNA(VLOOKUP(P29,'Tablas Técnicas'!$O$100:$O$105,1,0))),P29,"Variable"),VLOOKUP(P25,'Tablas Técnicas'!$O$9:$W$88,9,FALSE)),"")</f>
        <v/>
      </c>
      <c r="V27" s="2550" t="s">
        <v>8814</v>
      </c>
      <c r="W27" s="2551"/>
      <c r="X27" s="2552"/>
      <c r="Y27" s="2553"/>
      <c r="Z27" s="2553"/>
      <c r="AA27" s="2554" t="str">
        <f>IFERROR(IF(V25="Ataque Elemental",IF(NOT(ISNA(VLOOKUP(V29,'Tablas Técnicas'!$O$100:$O$105,1,0))),V29,"Variable"),VLOOKUP(V25,'Tablas Técnicas'!$O$9:$W$88,9,FALSE)),"")</f>
        <v/>
      </c>
      <c r="AB27" s="2555" t="s">
        <v>8814</v>
      </c>
      <c r="AC27" s="2551"/>
      <c r="AD27" s="2552"/>
      <c r="AE27" s="2553"/>
      <c r="AF27" s="2553"/>
      <c r="AG27" s="2050" t="str">
        <f>IFERROR(IF(AB25="Ataque Elemental",IF(NOT(ISNA(VLOOKUP(AB29,'Tablas Técnicas'!$O$100:$O$105,1,0))),AB29,"Variable"),VLOOKUP(AB25,'Tablas Técnicas'!$O$9:$W$88,9,FALSE)),"")</f>
        <v/>
      </c>
      <c r="AH27" s="2193"/>
      <c r="AI27" s="4558"/>
      <c r="AJ27" s="3089"/>
      <c r="AK27" s="3091" t="s">
        <v>1373</v>
      </c>
      <c r="AL27" s="3091" t="s">
        <v>1498</v>
      </c>
      <c r="AM27" s="3091" t="s">
        <v>1378</v>
      </c>
      <c r="AN27" s="3091" t="s">
        <v>1383</v>
      </c>
      <c r="AO27" s="3091" t="s">
        <v>1391</v>
      </c>
      <c r="AP27" s="3091" t="s">
        <v>1392</v>
      </c>
      <c r="AQ27" s="3090"/>
      <c r="AR27" s="3091"/>
      <c r="AS27" s="3091"/>
      <c r="AT27" s="3091"/>
      <c r="AU27" s="3091"/>
      <c r="AV27" s="3091"/>
      <c r="AW27" s="3091"/>
      <c r="AX27" s="3091"/>
      <c r="AY27" s="3089"/>
    </row>
    <row r="28" spans="1:51" ht="12.2" customHeight="1" x14ac:dyDescent="0.2">
      <c r="A28" s="2185"/>
      <c r="B28" s="2099">
        <v>1</v>
      </c>
      <c r="C28" s="4538"/>
      <c r="D28" s="4553" t="s">
        <v>2827</v>
      </c>
      <c r="E28" s="4554"/>
      <c r="F28" s="4554"/>
      <c r="G28" s="4554"/>
      <c r="H28" s="4555"/>
      <c r="I28" s="1938" t="s">
        <v>1403</v>
      </c>
      <c r="J28" s="4553" t="s">
        <v>2827</v>
      </c>
      <c r="K28" s="4554"/>
      <c r="L28" s="4554"/>
      <c r="M28" s="4554"/>
      <c r="N28" s="4555"/>
      <c r="O28" s="1939" t="s">
        <v>1403</v>
      </c>
      <c r="P28" s="4553" t="s">
        <v>2827</v>
      </c>
      <c r="Q28" s="4554"/>
      <c r="R28" s="4554"/>
      <c r="S28" s="4554"/>
      <c r="T28" s="4555"/>
      <c r="U28" s="1939" t="s">
        <v>1403</v>
      </c>
      <c r="V28" s="4553"/>
      <c r="W28" s="4554"/>
      <c r="X28" s="4554"/>
      <c r="Y28" s="4554"/>
      <c r="Z28" s="4555"/>
      <c r="AA28" s="1939" t="s">
        <v>1403</v>
      </c>
      <c r="AB28" s="4553" t="s">
        <v>2827</v>
      </c>
      <c r="AC28" s="4554"/>
      <c r="AD28" s="4554"/>
      <c r="AE28" s="4554"/>
      <c r="AF28" s="4555"/>
      <c r="AG28" s="1940" t="s">
        <v>1403</v>
      </c>
      <c r="AH28" s="2193"/>
      <c r="AI28" s="4558"/>
      <c r="AJ28" s="3094" t="s">
        <v>9343</v>
      </c>
      <c r="AK28" s="3089" t="str">
        <f>IF(V14="","",IF(SUM(V16:V20)=0,"",V14&amp;" "&amp;SUM(V16:V20)+V23&amp;IF(SUM(W16:W20)=0,""," ("&amp;SUM(W16:W20)&amp;")")&amp;", "))</f>
        <v/>
      </c>
      <c r="AL28" s="3089" t="str">
        <f>IF(X14="","",IF(SUM(X16:X20)=0,"",X14&amp;" "&amp;SUM(X16:X20)+X23&amp;IF(SUM(Y16:Y20)=0,""," ("&amp;SUM(Y16:Y20)&amp;")")&amp;", "))</f>
        <v/>
      </c>
      <c r="AM28" s="3089" t="str">
        <f>IF(Z14="","",IF(SUM(Z16:Z20)=0,"",Z14&amp;" "&amp;SUM(Z16:Z20)+Z23&amp;IF(SUM(AA16:AA20)=0,""," ("&amp;SUM(AA16:AA20)&amp;")")&amp;", "))</f>
        <v/>
      </c>
      <c r="AN28" s="3089" t="str">
        <f>IF(AB14="","",IF(SUM(AB16:AB20)=0,"",AB14&amp;" "&amp;SUM(AB16:AB20)+AB23&amp;IF(SUM(AC16:AC20)=0,""," ("&amp;SUM(AC16:AC20)&amp;")")&amp;", "))</f>
        <v/>
      </c>
      <c r="AO28" s="3089" t="str">
        <f>IF(AD14="","",IF(SUM(AD16:AD20)=0,"",AD14&amp;" "&amp;SUM(AD16:AD20)+AD23&amp;IF(SUM(AE16:AE20)=0,""," ("&amp;SUM(AE16:AE20)&amp;")")&amp;", "))</f>
        <v/>
      </c>
      <c r="AP28" s="3089" t="str">
        <f>IF(AF14="","",IF(SUM(AF16:AF20)=0,"",AF14&amp;" "&amp;SUM(AF16:AF20)+AF23&amp;IF(SUM(AG16:AG20)=0,""," ("&amp;SUM(AG16:AG20)&amp;")")&amp;", "))</f>
        <v/>
      </c>
      <c r="AQ28" s="3089"/>
      <c r="AR28" s="3089"/>
      <c r="AS28" s="3089"/>
      <c r="AT28" s="3089"/>
      <c r="AU28" s="3089"/>
      <c r="AV28" s="3089"/>
      <c r="AW28" s="3089"/>
      <c r="AX28" s="3089"/>
      <c r="AY28" s="3089"/>
    </row>
    <row r="29" spans="1:51" ht="12.2" customHeight="1" x14ac:dyDescent="0.2">
      <c r="A29" s="2185"/>
      <c r="B29" s="2099">
        <v>1</v>
      </c>
      <c r="C29" s="4538"/>
      <c r="D29" s="4575"/>
      <c r="E29" s="4573"/>
      <c r="F29" s="4573"/>
      <c r="G29" s="4573"/>
      <c r="H29" s="4573"/>
      <c r="I29" s="1941" t="str">
        <f>IF(OR(D25="",D29=""),"",MAX(1,SUMPRODUCT(--(INDEX('Tablas Técnicas'!$C$10:$L$643,,1)=D25),--(INDEX('Tablas Técnicas'!$C$10:$L$643,,2)=D29),INDEX('Tablas Técnicas'!$C$10:$L$643,,9))))</f>
        <v/>
      </c>
      <c r="J29" s="4572"/>
      <c r="K29" s="4573"/>
      <c r="L29" s="4573"/>
      <c r="M29" s="4573"/>
      <c r="N29" s="4573"/>
      <c r="O29" s="1941" t="str">
        <f>IF(OR(J25="",J29=""),"",MAX(1,SUMPRODUCT(--(INDEX('Tablas Técnicas'!$C$10:$L$643,,1)=J25),--(INDEX('Tablas Técnicas'!$C$10:$L$643,,2)=J29),INDEX('Tablas Técnicas'!$C$10:$L$643,,9))))</f>
        <v/>
      </c>
      <c r="P29" s="4572"/>
      <c r="Q29" s="4573"/>
      <c r="R29" s="4573"/>
      <c r="S29" s="4573"/>
      <c r="T29" s="4573"/>
      <c r="U29" s="1941" t="str">
        <f>IF(OR(P25="",P29=""),"",MAX(1,SUMPRODUCT(--(INDEX('Tablas Técnicas'!$C$10:$L$643,,1)=P25),--(INDEX('Tablas Técnicas'!$C$10:$L$643,,2)=P29),INDEX('Tablas Técnicas'!$C$10:$L$643,,9))))</f>
        <v/>
      </c>
      <c r="V29" s="4572"/>
      <c r="W29" s="4573"/>
      <c r="X29" s="4573"/>
      <c r="Y29" s="4573"/>
      <c r="Z29" s="4573"/>
      <c r="AA29" s="1941" t="str">
        <f>IF(OR(V25="",V29=""),"",MAX(1,SUMPRODUCT(--(INDEX('Tablas Técnicas'!$C$10:$L$643,,1)=V25),--(INDEX('Tablas Técnicas'!$C$10:$L$643,,2)=V29),INDEX('Tablas Técnicas'!$C$10:$L$643,,9))))</f>
        <v/>
      </c>
      <c r="AB29" s="4572"/>
      <c r="AC29" s="4573"/>
      <c r="AD29" s="4573"/>
      <c r="AE29" s="4573"/>
      <c r="AF29" s="4573"/>
      <c r="AG29" s="1942" t="str">
        <f>IF(OR(AB25="",AB29=""),"",MAX(1,SUMPRODUCT(--(INDEX('Tablas Técnicas'!$C$10:$L$643,,1)=AB25),--(INDEX('Tablas Técnicas'!$C$10:$L$643,,2)=AB29),INDEX('Tablas Técnicas'!$C$10:$L$643,,9))))</f>
        <v/>
      </c>
      <c r="AH29" s="2193">
        <f>P12</f>
        <v>1</v>
      </c>
      <c r="AI29" s="4558"/>
      <c r="AJ29" s="3089" t="s">
        <v>9307</v>
      </c>
      <c r="AK29" s="3089"/>
      <c r="AL29" s="3089">
        <f>MAX(0,SUM(AT16:AT20)+ABS($AC21*2/5))+IF(AM38,0,Y21)+IF(S12="Sí",3*P12,0)</f>
        <v>0</v>
      </c>
      <c r="AM29" s="3089">
        <f t="array" ref="AM29">IF(ISNUMBER(SEARCH("Mantenido",K16&amp;K17&amp;K18&amp;K19&amp;K20)),MAX(0,SUM(VALUE(RIGHT($P16:$P20,2)))),0)</f>
        <v>0</v>
      </c>
      <c r="AN29" s="3091"/>
      <c r="AO29" s="3091"/>
      <c r="AP29" s="3096"/>
      <c r="AQ29" s="3096"/>
      <c r="AR29" s="3096"/>
      <c r="AS29" s="3096"/>
      <c r="AT29" s="3096"/>
      <c r="AU29" s="3096"/>
      <c r="AV29" s="3096"/>
      <c r="AW29" s="3096"/>
      <c r="AX29" s="3096"/>
      <c r="AY29" s="3089"/>
    </row>
    <row r="30" spans="1:51" ht="12.2" customHeight="1" x14ac:dyDescent="0.2">
      <c r="A30" s="2185"/>
      <c r="B30" s="2099">
        <v>1</v>
      </c>
      <c r="C30" s="4538"/>
      <c r="D30" s="4556"/>
      <c r="E30" s="4557"/>
      <c r="F30" s="4557"/>
      <c r="G30" s="4557"/>
      <c r="H30" s="4557"/>
      <c r="I30" s="1943" t="str">
        <f>IF(OR(D25="",D30=""),"",MAX(1,SUMPRODUCT(--(INDEX('Tablas Técnicas'!$C$10:$L$643,,1)=D25),--(INDEX('Tablas Técnicas'!$C$10:$L$643,,2)=D30),INDEX('Tablas Técnicas'!$C$10:$L$643,,9))))</f>
        <v/>
      </c>
      <c r="J30" s="4556"/>
      <c r="K30" s="4557"/>
      <c r="L30" s="4557"/>
      <c r="M30" s="4557"/>
      <c r="N30" s="4557"/>
      <c r="O30" s="1943" t="str">
        <f>IF(OR(J25="",J30=""),"",MAX(1,SUMPRODUCT(--(INDEX('Tablas Técnicas'!$C$10:$L$643,,1)=J25),--(INDEX('Tablas Técnicas'!$C$10:$L$643,,2)=J30),INDEX('Tablas Técnicas'!$C$10:$L$643,,9))))</f>
        <v/>
      </c>
      <c r="P30" s="4556"/>
      <c r="Q30" s="4557"/>
      <c r="R30" s="4557"/>
      <c r="S30" s="4557"/>
      <c r="T30" s="4557"/>
      <c r="U30" s="1943" t="str">
        <f>IF(OR(P25="",P30=""),"",MAX(1,SUMPRODUCT(--(INDEX('Tablas Técnicas'!$C$10:$L$643,,1)=P25),--(INDEX('Tablas Técnicas'!$C$10:$L$643,,2)=P30),INDEX('Tablas Técnicas'!$C$10:$L$643,,9))))</f>
        <v/>
      </c>
      <c r="V30" s="4556"/>
      <c r="W30" s="4557"/>
      <c r="X30" s="4557"/>
      <c r="Y30" s="4557"/>
      <c r="Z30" s="4557"/>
      <c r="AA30" s="1943" t="str">
        <f>IF(OR(V25="",V30=""),"",MAX(1,SUMPRODUCT(--(INDEX('Tablas Técnicas'!$C$10:$L$643,,1)=V25),--(INDEX('Tablas Técnicas'!$C$10:$L$643,,2)=V30),INDEX('Tablas Técnicas'!$C$10:$L$643,,9))))</f>
        <v/>
      </c>
      <c r="AB30" s="4556"/>
      <c r="AC30" s="4557"/>
      <c r="AD30" s="4557"/>
      <c r="AE30" s="4557"/>
      <c r="AF30" s="4557"/>
      <c r="AG30" s="1944" t="str">
        <f>IF(OR(AB25="",AB30=""),"",MAX(1,SUMPRODUCT(--(INDEX('Tablas Técnicas'!$C$10:$L$643,,1)=AB25),--(INDEX('Tablas Técnicas'!$C$10:$L$643,,2)=AB30),INDEX('Tablas Técnicas'!$C$10:$L$643,,9))))</f>
        <v/>
      </c>
      <c r="AH30" s="2193">
        <f>P12</f>
        <v>1</v>
      </c>
      <c r="AI30" s="4558"/>
      <c r="AJ30" s="3089" t="s">
        <v>8816</v>
      </c>
      <c r="AK30" s="3089"/>
      <c r="AL30" s="3089">
        <f>SUM(V16:V20,X16:X20,Z16:Z20,AB16:AB20,AD16:AD20,AF16:AF20)+SUM(V23:AG23)</f>
        <v>0</v>
      </c>
      <c r="AM30" s="3089">
        <f>SUM(W16:W20,Y16:Y20,AA16:AA20,AC16:AC20,AE16:AE20,AG16:AG20)</f>
        <v>0</v>
      </c>
      <c r="AN30" s="3089"/>
      <c r="AO30" s="3089"/>
      <c r="AP30" s="3089"/>
      <c r="AQ30" s="3089"/>
      <c r="AR30" s="3089"/>
      <c r="AS30" s="3089"/>
      <c r="AT30" s="3089"/>
      <c r="AU30" s="3089"/>
      <c r="AV30" s="3089"/>
      <c r="AW30" s="3091"/>
      <c r="AX30" s="3089"/>
      <c r="AY30" s="3089"/>
    </row>
    <row r="31" spans="1:51" ht="12.2" customHeight="1" x14ac:dyDescent="0.2">
      <c r="A31" s="2185"/>
      <c r="B31" s="2099">
        <v>1</v>
      </c>
      <c r="C31" s="4538"/>
      <c r="D31" s="4556"/>
      <c r="E31" s="4557"/>
      <c r="F31" s="4557"/>
      <c r="G31" s="4557"/>
      <c r="H31" s="4557"/>
      <c r="I31" s="1943" t="str">
        <f>IF(OR(D25="",D31=""),"",MAX(1,SUMPRODUCT(--(INDEX('Tablas Técnicas'!$C$10:$L$643,,1)=D25),--(INDEX('Tablas Técnicas'!$C$10:$L$643,,2)=D31),INDEX('Tablas Técnicas'!$C$10:$L$643,,9))))</f>
        <v/>
      </c>
      <c r="J31" s="4556"/>
      <c r="K31" s="4557"/>
      <c r="L31" s="4557"/>
      <c r="M31" s="4557"/>
      <c r="N31" s="4557"/>
      <c r="O31" s="1943" t="str">
        <f>IF(OR(J25="",J31=""),"",MAX(1,SUMPRODUCT(--(INDEX('Tablas Técnicas'!$C$10:$L$643,,1)=J25),--(INDEX('Tablas Técnicas'!$C$10:$L$643,,2)=J31),INDEX('Tablas Técnicas'!$C$10:$L$643,,9))))</f>
        <v/>
      </c>
      <c r="P31" s="4556"/>
      <c r="Q31" s="4557"/>
      <c r="R31" s="4557"/>
      <c r="S31" s="4557"/>
      <c r="T31" s="4557"/>
      <c r="U31" s="1943" t="str">
        <f>IF(OR(P25="",P31=""),"",MAX(1,SUMPRODUCT(--(INDEX('Tablas Técnicas'!$C$10:$L$643,,1)=P25),--(INDEX('Tablas Técnicas'!$C$10:$L$643,,2)=P31),INDEX('Tablas Técnicas'!$C$10:$L$643,,9))))</f>
        <v/>
      </c>
      <c r="V31" s="4556"/>
      <c r="W31" s="4557"/>
      <c r="X31" s="4557"/>
      <c r="Y31" s="4557"/>
      <c r="Z31" s="4557"/>
      <c r="AA31" s="1943" t="str">
        <f>IF(OR(V25="",V31=""),"",MAX(1,SUMPRODUCT(--(INDEX('Tablas Técnicas'!$C$10:$L$643,,1)=V25),--(INDEX('Tablas Técnicas'!$C$10:$L$643,,2)=V31),INDEX('Tablas Técnicas'!$C$10:$L$643,,9))))</f>
        <v/>
      </c>
      <c r="AB31" s="4556"/>
      <c r="AC31" s="4557"/>
      <c r="AD31" s="4557"/>
      <c r="AE31" s="4557"/>
      <c r="AF31" s="4557"/>
      <c r="AG31" s="1944" t="str">
        <f>IF(OR(AB25="",AB31=""),"",MAX(1,SUMPRODUCT(--(INDEX('Tablas Técnicas'!$C$10:$L$643,,1)=AB25),--(INDEX('Tablas Técnicas'!$C$10:$L$643,,2)=AB31),INDEX('Tablas Técnicas'!$C$10:$L$643,,9))))</f>
        <v/>
      </c>
      <c r="AH31" s="2193">
        <f>P12</f>
        <v>1</v>
      </c>
      <c r="AI31" s="4558"/>
      <c r="AJ31" s="3089"/>
      <c r="AK31" s="3089"/>
      <c r="AL31" s="3089"/>
      <c r="AM31" s="3089"/>
      <c r="AN31" s="3089"/>
      <c r="AO31" s="3089"/>
      <c r="AP31" s="3089"/>
      <c r="AQ31" s="3089"/>
      <c r="AR31" s="3089"/>
      <c r="AS31" s="3089"/>
      <c r="AT31" s="3089"/>
      <c r="AU31" s="3089"/>
      <c r="AV31" s="3089"/>
      <c r="AW31" s="3091"/>
      <c r="AX31" s="3091"/>
      <c r="AY31" s="3089"/>
    </row>
    <row r="32" spans="1:51" ht="12.2" customHeight="1" x14ac:dyDescent="0.2">
      <c r="A32" s="2185"/>
      <c r="B32" s="2099">
        <v>1</v>
      </c>
      <c r="C32" s="4538"/>
      <c r="D32" s="4556"/>
      <c r="E32" s="4557"/>
      <c r="F32" s="4557"/>
      <c r="G32" s="4557"/>
      <c r="H32" s="4557"/>
      <c r="I32" s="1943" t="str">
        <f>IF(OR(D25="",D32=""),"",MAX(1,SUMPRODUCT(--(INDEX('Tablas Técnicas'!$C$10:$L$643,,1)=D25),--(INDEX('Tablas Técnicas'!$C$10:$L$643,,2)=D32),INDEX('Tablas Técnicas'!$C$10:$L$643,,9))))</f>
        <v/>
      </c>
      <c r="J32" s="4556"/>
      <c r="K32" s="4557"/>
      <c r="L32" s="4557"/>
      <c r="M32" s="4557"/>
      <c r="N32" s="4557"/>
      <c r="O32" s="1943" t="str">
        <f>IF(OR(J25="",J32=""),"",MAX(1,SUMPRODUCT(--(INDEX('Tablas Técnicas'!$C$10:$L$643,,1)=J25),--(INDEX('Tablas Técnicas'!$C$10:$L$643,,2)=J32),INDEX('Tablas Técnicas'!$C$10:$L$643,,9))))</f>
        <v/>
      </c>
      <c r="P32" s="4556"/>
      <c r="Q32" s="4557"/>
      <c r="R32" s="4557"/>
      <c r="S32" s="4557"/>
      <c r="T32" s="4557"/>
      <c r="U32" s="1943" t="str">
        <f>IF(OR(P25="",P32=""),"",MAX(1,SUMPRODUCT(--(INDEX('Tablas Técnicas'!$C$10:$L$643,,1)=P25),--(INDEX('Tablas Técnicas'!$C$10:$L$643,,2)=P32),INDEX('Tablas Técnicas'!$C$10:$L$643,,9))))</f>
        <v/>
      </c>
      <c r="V32" s="4556"/>
      <c r="W32" s="4557"/>
      <c r="X32" s="4557"/>
      <c r="Y32" s="4557"/>
      <c r="Z32" s="4557"/>
      <c r="AA32" s="1943" t="str">
        <f>IF(OR(V25="",V32=""),"",MAX(1,SUMPRODUCT(--(INDEX('Tablas Técnicas'!$C$10:$L$643,,1)=V25),--(INDEX('Tablas Técnicas'!$C$10:$L$643,,2)=V32),INDEX('Tablas Técnicas'!$C$10:$L$643,,9))))</f>
        <v/>
      </c>
      <c r="AB32" s="4556"/>
      <c r="AC32" s="4557"/>
      <c r="AD32" s="4557"/>
      <c r="AE32" s="4557"/>
      <c r="AF32" s="4557"/>
      <c r="AG32" s="1944" t="str">
        <f>IF(OR(AB25="",AB32=""),"",MAX(1,SUMPRODUCT(--(INDEX('Tablas Técnicas'!$C$10:$L$643,,1)=AB25),--(INDEX('Tablas Técnicas'!$C$10:$L$643,,2)=AB32),INDEX('Tablas Técnicas'!$C$10:$L$643,,9))))</f>
        <v/>
      </c>
      <c r="AH32" s="2193">
        <f>P12</f>
        <v>1</v>
      </c>
      <c r="AI32" s="4558"/>
      <c r="AJ32" s="3089" t="s">
        <v>8817</v>
      </c>
      <c r="AK32" s="3089"/>
      <c r="AL32" s="3089"/>
      <c r="AM32" s="3089"/>
      <c r="AN32" s="3089"/>
      <c r="AO32" s="3089"/>
      <c r="AP32" s="3089"/>
      <c r="AQ32" s="3090"/>
      <c r="AR32" s="3091"/>
      <c r="AS32" s="3091"/>
      <c r="AT32" s="3091"/>
      <c r="AU32" s="3091"/>
      <c r="AV32" s="3091"/>
      <c r="AW32" s="3091"/>
      <c r="AX32" s="3091"/>
      <c r="AY32" s="3089"/>
    </row>
    <row r="33" spans="1:51" ht="12.2" customHeight="1" x14ac:dyDescent="0.2">
      <c r="A33" s="2185"/>
      <c r="B33" s="2099">
        <v>1</v>
      </c>
      <c r="C33" s="4538"/>
      <c r="D33" s="4556"/>
      <c r="E33" s="4557"/>
      <c r="F33" s="4557"/>
      <c r="G33" s="4557"/>
      <c r="H33" s="4557"/>
      <c r="I33" s="1943" t="str">
        <f>IF(OR(D25="",D33=""),"",MAX(1,SUMPRODUCT(--(INDEX('Tablas Técnicas'!$C$10:$L$643,,1)=D25),--(INDEX('Tablas Técnicas'!$C$10:$L$643,,2)=D33),INDEX('Tablas Técnicas'!$C$10:$L$643,,9))))</f>
        <v/>
      </c>
      <c r="J33" s="4556"/>
      <c r="K33" s="4557"/>
      <c r="L33" s="4557"/>
      <c r="M33" s="4557"/>
      <c r="N33" s="4557"/>
      <c r="O33" s="1943" t="str">
        <f>IF(OR(J25="",J33=""),"",MAX(1,SUMPRODUCT(--(INDEX('Tablas Técnicas'!$C$10:$L$643,,1)=J25),--(INDEX('Tablas Técnicas'!$C$10:$L$643,,2)=J33),INDEX('Tablas Técnicas'!$C$10:$L$643,,9))))</f>
        <v/>
      </c>
      <c r="P33" s="4556"/>
      <c r="Q33" s="4557"/>
      <c r="R33" s="4557"/>
      <c r="S33" s="4557"/>
      <c r="T33" s="4557"/>
      <c r="U33" s="1943" t="str">
        <f>IF(OR(P25="",P33=""),"",MAX(1,SUMPRODUCT(--(INDEX('Tablas Técnicas'!$C$10:$L$643,,1)=P25),--(INDEX('Tablas Técnicas'!$C$10:$L$643,,2)=P33),INDEX('Tablas Técnicas'!$C$10:$L$643,,9))))</f>
        <v/>
      </c>
      <c r="V33" s="4556"/>
      <c r="W33" s="4557"/>
      <c r="X33" s="4557"/>
      <c r="Y33" s="4557"/>
      <c r="Z33" s="4557"/>
      <c r="AA33" s="1943" t="str">
        <f>IF(OR(V25="",V33=""),"",MAX(1,SUMPRODUCT(--(INDEX('Tablas Técnicas'!$C$10:$L$643,,1)=V25),--(INDEX('Tablas Técnicas'!$C$10:$L$643,,2)=V33),INDEX('Tablas Técnicas'!$C$10:$L$643,,9))))</f>
        <v/>
      </c>
      <c r="AB33" s="4556"/>
      <c r="AC33" s="4557"/>
      <c r="AD33" s="4557"/>
      <c r="AE33" s="4557"/>
      <c r="AF33" s="4557"/>
      <c r="AG33" s="1944" t="str">
        <f>IF(OR(AB25="",AB33=""),"",MAX(1,SUMPRODUCT(--(INDEX('Tablas Técnicas'!$C$10:$L$643,,1)=AB25),--(INDEX('Tablas Técnicas'!$C$10:$L$643,,2)=AB33),INDEX('Tablas Técnicas'!$C$10:$L$643,,9))))</f>
        <v/>
      </c>
      <c r="AH33" s="2193">
        <f>P12</f>
        <v>1</v>
      </c>
      <c r="AI33" s="4558"/>
      <c r="AJ33" s="3089" t="s">
        <v>9971</v>
      </c>
      <c r="AK33" s="3089"/>
      <c r="AL33" s="3089"/>
      <c r="AM33" s="3089" t="b">
        <f>U12&gt;IF(P12=3,200,IF(P12=2,100,50))</f>
        <v>0</v>
      </c>
      <c r="AN33" s="3089"/>
      <c r="AO33" s="3089"/>
      <c r="AP33" s="3089"/>
      <c r="AQ33" s="3089"/>
      <c r="AR33" s="3091"/>
      <c r="AS33" s="3091"/>
      <c r="AT33" s="3091"/>
      <c r="AU33" s="3091"/>
      <c r="AV33" s="3091"/>
      <c r="AW33" s="3091"/>
      <c r="AX33" s="3091"/>
      <c r="AY33" s="3089"/>
    </row>
    <row r="34" spans="1:51" ht="12.2" customHeight="1" x14ac:dyDescent="0.2">
      <c r="A34" s="2185"/>
      <c r="B34" s="2099">
        <v>1</v>
      </c>
      <c r="C34" s="4538"/>
      <c r="D34" s="4556"/>
      <c r="E34" s="4557"/>
      <c r="F34" s="4557"/>
      <c r="G34" s="4557"/>
      <c r="H34" s="4557"/>
      <c r="I34" s="1943" t="str">
        <f>IF(OR(D25="",D34=""),"",MAX(1,SUMPRODUCT(--(INDEX('Tablas Técnicas'!$C$10:$L$643,,1)=D25),--(INDEX('Tablas Técnicas'!$C$10:$L$643,,2)=D34),INDEX('Tablas Técnicas'!$C$10:$L$643,,9))))</f>
        <v/>
      </c>
      <c r="J34" s="4556"/>
      <c r="K34" s="4557"/>
      <c r="L34" s="4557"/>
      <c r="M34" s="4557"/>
      <c r="N34" s="4557"/>
      <c r="O34" s="1943" t="str">
        <f>IF(OR(J25="",J34=""),"",MAX(1,SUMPRODUCT(--(INDEX('Tablas Técnicas'!$C$10:$L$643,,1)=J25),--(INDEX('Tablas Técnicas'!$C$10:$L$643,,2)=J34),INDEX('Tablas Técnicas'!$C$10:$L$643,,9))))</f>
        <v/>
      </c>
      <c r="P34" s="4556"/>
      <c r="Q34" s="4557"/>
      <c r="R34" s="4557"/>
      <c r="S34" s="4557"/>
      <c r="T34" s="4557"/>
      <c r="U34" s="1943" t="str">
        <f>IF(OR(P25="",P34=""),"",MAX(1,SUMPRODUCT(--(INDEX('Tablas Técnicas'!$C$10:$L$643,,1)=P25),--(INDEX('Tablas Técnicas'!$C$10:$L$643,,2)=P34),INDEX('Tablas Técnicas'!$C$10:$L$643,,9))))</f>
        <v/>
      </c>
      <c r="V34" s="4556"/>
      <c r="W34" s="4557"/>
      <c r="X34" s="4557"/>
      <c r="Y34" s="4557"/>
      <c r="Z34" s="4557"/>
      <c r="AA34" s="1943" t="str">
        <f>IF(OR(V25="",V34=""),"",MAX(1,SUMPRODUCT(--(INDEX('Tablas Técnicas'!$C$10:$L$643,,1)=V25),--(INDEX('Tablas Técnicas'!$C$10:$L$643,,2)=V34),INDEX('Tablas Técnicas'!$C$10:$L$643,,9))))</f>
        <v/>
      </c>
      <c r="AB34" s="4556"/>
      <c r="AC34" s="4557"/>
      <c r="AD34" s="4557"/>
      <c r="AE34" s="4557"/>
      <c r="AF34" s="4557"/>
      <c r="AG34" s="1944" t="str">
        <f>IF(OR(AB25="",AB34=""),"",MAX(1,SUMPRODUCT(--(INDEX('Tablas Técnicas'!$C$10:$L$643,,1)=AB25),--(INDEX('Tablas Técnicas'!$C$10:$L$643,,2)=AB34),INDEX('Tablas Técnicas'!$C$10:$L$643,,9))))</f>
        <v/>
      </c>
      <c r="AH34" s="2193">
        <f>P12</f>
        <v>1</v>
      </c>
      <c r="AI34" s="4558"/>
      <c r="AJ34" s="3089" t="s">
        <v>8818</v>
      </c>
      <c r="AK34" s="3089"/>
      <c r="AL34" s="3089"/>
      <c r="AM34" s="3089" t="b">
        <f t="array" ref="AM34">MAX(I29:I35,O29:O35,U29:U35,AA29:AA35,AG29:AG35,RIGHT(S21:S23,1))&gt;P12</f>
        <v>0</v>
      </c>
      <c r="AN34" s="3089"/>
      <c r="AO34" s="3089"/>
      <c r="AP34" s="3089"/>
      <c r="AQ34" s="3090"/>
      <c r="AR34" s="3091"/>
      <c r="AS34" s="3091"/>
      <c r="AT34" s="3091"/>
      <c r="AU34" s="3091"/>
      <c r="AV34" s="3091"/>
      <c r="AW34" s="3091"/>
      <c r="AX34" s="3091"/>
      <c r="AY34" s="3089"/>
    </row>
    <row r="35" spans="1:51" ht="12.2" customHeight="1" x14ac:dyDescent="0.2">
      <c r="A35" s="2185"/>
      <c r="B35" s="2099">
        <v>1</v>
      </c>
      <c r="C35" s="4538"/>
      <c r="D35" s="4570"/>
      <c r="E35" s="4571"/>
      <c r="F35" s="4571"/>
      <c r="G35" s="4571"/>
      <c r="H35" s="4571"/>
      <c r="I35" s="1945" t="str">
        <f>IF(OR(D25="",D35=""),"",MAX(1,SUMPRODUCT(--(INDEX('Tablas Técnicas'!$C$10:$L$643,,1)=D25),--(INDEX('Tablas Técnicas'!$C$10:$L$643,,2)=D35),INDEX('Tablas Técnicas'!$C$10:$L$643,,9))))</f>
        <v/>
      </c>
      <c r="J35" s="4570"/>
      <c r="K35" s="4571"/>
      <c r="L35" s="4571"/>
      <c r="M35" s="4571"/>
      <c r="N35" s="4571"/>
      <c r="O35" s="1945" t="str">
        <f>IF(OR(J25="",J35=""),"",MAX(1,SUMPRODUCT(--(INDEX('Tablas Técnicas'!$C$10:$L$643,,1)=J25),--(INDEX('Tablas Técnicas'!$C$10:$L$643,,2)=J35),INDEX('Tablas Técnicas'!$C$10:$L$643,,9))))</f>
        <v/>
      </c>
      <c r="P35" s="4570"/>
      <c r="Q35" s="4571"/>
      <c r="R35" s="4571"/>
      <c r="S35" s="4571"/>
      <c r="T35" s="4571"/>
      <c r="U35" s="1945" t="str">
        <f>IF(OR(P25="",P35=""),"",MAX(1,SUMPRODUCT(--(INDEX('Tablas Técnicas'!$C$10:$L$643,,1)=P25),--(INDEX('Tablas Técnicas'!$C$10:$L$643,,2)=P35),INDEX('Tablas Técnicas'!$C$10:$L$643,,9))))</f>
        <v/>
      </c>
      <c r="V35" s="4570"/>
      <c r="W35" s="4571"/>
      <c r="X35" s="4571"/>
      <c r="Y35" s="4571"/>
      <c r="Z35" s="4571"/>
      <c r="AA35" s="1945" t="str">
        <f>IF(OR(V25="",V35=""),"",MAX(1,SUMPRODUCT(--(INDEX('Tablas Técnicas'!$C$10:$L$643,,1)=V25),--(INDEX('Tablas Técnicas'!$C$10:$L$643,,2)=V35),INDEX('Tablas Técnicas'!$C$10:$L$643,,9))))</f>
        <v/>
      </c>
      <c r="AB35" s="4570"/>
      <c r="AC35" s="4571"/>
      <c r="AD35" s="4571"/>
      <c r="AE35" s="4571"/>
      <c r="AF35" s="4571"/>
      <c r="AG35" s="1946" t="str">
        <f>IF(OR(AB25="",AB35=""),"",MAX(1,SUMPRODUCT(--(INDEX('Tablas Técnicas'!$C$10:$L$643,,1)=AB25),--(INDEX('Tablas Técnicas'!$C$10:$L$643,,2)=AB35),INDEX('Tablas Técnicas'!$C$10:$L$643,,9))))</f>
        <v/>
      </c>
      <c r="AH35" s="2193">
        <f>P12</f>
        <v>1</v>
      </c>
      <c r="AI35" s="4558"/>
      <c r="AJ35" s="3089" t="s">
        <v>9324</v>
      </c>
      <c r="AK35" s="3089"/>
      <c r="AL35" s="3089"/>
      <c r="AM35" s="3089" t="b">
        <f>AND(COUNTIF(K16:M20,"Mantenido"),OR(COUNTIF(K16:M20,"Sostenimiento Menor"),COUNTIF(K16:M20,"Sostenimiento Mayor")))</f>
        <v>0</v>
      </c>
      <c r="AN35" s="3090"/>
      <c r="AO35" s="3089"/>
      <c r="AP35" s="3089"/>
      <c r="AQ35" s="3089"/>
      <c r="AR35" s="3089"/>
      <c r="AS35" s="3089"/>
      <c r="AT35" s="3089"/>
      <c r="AU35" s="3091"/>
      <c r="AV35" s="3091"/>
      <c r="AW35" s="3091"/>
      <c r="AX35" s="3091"/>
      <c r="AY35" s="3089"/>
    </row>
    <row r="36" spans="1:51" ht="12.2" customHeight="1" x14ac:dyDescent="0.2">
      <c r="A36" s="2185"/>
      <c r="B36" s="2099">
        <v>1</v>
      </c>
      <c r="C36" s="4538"/>
      <c r="D36" s="4549" t="s">
        <v>1549</v>
      </c>
      <c r="E36" s="4550"/>
      <c r="F36" s="4550"/>
      <c r="G36" s="4550"/>
      <c r="H36" s="4550"/>
      <c r="I36" s="4550"/>
      <c r="J36" s="4550"/>
      <c r="K36" s="4550"/>
      <c r="L36" s="4550"/>
      <c r="M36" s="4550"/>
      <c r="N36" s="4550"/>
      <c r="O36" s="4550"/>
      <c r="P36" s="4550"/>
      <c r="Q36" s="4550"/>
      <c r="R36" s="4550"/>
      <c r="S36" s="4550"/>
      <c r="T36" s="4550"/>
      <c r="U36" s="4550"/>
      <c r="V36" s="4550"/>
      <c r="W36" s="4550"/>
      <c r="X36" s="4550"/>
      <c r="Y36" s="4550"/>
      <c r="Z36" s="4550"/>
      <c r="AA36" s="4550"/>
      <c r="AB36" s="4550"/>
      <c r="AC36" s="4550"/>
      <c r="AD36" s="4550"/>
      <c r="AE36" s="4550"/>
      <c r="AF36" s="4550"/>
      <c r="AG36" s="4576"/>
      <c r="AH36" s="2193"/>
      <c r="AI36" s="4558"/>
      <c r="AJ36" s="3089" t="s">
        <v>9323</v>
      </c>
      <c r="AK36" s="3089"/>
      <c r="AL36" s="3089"/>
      <c r="AM36" s="3089" t="b">
        <f>OR(AND(ISNUMBER(SEARCH("Sostenimiento",K16)),OR(P12=1,MAX(I29:I35)=3)),AND(ISNUMBER(SEARCH("Sostenimiento",K17)),OR(P12=1,MAX(O29:O35)=3)),AND(ISNUMBER(SEARCH("Sostenimiento",K18)),OR(P12=1,MAX(U29:U35)=3)),AND(ISNUMBER(SEARCH("Sostenimiento",K19)),OR(P12=1,MAX(AA29:AA35)=3)),AND(ISNUMBER(SEARCH("Sostenimiento",K20)),OR(P12=1,MAX(AG29:AG35)=3)))</f>
        <v>0</v>
      </c>
      <c r="AN36" s="3089"/>
      <c r="AO36" s="3089"/>
      <c r="AP36" s="3089"/>
      <c r="AQ36" s="3090"/>
      <c r="AR36" s="3089"/>
      <c r="AS36" s="3089"/>
      <c r="AT36" s="3089"/>
      <c r="AU36" s="3091"/>
      <c r="AV36" s="3091"/>
      <c r="AW36" s="3091"/>
      <c r="AX36" s="3091"/>
      <c r="AY36" s="3089"/>
    </row>
    <row r="37" spans="1:51" ht="12.2" customHeight="1" x14ac:dyDescent="0.2">
      <c r="A37" s="2185"/>
      <c r="B37" s="2099">
        <v>1</v>
      </c>
      <c r="C37" s="4538"/>
      <c r="D37" s="4578"/>
      <c r="E37" s="4698"/>
      <c r="F37" s="4698"/>
      <c r="G37" s="4698"/>
      <c r="H37" s="4698"/>
      <c r="I37" s="4698"/>
      <c r="J37" s="4698"/>
      <c r="K37" s="4698"/>
      <c r="L37" s="4698"/>
      <c r="M37" s="4698"/>
      <c r="N37" s="4698"/>
      <c r="O37" s="4698"/>
      <c r="P37" s="4698"/>
      <c r="Q37" s="4698"/>
      <c r="R37" s="4698"/>
      <c r="S37" s="4698"/>
      <c r="T37" s="4698"/>
      <c r="U37" s="4698"/>
      <c r="V37" s="4698"/>
      <c r="W37" s="4698"/>
      <c r="X37" s="4698"/>
      <c r="Y37" s="4698"/>
      <c r="Z37" s="4698"/>
      <c r="AA37" s="4698"/>
      <c r="AB37" s="4698"/>
      <c r="AC37" s="4698"/>
      <c r="AD37" s="4698"/>
      <c r="AE37" s="4698"/>
      <c r="AF37" s="4698"/>
      <c r="AG37" s="4580"/>
      <c r="AH37" s="2193"/>
      <c r="AI37" s="4558"/>
      <c r="AJ37" s="3089" t="s">
        <v>9331</v>
      </c>
      <c r="AK37" s="3089"/>
      <c r="AL37" s="3089"/>
      <c r="AM37" s="308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89"/>
      <c r="AO37" s="3089"/>
      <c r="AP37" s="3089"/>
      <c r="AQ37" s="3090"/>
      <c r="AR37" s="3089"/>
      <c r="AS37" s="3089"/>
      <c r="AT37" s="3089"/>
      <c r="AU37" s="3091"/>
      <c r="AV37" s="3091"/>
      <c r="AW37" s="3091"/>
      <c r="AX37" s="3091"/>
      <c r="AY37" s="3089"/>
    </row>
    <row r="38" spans="1:51" ht="12.2" customHeight="1" x14ac:dyDescent="0.2">
      <c r="A38" s="2185"/>
      <c r="B38" s="2099">
        <v>1</v>
      </c>
      <c r="C38" s="4538"/>
      <c r="D38" s="4578"/>
      <c r="E38" s="4698"/>
      <c r="F38" s="4698"/>
      <c r="G38" s="4698"/>
      <c r="H38" s="4698"/>
      <c r="I38" s="4698"/>
      <c r="J38" s="4698"/>
      <c r="K38" s="4698"/>
      <c r="L38" s="4698"/>
      <c r="M38" s="4698"/>
      <c r="N38" s="4698"/>
      <c r="O38" s="4698"/>
      <c r="P38" s="4698"/>
      <c r="Q38" s="4698"/>
      <c r="R38" s="4698"/>
      <c r="S38" s="4698"/>
      <c r="T38" s="4698"/>
      <c r="U38" s="4698"/>
      <c r="V38" s="4698"/>
      <c r="W38" s="4698"/>
      <c r="X38" s="4698"/>
      <c r="Y38" s="4698"/>
      <c r="Z38" s="4698"/>
      <c r="AA38" s="4698"/>
      <c r="AB38" s="4698"/>
      <c r="AC38" s="4698"/>
      <c r="AD38" s="4698"/>
      <c r="AE38" s="4698"/>
      <c r="AF38" s="4698"/>
      <c r="AG38" s="4580"/>
      <c r="AH38" s="2193"/>
      <c r="AI38" s="4558"/>
      <c r="AJ38" s="3089" t="s">
        <v>9310</v>
      </c>
      <c r="AK38" s="3089"/>
      <c r="AL38" s="3089"/>
      <c r="AM38" s="3089" t="b">
        <f>AND((IF(SUM(V16:V20)&gt;0,1,0)+IF(SUM(X16:X20)&gt;0,1,0)+IF(SUM(Z16:Z20)&gt;0,1,0)+IF(SUM(AB16:AB20)&gt;0,1,0)+IF(SUM(AD16:AD20,)&gt;0,1,0)+IF(SUM(AF16:AF20)&gt;0,1,0))&lt;3,OR(V23&lt;0,X23&lt;0,Z23&lt;0,AB23&lt;0,AD23&lt;0,AF23&lt;0,Y21&lt;0))</f>
        <v>0</v>
      </c>
      <c r="AN38" s="3089"/>
      <c r="AO38" s="3089"/>
      <c r="AP38" s="3089"/>
      <c r="AQ38" s="3090"/>
      <c r="AR38" s="3089"/>
      <c r="AS38" s="3089"/>
      <c r="AT38" s="3089"/>
      <c r="AU38" s="3091"/>
      <c r="AV38" s="3091"/>
      <c r="AW38" s="3091"/>
      <c r="AX38" s="3091"/>
      <c r="AY38" s="3089"/>
    </row>
    <row r="39" spans="1:51" ht="12.2" customHeight="1" x14ac:dyDescent="0.2">
      <c r="A39" s="2185"/>
      <c r="B39" s="2099">
        <v>1</v>
      </c>
      <c r="C39" s="4538"/>
      <c r="D39" s="4578"/>
      <c r="E39" s="4698"/>
      <c r="F39" s="4698"/>
      <c r="G39" s="4698"/>
      <c r="H39" s="4698"/>
      <c r="I39" s="4698"/>
      <c r="J39" s="4698"/>
      <c r="K39" s="4698"/>
      <c r="L39" s="4698"/>
      <c r="M39" s="4698"/>
      <c r="N39" s="4698"/>
      <c r="O39" s="4698"/>
      <c r="P39" s="4698"/>
      <c r="Q39" s="4698"/>
      <c r="R39" s="4698"/>
      <c r="S39" s="4698"/>
      <c r="T39" s="4698"/>
      <c r="U39" s="4698"/>
      <c r="V39" s="4698"/>
      <c r="W39" s="4698"/>
      <c r="X39" s="4698"/>
      <c r="Y39" s="4698"/>
      <c r="Z39" s="4698"/>
      <c r="AA39" s="4698"/>
      <c r="AB39" s="4698"/>
      <c r="AC39" s="4698"/>
      <c r="AD39" s="4698"/>
      <c r="AE39" s="4698"/>
      <c r="AF39" s="4698"/>
      <c r="AG39" s="4580"/>
      <c r="AH39" s="2193"/>
      <c r="AI39" s="4558"/>
      <c r="AJ39" s="3089" t="s">
        <v>9325</v>
      </c>
      <c r="AK39" s="3089"/>
      <c r="AL39" s="3089"/>
      <c r="AM39" s="3089" t="b">
        <f>OR(-V23&gt;TRUNC(SUM(V16:V20)/2),-X23&gt;TRUNC(SUM(X16:X20)/2),-Z23&gt;TRUNC(SUM(Z16:Z20)/2),-AB23&gt;TRUNC(SUM(AB16:AB20)/2),-AD23&gt;TRUNC(SUM(AD16:AD20)/2),-AF23&gt;TRUNC(SUM(AF16:AF20)/2))</f>
        <v>0</v>
      </c>
      <c r="AN39" s="3089"/>
      <c r="AO39" s="3089"/>
      <c r="AP39" s="3089"/>
      <c r="AQ39" s="3090"/>
      <c r="AR39" s="3089"/>
      <c r="AS39" s="3089"/>
      <c r="AT39" s="3089"/>
      <c r="AU39" s="3091"/>
      <c r="AV39" s="3091"/>
      <c r="AW39" s="3091"/>
      <c r="AX39" s="3091"/>
      <c r="AY39" s="3089"/>
    </row>
    <row r="40" spans="1:51" ht="12.2" customHeight="1" x14ac:dyDescent="0.2">
      <c r="A40" s="2185"/>
      <c r="B40" s="2099">
        <v>1</v>
      </c>
      <c r="C40" s="4538"/>
      <c r="D40" s="4578"/>
      <c r="E40" s="4698"/>
      <c r="F40" s="4698"/>
      <c r="G40" s="4698"/>
      <c r="H40" s="4698"/>
      <c r="I40" s="4698"/>
      <c r="J40" s="4698"/>
      <c r="K40" s="4698"/>
      <c r="L40" s="4698"/>
      <c r="M40" s="4698"/>
      <c r="N40" s="4698"/>
      <c r="O40" s="4698"/>
      <c r="P40" s="4698"/>
      <c r="Q40" s="4698"/>
      <c r="R40" s="4698"/>
      <c r="S40" s="4698"/>
      <c r="T40" s="4698"/>
      <c r="U40" s="4698"/>
      <c r="V40" s="4698"/>
      <c r="W40" s="4698"/>
      <c r="X40" s="4698"/>
      <c r="Y40" s="4698"/>
      <c r="Z40" s="4698"/>
      <c r="AA40" s="4698"/>
      <c r="AB40" s="4698"/>
      <c r="AC40" s="4698"/>
      <c r="AD40" s="4698"/>
      <c r="AE40" s="4698"/>
      <c r="AF40" s="4698"/>
      <c r="AG40" s="4580"/>
      <c r="AH40" s="2193"/>
      <c r="AI40" s="4558"/>
      <c r="AJ40" s="3089" t="s">
        <v>9326</v>
      </c>
      <c r="AK40" s="3089"/>
      <c r="AL40" s="3089"/>
      <c r="AM40" s="3089" t="b">
        <f>COUNTIF(D16:E20,"Primario")&gt;1</f>
        <v>0</v>
      </c>
      <c r="AN40" s="3089"/>
      <c r="AO40" s="3089"/>
      <c r="AP40" s="3089"/>
      <c r="AQ40" s="3090"/>
      <c r="AR40" s="3090"/>
      <c r="AS40" s="3090"/>
      <c r="AT40" s="3090"/>
      <c r="AU40" s="3091"/>
      <c r="AV40" s="3091"/>
      <c r="AW40" s="3091"/>
      <c r="AX40" s="3089"/>
      <c r="AY40" s="3089"/>
    </row>
    <row r="41" spans="1:51" ht="12.2" customHeight="1" x14ac:dyDescent="0.2">
      <c r="A41" s="2185"/>
      <c r="B41" s="2099">
        <v>1</v>
      </c>
      <c r="C41" s="4538"/>
      <c r="D41" s="4578"/>
      <c r="E41" s="4698"/>
      <c r="F41" s="4698"/>
      <c r="G41" s="4698"/>
      <c r="H41" s="4698"/>
      <c r="I41" s="4698"/>
      <c r="J41" s="4698"/>
      <c r="K41" s="4698"/>
      <c r="L41" s="4698"/>
      <c r="M41" s="4698"/>
      <c r="N41" s="4698"/>
      <c r="O41" s="4698"/>
      <c r="P41" s="4698"/>
      <c r="Q41" s="4698"/>
      <c r="R41" s="4698"/>
      <c r="S41" s="4698"/>
      <c r="T41" s="4698"/>
      <c r="U41" s="4698"/>
      <c r="V41" s="4698"/>
      <c r="W41" s="4698"/>
      <c r="X41" s="4698"/>
      <c r="Y41" s="4698"/>
      <c r="Z41" s="4698"/>
      <c r="AA41" s="4698"/>
      <c r="AB41" s="4698"/>
      <c r="AC41" s="4698"/>
      <c r="AD41" s="4698"/>
      <c r="AE41" s="4698"/>
      <c r="AF41" s="4698"/>
      <c r="AG41" s="4580"/>
      <c r="AH41" s="2193"/>
      <c r="AI41" s="4558"/>
      <c r="AJ41" s="3089" t="s">
        <v>9309</v>
      </c>
      <c r="AK41" s="3089"/>
      <c r="AL41" s="3089"/>
      <c r="AM41" s="3089" t="b">
        <f>SUM(V23:AG23)&lt;&gt;Y21+ABS(AC21)*2/5+IF(S12="Sí",3*P12,0)</f>
        <v>0</v>
      </c>
      <c r="AN41" s="3089"/>
      <c r="AO41" s="3089"/>
      <c r="AP41" s="3089"/>
      <c r="AQ41" s="3090"/>
      <c r="AR41" s="3090"/>
      <c r="AS41" s="3090"/>
      <c r="AT41" s="3090"/>
      <c r="AU41" s="3091"/>
      <c r="AV41" s="3091"/>
      <c r="AW41" s="3091"/>
      <c r="AX41" s="3089"/>
      <c r="AY41" s="3089"/>
    </row>
    <row r="42" spans="1:51" ht="12.2" customHeight="1" x14ac:dyDescent="0.2">
      <c r="A42" s="2185"/>
      <c r="B42" s="2099">
        <v>1</v>
      </c>
      <c r="C42" s="4538"/>
      <c r="D42" s="4578"/>
      <c r="E42" s="4698"/>
      <c r="F42" s="4698"/>
      <c r="G42" s="4698"/>
      <c r="H42" s="4698"/>
      <c r="I42" s="4698"/>
      <c r="J42" s="4698"/>
      <c r="K42" s="4698"/>
      <c r="L42" s="4698"/>
      <c r="M42" s="4698"/>
      <c r="N42" s="4698"/>
      <c r="O42" s="4698"/>
      <c r="P42" s="4698"/>
      <c r="Q42" s="4698"/>
      <c r="R42" s="4698"/>
      <c r="S42" s="4698"/>
      <c r="T42" s="4698"/>
      <c r="U42" s="4698"/>
      <c r="V42" s="4698"/>
      <c r="W42" s="4698"/>
      <c r="X42" s="4698"/>
      <c r="Y42" s="4698"/>
      <c r="Z42" s="4698"/>
      <c r="AA42" s="4698"/>
      <c r="AB42" s="4698"/>
      <c r="AC42" s="4698"/>
      <c r="AD42" s="4698"/>
      <c r="AE42" s="4698"/>
      <c r="AF42" s="4698"/>
      <c r="AG42" s="4580"/>
      <c r="AH42" s="2193"/>
      <c r="AI42" s="4558"/>
      <c r="AJ42" s="3089" t="s">
        <v>9308</v>
      </c>
      <c r="AK42" s="3089"/>
      <c r="AL42" s="3089"/>
      <c r="AM42" s="3089" t="b">
        <f>AL29-AL30+AM29-AM30&lt;&gt;0</f>
        <v>0</v>
      </c>
      <c r="AN42" s="3091"/>
      <c r="AO42" s="3091"/>
      <c r="AP42" s="3091"/>
      <c r="AQ42" s="3091"/>
      <c r="AR42" s="3090"/>
      <c r="AS42" s="3090"/>
      <c r="AT42" s="3090"/>
      <c r="AU42" s="3091"/>
      <c r="AV42" s="3091"/>
      <c r="AW42" s="3091"/>
      <c r="AX42" s="3089"/>
      <c r="AY42" s="3089"/>
    </row>
    <row r="43" spans="1:51" ht="12.2" customHeight="1" thickBot="1" x14ac:dyDescent="0.25">
      <c r="A43" s="2185"/>
      <c r="B43" s="2099"/>
      <c r="C43" s="4539"/>
      <c r="D43" s="4540"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41"/>
      <c r="F43" s="4541"/>
      <c r="G43" s="4541"/>
      <c r="H43" s="4541"/>
      <c r="I43" s="4541"/>
      <c r="J43" s="4541"/>
      <c r="K43" s="4541"/>
      <c r="L43" s="4541"/>
      <c r="M43" s="4541"/>
      <c r="N43" s="4541"/>
      <c r="O43" s="4541"/>
      <c r="P43" s="4541"/>
      <c r="Q43" s="4541"/>
      <c r="R43" s="4541"/>
      <c r="S43" s="4541"/>
      <c r="T43" s="4541"/>
      <c r="U43" s="4541"/>
      <c r="V43" s="4541"/>
      <c r="W43" s="4541"/>
      <c r="X43" s="4541"/>
      <c r="Y43" s="4541"/>
      <c r="Z43" s="4541"/>
      <c r="AA43" s="4541"/>
      <c r="AB43" s="4541"/>
      <c r="AC43" s="4541"/>
      <c r="AD43" s="4541"/>
      <c r="AE43" s="4541"/>
      <c r="AF43" s="4541"/>
      <c r="AG43" s="4542"/>
      <c r="AH43" s="2193"/>
      <c r="AI43" s="4558"/>
      <c r="AJ43" s="3089" t="s">
        <v>9345</v>
      </c>
      <c r="AK43" s="3091"/>
      <c r="AL43" s="3091"/>
      <c r="AM43" s="3091" t="b">
        <f>ABS(SUM(N21:N23))&gt;(SUM(N16:N20)-10*Y21+AC21+IF(S12="Sí",10*P12,0)+IF(COUNTIF(K16:M20,"Mantenido")&gt;0,P12*10)+MAX(IF(COUNTIF(K16:M20,"Sostenimiento Menor")&gt;0,P12*20)+IF(COUNTIF(K16:M20,"Sostenimiento Mayor")&gt;0,P12*30)))/2</f>
        <v>0</v>
      </c>
      <c r="AN43" s="3089"/>
      <c r="AO43" s="3089"/>
      <c r="AP43" s="3089"/>
      <c r="AQ43" s="3089"/>
      <c r="AR43" s="3090"/>
      <c r="AS43" s="3090"/>
      <c r="AT43" s="3090"/>
      <c r="AU43" s="3091"/>
      <c r="AV43" s="3091"/>
      <c r="AW43" s="3091"/>
      <c r="AX43" s="3089"/>
      <c r="AY43" s="3089"/>
    </row>
    <row r="44" spans="1:51" ht="12.2" customHeight="1" x14ac:dyDescent="0.2">
      <c r="A44" s="2185"/>
      <c r="B44" s="2099"/>
      <c r="C44" s="4535"/>
      <c r="D44" s="4535" t="str">
        <f>IFERROR(VLOOKUP(D25,'Tablas Técnicas'!$O$9:$T$88,2,FALSE),"")</f>
        <v/>
      </c>
      <c r="E44" s="4535"/>
      <c r="F44" s="4535"/>
      <c r="G44" s="4535"/>
      <c r="H44" s="4535"/>
      <c r="I44" s="4535"/>
      <c r="J44" s="4535" t="str">
        <f>IFERROR(VLOOKUP(J25,'Tablas Técnicas'!$O$9:$T$88,2,FALSE),"")</f>
        <v/>
      </c>
      <c r="K44" s="4535"/>
      <c r="L44" s="4535"/>
      <c r="M44" s="4535"/>
      <c r="N44" s="4535"/>
      <c r="O44" s="4535"/>
      <c r="P44" s="4535" t="str">
        <f>IFERROR(VLOOKUP(P25,'Tablas Técnicas'!$O$9:$T$88,2,FALSE),"")</f>
        <v/>
      </c>
      <c r="Q44" s="4535"/>
      <c r="R44" s="4535"/>
      <c r="S44" s="4535"/>
      <c r="T44" s="4535"/>
      <c r="U44" s="4535"/>
      <c r="V44" s="4535" t="str">
        <f>IFERROR(VLOOKUP(V25,'Tablas Técnicas'!$O$9:$T$88,2,FALSE),"")</f>
        <v/>
      </c>
      <c r="W44" s="4535"/>
      <c r="X44" s="4535"/>
      <c r="Y44" s="4535"/>
      <c r="Z44" s="4535"/>
      <c r="AA44" s="4535"/>
      <c r="AB44" s="4535" t="str">
        <f>IFERROR(VLOOKUP(AB25,'Tablas Técnicas'!$O$9:$T$88,2,FALSE),"")</f>
        <v/>
      </c>
      <c r="AC44" s="4535"/>
      <c r="AD44" s="4535"/>
      <c r="AE44" s="4535"/>
      <c r="AF44" s="4535"/>
      <c r="AG44" s="4535"/>
      <c r="AH44" s="2193"/>
      <c r="AI44" s="2160"/>
      <c r="AJ44" s="3089"/>
      <c r="AK44" s="3089"/>
      <c r="AL44" s="3089"/>
      <c r="AM44" s="3089"/>
      <c r="AN44" s="3089"/>
      <c r="AO44" s="3089"/>
      <c r="AP44" s="3089"/>
      <c r="AQ44" s="3089"/>
      <c r="AR44" s="3090"/>
      <c r="AS44" s="3090"/>
      <c r="AT44" s="3090"/>
      <c r="AU44" s="3091"/>
      <c r="AV44" s="3091"/>
      <c r="AW44" s="3091"/>
      <c r="AX44" s="3091"/>
      <c r="AY44" s="3089"/>
    </row>
    <row r="45" spans="1:51" ht="12.2" customHeight="1" thickBot="1" x14ac:dyDescent="0.25">
      <c r="A45" s="2185"/>
      <c r="B45" s="2099"/>
      <c r="C45" s="4535"/>
      <c r="D45" s="2556"/>
      <c r="E45" s="2557"/>
      <c r="F45" s="2557"/>
      <c r="G45" s="2557"/>
      <c r="H45" s="2557"/>
      <c r="I45" s="2557"/>
      <c r="J45" s="2557"/>
      <c r="K45" s="2557"/>
      <c r="L45" s="2557"/>
      <c r="M45" s="2557"/>
      <c r="N45" s="2557"/>
      <c r="O45" s="2557"/>
      <c r="P45" s="2557"/>
      <c r="Q45" s="2557"/>
      <c r="R45" s="2557"/>
      <c r="S45" s="2557"/>
      <c r="T45" s="2557"/>
      <c r="U45" s="2557"/>
      <c r="V45" s="2558"/>
      <c r="W45" s="2558"/>
      <c r="X45" s="2558"/>
      <c r="Y45" s="2558"/>
      <c r="Z45" s="2558"/>
      <c r="AA45" s="2558"/>
      <c r="AB45" s="2558"/>
      <c r="AC45" s="2558"/>
      <c r="AD45" s="2558"/>
      <c r="AE45" s="2558"/>
      <c r="AF45" s="2557"/>
      <c r="AG45" s="2557"/>
      <c r="AH45" s="2193"/>
      <c r="AI45" s="1921"/>
      <c r="AJ45" s="3097"/>
      <c r="AK45" s="3097"/>
      <c r="AL45" s="3097"/>
      <c r="AM45" s="3097"/>
      <c r="AN45" s="3097"/>
      <c r="AO45" s="3097"/>
      <c r="AP45" s="3089"/>
      <c r="AQ45" s="3090"/>
      <c r="AR45" s="3091"/>
      <c r="AS45" s="3091"/>
      <c r="AT45" s="3091"/>
      <c r="AU45" s="3091"/>
      <c r="AV45" s="3091"/>
      <c r="AW45" s="3091"/>
      <c r="AX45" s="3091"/>
      <c r="AY45" s="3098"/>
    </row>
    <row r="46" spans="1:51" ht="12.2" customHeight="1" x14ac:dyDescent="0.2">
      <c r="A46" s="2185"/>
      <c r="B46" s="2099">
        <f t="shared" ref="B46:B76" si="0">1+B12</f>
        <v>2</v>
      </c>
      <c r="C46" s="4537" t="str">
        <f>"Técnica "&amp;B46</f>
        <v>Técnica 2</v>
      </c>
      <c r="D46" s="4636" t="s">
        <v>8716</v>
      </c>
      <c r="E46" s="4637"/>
      <c r="F46" s="4637"/>
      <c r="G46" s="4637"/>
      <c r="H46" s="4637"/>
      <c r="I46" s="4637"/>
      <c r="J46" s="4637"/>
      <c r="K46" s="4637"/>
      <c r="L46" s="4637"/>
      <c r="M46" s="4637"/>
      <c r="N46" s="4638"/>
      <c r="O46" s="4642" t="s">
        <v>1325</v>
      </c>
      <c r="P46" s="4644">
        <v>1</v>
      </c>
      <c r="Q46" s="4646" t="s">
        <v>8800</v>
      </c>
      <c r="R46" s="4647"/>
      <c r="S46" s="4650" t="s">
        <v>1381</v>
      </c>
      <c r="T46" s="4651" t="s">
        <v>1506</v>
      </c>
      <c r="U46" s="4653">
        <f>MAX(IF(P46=3,60,IF(P46=2,40,20)),MIN(SUM(N50:N57)-10*Y55+AC55+IF(S46="Sí",10*P46,0)+IF(COUNTIF(K50:M54,"Mantenido")&gt;0,P46*10)+MAX(IF(COUNTIF(K50:M54,"Sostenimiento Menor")&gt;0,P46*20)+IF(COUNTIF(K50:M54,"Sostenimiento Mayor")&gt;0,P46*30))))</f>
        <v>20</v>
      </c>
      <c r="V46" s="4646" t="s">
        <v>8801</v>
      </c>
      <c r="W46" s="4651"/>
      <c r="X46" s="4566" t="str">
        <f>IFERROR(LEFT(AK62&amp;AL62&amp;AM62&amp;AN62&amp;AO62&amp;AP62,LEN(AK62&amp;AL62&amp;AM62&amp;AN62&amp;AO62&amp;AP62)-2),"")</f>
        <v/>
      </c>
      <c r="Y46" s="4566"/>
      <c r="Z46" s="4566"/>
      <c r="AA46" s="4566"/>
      <c r="AB46" s="4566"/>
      <c r="AC46" s="4566"/>
      <c r="AD46" s="4566"/>
      <c r="AE46" s="4566"/>
      <c r="AF46" s="4566"/>
      <c r="AG46" s="4567"/>
      <c r="AH46" s="2193"/>
      <c r="AI46" s="4558"/>
      <c r="AJ46" s="3094" t="s">
        <v>9342</v>
      </c>
      <c r="AK46" s="3094"/>
      <c r="AL46" s="3094"/>
      <c r="AM46" s="3094"/>
      <c r="AN46" s="3094"/>
      <c r="AO46" s="3094"/>
      <c r="AP46" s="3094"/>
      <c r="AQ46" s="3094"/>
      <c r="AR46" s="3094"/>
      <c r="AS46" s="3089"/>
      <c r="AT46" s="3089"/>
      <c r="AU46" s="3089"/>
      <c r="AV46" s="3089"/>
      <c r="AW46" s="3091"/>
      <c r="AX46" s="3091"/>
      <c r="AY46" s="3089"/>
    </row>
    <row r="47" spans="1:51" ht="12.2" customHeight="1" x14ac:dyDescent="0.2">
      <c r="A47" s="2185"/>
      <c r="B47" s="2099">
        <f t="shared" si="0"/>
        <v>2</v>
      </c>
      <c r="C47" s="4538"/>
      <c r="D47" s="4639"/>
      <c r="E47" s="4685"/>
      <c r="F47" s="4685"/>
      <c r="G47" s="4685"/>
      <c r="H47" s="4685"/>
      <c r="I47" s="4685"/>
      <c r="J47" s="4685"/>
      <c r="K47" s="4685"/>
      <c r="L47" s="4685"/>
      <c r="M47" s="4685"/>
      <c r="N47" s="4686"/>
      <c r="O47" s="4643"/>
      <c r="P47" s="4645"/>
      <c r="Q47" s="4648"/>
      <c r="R47" s="4649"/>
      <c r="S47" s="4645"/>
      <c r="T47" s="4687"/>
      <c r="U47" s="4688"/>
      <c r="V47" s="4648"/>
      <c r="W47" s="4687"/>
      <c r="X47" s="4693"/>
      <c r="Y47" s="4693"/>
      <c r="Z47" s="4693"/>
      <c r="AA47" s="4693"/>
      <c r="AB47" s="4693"/>
      <c r="AC47" s="4693"/>
      <c r="AD47" s="4693"/>
      <c r="AE47" s="4693"/>
      <c r="AF47" s="4693"/>
      <c r="AG47" s="4569"/>
      <c r="AH47" s="2193"/>
      <c r="AI47" s="4558"/>
      <c r="AJ47" s="3094"/>
      <c r="AK47" s="3094" t="s">
        <v>9343</v>
      </c>
      <c r="AL47" s="3094" t="s">
        <v>10464</v>
      </c>
      <c r="AM47" s="3095"/>
      <c r="AN47" s="3095"/>
      <c r="AO47" s="3095"/>
      <c r="AP47" s="3095"/>
      <c r="AQ47" s="3095"/>
      <c r="AR47" s="3094"/>
      <c r="AS47" s="3089"/>
      <c r="AT47" s="3089"/>
      <c r="AU47" s="3089"/>
      <c r="AV47" s="3089"/>
      <c r="AW47" s="3091"/>
      <c r="AX47" s="4536" t="s">
        <v>9312</v>
      </c>
      <c r="AY47" s="4536"/>
    </row>
    <row r="48" spans="1:51" ht="12.2" customHeight="1" x14ac:dyDescent="0.2">
      <c r="A48" s="2185"/>
      <c r="B48" s="2099">
        <f t="shared" si="0"/>
        <v>2</v>
      </c>
      <c r="C48" s="4538"/>
      <c r="D48" s="4549" t="s">
        <v>2824</v>
      </c>
      <c r="E48" s="4550"/>
      <c r="F48" s="4550"/>
      <c r="G48" s="4550"/>
      <c r="H48" s="4550"/>
      <c r="I48" s="4550"/>
      <c r="J48" s="4550"/>
      <c r="K48" s="4633" t="s">
        <v>9636</v>
      </c>
      <c r="L48" s="4633"/>
      <c r="M48" s="4633"/>
      <c r="N48" s="4550" t="s">
        <v>1500</v>
      </c>
      <c r="O48" s="4633" t="s">
        <v>2822</v>
      </c>
      <c r="P48" s="4633" t="s">
        <v>8802</v>
      </c>
      <c r="Q48" s="4550" t="s">
        <v>1364</v>
      </c>
      <c r="R48" s="4550"/>
      <c r="S48" s="4550"/>
      <c r="T48" s="4550"/>
      <c r="U48" s="4550"/>
      <c r="V48" s="4613" t="s">
        <v>1373</v>
      </c>
      <c r="W48" s="4608"/>
      <c r="X48" s="4613" t="s">
        <v>1498</v>
      </c>
      <c r="Y48" s="4614"/>
      <c r="Z48" s="4608" t="s">
        <v>1378</v>
      </c>
      <c r="AA48" s="4608"/>
      <c r="AB48" s="4613" t="s">
        <v>1383</v>
      </c>
      <c r="AC48" s="4614"/>
      <c r="AD48" s="4608" t="s">
        <v>1391</v>
      </c>
      <c r="AE48" s="4608"/>
      <c r="AF48" s="4613" t="s">
        <v>1392</v>
      </c>
      <c r="AG48" s="4609"/>
      <c r="AH48" s="2193"/>
      <c r="AI48" s="4558"/>
      <c r="AJ48" s="3089"/>
      <c r="AK48" s="3089"/>
      <c r="AL48" s="3089" t="s">
        <v>9614</v>
      </c>
      <c r="AM48" s="3089"/>
      <c r="AN48" s="3089"/>
      <c r="AO48" s="3089"/>
      <c r="AP48" s="3089"/>
      <c r="AQ48" s="3089"/>
      <c r="AR48" s="3091"/>
      <c r="AS48" s="3091" t="s">
        <v>9332</v>
      </c>
      <c r="AT48" s="3091" t="s">
        <v>9333</v>
      </c>
      <c r="AU48" s="3089" t="s">
        <v>9321</v>
      </c>
      <c r="AV48" s="3089" t="s">
        <v>9322</v>
      </c>
      <c r="AW48" s="3091" t="s">
        <v>1500</v>
      </c>
      <c r="AX48" s="3091" t="s">
        <v>8804</v>
      </c>
      <c r="AY48" s="3089" t="s">
        <v>8805</v>
      </c>
    </row>
    <row r="49" spans="1:51" ht="12.2" customHeight="1" x14ac:dyDescent="0.2">
      <c r="A49" s="2185"/>
      <c r="B49" s="2099">
        <f t="shared" si="0"/>
        <v>2</v>
      </c>
      <c r="C49" s="4538"/>
      <c r="D49" s="4691"/>
      <c r="E49" s="4692"/>
      <c r="F49" s="4692"/>
      <c r="G49" s="4692"/>
      <c r="H49" s="4692"/>
      <c r="I49" s="4692"/>
      <c r="J49" s="4692"/>
      <c r="K49" s="4689"/>
      <c r="L49" s="4689"/>
      <c r="M49" s="4689"/>
      <c r="N49" s="4679"/>
      <c r="O49" s="4689"/>
      <c r="P49" s="4690"/>
      <c r="Q49" s="4679"/>
      <c r="R49" s="4679"/>
      <c r="S49" s="4679"/>
      <c r="T49" s="4679"/>
      <c r="U49" s="4679"/>
      <c r="V49" s="2537" t="s">
        <v>9311</v>
      </c>
      <c r="W49" s="2538" t="s">
        <v>2828</v>
      </c>
      <c r="X49" s="2537" t="s">
        <v>9311</v>
      </c>
      <c r="Y49" s="2538" t="s">
        <v>2828</v>
      </c>
      <c r="Z49" s="2537" t="s">
        <v>9311</v>
      </c>
      <c r="AA49" s="2538" t="s">
        <v>2828</v>
      </c>
      <c r="AB49" s="2537" t="s">
        <v>9311</v>
      </c>
      <c r="AC49" s="2538" t="s">
        <v>2828</v>
      </c>
      <c r="AD49" s="2537" t="s">
        <v>9311</v>
      </c>
      <c r="AE49" s="2538" t="s">
        <v>2828</v>
      </c>
      <c r="AF49" s="2537" t="s">
        <v>9311</v>
      </c>
      <c r="AG49" s="2539" t="s">
        <v>2828</v>
      </c>
      <c r="AH49" s="2193"/>
      <c r="AI49" s="4558"/>
      <c r="AJ49" s="3089"/>
      <c r="AK49" s="3089" t="s">
        <v>9313</v>
      </c>
      <c r="AL49" s="3089">
        <v>1</v>
      </c>
      <c r="AM49" s="3089">
        <v>2</v>
      </c>
      <c r="AN49" s="3089">
        <v>3</v>
      </c>
      <c r="AO49" s="3089">
        <v>4</v>
      </c>
      <c r="AP49" s="3089">
        <v>5</v>
      </c>
      <c r="AQ49" s="3089">
        <v>6</v>
      </c>
      <c r="AR49" s="3089">
        <v>7</v>
      </c>
      <c r="AS49" s="3091"/>
      <c r="AT49" s="3089" t="s">
        <v>9344</v>
      </c>
      <c r="AU49" s="3091"/>
      <c r="AV49" s="3091"/>
      <c r="AW49" s="3091" t="s">
        <v>9344</v>
      </c>
      <c r="AX49" s="3091"/>
      <c r="AY49" s="3089"/>
    </row>
    <row r="50" spans="1:51" ht="12.2" customHeight="1" x14ac:dyDescent="0.2">
      <c r="A50" s="2185"/>
      <c r="B50" s="2099">
        <f t="shared" si="0"/>
        <v>2</v>
      </c>
      <c r="C50" s="4538"/>
      <c r="D50" s="4624" t="s">
        <v>8806</v>
      </c>
      <c r="E50" s="4625"/>
      <c r="F50" s="4626"/>
      <c r="G50" s="4627"/>
      <c r="H50" s="4627"/>
      <c r="I50" s="4627"/>
      <c r="J50" s="4628"/>
      <c r="K50" s="4595" t="s">
        <v>1456</v>
      </c>
      <c r="L50" s="4596"/>
      <c r="M50" s="4597"/>
      <c r="N50" s="2531">
        <f>IF(AW50&gt;0,IF(VLOOKUP(F50,'Tablas Técnicas'!$O$9:$X$88,10,0),MAX(5,AW50-5),AW50),0)</f>
        <v>0</v>
      </c>
      <c r="O50" s="2531" t="str">
        <f>AS50&amp;" / "&amp;AT50</f>
        <v>0 / 0</v>
      </c>
      <c r="P50" s="2531" t="str">
        <f t="array" ref="P50">W50+Y50+AA50+AC50+AE50+AG50&amp;" / "&amp;IF(K50&lt;&gt;"Mantenido",0,SUM(IF($AL50:$AR50='Tablas Técnicas'!$L$10:$L$643,'Tablas Técnicas'!$H$10:$H$643,0)))</f>
        <v>0 / 0</v>
      </c>
      <c r="Q50" s="4632" t="str">
        <f>IFERROR(VLOOKUP(F50,'Tablas Técnicas'!$O$9:$T$88,5,FALSE),"")</f>
        <v/>
      </c>
      <c r="R50" s="4632"/>
      <c r="S50" s="4632"/>
      <c r="T50" s="4632"/>
      <c r="U50" s="4632"/>
      <c r="V50" s="2055"/>
      <c r="W50" s="2056"/>
      <c r="X50" s="2055"/>
      <c r="Y50" s="2057"/>
      <c r="Z50" s="2058"/>
      <c r="AA50" s="2056"/>
      <c r="AB50" s="2055"/>
      <c r="AC50" s="2057"/>
      <c r="AD50" s="2058"/>
      <c r="AE50" s="2056"/>
      <c r="AF50" s="2055"/>
      <c r="AG50" s="2059"/>
      <c r="AH50" s="2193"/>
      <c r="AI50" s="4558"/>
      <c r="AJ50" s="3089">
        <v>1</v>
      </c>
      <c r="AK50" s="3089">
        <f>P46</f>
        <v>1</v>
      </c>
      <c r="AL50" s="3089" t="str">
        <f>IF(AND(ISNUMBER(MATCH($F50,'Tablas Técnicas'!$L$10:$L$643,0)),INDEX($D63:$D69,Tablas!A$1)="",COUNTIF(AM50:$AS50,$F50)=0),$F50,IF(INDEX($D63:$D69,Tablas!A$1)="","",$F50&amp;INDEX($D63:$D69,Tablas!A$1)))</f>
        <v/>
      </c>
      <c r="AM50" s="3089" t="str">
        <f>IF(AND(ISNUMBER(MATCH($F50,'Tablas Técnicas'!$L$10:$L$643,0)),INDEX($D63:$D69,Tablas!B$1)="",COUNTIF(AN50:$AS50,$F50)=0),$F50,IF(INDEX($D63:$D69,Tablas!B$1)="","",$F50&amp;INDEX($D63:$D69,Tablas!B$1)))</f>
        <v/>
      </c>
      <c r="AN50" s="3089" t="str">
        <f>IF(AND(ISNUMBER(MATCH($F50,'Tablas Técnicas'!$L$10:$L$643,0)),INDEX($D63:$D69,Tablas!C$1)="",COUNTIF(AO50:$AS50,$F50)=0),$F50,IF(INDEX($D63:$D69,Tablas!C$1)="","",$F50&amp;INDEX($D63:$D69,Tablas!C$1)))</f>
        <v/>
      </c>
      <c r="AO50" s="3089" t="str">
        <f>IF(AND(ISNUMBER(MATCH($F50,'Tablas Técnicas'!$L$10:$L$643,0)),INDEX($D63:$D69,Tablas!D$1)="",COUNTIF(AP50:$AS50,$F50)=0),$F50,IF(INDEX($D63:$D69,Tablas!D$1)="","",$F50&amp;INDEX($D63:$D69,Tablas!D$1)))</f>
        <v/>
      </c>
      <c r="AP50" s="3089" t="str">
        <f>IF(AND(ISNUMBER(MATCH($F50,'Tablas Técnicas'!$L$10:$L$643,0)),INDEX($D63:$D69,Tablas!E$1)="",COUNTIF(AQ50:$AS50,$F50)=0),$F50,IF(INDEX($D63:$D69,Tablas!E$1)="","",$F50&amp;INDEX($D63:$D69,Tablas!E$1)))</f>
        <v/>
      </c>
      <c r="AQ50" s="3089" t="str">
        <f>IF(AND(ISNUMBER(MATCH($F50,'Tablas Técnicas'!$L$10:$L$643,0)),INDEX($D63:$D69,Tablas!F$1)="",COUNTIF(AR50:$AS50,$F50)=0),$F50,IF(INDEX($D63:$D69,Tablas!F$1)="","",$F50&amp;INDEX($D63:$D69,Tablas!F$1)))</f>
        <v/>
      </c>
      <c r="AR50" s="3089" t="str">
        <f>IF(AND(ISNUMBER(MATCH($F50,'Tablas Técnicas'!$L$10:$L$643,0)),INDEX($D63:$D69,Tablas!G$1)="",COUNTIF(AS50:$AS50,$F50)=0),$F50,IF(INDEX($D63:$D69,Tablas!G$1)="","",$F50&amp;INDEX($D63:$D69,Tablas!G$1)))</f>
        <v/>
      </c>
      <c r="AS50" s="3091">
        <f>V50+X50+Z50+AB50+AD50+AF50</f>
        <v>0</v>
      </c>
      <c r="AT50" s="3091">
        <f t="array" ref="AT50">SUM(IF($AL50:$AR50='Tablas Técnicas'!$L$10:$L$643,IF(D50="Primario",'Tablas Técnicas'!$E$10:$E$643,'Tablas Técnicas'!$F$10:$F$643)+IF(K50="Sostenimiento menor",'Tablas Técnicas'!$I$10:$I$643,IF(K50="sostenimiento mayor",'Tablas Técnicas'!$J$10:$J$643,0)),0),0)+VALUE(RIGHT(P50,2))+AU50+AV50</f>
        <v>0</v>
      </c>
      <c r="AU50" s="3091">
        <f>IFERROR(IF(V50=0,0,VALUE(MID(Q50,SEARCH("AGI",Q50)+4,1))),0)+IFERROR(IF(X50=0,0,VALUE(MID(Q50,SEARCH("CON",Q50)+4,1))),0)+IFERROR(IF(Z50=0,0,VALUE(MID(Q50,SEARCH("DES",Q50)+4,1))),0)+IFERROR(IF(AB50=0,0,VALUE(MID(Q50,SEARCH("FUE",Q50)+4,1))),0)+IFERROR(IF(AD50=0,0,VALUE(MID(Q50,SEARCH("POD",Q50)+4,1))),0)+IFERROR(IF(AF50=0,0,VALUE(MID(Q50,SEARCH("VOL",Q50)+4,1))),0)</f>
        <v>0</v>
      </c>
      <c r="AV50" s="3091">
        <f>(COUNTIF(AL50:AR50,"*Estado añadido:*")-1)*COUNTIF(AL50:AR50,"*Estado añadido:*")</f>
        <v>0</v>
      </c>
      <c r="AW50" s="3091">
        <f t="array" ref="AW50">SUM(IF($AL50:$AR50='Tablas Técnicas'!$L$10:$L$643,'Tablas Técnicas'!$G$10:$G$643,0))</f>
        <v>0</v>
      </c>
      <c r="AX50" s="3089" t="str">
        <f>IF(F50="","",F50&amp;" ("&amp;IF(AL50="","",SUBSTITUTE(AL50,F50,"")&amp;", ")&amp;IF(AM50="","",SUBSTITUTE(AM50,F50,"")&amp;", ")&amp;IF(AN50="","",SUBSTITUTE(AN50,F50,"")&amp;", ")&amp;IF(AO50="","",SUBSTITUTE(AO50,F50,"")&amp;", ")&amp;IF(AP50="","",SUBSTITUTE(AP50,F50,"")&amp;", ")&amp;IF(AQ50="","",SUBSTITUTE(AQ50,F50,"")&amp;", ")&amp;IF(AR50="","",SUBSTITUTE(AR50,F50,"")&amp;", ")&amp;IF(OR(K50="",K50="-"),"",K50&amp;", "))</f>
        <v/>
      </c>
      <c r="AY50" s="3089" t="str">
        <f>IFERROR(LEFT(AX50,LEN(AX50)-2)&amp;"), ","")</f>
        <v/>
      </c>
    </row>
    <row r="51" spans="1:51" ht="12.2" customHeight="1" x14ac:dyDescent="0.2">
      <c r="A51" s="2185"/>
      <c r="B51" s="2099">
        <f t="shared" si="0"/>
        <v>2</v>
      </c>
      <c r="C51" s="4538"/>
      <c r="D51" s="4583" t="s">
        <v>524</v>
      </c>
      <c r="E51" s="4584"/>
      <c r="F51" s="4615"/>
      <c r="G51" s="4616"/>
      <c r="H51" s="4616"/>
      <c r="I51" s="4616"/>
      <c r="J51" s="4617"/>
      <c r="K51" s="4618" t="s">
        <v>1456</v>
      </c>
      <c r="L51" s="4619"/>
      <c r="M51" s="4620"/>
      <c r="N51" s="2540">
        <f>IF(AW51&gt;0,IF(VLOOKUP(F51,'Tablas Técnicas'!$O$9:$X$88,10,0),MAX(5,AW51-5),AW51),0)</f>
        <v>0</v>
      </c>
      <c r="O51" s="2540" t="str">
        <f>AS51&amp;" / "&amp;AT51</f>
        <v>0 / 0</v>
      </c>
      <c r="P51" s="2540" t="str">
        <f t="array" ref="P51">W51+Y51+AA51+AC51+AE51+AG51&amp;" / "&amp;IF(K51&lt;&gt;"Mantenido",0,SUM(IF($AL51:$AR51='Tablas Técnicas'!$L$10:$L$643,'Tablas Técnicas'!$H$10:$H$643,0)))</f>
        <v>0 / 0</v>
      </c>
      <c r="Q51" s="4684" t="str">
        <f>IFERROR(VLOOKUP(F51,'Tablas Técnicas'!$O$9:$T$88,5,FALSE),"")</f>
        <v/>
      </c>
      <c r="R51" s="4684"/>
      <c r="S51" s="4684"/>
      <c r="T51" s="4684"/>
      <c r="U51" s="4684"/>
      <c r="V51" s="2060"/>
      <c r="W51" s="2061"/>
      <c r="X51" s="2060"/>
      <c r="Y51" s="2062"/>
      <c r="Z51" s="2063"/>
      <c r="AA51" s="2061"/>
      <c r="AB51" s="2060"/>
      <c r="AC51" s="2062"/>
      <c r="AD51" s="2063"/>
      <c r="AE51" s="2061"/>
      <c r="AF51" s="2060"/>
      <c r="AG51" s="2064"/>
      <c r="AH51" s="2193"/>
      <c r="AI51" s="4558"/>
      <c r="AJ51" s="3089">
        <v>2</v>
      </c>
      <c r="AK51" s="3089">
        <f>P46</f>
        <v>1</v>
      </c>
      <c r="AL51" s="3089" t="str">
        <f>IF(AND(ISNUMBER(MATCH($F51,'Tablas Técnicas'!$L$10:$L$643,0)),INDEX($J63:$J69,Tablas!A$1)="",COUNTIF(AM51:$AS51,$F51)=0),$F51,IF(INDEX($J63:$J69,Tablas!A$1)="","",$F51&amp;INDEX($J63:$J69,Tablas!A$1)))</f>
        <v/>
      </c>
      <c r="AM51" s="3089" t="str">
        <f>IF(AND(ISNUMBER(MATCH($F51,'Tablas Técnicas'!$L$10:$L$643,0)),INDEX($J63:$J69,Tablas!B$1)="",COUNTIF(AN51:$AS51,$F51)=0),$F51,IF(INDEX($J63:$J69,Tablas!B$1)="","",$F51&amp;INDEX($J63:$J69,Tablas!B$1)))</f>
        <v/>
      </c>
      <c r="AN51" s="3089" t="str">
        <f>IF(AND(ISNUMBER(MATCH($F51,'Tablas Técnicas'!$L$10:$L$643,0)),INDEX($J63:$J69,Tablas!C$1)="",COUNTIF(AO51:$AS51,$F51)=0),$F51,IF(INDEX($J63:$J69,Tablas!C$1)="","",$F51&amp;INDEX($J63:$J69,Tablas!C$1)))</f>
        <v/>
      </c>
      <c r="AO51" s="3089" t="str">
        <f>IF(AND(ISNUMBER(MATCH($F51,'Tablas Técnicas'!$L$10:$L$643,0)),INDEX($J63:$J69,Tablas!D$1)="",COUNTIF(AP51:$AS51,$F51)=0),$F51,IF(INDEX($J63:$J69,Tablas!D$1)="","",$F51&amp;INDEX($J63:$J69,Tablas!D$1)))</f>
        <v/>
      </c>
      <c r="AP51" s="3089" t="str">
        <f>IF(AND(ISNUMBER(MATCH($F51,'Tablas Técnicas'!$L$10:$L$643,0)),INDEX($J63:$J69,Tablas!E$1)="",COUNTIF(AQ51:$AS51,$F51)=0),$F51,IF(INDEX($J63:$J69,Tablas!E$1)="","",$F51&amp;INDEX($J63:$J69,Tablas!E$1)))</f>
        <v/>
      </c>
      <c r="AQ51" s="3089" t="str">
        <f>IF(AND(ISNUMBER(MATCH($F51,'Tablas Técnicas'!$L$10:$L$643,0)),INDEX($J63:$J69,Tablas!F$1)="",COUNTIF(AR51:$AS51,$F51)=0),$F51,IF(INDEX($J63:$J69,Tablas!F$1)="","",$F51&amp;INDEX($J63:$J69,Tablas!F$1)))</f>
        <v/>
      </c>
      <c r="AR51" s="3089" t="str">
        <f>IF(AND(ISNUMBER(MATCH($F51,'Tablas Técnicas'!$L$10:$L$643,0)),INDEX($J63:$J69,Tablas!G$1)="",COUNTIF(AS51:$AS51,$F51)=0),$F51,IF(INDEX($J63:$J69,Tablas!G$1)="","",$F51&amp;INDEX($J63:$J69,Tablas!G$1)))</f>
        <v/>
      </c>
      <c r="AS51" s="3091">
        <f>V51+X51+Z51+AB51+AD51+AF51</f>
        <v>0</v>
      </c>
      <c r="AT51" s="3091">
        <f t="array" ref="AT51">SUM(IF($AL51:$AR51='Tablas Técnicas'!$L$10:$L$643,IF(D51="Primario",'Tablas Técnicas'!$E$10:$E$643,'Tablas Técnicas'!$F$10:$F$643)+IF(K51="Sostenimiento menor",'Tablas Técnicas'!$I$10:$I$643,IF(K51="sostenimiento mayor",'Tablas Técnicas'!$J$10:$J$643,0)),0),0)+VALUE(RIGHT(P51,2))+AU51+AV51</f>
        <v>0</v>
      </c>
      <c r="AU51" s="3091">
        <f>IFERROR(IF(V51=0,0,VALUE(MID(Q51,SEARCH("AGI",Q51)+4,1))),0)+IFERROR(IF(X51=0,0,VALUE(MID(Q51,SEARCH("CON",Q51)+4,1))),0)+IFERROR(IF(Z51=0,0,VALUE(MID(Q51,SEARCH("DES",Q51)+4,1))),0)+IFERROR(IF(AB51=0,0,VALUE(MID(Q51,SEARCH("FUE",Q51)+4,1))),0)+IFERROR(IF(AD51=0,0,VALUE(MID(Q51,SEARCH("POD",Q51)+4,1))),0)+IFERROR(IF(AF51=0,0,VALUE(MID(Q51,SEARCH("VOL",Q51)+4,1))),0)</f>
        <v>0</v>
      </c>
      <c r="AV51" s="3091">
        <f>(COUNTIF(AL51:AR51,"*Estado añadido:*")-1)*COUNTIF(AL51:AR51,"*Estado añadido:*")</f>
        <v>0</v>
      </c>
      <c r="AW51" s="3091">
        <f t="array" ref="AW51">SUM(IF($AL51:$AR51='Tablas Técnicas'!$L$10:$L$643,'Tablas Técnicas'!$G$10:$G$643,0))</f>
        <v>0</v>
      </c>
      <c r="AX51" s="3089" t="str">
        <f>IF(F51="","",F51&amp;" ("&amp;IF(AL51="","",SUBSTITUTE(AL51,F51,"")&amp;", ")&amp;IF(AM51="","",SUBSTITUTE(AM51,F51,"")&amp;", ")&amp;IF(AN51="","",SUBSTITUTE(AN51,F51,"")&amp;", ")&amp;IF(AO51="","",SUBSTITUTE(AO51,F51,"")&amp;", ")&amp;IF(AP51="","",SUBSTITUTE(AP51,F51,"")&amp;", ")&amp;IF(AQ51="","",SUBSTITUTE(AQ51,F51,"")&amp;", ")&amp;IF(AR51="","",SUBSTITUTE(AR51,F51,"")&amp;", ")&amp;IF(OR(K51="",K51="-"),"",K51&amp;", "))</f>
        <v/>
      </c>
      <c r="AY51" s="3089" t="str">
        <f>IFERROR(LEFT(AX51,LEN(AX51)-2)&amp;"), ","")</f>
        <v/>
      </c>
    </row>
    <row r="52" spans="1:51" ht="12.2" customHeight="1" x14ac:dyDescent="0.2">
      <c r="A52" s="2185"/>
      <c r="B52" s="2099">
        <f t="shared" si="0"/>
        <v>2</v>
      </c>
      <c r="C52" s="4538"/>
      <c r="D52" s="4629" t="s">
        <v>524</v>
      </c>
      <c r="E52" s="4630"/>
      <c r="F52" s="4559"/>
      <c r="G52" s="4560"/>
      <c r="H52" s="4560"/>
      <c r="I52" s="4560"/>
      <c r="J52" s="4561"/>
      <c r="K52" s="4621" t="s">
        <v>1456</v>
      </c>
      <c r="L52" s="4622"/>
      <c r="M52" s="4623"/>
      <c r="N52" s="2536">
        <f>IF(AW52&gt;0,IF(VLOOKUP(F52,'Tablas Técnicas'!$O$9:$X$88,10,0),MAX(5,AW52-5),AW52),0)</f>
        <v>0</v>
      </c>
      <c r="O52" s="2536" t="str">
        <f>AS52&amp;" / "&amp;AT52</f>
        <v>0 / 0</v>
      </c>
      <c r="P52" s="2536" t="str">
        <f t="array" ref="P52">W52+Y52+AA52+AC52+AE52+AG52&amp;" / "&amp;IF(K52&lt;&gt;"Mantenido",0,SUM(IF($AL52:$AR52='Tablas Técnicas'!$L$10:$L$643,'Tablas Técnicas'!$H$10:$H$643,0)))</f>
        <v>0 / 0</v>
      </c>
      <c r="Q52" s="4680" t="str">
        <f>IFERROR(VLOOKUP(F52,'Tablas Técnicas'!$O$9:$T$88,5,FALSE),"")</f>
        <v/>
      </c>
      <c r="R52" s="4680"/>
      <c r="S52" s="4680"/>
      <c r="T52" s="4680"/>
      <c r="U52" s="4680"/>
      <c r="V52" s="2065"/>
      <c r="W52" s="2066"/>
      <c r="X52" s="2065"/>
      <c r="Y52" s="2067"/>
      <c r="Z52" s="2068"/>
      <c r="AA52" s="2066"/>
      <c r="AB52" s="2065"/>
      <c r="AC52" s="2067"/>
      <c r="AD52" s="2068"/>
      <c r="AE52" s="2066"/>
      <c r="AF52" s="2065"/>
      <c r="AG52" s="2069"/>
      <c r="AH52" s="2193"/>
      <c r="AI52" s="4558"/>
      <c r="AJ52" s="3089">
        <v>3</v>
      </c>
      <c r="AK52" s="3089">
        <f>P46</f>
        <v>1</v>
      </c>
      <c r="AL52" s="3089" t="str">
        <f>IF(AND(ISNUMBER(MATCH($F52,'Tablas Técnicas'!$L$10:$L$643,0)),INDEX($P63:$P69,Tablas!A$1)="",COUNTIF(AM52:$AS52,$F52)=0),$F52,IF(INDEX($P63:$P69,Tablas!A$1)="","",$F52&amp;INDEX($P63:$P69,Tablas!A$1)))</f>
        <v/>
      </c>
      <c r="AM52" s="3089" t="str">
        <f>IF(AND(ISNUMBER(MATCH($F52,'Tablas Técnicas'!$L$10:$L$643,0)),INDEX($P63:$P69,Tablas!B$1)="",COUNTIF(AN52:$AS52,$F52)=0),$F52,IF(INDEX($P63:$P69,Tablas!B$1)="","",$F52&amp;INDEX($P63:$P69,Tablas!B$1)))</f>
        <v/>
      </c>
      <c r="AN52" s="3089" t="str">
        <f>IF(AND(ISNUMBER(MATCH($F52,'Tablas Técnicas'!$L$10:$L$643,0)),INDEX($P63:$P69,Tablas!C$1)="",COUNTIF(AO52:$AS52,$F52)=0),$F52,IF(INDEX($P63:$P69,Tablas!C$1)="","",$F52&amp;INDEX($P63:$P69,Tablas!C$1)))</f>
        <v/>
      </c>
      <c r="AO52" s="3089" t="str">
        <f>IF(AND(ISNUMBER(MATCH($F52,'Tablas Técnicas'!$L$10:$L$643,0)),INDEX($P63:$P69,Tablas!D$1)="",COUNTIF(AP52:$AS52,$F52)=0),$F52,IF(INDEX($P63:$P69,Tablas!D$1)="","",$F52&amp;INDEX($P63:$P69,Tablas!D$1)))</f>
        <v/>
      </c>
      <c r="AP52" s="3089" t="str">
        <f>IF(AND(ISNUMBER(MATCH($F52,'Tablas Técnicas'!$L$10:$L$643,0)),INDEX($P63:$P69,Tablas!E$1)="",COUNTIF(AQ52:$AS52,$F52)=0),$F52,IF(INDEX($P63:$P69,Tablas!E$1)="","",$F52&amp;INDEX($P63:$P69,Tablas!E$1)))</f>
        <v/>
      </c>
      <c r="AQ52" s="3089" t="str">
        <f>IF(AND(ISNUMBER(MATCH($F52,'Tablas Técnicas'!$L$10:$L$643,0)),INDEX($P63:$P69,Tablas!F$1)="",COUNTIF(AR52:$AS52,$F52)=0),$F52,IF(INDEX($P63:$P69,Tablas!F$1)="","",$F52&amp;INDEX($P63:$P69,Tablas!F$1)))</f>
        <v/>
      </c>
      <c r="AR52" s="3089" t="str">
        <f>IF(AND(ISNUMBER(MATCH($F52,'Tablas Técnicas'!$L$10:$L$643,0)),INDEX($P63:$P69,Tablas!G$1)="",COUNTIF(AS52:$AS52,$F52)=0),$F52,IF(INDEX($P63:$P69,Tablas!G$1)="","",$F52&amp;INDEX($P63:$P69,Tablas!G$1)))</f>
        <v/>
      </c>
      <c r="AS52" s="3091">
        <f>V52+X52+Z52+AB52+AD52+AF52</f>
        <v>0</v>
      </c>
      <c r="AT52" s="3091">
        <f t="array" ref="AT52">SUM(IF($AL52:$AR52='Tablas Técnicas'!$L$10:$L$643,IF(D52="Primario",'Tablas Técnicas'!$E$10:$E$643,'Tablas Técnicas'!$F$10:$F$643)+IF(K52="Sostenimiento menor",'Tablas Técnicas'!$I$10:$I$643,IF(K52="sostenimiento mayor",'Tablas Técnicas'!$J$10:$J$643,0)),0),0)+VALUE(RIGHT(P52,2))+AU52+AV52</f>
        <v>0</v>
      </c>
      <c r="AU52" s="3091">
        <f>IFERROR(IF(V52=0,0,VALUE(MID(Q52,SEARCH("AGI",Q52)+4,1))),0)+IFERROR(IF(X52=0,0,VALUE(MID(Q52,SEARCH("CON",Q52)+4,1))),0)+IFERROR(IF(Z52=0,0,VALUE(MID(Q52,SEARCH("DES",Q52)+4,1))),0)+IFERROR(IF(AB52=0,0,VALUE(MID(Q52,SEARCH("FUE",Q52)+4,1))),0)+IFERROR(IF(AD52=0,0,VALUE(MID(Q52,SEARCH("POD",Q52)+4,1))),0)+IFERROR(IF(AF52=0,0,VALUE(MID(Q52,SEARCH("VOL",Q52)+4,1))),0)</f>
        <v>0</v>
      </c>
      <c r="AV52" s="3091">
        <f>(COUNTIF(AL52:AR52,"*Estado añadido:*")-1)*COUNTIF(AL52:AR52,"*Estado añadido:*")</f>
        <v>0</v>
      </c>
      <c r="AW52" s="3091">
        <f t="array" ref="AW52">SUM(IF($AL52:$AR52='Tablas Técnicas'!$L$10:$L$643,'Tablas Técnicas'!$G$10:$G$643,0))</f>
        <v>0</v>
      </c>
      <c r="AX52" s="3089" t="str">
        <f>IF(F52="","",F52&amp;" ("&amp;IF(AL52="","",SUBSTITUTE(AL52,F52,"")&amp;", ")&amp;IF(AM52="","",SUBSTITUTE(AM52,F52,"")&amp;", ")&amp;IF(AN52="","",SUBSTITUTE(AN52,F52,"")&amp;", ")&amp;IF(AO52="","",SUBSTITUTE(AO52,F52,"")&amp;", ")&amp;IF(AP52="","",SUBSTITUTE(AP52,F52,"")&amp;", ")&amp;IF(AQ52="","",SUBSTITUTE(AQ52,F52,"")&amp;", ")&amp;IF(AR52="","",SUBSTITUTE(AR52,F52,"")&amp;", ")&amp;IF(OR(K52="",K52="-"),"",K52&amp;", "))</f>
        <v/>
      </c>
      <c r="AY52" s="3089" t="str">
        <f>IFERROR(LEFT(AX52,LEN(AX52)-2)&amp;"), ","")</f>
        <v/>
      </c>
    </row>
    <row r="53" spans="1:51" ht="12.2" customHeight="1" x14ac:dyDescent="0.2">
      <c r="A53" s="2185"/>
      <c r="B53" s="2099">
        <f t="shared" si="0"/>
        <v>2</v>
      </c>
      <c r="C53" s="4538"/>
      <c r="D53" s="4583" t="s">
        <v>524</v>
      </c>
      <c r="E53" s="4584"/>
      <c r="F53" s="4615"/>
      <c r="G53" s="4616"/>
      <c r="H53" s="4616"/>
      <c r="I53" s="4616"/>
      <c r="J53" s="4617"/>
      <c r="K53" s="4618" t="s">
        <v>1456</v>
      </c>
      <c r="L53" s="4619"/>
      <c r="M53" s="4620"/>
      <c r="N53" s="2540">
        <f>IF(AW53&gt;0,IF(VLOOKUP(F53,'Tablas Técnicas'!$O$9:$X$88,10,0),MAX(5,AW53-5),AW53),0)</f>
        <v>0</v>
      </c>
      <c r="O53" s="2540" t="str">
        <f>AS53&amp;" / "&amp;AT53</f>
        <v>0 / 0</v>
      </c>
      <c r="P53" s="2540" t="str">
        <f t="array" ref="P53">W53+Y53+AA53+AC53+AE53+AG53&amp;" / "&amp;IF(K53&lt;&gt;"Mantenido",0,SUM(IF($AL53:$AR53='Tablas Técnicas'!$L$10:$L$643,'Tablas Técnicas'!$H$10:$H$643,0)))</f>
        <v>0 / 0</v>
      </c>
      <c r="Q53" s="4684" t="str">
        <f>IFERROR(VLOOKUP(F53,'Tablas Técnicas'!$O$9:$T$88,5,FALSE),"")</f>
        <v/>
      </c>
      <c r="R53" s="4684"/>
      <c r="S53" s="4684"/>
      <c r="T53" s="4684"/>
      <c r="U53" s="4684"/>
      <c r="V53" s="2060"/>
      <c r="W53" s="2061"/>
      <c r="X53" s="2060"/>
      <c r="Y53" s="2062"/>
      <c r="Z53" s="2063"/>
      <c r="AA53" s="2061"/>
      <c r="AB53" s="2060"/>
      <c r="AC53" s="2062"/>
      <c r="AD53" s="2063"/>
      <c r="AE53" s="2061"/>
      <c r="AF53" s="2060"/>
      <c r="AG53" s="2064"/>
      <c r="AH53" s="2193"/>
      <c r="AI53" s="4558"/>
      <c r="AJ53" s="3089">
        <v>4</v>
      </c>
      <c r="AK53" s="3089">
        <f>P46</f>
        <v>1</v>
      </c>
      <c r="AL53" s="3089" t="str">
        <f>IF(AND(ISNUMBER(MATCH($F53,'Tablas Técnicas'!$L$10:$L$643,0)),INDEX($V63:$V69,Tablas!A$1)="",COUNTIF(AM53:$AS53,$F53)=0),$F53,IF(INDEX($V63:$V69,Tablas!A$1)="","",$F53&amp;INDEX($V63:$V69,Tablas!A$1)))</f>
        <v/>
      </c>
      <c r="AM53" s="3089" t="str">
        <f>IF(AND(ISNUMBER(MATCH($F53,'Tablas Técnicas'!$L$10:$L$643,0)),INDEX($V63:$V69,Tablas!B$1)="",COUNTIF(AN53:$AS53,$F53)=0),$F53,IF(INDEX($V63:$V69,Tablas!B$1)="","",$F53&amp;INDEX($V63:$V69,Tablas!B$1)))</f>
        <v/>
      </c>
      <c r="AN53" s="3089" t="str">
        <f>IF(AND(ISNUMBER(MATCH($F53,'Tablas Técnicas'!$L$10:$L$643,0)),INDEX($V63:$V69,Tablas!C$1)="",COUNTIF(AO53:$AS53,$F53)=0),$F53,IF(INDEX($V63:$V69,Tablas!C$1)="","",$F53&amp;INDEX($V63:$V69,Tablas!C$1)))</f>
        <v/>
      </c>
      <c r="AO53" s="3089" t="str">
        <f>IF(AND(ISNUMBER(MATCH($F53,'Tablas Técnicas'!$L$10:$L$643,0)),INDEX($V63:$V69,Tablas!D$1)="",COUNTIF(AP53:$AS53,$F53)=0),$F53,IF(INDEX($V63:$V69,Tablas!D$1)="","",$F53&amp;INDEX($V63:$V69,Tablas!D$1)))</f>
        <v/>
      </c>
      <c r="AP53" s="3089" t="str">
        <f>IF(AND(ISNUMBER(MATCH($F53,'Tablas Técnicas'!$L$10:$L$643,0)),INDEX($V63:$V69,Tablas!E$1)="",COUNTIF(AQ53:$AS53,$F53)=0),$F53,IF(INDEX($V63:$V69,Tablas!E$1)="","",$F53&amp;INDEX($V63:$V69,Tablas!E$1)))</f>
        <v/>
      </c>
      <c r="AQ53" s="3089" t="str">
        <f>IF(AND(ISNUMBER(MATCH($F53,'Tablas Técnicas'!$L$10:$L$643,0)),INDEX($V63:$V69,Tablas!F$1)="",COUNTIF(AR53:$AS53,$F53)=0),$F53,IF(INDEX($V63:$V69,Tablas!F$1)="","",$F53&amp;INDEX($V63:$V69,Tablas!F$1)))</f>
        <v/>
      </c>
      <c r="AR53" s="3089" t="str">
        <f>IF(AND(ISNUMBER(MATCH($F53,'Tablas Técnicas'!$L$10:$L$643,0)),INDEX($V63:$V69,Tablas!G$1)="",COUNTIF(AS53:$AS53,$F53)=0),$F53,IF(INDEX($V63:$V69,Tablas!G$1)="","",$F53&amp;INDEX($V63:$V69,Tablas!G$1)))</f>
        <v/>
      </c>
      <c r="AS53" s="3091">
        <f>V53+X53+Z53+AB53+AD53+AF53</f>
        <v>0</v>
      </c>
      <c r="AT53" s="3091">
        <f t="array" ref="AT53">SUM(IF($AL53:$AR53='Tablas Técnicas'!$L$10:$L$643,IF(D53="Primario",'Tablas Técnicas'!$E$10:$E$643,'Tablas Técnicas'!$F$10:$F$643)+IF(K53="Sostenimiento menor",'Tablas Técnicas'!$I$10:$I$643,IF(K53="sostenimiento mayor",'Tablas Técnicas'!$J$10:$J$643,0)),0),0)+VALUE(RIGHT(P53,2))+AU53+AV53</f>
        <v>0</v>
      </c>
      <c r="AU53" s="3091">
        <f>IFERROR(IF(V53=0,0,VALUE(MID(Q53,SEARCH("AGI",Q53)+4,1))),0)+IFERROR(IF(X53=0,0,VALUE(MID(Q53,SEARCH("CON",Q53)+4,1))),0)+IFERROR(IF(Z53=0,0,VALUE(MID(Q53,SEARCH("DES",Q53)+4,1))),0)+IFERROR(IF(AB53=0,0,VALUE(MID(Q53,SEARCH("FUE",Q53)+4,1))),0)+IFERROR(IF(AD53=0,0,VALUE(MID(Q53,SEARCH("POD",Q53)+4,1))),0)+IFERROR(IF(AF53=0,0,VALUE(MID(Q53,SEARCH("VOL",Q53)+4,1))),0)</f>
        <v>0</v>
      </c>
      <c r="AV53" s="3091">
        <f>(COUNTIF(AL53:AR53,"*Estado añadido:*")-1)*COUNTIF(AL53:AR53,"*Estado añadido:*")</f>
        <v>0</v>
      </c>
      <c r="AW53" s="3091">
        <f t="array" ref="AW53">SUM(IF($AL53:$AR53='Tablas Técnicas'!$L$10:$L$643,'Tablas Técnicas'!$G$10:$G$643,0))</f>
        <v>0</v>
      </c>
      <c r="AX53" s="3089" t="str">
        <f>IF(F53="","",F53&amp;" ("&amp;IF(AL53="","",SUBSTITUTE(AL53,F53,"")&amp;", ")&amp;IF(AM53="","",SUBSTITUTE(AM53,F53,"")&amp;", ")&amp;IF(AN53="","",SUBSTITUTE(AN53,F53,"")&amp;", ")&amp;IF(AO53="","",SUBSTITUTE(AO53,F53,"")&amp;", ")&amp;IF(AP53="","",SUBSTITUTE(AP53,F53,"")&amp;", ")&amp;IF(AQ53="","",SUBSTITUTE(AQ53,F53,"")&amp;", ")&amp;IF(AR53="","",SUBSTITUTE(AR53,F53,"")&amp;", ")&amp;IF(OR(K53="",K53="-"),"",K53&amp;", "))</f>
        <v/>
      </c>
      <c r="AY53" s="3089" t="str">
        <f>IFERROR(LEFT(AX53,LEN(AX53)-2)&amp;"), ","")</f>
        <v/>
      </c>
    </row>
    <row r="54" spans="1:51" ht="12.2" customHeight="1" thickBot="1" x14ac:dyDescent="0.25">
      <c r="A54" s="2185"/>
      <c r="B54" s="2099">
        <f t="shared" si="0"/>
        <v>2</v>
      </c>
      <c r="C54" s="4538"/>
      <c r="D54" s="4586" t="s">
        <v>524</v>
      </c>
      <c r="E54" s="4587"/>
      <c r="F54" s="4543"/>
      <c r="G54" s="4544"/>
      <c r="H54" s="4544"/>
      <c r="I54" s="4544"/>
      <c r="J54" s="4545"/>
      <c r="K54" s="4546" t="s">
        <v>1456</v>
      </c>
      <c r="L54" s="4547"/>
      <c r="M54" s="4548"/>
      <c r="N54" s="2541">
        <f>IF(AW54&gt;0,IF(VLOOKUP(F54,'Tablas Técnicas'!$O$9:$X$88,10,0),MAX(5,AW54-5),AW54),0)</f>
        <v>0</v>
      </c>
      <c r="O54" s="2541" t="str">
        <f>AS54&amp;" / "&amp;AT54</f>
        <v>0 / 0</v>
      </c>
      <c r="P54" s="2541" t="str">
        <f t="array" ref="P54">W54+Y54+AA54+AC54+AE54+AG54&amp;" / "&amp;IF(K54&lt;&gt;"Mantenido",0,SUM(IF($AL54:$AR54='Tablas Técnicas'!$L$10:$L$643,'Tablas Técnicas'!$H$10:$H$643,0)))</f>
        <v>0 / 0</v>
      </c>
      <c r="Q54" s="4681" t="str">
        <f>IFERROR(VLOOKUP(F54,'Tablas Técnicas'!$O$9:$T$88,5,FALSE),"")</f>
        <v/>
      </c>
      <c r="R54" s="4681"/>
      <c r="S54" s="4681"/>
      <c r="T54" s="4681"/>
      <c r="U54" s="4681"/>
      <c r="V54" s="2070"/>
      <c r="W54" s="2071"/>
      <c r="X54" s="2070"/>
      <c r="Y54" s="2072"/>
      <c r="Z54" s="2073"/>
      <c r="AA54" s="2071"/>
      <c r="AB54" s="2070"/>
      <c r="AC54" s="2072"/>
      <c r="AD54" s="2073"/>
      <c r="AE54" s="2071"/>
      <c r="AF54" s="2070"/>
      <c r="AG54" s="2074"/>
      <c r="AH54" s="2193"/>
      <c r="AI54" s="4558"/>
      <c r="AJ54" s="3089">
        <v>5</v>
      </c>
      <c r="AK54" s="3089">
        <f>P46</f>
        <v>1</v>
      </c>
      <c r="AL54" s="3089" t="str">
        <f>IF(AND(ISNUMBER(MATCH($F54,'Tablas Técnicas'!$L$10:$L$643,0)),INDEX($AB63:$AB69,Tablas!A$1)="",COUNTIF(AM54:$AS54,$F54)=0),$F54,IF(INDEX($AB63:$AB69,Tablas!A$1)="","",$F54&amp;INDEX($AB63:$AB69,Tablas!A$1)))</f>
        <v/>
      </c>
      <c r="AM54" s="3089" t="str">
        <f>IF(AND(ISNUMBER(MATCH($F54,'Tablas Técnicas'!$L$10:$L$643,0)),INDEX($AB63:$AB69,Tablas!B$1)="",COUNTIF(AN54:$AS54,$F54)=0),$F54,IF(INDEX($AB63:$AB69,Tablas!B$1)="","",$F54&amp;INDEX($AB63:$AB69,Tablas!B$1)))</f>
        <v/>
      </c>
      <c r="AN54" s="3089" t="str">
        <f>IF(AND(ISNUMBER(MATCH($F54,'Tablas Técnicas'!$L$10:$L$643,0)),INDEX($AB63:$AB69,Tablas!C$1)="",COUNTIF(AO54:$AS54,$F54)=0),$F54,IF(INDEX($AB63:$AB69,Tablas!C$1)="","",$F54&amp;INDEX($AB63:$AB69,Tablas!C$1)))</f>
        <v/>
      </c>
      <c r="AO54" s="3089" t="str">
        <f>IF(AND(ISNUMBER(MATCH($F54,'Tablas Técnicas'!$L$10:$L$643,0)),INDEX($AB63:$AB69,Tablas!D$1)="",COUNTIF(AP54:$AS54,$F54)=0),$F54,IF(INDEX($AB63:$AB69,Tablas!D$1)="","",$F54&amp;INDEX($AB63:$AB69,Tablas!D$1)))</f>
        <v/>
      </c>
      <c r="AP54" s="3089" t="str">
        <f>IF(AND(ISNUMBER(MATCH($F54,'Tablas Técnicas'!$L$10:$L$643,0)),INDEX($AB63:$AB69,Tablas!E$1)="",COUNTIF(AQ54:$AS54,$F54)=0),$F54,IF(INDEX($AB63:$AB69,Tablas!E$1)="","",$F54&amp;INDEX($AB63:$AB69,Tablas!E$1)))</f>
        <v/>
      </c>
      <c r="AQ54" s="3089" t="str">
        <f>IF(AND(ISNUMBER(MATCH($F54,'Tablas Técnicas'!$L$10:$L$643,0)),INDEX($AB63:$AB69,Tablas!F$1)="",COUNTIF(AR54:$AS54,$F54)=0),$F54,IF(INDEX($AB63:$AB69,Tablas!F$1)="","",$F54&amp;INDEX($AB63:$AB69,Tablas!F$1)))</f>
        <v/>
      </c>
      <c r="AR54" s="3089" t="str">
        <f>IF(AND(ISNUMBER(MATCH($F54,'Tablas Técnicas'!$L$10:$L$643,0)),INDEX($AB63:$AB69,Tablas!G$1)="",COUNTIF(AS54:$AS54,$F54)=0),$F54,IF(INDEX($AB63:$AB69,Tablas!G$1)="","",$F54&amp;INDEX($AB63:$AB69,Tablas!G$1)))</f>
        <v/>
      </c>
      <c r="AS54" s="3091">
        <f>V54+X54+Z54+AB54+AD54+AF54</f>
        <v>0</v>
      </c>
      <c r="AT54" s="3091">
        <f t="array" ref="AT54">SUM(IF($AL54:$AR54='Tablas Técnicas'!$L$10:$L$643,IF(D54="Primario",'Tablas Técnicas'!$E$10:$E$643,'Tablas Técnicas'!$F$10:$F$643)+IF(K54="Sostenimiento menor",'Tablas Técnicas'!$I$10:$I$643,IF(K54="sostenimiento mayor",'Tablas Técnicas'!$J$10:$J$643,0)),0),0)+VALUE(RIGHT(P54,2))+AU54+AV54</f>
        <v>0</v>
      </c>
      <c r="AU54" s="3091">
        <f>IFERROR(IF(V54=0,0,VALUE(MID(Q54,SEARCH("AGI",Q54)+4,1))),0)+IFERROR(IF(X54=0,0,VALUE(MID(Q54,SEARCH("CON",Q54)+4,1))),0)+IFERROR(IF(Z54=0,0,VALUE(MID(Q54,SEARCH("DES",Q54)+4,1))),0)+IFERROR(IF(AB54=0,0,VALUE(MID(Q54,SEARCH("FUE",Q54)+4,1))),0)+IFERROR(IF(AD54=0,0,VALUE(MID(Q54,SEARCH("POD",Q54)+4,1))),0)+IFERROR(IF(AF54=0,0,VALUE(MID(Q54,SEARCH("VOL",Q54)+4,1))),0)</f>
        <v>0</v>
      </c>
      <c r="AV54" s="3091">
        <f>(COUNTIF(AL54:AR54,"*Estado añadido:*")-1)*COUNTIF(AL54:AR54,"*Estado añadido:*")</f>
        <v>0</v>
      </c>
      <c r="AW54" s="3091">
        <f t="array" ref="AW54">SUM(IF($AL54:$AR54='Tablas Técnicas'!$L$10:$L$643,'Tablas Técnicas'!$G$10:$G$643,0))</f>
        <v>0</v>
      </c>
      <c r="AX54" s="3089" t="str">
        <f>IF(F54="","",F54&amp;" ("&amp;IF(AL54="","",SUBSTITUTE(AL54,F54,"")&amp;", ")&amp;IF(AM54="","",SUBSTITUTE(AM54,F54,"")&amp;", ")&amp;IF(AN54="","",SUBSTITUTE(AN54,F54,"")&amp;", ")&amp;IF(AO54="","",SUBSTITUTE(AO54,F54,"")&amp;", ")&amp;IF(AP54="","",SUBSTITUTE(AP54,F54,"")&amp;", ")&amp;IF(AQ54="","",SUBSTITUTE(AQ54,F54,"")&amp;", ")&amp;IF(AR54="","",SUBSTITUTE(AR54,F54,"")&amp;", ")&amp;IF(OR(K54="",K54="-"),"",K54&amp;", "))</f>
        <v/>
      </c>
      <c r="AY54" s="3089" t="str">
        <f>IFERROR(LEFT(AX54,LEN(AX54)-2)&amp;"), ","")</f>
        <v/>
      </c>
    </row>
    <row r="55" spans="1:51" ht="12.2" customHeight="1" x14ac:dyDescent="0.2">
      <c r="A55" s="2185"/>
      <c r="B55" s="2099">
        <f t="shared" si="0"/>
        <v>2</v>
      </c>
      <c r="C55" s="4538"/>
      <c r="D55" s="4589" t="s">
        <v>2819</v>
      </c>
      <c r="E55" s="4590"/>
      <c r="F55" s="4610"/>
      <c r="G55" s="4611"/>
      <c r="H55" s="4611"/>
      <c r="I55" s="4611"/>
      <c r="J55" s="4612"/>
      <c r="K55" s="4628"/>
      <c r="L55" s="4657"/>
      <c r="M55" s="4658"/>
      <c r="N55" s="1929" t="str">
        <f>IFERROR(INDEX('Tablas Técnicas'!$Q$200:$Q$301,MATCH(F55&amp;K55,'Tablas Técnicas'!$S$200:$S$301,0)),"")</f>
        <v/>
      </c>
      <c r="O55" s="4659"/>
      <c r="P55" s="4660"/>
      <c r="Q55" s="4661"/>
      <c r="R55" s="4660"/>
      <c r="S55" s="2761" t="str">
        <f>IFERROR("Nivel: "&amp;MAX(1,INDEX('Tablas Técnicas'!$R$200:$R$301,MATCH(F55&amp;K55,'Tablas Técnicas'!$S$200:$S$301,0))),"")</f>
        <v/>
      </c>
      <c r="T55" s="1930"/>
      <c r="U55" s="1931" t="str">
        <f>IFERROR("("&amp;VLOOKUP(F55,'Tablas Técnicas'!$O$165:$Q$192,3,FALSE)&amp;")","")</f>
        <v/>
      </c>
      <c r="V55" s="4598" t="s">
        <v>9625</v>
      </c>
      <c r="W55" s="4599"/>
      <c r="X55" s="4600"/>
      <c r="Y55" s="2542">
        <v>0</v>
      </c>
      <c r="Z55" s="4694" t="s">
        <v>8811</v>
      </c>
      <c r="AA55" s="4602"/>
      <c r="AB55" s="4603"/>
      <c r="AC55" s="2542">
        <v>0</v>
      </c>
      <c r="AD55" s="4695" t="str">
        <f>"Ki sin repartir: "&amp;AL63-AL64&amp;IF(AM63=0,""," ("&amp;AM63-AM64&amp;")")</f>
        <v>Ki sin repartir: 0</v>
      </c>
      <c r="AE55" s="4605"/>
      <c r="AF55" s="4605"/>
      <c r="AG55" s="4606"/>
      <c r="AH55" s="2193"/>
      <c r="AI55" s="4558"/>
      <c r="AJ55" s="3089">
        <v>1</v>
      </c>
      <c r="AK55" s="3089">
        <f>P46</f>
        <v>1</v>
      </c>
      <c r="AL55" s="3089" t="e">
        <f>VLOOKUP(F55,'Tablas Técnicas'!$O$165:$Q$188,2,FALSE)</f>
        <v>#N/A</v>
      </c>
      <c r="AM55" s="3089"/>
      <c r="AN55" s="3090"/>
      <c r="AO55" s="3089"/>
      <c r="AP55" s="3089"/>
      <c r="AQ55" s="3090"/>
      <c r="AR55" s="3089"/>
      <c r="AS55" s="3089"/>
      <c r="AT55" s="3089"/>
      <c r="AU55" s="3089"/>
      <c r="AV55" s="3089"/>
      <c r="AW55" s="3091"/>
      <c r="AX55" s="3091"/>
      <c r="AY55" s="3089" t="str">
        <f>IF(F55="","",F55&amp;IF(K55="",""," ("&amp;IF(F55="Atadura Elemental",O55&amp;IF(Q55="","",", "&amp;Q55),K55)&amp;")")&amp;", ")</f>
        <v/>
      </c>
    </row>
    <row r="56" spans="1:51" ht="12.2" customHeight="1" x14ac:dyDescent="0.2">
      <c r="A56" s="2185"/>
      <c r="B56" s="2099">
        <f t="shared" si="0"/>
        <v>2</v>
      </c>
      <c r="C56" s="4538"/>
      <c r="D56" s="4591"/>
      <c r="E56" s="4592"/>
      <c r="F56" s="4662"/>
      <c r="G56" s="4663"/>
      <c r="H56" s="4663"/>
      <c r="I56" s="4663"/>
      <c r="J56" s="4664"/>
      <c r="K56" s="4617"/>
      <c r="L56" s="4677"/>
      <c r="M56" s="4678"/>
      <c r="N56" s="1932" t="str">
        <f>IFERROR(INDEX('Tablas Técnicas'!$Q$200:$Q$301,MATCH(F56&amp;K56,'Tablas Técnicas'!$S$200:$S$301,0)),"")</f>
        <v/>
      </c>
      <c r="O56" s="4665"/>
      <c r="P56" s="4666"/>
      <c r="Q56" s="4667"/>
      <c r="R56" s="4666"/>
      <c r="S56" s="2763" t="str">
        <f>IFERROR("Nivel: "&amp;MAX(1,INDEX('Tablas Técnicas'!$R$200:$R$301,MATCH(F56&amp;K56,'Tablas Técnicas'!$S$200:$S$301,0))),"")</f>
        <v/>
      </c>
      <c r="T56" s="2543"/>
      <c r="U56" s="2544" t="str">
        <f>IFERROR("("&amp;VLOOKUP(F56,'Tablas Técnicas'!$O$165:$Q$192,3,FALSE)&amp;")","")</f>
        <v/>
      </c>
      <c r="V56" s="4607" t="str">
        <f>"Mod. "&amp;V48</f>
        <v>Mod. AGI</v>
      </c>
      <c r="W56" s="4608"/>
      <c r="X56" s="4607" t="str">
        <f>"Mod. "&amp;X48</f>
        <v>Mod. CON</v>
      </c>
      <c r="Y56" s="4608"/>
      <c r="Z56" s="4607" t="str">
        <f>"Mod. "&amp;Z48</f>
        <v>Mod. DES</v>
      </c>
      <c r="AA56" s="4608"/>
      <c r="AB56" s="4607" t="str">
        <f>"Mod. "&amp;AB48</f>
        <v>Mod. FUE</v>
      </c>
      <c r="AC56" s="4608"/>
      <c r="AD56" s="4607" t="str">
        <f>"Mod. "&amp;AD48</f>
        <v>Mod. POD</v>
      </c>
      <c r="AE56" s="4608"/>
      <c r="AF56" s="4607" t="str">
        <f>"Mod. "&amp;AF48</f>
        <v>Mod. VOL</v>
      </c>
      <c r="AG56" s="4609"/>
      <c r="AH56" s="2193"/>
      <c r="AI56" s="4558"/>
      <c r="AJ56" s="3089">
        <v>2</v>
      </c>
      <c r="AK56" s="3089">
        <f>P46</f>
        <v>1</v>
      </c>
      <c r="AL56" s="3089" t="e">
        <f>VLOOKUP(F56,'Tablas Técnicas'!$O$165:$Q$188,2,FALSE)</f>
        <v>#N/A</v>
      </c>
      <c r="AM56" s="3089"/>
      <c r="AN56" s="3090"/>
      <c r="AO56" s="3089"/>
      <c r="AP56" s="3089"/>
      <c r="AQ56" s="3090"/>
      <c r="AR56" s="3089"/>
      <c r="AS56" s="3089"/>
      <c r="AT56" s="3089"/>
      <c r="AU56" s="3089"/>
      <c r="AV56" s="3089"/>
      <c r="AW56" s="3091"/>
      <c r="AX56" s="3091"/>
      <c r="AY56" s="3089" t="str">
        <f>IF(F56="","",F56&amp;IF(K56="",""," ("&amp;IF(F56="Atadura Elemental",O56&amp;IF(Q56="","",", "&amp;Q56),K56)&amp;")")&amp;", ")</f>
        <v/>
      </c>
    </row>
    <row r="57" spans="1:51" ht="12.2" customHeight="1" thickBot="1" x14ac:dyDescent="0.25">
      <c r="A57" s="2185"/>
      <c r="B57" s="2099">
        <f t="shared" si="0"/>
        <v>2</v>
      </c>
      <c r="C57" s="4538"/>
      <c r="D57" s="4682"/>
      <c r="E57" s="4683"/>
      <c r="F57" s="4668"/>
      <c r="G57" s="4669"/>
      <c r="H57" s="4669"/>
      <c r="I57" s="4669"/>
      <c r="J57" s="4670"/>
      <c r="K57" s="4672"/>
      <c r="L57" s="4673"/>
      <c r="M57" s="4674"/>
      <c r="N57" s="1933" t="str">
        <f>IFERROR(INDEX('Tablas Técnicas'!$Q$200:$Q$301,MATCH(F57&amp;K57,'Tablas Técnicas'!$S$200:$S$301,0)),"")</f>
        <v/>
      </c>
      <c r="O57" s="4655"/>
      <c r="P57" s="4656"/>
      <c r="Q57" s="4671"/>
      <c r="R57" s="4656"/>
      <c r="S57" s="2762" t="str">
        <f>IFERROR("Nivel: "&amp;MAX(1,INDEX('Tablas Técnicas'!$R$200:$R$301,MATCH(F57&amp;K57,'Tablas Técnicas'!$S$200:$S$301,0))),"")</f>
        <v/>
      </c>
      <c r="T57" s="2545"/>
      <c r="U57" s="2546" t="str">
        <f>IFERROR("("&amp;VLOOKUP(F57,'Tablas Técnicas'!$O$165:$Q$192,3,FALSE)&amp;")","")</f>
        <v/>
      </c>
      <c r="V57" s="4564"/>
      <c r="W57" s="4562"/>
      <c r="X57" s="4562"/>
      <c r="Y57" s="4562"/>
      <c r="Z57" s="4562"/>
      <c r="AA57" s="4562"/>
      <c r="AB57" s="4562"/>
      <c r="AC57" s="4562"/>
      <c r="AD57" s="4562"/>
      <c r="AE57" s="4562"/>
      <c r="AF57" s="4562"/>
      <c r="AG57" s="4574"/>
      <c r="AH57" s="2193"/>
      <c r="AI57" s="4558"/>
      <c r="AJ57" s="3089">
        <v>3</v>
      </c>
      <c r="AK57" s="3089">
        <f>P46</f>
        <v>1</v>
      </c>
      <c r="AL57" s="3089" t="e">
        <f>VLOOKUP(F57,'Tablas Técnicas'!$O$165:$Q$188,2,FALSE)</f>
        <v>#N/A</v>
      </c>
      <c r="AM57" s="3089"/>
      <c r="AN57" s="3090"/>
      <c r="AO57" s="3089"/>
      <c r="AP57" s="3089"/>
      <c r="AQ57" s="3090"/>
      <c r="AR57" s="3091"/>
      <c r="AS57" s="3091"/>
      <c r="AT57" s="3091"/>
      <c r="AU57" s="3091"/>
      <c r="AV57" s="3091"/>
      <c r="AW57" s="3091"/>
      <c r="AX57" s="3091"/>
      <c r="AY57" s="3089" t="str">
        <f>IF(F57="","",F57&amp;IF(K57="",""," ("&amp;IF(F57="Atadura Elemental",O57&amp;IF(Q57="","",", "&amp;Q57),K57)&amp;")")&amp;", ")</f>
        <v/>
      </c>
    </row>
    <row r="58" spans="1:51" ht="12.2" customHeight="1" x14ac:dyDescent="0.2">
      <c r="A58" s="2185"/>
      <c r="B58" s="2099">
        <f t="shared" si="0"/>
        <v>2</v>
      </c>
      <c r="C58" s="4538"/>
      <c r="D58" s="4549" t="s">
        <v>9306</v>
      </c>
      <c r="E58" s="4550"/>
      <c r="F58" s="4550"/>
      <c r="G58" s="4550"/>
      <c r="H58" s="4550"/>
      <c r="I58" s="4550"/>
      <c r="J58" s="4550"/>
      <c r="K58" s="4550"/>
      <c r="L58" s="4550"/>
      <c r="M58" s="4550"/>
      <c r="N58" s="4550"/>
      <c r="O58" s="4550"/>
      <c r="P58" s="4550"/>
      <c r="Q58" s="4550"/>
      <c r="R58" s="4550"/>
      <c r="S58" s="4550"/>
      <c r="T58" s="4550"/>
      <c r="U58" s="4550"/>
      <c r="V58" s="4679"/>
      <c r="W58" s="4679"/>
      <c r="X58" s="4679"/>
      <c r="Y58" s="4679"/>
      <c r="Z58" s="4679"/>
      <c r="AA58" s="4679"/>
      <c r="AB58" s="4679"/>
      <c r="AC58" s="4679"/>
      <c r="AD58" s="4679"/>
      <c r="AE58" s="4679"/>
      <c r="AF58" s="4679"/>
      <c r="AG58" s="4552"/>
      <c r="AH58" s="2193"/>
      <c r="AI58" s="4558"/>
      <c r="AJ58" s="3089"/>
      <c r="AK58" s="3089"/>
      <c r="AL58" s="3089"/>
      <c r="AM58" s="3089"/>
      <c r="AN58" s="3090" t="s">
        <v>8812</v>
      </c>
      <c r="AO58" s="3089" t="e">
        <f>LEFT(AY50&amp;AY51&amp;AY52&amp;AY53&amp;AY54,LEN(AY50&amp;AY51&amp;AY52&amp;AY53&amp;AY54)-2)</f>
        <v>#VALUE!</v>
      </c>
      <c r="AP58" s="3089"/>
      <c r="AQ58" s="3090"/>
      <c r="AR58" s="3091"/>
      <c r="AS58" s="3091"/>
      <c r="AT58" s="3091"/>
      <c r="AU58" s="3090"/>
      <c r="AV58" s="3090"/>
      <c r="AW58" s="3091"/>
      <c r="AX58" s="3091"/>
      <c r="AY58" s="3089"/>
    </row>
    <row r="59" spans="1:51" ht="12.2" customHeight="1" x14ac:dyDescent="0.2">
      <c r="A59" s="2185"/>
      <c r="B59" s="2099">
        <f t="shared" si="0"/>
        <v>2</v>
      </c>
      <c r="C59" s="4538"/>
      <c r="D59" s="4553" t="str">
        <f>IF(F50="","",F50)</f>
        <v/>
      </c>
      <c r="E59" s="4554"/>
      <c r="F59" s="4554"/>
      <c r="G59" s="4554"/>
      <c r="H59" s="4554"/>
      <c r="I59" s="4555"/>
      <c r="J59" s="4553" t="str">
        <f>IF(F51="","",F51)</f>
        <v/>
      </c>
      <c r="K59" s="4554"/>
      <c r="L59" s="4554"/>
      <c r="M59" s="4554"/>
      <c r="N59" s="4554"/>
      <c r="O59" s="4555"/>
      <c r="P59" s="4554" t="str">
        <f>IF(F52="","",F52)</f>
        <v/>
      </c>
      <c r="Q59" s="4554"/>
      <c r="R59" s="4554"/>
      <c r="S59" s="4554"/>
      <c r="T59" s="4554"/>
      <c r="U59" s="4555"/>
      <c r="V59" s="4553" t="str">
        <f>IF(F53="","",F53)</f>
        <v/>
      </c>
      <c r="W59" s="4554"/>
      <c r="X59" s="4554"/>
      <c r="Y59" s="4554"/>
      <c r="Z59" s="4554"/>
      <c r="AA59" s="4555"/>
      <c r="AB59" s="4554" t="str">
        <f>IF(F54="","",F54)</f>
        <v/>
      </c>
      <c r="AC59" s="4554"/>
      <c r="AD59" s="4554"/>
      <c r="AE59" s="4554"/>
      <c r="AF59" s="4554"/>
      <c r="AG59" s="4577"/>
      <c r="AH59" s="2193"/>
      <c r="AI59" s="4558"/>
      <c r="AJ59" s="3089"/>
      <c r="AK59" s="3089"/>
      <c r="AL59" s="3089"/>
      <c r="AM59" s="3089"/>
      <c r="AN59" s="3090" t="s">
        <v>8813</v>
      </c>
      <c r="AO59" s="3089" t="e">
        <f>LEFT(AY55&amp;AY56&amp;AY57,LEN(AY55&amp;AY56&amp;AY57)-2)</f>
        <v>#VALUE!</v>
      </c>
      <c r="AP59" s="3089"/>
      <c r="AQ59" s="3090"/>
      <c r="AR59" s="3091"/>
      <c r="AS59" s="3091"/>
      <c r="AT59" s="3091"/>
      <c r="AU59" s="3090"/>
      <c r="AV59" s="3090"/>
      <c r="AW59" s="3091"/>
      <c r="AX59" s="3091"/>
      <c r="AY59" s="3089"/>
    </row>
    <row r="60" spans="1:51" ht="12.2" customHeight="1" x14ac:dyDescent="0.2">
      <c r="A60" s="2185"/>
      <c r="B60" s="2099">
        <f t="shared" si="0"/>
        <v>2</v>
      </c>
      <c r="C60" s="4538"/>
      <c r="D60" s="2044" t="s">
        <v>1836</v>
      </c>
      <c r="E60" s="2536" t="str">
        <f>IFERROR(VLOOKUP(D59,'Tablas Técnicas'!$O$9:$T$88,3,FALSE),"")</f>
        <v/>
      </c>
      <c r="F60" s="2547"/>
      <c r="G60" s="2548"/>
      <c r="H60" s="2548" t="s">
        <v>1363</v>
      </c>
      <c r="I60" s="2536" t="str">
        <f>IFERROR(VLOOKUP(D59,'Tablas Técnicas'!$O$9:$T$88,4,FALSE),"")</f>
        <v/>
      </c>
      <c r="J60" s="2044" t="s">
        <v>1836</v>
      </c>
      <c r="K60" s="2536" t="str">
        <f>IFERROR(VLOOKUP(J59,'Tablas Técnicas'!$O$9:$T$88,3,FALSE),"")</f>
        <v/>
      </c>
      <c r="L60" s="2547"/>
      <c r="M60" s="2548"/>
      <c r="N60" s="2548" t="s">
        <v>1363</v>
      </c>
      <c r="O60" s="1934" t="str">
        <f>IFERROR(VLOOKUP(J59,'Tablas Técnicas'!$O$9:$T$88,4,FALSE),"")</f>
        <v/>
      </c>
      <c r="P60" s="2548" t="s">
        <v>1836</v>
      </c>
      <c r="Q60" s="2536" t="str">
        <f>IFERROR(VLOOKUP(P59,'Tablas Técnicas'!$O$9:$T$88,3,FALSE),"")</f>
        <v/>
      </c>
      <c r="R60" s="2547"/>
      <c r="S60" s="2548"/>
      <c r="T60" s="2548" t="s">
        <v>1363</v>
      </c>
      <c r="U60" s="2536" t="str">
        <f>IFERROR(VLOOKUP(P59,'Tablas Técnicas'!$O$9:$T$88,4,FALSE),"")</f>
        <v/>
      </c>
      <c r="V60" s="2044" t="s">
        <v>1836</v>
      </c>
      <c r="W60" s="2536" t="str">
        <f>IFERROR(VLOOKUP(V59,'Tablas Técnicas'!$O$9:$T$88,3,FALSE),"")</f>
        <v/>
      </c>
      <c r="X60" s="2547"/>
      <c r="Y60" s="2548"/>
      <c r="Z60" s="2548" t="s">
        <v>1363</v>
      </c>
      <c r="AA60" s="1934" t="str">
        <f>IFERROR(VLOOKUP(V59,'Tablas Técnicas'!$O$9:$T$88,4,FALSE),"")</f>
        <v/>
      </c>
      <c r="AB60" s="2548" t="s">
        <v>1836</v>
      </c>
      <c r="AC60" s="2536" t="str">
        <f>IFERROR(VLOOKUP(AB59,'Tablas Técnicas'!$O$9:$T$88,3,FALSE),"")</f>
        <v/>
      </c>
      <c r="AD60" s="2547"/>
      <c r="AE60" s="2548"/>
      <c r="AF60" s="2548" t="s">
        <v>1363</v>
      </c>
      <c r="AG60" s="1935" t="str">
        <f>IFERROR(VLOOKUP(AB59,'Tablas Técnicas'!$O$9:$T$88,4,FALSE),"")</f>
        <v/>
      </c>
      <c r="AH60" s="2193"/>
      <c r="AI60" s="4558"/>
      <c r="AJ60" s="3089"/>
      <c r="AK60" s="3089"/>
      <c r="AL60" s="3089"/>
      <c r="AM60" s="3089"/>
      <c r="AN60" s="3090"/>
      <c r="AO60" s="3089"/>
      <c r="AP60" s="3089"/>
      <c r="AQ60" s="3090"/>
      <c r="AR60" s="3091"/>
      <c r="AS60" s="3091"/>
      <c r="AT60" s="3091"/>
      <c r="AU60" s="3091"/>
      <c r="AV60" s="3091"/>
      <c r="AW60" s="3091"/>
      <c r="AX60" s="3091"/>
      <c r="AY60" s="3089"/>
    </row>
    <row r="61" spans="1:51" ht="12.2" customHeight="1" x14ac:dyDescent="0.2">
      <c r="A61" s="2185"/>
      <c r="B61" s="2099">
        <f t="shared" si="0"/>
        <v>2</v>
      </c>
      <c r="C61" s="4538"/>
      <c r="D61" s="2045" t="s">
        <v>8814</v>
      </c>
      <c r="E61" s="2548"/>
      <c r="F61" s="2547"/>
      <c r="G61" s="2549"/>
      <c r="H61" s="2549"/>
      <c r="I61" s="2546" t="str">
        <f>IFERROR(IF(D59="Ataque Elemental",IF(NOT(ISNA(VLOOKUP(D63,'Tablas Técnicas'!$O$100:$O$105,1,0))),D63,"Variable"),VLOOKUP(D59,'Tablas Técnicas'!$O$9:$W$88,9,FALSE)),"")</f>
        <v/>
      </c>
      <c r="J61" s="2550" t="s">
        <v>8814</v>
      </c>
      <c r="K61" s="2551"/>
      <c r="L61" s="2552"/>
      <c r="M61" s="2553"/>
      <c r="N61" s="2553"/>
      <c r="O61" s="2554" t="str">
        <f>IFERROR(IF(J59="Ataque Elemental",IF(NOT(ISNA(VLOOKUP(J63,'Tablas Técnicas'!$O$100:$O$105,1,0))),J63,"Variable"),VLOOKUP(J59,'Tablas Técnicas'!$O$9:$W$88,9,FALSE)),"")</f>
        <v/>
      </c>
      <c r="P61" s="2555" t="s">
        <v>8814</v>
      </c>
      <c r="Q61" s="2551"/>
      <c r="R61" s="2552"/>
      <c r="S61" s="2553"/>
      <c r="T61" s="2553"/>
      <c r="U61" s="2546" t="str">
        <f>IFERROR(IF(P59="Ataque Elemental",IF(NOT(ISNA(VLOOKUP(P63,'Tablas Técnicas'!$O$100:$O$105,1,0))),P63,"Variable"),VLOOKUP(P59,'Tablas Técnicas'!$O$9:$W$88,9,FALSE)),"")</f>
        <v/>
      </c>
      <c r="V61" s="2550" t="s">
        <v>8814</v>
      </c>
      <c r="W61" s="2551"/>
      <c r="X61" s="2552"/>
      <c r="Y61" s="2553"/>
      <c r="Z61" s="2553"/>
      <c r="AA61" s="2554" t="str">
        <f>IFERROR(IF(V59="Ataque Elemental",IF(NOT(ISNA(VLOOKUP(V63,'Tablas Técnicas'!$O$100:$O$105,1,0))),V63,"Variable"),VLOOKUP(V59,'Tablas Técnicas'!$O$9:$W$88,9,FALSE)),"")</f>
        <v/>
      </c>
      <c r="AB61" s="2555" t="s">
        <v>8814</v>
      </c>
      <c r="AC61" s="2551"/>
      <c r="AD61" s="2552"/>
      <c r="AE61" s="2553"/>
      <c r="AF61" s="2553"/>
      <c r="AG61" s="2050" t="str">
        <f>IFERROR(IF(AB59="Ataque Elemental",IF(NOT(ISNA(VLOOKUP(AB63,'Tablas Técnicas'!$O$100:$O$105,1,0))),AB63,"Variable"),VLOOKUP(AB59,'Tablas Técnicas'!$O$9:$W$88,9,FALSE)),"")</f>
        <v/>
      </c>
      <c r="AH61" s="2193"/>
      <c r="AI61" s="4558"/>
      <c r="AJ61" s="3089"/>
      <c r="AK61" s="3091" t="s">
        <v>1373</v>
      </c>
      <c r="AL61" s="3091" t="s">
        <v>1498</v>
      </c>
      <c r="AM61" s="3091" t="s">
        <v>1378</v>
      </c>
      <c r="AN61" s="3091" t="s">
        <v>1383</v>
      </c>
      <c r="AO61" s="3091" t="s">
        <v>1391</v>
      </c>
      <c r="AP61" s="3091" t="s">
        <v>1392</v>
      </c>
      <c r="AQ61" s="3090"/>
      <c r="AR61" s="3091"/>
      <c r="AS61" s="3091"/>
      <c r="AT61" s="3091"/>
      <c r="AU61" s="3091"/>
      <c r="AV61" s="3091"/>
      <c r="AW61" s="3091"/>
      <c r="AX61" s="3091"/>
      <c r="AY61" s="3089"/>
    </row>
    <row r="62" spans="1:51" ht="12.2" customHeight="1" x14ac:dyDescent="0.2">
      <c r="A62" s="2185"/>
      <c r="B62" s="2099">
        <f t="shared" si="0"/>
        <v>2</v>
      </c>
      <c r="C62" s="4538"/>
      <c r="D62" s="4553" t="s">
        <v>2827</v>
      </c>
      <c r="E62" s="4554"/>
      <c r="F62" s="4554"/>
      <c r="G62" s="4554"/>
      <c r="H62" s="4555"/>
      <c r="I62" s="1938" t="s">
        <v>1403</v>
      </c>
      <c r="J62" s="4553" t="s">
        <v>2827</v>
      </c>
      <c r="K62" s="4554"/>
      <c r="L62" s="4554"/>
      <c r="M62" s="4554"/>
      <c r="N62" s="4555"/>
      <c r="O62" s="1939" t="s">
        <v>1403</v>
      </c>
      <c r="P62" s="4553" t="s">
        <v>2827</v>
      </c>
      <c r="Q62" s="4554"/>
      <c r="R62" s="4554"/>
      <c r="S62" s="4554"/>
      <c r="T62" s="4555"/>
      <c r="U62" s="1939" t="s">
        <v>1403</v>
      </c>
      <c r="V62" s="4553"/>
      <c r="W62" s="4554"/>
      <c r="X62" s="4554"/>
      <c r="Y62" s="4554"/>
      <c r="Z62" s="4555"/>
      <c r="AA62" s="1939" t="s">
        <v>1403</v>
      </c>
      <c r="AB62" s="4553" t="s">
        <v>2827</v>
      </c>
      <c r="AC62" s="4554"/>
      <c r="AD62" s="4554"/>
      <c r="AE62" s="4554"/>
      <c r="AF62" s="4555"/>
      <c r="AG62" s="1940" t="s">
        <v>1403</v>
      </c>
      <c r="AH62" s="2193"/>
      <c r="AI62" s="4558"/>
      <c r="AJ62" s="3094" t="s">
        <v>9343</v>
      </c>
      <c r="AK62" s="3089" t="str">
        <f>IF(V48="","",IF(SUM(V50:V54)=0,"",V48&amp;" "&amp;SUM(V50:V54)+V57&amp;IF(SUM(W50:W54)=0,""," ("&amp;SUM(W50:W54)&amp;")")&amp;", "))</f>
        <v/>
      </c>
      <c r="AL62" s="3089" t="str">
        <f>IF(X48="","",IF(SUM(X50:X54)=0,"",X48&amp;" "&amp;SUM(X50:X54)+X57&amp;IF(SUM(Y50:Y54)=0,""," ("&amp;SUM(Y50:Y54)&amp;")")&amp;", "))</f>
        <v/>
      </c>
      <c r="AM62" s="3089" t="str">
        <f>IF(Z48="","",IF(SUM(Z50:Z54)=0,"",Z48&amp;" "&amp;SUM(Z50:Z54)+Z57&amp;IF(SUM(AA50:AA54)=0,""," ("&amp;SUM(AA50:AA54)&amp;")")&amp;", "))</f>
        <v/>
      </c>
      <c r="AN62" s="3089" t="str">
        <f>IF(AB48="","",IF(SUM(AB50:AB54)=0,"",AB48&amp;" "&amp;SUM(AB50:AB54)+AB57&amp;IF(SUM(AC50:AC54)=0,""," ("&amp;SUM(AC50:AC54)&amp;")")&amp;", "))</f>
        <v/>
      </c>
      <c r="AO62" s="3089" t="str">
        <f>IF(AD48="","",IF(SUM(AD50:AD54)=0,"",AD48&amp;" "&amp;SUM(AD50:AD54)+AD57&amp;IF(SUM(AE50:AE54)=0,""," ("&amp;SUM(AE50:AE54)&amp;")")&amp;", "))</f>
        <v/>
      </c>
      <c r="AP62" s="3089" t="str">
        <f>IF(AF48="","",IF(SUM(AF50:AF54)=0,"",AF48&amp;" "&amp;SUM(AF50:AF54)+AF57&amp;IF(SUM(AG50:AG54)=0,""," ("&amp;SUM(AG50:AG54)&amp;")")&amp;", "))</f>
        <v/>
      </c>
      <c r="AQ62" s="3089"/>
      <c r="AR62" s="3089"/>
      <c r="AS62" s="3089"/>
      <c r="AT62" s="3089"/>
      <c r="AU62" s="3089"/>
      <c r="AV62" s="3089"/>
      <c r="AW62" s="3089"/>
      <c r="AX62" s="3089"/>
      <c r="AY62" s="3089"/>
    </row>
    <row r="63" spans="1:51" ht="12.2" customHeight="1" x14ac:dyDescent="0.2">
      <c r="A63" s="2185"/>
      <c r="B63" s="2099">
        <f t="shared" si="0"/>
        <v>2</v>
      </c>
      <c r="C63" s="4538"/>
      <c r="D63" s="4575"/>
      <c r="E63" s="4573"/>
      <c r="F63" s="4573"/>
      <c r="G63" s="4573"/>
      <c r="H63" s="4573"/>
      <c r="I63" s="1941" t="str">
        <f>IF(OR(D59="",D63=""),"",MAX(1,SUMPRODUCT(--(INDEX('Tablas Técnicas'!$C$10:$L$643,,1)=D59),--(INDEX('Tablas Técnicas'!$C$10:$L$643,,2)=D63),INDEX('Tablas Técnicas'!$C$10:$L$643,,9))))</f>
        <v/>
      </c>
      <c r="J63" s="4572"/>
      <c r="K63" s="4573"/>
      <c r="L63" s="4573"/>
      <c r="M63" s="4573"/>
      <c r="N63" s="4573"/>
      <c r="O63" s="1941" t="str">
        <f>IF(OR(J59="",J63=""),"",MAX(1,SUMPRODUCT(--(INDEX('Tablas Técnicas'!$C$10:$L$643,,1)=J59),--(INDEX('Tablas Técnicas'!$C$10:$L$643,,2)=J63),INDEX('Tablas Técnicas'!$C$10:$L$643,,9))))</f>
        <v/>
      </c>
      <c r="P63" s="4572"/>
      <c r="Q63" s="4573"/>
      <c r="R63" s="4573"/>
      <c r="S63" s="4573"/>
      <c r="T63" s="4573"/>
      <c r="U63" s="1941" t="str">
        <f>IF(OR(P59="",P63=""),"",MAX(1,SUMPRODUCT(--(INDEX('Tablas Técnicas'!$C$10:$L$643,,1)=P59),--(INDEX('Tablas Técnicas'!$C$10:$L$643,,2)=P63),INDEX('Tablas Técnicas'!$C$10:$L$643,,9))))</f>
        <v/>
      </c>
      <c r="V63" s="4572"/>
      <c r="W63" s="4573"/>
      <c r="X63" s="4573"/>
      <c r="Y63" s="4573"/>
      <c r="Z63" s="4573"/>
      <c r="AA63" s="1941" t="str">
        <f>IF(OR(V59="",V63=""),"",MAX(1,SUMPRODUCT(--(INDEX('Tablas Técnicas'!$C$10:$L$643,,1)=V59),--(INDEX('Tablas Técnicas'!$C$10:$L$643,,2)=V63),INDEX('Tablas Técnicas'!$C$10:$L$643,,9))))</f>
        <v/>
      </c>
      <c r="AB63" s="4572"/>
      <c r="AC63" s="4573"/>
      <c r="AD63" s="4573"/>
      <c r="AE63" s="4573"/>
      <c r="AF63" s="4573"/>
      <c r="AG63" s="1942" t="str">
        <f>IF(OR(AB59="",AB63=""),"",MAX(1,SUMPRODUCT(--(INDEX('Tablas Técnicas'!$C$10:$L$643,,1)=AB59),--(INDEX('Tablas Técnicas'!$C$10:$L$643,,2)=AB63),INDEX('Tablas Técnicas'!$C$10:$L$643,,9))))</f>
        <v/>
      </c>
      <c r="AH63" s="2193">
        <f>P46</f>
        <v>1</v>
      </c>
      <c r="AI63" s="4558"/>
      <c r="AJ63" s="3089" t="s">
        <v>9307</v>
      </c>
      <c r="AK63" s="3089"/>
      <c r="AL63" s="3089">
        <f>MAX(0,SUM(AT50:AT54)+ABS($AC55*2/5))+IF(AM72,0,Y55)+IF(S46="Sí",3*P46,0)</f>
        <v>0</v>
      </c>
      <c r="AM63" s="3089">
        <f t="array" ref="AM63">IF(ISNUMBER(SEARCH("Mantenido",K50&amp;K51&amp;K52&amp;K53&amp;K54)),MAX(0,SUM(VALUE(RIGHT($P50:$P54,2)))),0)</f>
        <v>0</v>
      </c>
      <c r="AN63" s="3091"/>
      <c r="AO63" s="3091"/>
      <c r="AP63" s="3096"/>
      <c r="AQ63" s="3096"/>
      <c r="AR63" s="3096"/>
      <c r="AS63" s="3096"/>
      <c r="AT63" s="3096"/>
      <c r="AU63" s="3096"/>
      <c r="AV63" s="3096"/>
      <c r="AW63" s="3096"/>
      <c r="AX63" s="3096"/>
      <c r="AY63" s="3089"/>
    </row>
    <row r="64" spans="1:51" ht="12.2" customHeight="1" x14ac:dyDescent="0.2">
      <c r="A64" s="2185"/>
      <c r="B64" s="2099">
        <f t="shared" si="0"/>
        <v>2</v>
      </c>
      <c r="C64" s="4538"/>
      <c r="D64" s="4556"/>
      <c r="E64" s="4557"/>
      <c r="F64" s="4557"/>
      <c r="G64" s="4557"/>
      <c r="H64" s="4557"/>
      <c r="I64" s="1943" t="str">
        <f>IF(OR(D59="",D64=""),"",MAX(1,SUMPRODUCT(--(INDEX('Tablas Técnicas'!$C$10:$L$643,,1)=D59),--(INDEX('Tablas Técnicas'!$C$10:$L$643,,2)=D64),INDEX('Tablas Técnicas'!$C$10:$L$643,,9))))</f>
        <v/>
      </c>
      <c r="J64" s="4556"/>
      <c r="K64" s="4557"/>
      <c r="L64" s="4557"/>
      <c r="M64" s="4557"/>
      <c r="N64" s="4557"/>
      <c r="O64" s="1943" t="str">
        <f>IF(OR(J59="",J64=""),"",MAX(1,SUMPRODUCT(--(INDEX('Tablas Técnicas'!$C$10:$L$643,,1)=J59),--(INDEX('Tablas Técnicas'!$C$10:$L$643,,2)=J64),INDEX('Tablas Técnicas'!$C$10:$L$643,,9))))</f>
        <v/>
      </c>
      <c r="P64" s="4556"/>
      <c r="Q64" s="4557"/>
      <c r="R64" s="4557"/>
      <c r="S64" s="4557"/>
      <c r="T64" s="4557"/>
      <c r="U64" s="1943" t="str">
        <f>IF(OR(P59="",P64=""),"",MAX(1,SUMPRODUCT(--(INDEX('Tablas Técnicas'!$C$10:$L$643,,1)=P59),--(INDEX('Tablas Técnicas'!$C$10:$L$643,,2)=P64),INDEX('Tablas Técnicas'!$C$10:$L$643,,9))))</f>
        <v/>
      </c>
      <c r="V64" s="4556"/>
      <c r="W64" s="4557"/>
      <c r="X64" s="4557"/>
      <c r="Y64" s="4557"/>
      <c r="Z64" s="4557"/>
      <c r="AA64" s="1943" t="str">
        <f>IF(OR(V59="",V64=""),"",MAX(1,SUMPRODUCT(--(INDEX('Tablas Técnicas'!$C$10:$L$643,,1)=V59),--(INDEX('Tablas Técnicas'!$C$10:$L$643,,2)=V64),INDEX('Tablas Técnicas'!$C$10:$L$643,,9))))</f>
        <v/>
      </c>
      <c r="AB64" s="4556"/>
      <c r="AC64" s="4557"/>
      <c r="AD64" s="4557"/>
      <c r="AE64" s="4557"/>
      <c r="AF64" s="4557"/>
      <c r="AG64" s="1944" t="str">
        <f>IF(OR(AB59="",AB64=""),"",MAX(1,SUMPRODUCT(--(INDEX('Tablas Técnicas'!$C$10:$L$643,,1)=AB59),--(INDEX('Tablas Técnicas'!$C$10:$L$643,,2)=AB64),INDEX('Tablas Técnicas'!$C$10:$L$643,,9))))</f>
        <v/>
      </c>
      <c r="AH64" s="2193">
        <f>P46</f>
        <v>1</v>
      </c>
      <c r="AI64" s="4558"/>
      <c r="AJ64" s="3089" t="s">
        <v>8816</v>
      </c>
      <c r="AK64" s="3089"/>
      <c r="AL64" s="3089">
        <f>SUM(V50:V54,X50:X54,Z50:Z54,AB50:AB54,AD50:AD54,AF50:AF54)+SUM(V57:AG57)</f>
        <v>0</v>
      </c>
      <c r="AM64" s="3089">
        <f>SUM(W50:W54,Y50:Y54,AA50:AA54,AC50:AC54,AE50:AE54,AG50:AG54)</f>
        <v>0</v>
      </c>
      <c r="AN64" s="3089"/>
      <c r="AO64" s="3089"/>
      <c r="AP64" s="3089"/>
      <c r="AQ64" s="3089"/>
      <c r="AR64" s="3089"/>
      <c r="AS64" s="3089"/>
      <c r="AT64" s="3089"/>
      <c r="AU64" s="3089"/>
      <c r="AV64" s="3089"/>
      <c r="AW64" s="3091"/>
      <c r="AX64" s="3089"/>
      <c r="AY64" s="3089"/>
    </row>
    <row r="65" spans="1:51" ht="12.2" customHeight="1" x14ac:dyDescent="0.2">
      <c r="A65" s="2185"/>
      <c r="B65" s="2099">
        <f t="shared" si="0"/>
        <v>2</v>
      </c>
      <c r="C65" s="4538"/>
      <c r="D65" s="4556"/>
      <c r="E65" s="4557"/>
      <c r="F65" s="4557"/>
      <c r="G65" s="4557"/>
      <c r="H65" s="4557"/>
      <c r="I65" s="1943" t="str">
        <f>IF(OR(D59="",D65=""),"",MAX(1,SUMPRODUCT(--(INDEX('Tablas Técnicas'!$C$10:$L$643,,1)=D59),--(INDEX('Tablas Técnicas'!$C$10:$L$643,,2)=D65),INDEX('Tablas Técnicas'!$C$10:$L$643,,9))))</f>
        <v/>
      </c>
      <c r="J65" s="4556"/>
      <c r="K65" s="4557"/>
      <c r="L65" s="4557"/>
      <c r="M65" s="4557"/>
      <c r="N65" s="4557"/>
      <c r="O65" s="1943" t="str">
        <f>IF(OR(J59="",J65=""),"",MAX(1,SUMPRODUCT(--(INDEX('Tablas Técnicas'!$C$10:$L$643,,1)=J59),--(INDEX('Tablas Técnicas'!$C$10:$L$643,,2)=J65),INDEX('Tablas Técnicas'!$C$10:$L$643,,9))))</f>
        <v/>
      </c>
      <c r="P65" s="4556"/>
      <c r="Q65" s="4557"/>
      <c r="R65" s="4557"/>
      <c r="S65" s="4557"/>
      <c r="T65" s="4557"/>
      <c r="U65" s="1943" t="str">
        <f>IF(OR(P59="",P65=""),"",MAX(1,SUMPRODUCT(--(INDEX('Tablas Técnicas'!$C$10:$L$643,,1)=P59),--(INDEX('Tablas Técnicas'!$C$10:$L$643,,2)=P65),INDEX('Tablas Técnicas'!$C$10:$L$643,,9))))</f>
        <v/>
      </c>
      <c r="V65" s="4556"/>
      <c r="W65" s="4557"/>
      <c r="X65" s="4557"/>
      <c r="Y65" s="4557"/>
      <c r="Z65" s="4557"/>
      <c r="AA65" s="1943" t="str">
        <f>IF(OR(V59="",V65=""),"",MAX(1,SUMPRODUCT(--(INDEX('Tablas Técnicas'!$C$10:$L$643,,1)=V59),--(INDEX('Tablas Técnicas'!$C$10:$L$643,,2)=V65),INDEX('Tablas Técnicas'!$C$10:$L$643,,9))))</f>
        <v/>
      </c>
      <c r="AB65" s="4556"/>
      <c r="AC65" s="4557"/>
      <c r="AD65" s="4557"/>
      <c r="AE65" s="4557"/>
      <c r="AF65" s="4557"/>
      <c r="AG65" s="1944" t="str">
        <f>IF(OR(AB59="",AB65=""),"",MAX(1,SUMPRODUCT(--(INDEX('Tablas Técnicas'!$C$10:$L$643,,1)=AB59),--(INDEX('Tablas Técnicas'!$C$10:$L$643,,2)=AB65),INDEX('Tablas Técnicas'!$C$10:$L$643,,9))))</f>
        <v/>
      </c>
      <c r="AH65" s="2193">
        <f>P46</f>
        <v>1</v>
      </c>
      <c r="AI65" s="4558"/>
      <c r="AJ65" s="3089"/>
      <c r="AK65" s="3089"/>
      <c r="AL65" s="3089"/>
      <c r="AM65" s="3089"/>
      <c r="AN65" s="3089"/>
      <c r="AO65" s="3089"/>
      <c r="AP65" s="3089"/>
      <c r="AQ65" s="3089"/>
      <c r="AR65" s="3089"/>
      <c r="AS65" s="3089"/>
      <c r="AT65" s="3089"/>
      <c r="AU65" s="3089"/>
      <c r="AV65" s="3089"/>
      <c r="AW65" s="3091"/>
      <c r="AX65" s="3091"/>
      <c r="AY65" s="3089"/>
    </row>
    <row r="66" spans="1:51" ht="12.2" customHeight="1" x14ac:dyDescent="0.2">
      <c r="A66" s="2185"/>
      <c r="B66" s="2099">
        <f t="shared" si="0"/>
        <v>2</v>
      </c>
      <c r="C66" s="4538"/>
      <c r="D66" s="4556"/>
      <c r="E66" s="4557"/>
      <c r="F66" s="4557"/>
      <c r="G66" s="4557"/>
      <c r="H66" s="4557"/>
      <c r="I66" s="1943" t="str">
        <f>IF(OR(D59="",D66=""),"",MAX(1,SUMPRODUCT(--(INDEX('Tablas Técnicas'!$C$10:$L$643,,1)=D59),--(INDEX('Tablas Técnicas'!$C$10:$L$643,,2)=D66),INDEX('Tablas Técnicas'!$C$10:$L$643,,9))))</f>
        <v/>
      </c>
      <c r="J66" s="4556"/>
      <c r="K66" s="4557"/>
      <c r="L66" s="4557"/>
      <c r="M66" s="4557"/>
      <c r="N66" s="4557"/>
      <c r="O66" s="1943" t="str">
        <f>IF(OR(J59="",J66=""),"",MAX(1,SUMPRODUCT(--(INDEX('Tablas Técnicas'!$C$10:$L$643,,1)=J59),--(INDEX('Tablas Técnicas'!$C$10:$L$643,,2)=J66),INDEX('Tablas Técnicas'!$C$10:$L$643,,9))))</f>
        <v/>
      </c>
      <c r="P66" s="4556"/>
      <c r="Q66" s="4557"/>
      <c r="R66" s="4557"/>
      <c r="S66" s="4557"/>
      <c r="T66" s="4557"/>
      <c r="U66" s="1943" t="str">
        <f>IF(OR(P59="",P66=""),"",MAX(1,SUMPRODUCT(--(INDEX('Tablas Técnicas'!$C$10:$L$643,,1)=P59),--(INDEX('Tablas Técnicas'!$C$10:$L$643,,2)=P66),INDEX('Tablas Técnicas'!$C$10:$L$643,,9))))</f>
        <v/>
      </c>
      <c r="V66" s="4556"/>
      <c r="W66" s="4557"/>
      <c r="X66" s="4557"/>
      <c r="Y66" s="4557"/>
      <c r="Z66" s="4557"/>
      <c r="AA66" s="1943" t="str">
        <f>IF(OR(V59="",V66=""),"",MAX(1,SUMPRODUCT(--(INDEX('Tablas Técnicas'!$C$10:$L$643,,1)=V59),--(INDEX('Tablas Técnicas'!$C$10:$L$643,,2)=V66),INDEX('Tablas Técnicas'!$C$10:$L$643,,9))))</f>
        <v/>
      </c>
      <c r="AB66" s="4556"/>
      <c r="AC66" s="4557"/>
      <c r="AD66" s="4557"/>
      <c r="AE66" s="4557"/>
      <c r="AF66" s="4557"/>
      <c r="AG66" s="1944" t="str">
        <f>IF(OR(AB59="",AB66=""),"",MAX(1,SUMPRODUCT(--(INDEX('Tablas Técnicas'!$C$10:$L$643,,1)=AB59),--(INDEX('Tablas Técnicas'!$C$10:$L$643,,2)=AB66),INDEX('Tablas Técnicas'!$C$10:$L$643,,9))))</f>
        <v/>
      </c>
      <c r="AH66" s="2193">
        <f>P46</f>
        <v>1</v>
      </c>
      <c r="AI66" s="4558"/>
      <c r="AJ66" s="3089" t="s">
        <v>8817</v>
      </c>
      <c r="AK66" s="3089"/>
      <c r="AL66" s="3089"/>
      <c r="AM66" s="3089"/>
      <c r="AN66" s="3089"/>
      <c r="AO66" s="3089"/>
      <c r="AP66" s="3089"/>
      <c r="AQ66" s="3090"/>
      <c r="AR66" s="3091"/>
      <c r="AS66" s="3091"/>
      <c r="AT66" s="3091"/>
      <c r="AU66" s="3091"/>
      <c r="AV66" s="3091"/>
      <c r="AW66" s="3091"/>
      <c r="AX66" s="3091"/>
      <c r="AY66" s="3089"/>
    </row>
    <row r="67" spans="1:51" ht="12.2" customHeight="1" x14ac:dyDescent="0.2">
      <c r="A67" s="2185"/>
      <c r="B67" s="2099">
        <f t="shared" si="0"/>
        <v>2</v>
      </c>
      <c r="C67" s="4538"/>
      <c r="D67" s="4556"/>
      <c r="E67" s="4557"/>
      <c r="F67" s="4557"/>
      <c r="G67" s="4557"/>
      <c r="H67" s="4557"/>
      <c r="I67" s="1943" t="str">
        <f>IF(OR(D59="",D67=""),"",MAX(1,SUMPRODUCT(--(INDEX('Tablas Técnicas'!$C$10:$L$643,,1)=D59),--(INDEX('Tablas Técnicas'!$C$10:$L$643,,2)=D67),INDEX('Tablas Técnicas'!$C$10:$L$643,,9))))</f>
        <v/>
      </c>
      <c r="J67" s="4556"/>
      <c r="K67" s="4557"/>
      <c r="L67" s="4557"/>
      <c r="M67" s="4557"/>
      <c r="N67" s="4557"/>
      <c r="O67" s="1943" t="str">
        <f>IF(OR(J59="",J67=""),"",MAX(1,SUMPRODUCT(--(INDEX('Tablas Técnicas'!$C$10:$L$643,,1)=J59),--(INDEX('Tablas Técnicas'!$C$10:$L$643,,2)=J67),INDEX('Tablas Técnicas'!$C$10:$L$643,,9))))</f>
        <v/>
      </c>
      <c r="P67" s="4556"/>
      <c r="Q67" s="4557"/>
      <c r="R67" s="4557"/>
      <c r="S67" s="4557"/>
      <c r="T67" s="4557"/>
      <c r="U67" s="1943" t="str">
        <f>IF(OR(P59="",P67=""),"",MAX(1,SUMPRODUCT(--(INDEX('Tablas Técnicas'!$C$10:$L$643,,1)=P59),--(INDEX('Tablas Técnicas'!$C$10:$L$643,,2)=P67),INDEX('Tablas Técnicas'!$C$10:$L$643,,9))))</f>
        <v/>
      </c>
      <c r="V67" s="4556"/>
      <c r="W67" s="4557"/>
      <c r="X67" s="4557"/>
      <c r="Y67" s="4557"/>
      <c r="Z67" s="4557"/>
      <c r="AA67" s="1943" t="str">
        <f>IF(OR(V59="",V67=""),"",MAX(1,SUMPRODUCT(--(INDEX('Tablas Técnicas'!$C$10:$L$643,,1)=V59),--(INDEX('Tablas Técnicas'!$C$10:$L$643,,2)=V67),INDEX('Tablas Técnicas'!$C$10:$L$643,,9))))</f>
        <v/>
      </c>
      <c r="AB67" s="4556"/>
      <c r="AC67" s="4557"/>
      <c r="AD67" s="4557"/>
      <c r="AE67" s="4557"/>
      <c r="AF67" s="4557"/>
      <c r="AG67" s="1944" t="str">
        <f>IF(OR(AB59="",AB67=""),"",MAX(1,SUMPRODUCT(--(INDEX('Tablas Técnicas'!$C$10:$L$643,,1)=AB59),--(INDEX('Tablas Técnicas'!$C$10:$L$643,,2)=AB67),INDEX('Tablas Técnicas'!$C$10:$L$643,,9))))</f>
        <v/>
      </c>
      <c r="AH67" s="2193">
        <f>P46</f>
        <v>1</v>
      </c>
      <c r="AI67" s="4558"/>
      <c r="AJ67" s="3089" t="s">
        <v>9971</v>
      </c>
      <c r="AK67" s="3089"/>
      <c r="AL67" s="3089"/>
      <c r="AM67" s="3089" t="b">
        <f>U46&gt;IF(P46=3,200,IF(P46=2,100,50))</f>
        <v>0</v>
      </c>
      <c r="AN67" s="3089"/>
      <c r="AO67" s="3089"/>
      <c r="AP67" s="3089"/>
      <c r="AQ67" s="3089"/>
      <c r="AR67" s="3091"/>
      <c r="AS67" s="3091"/>
      <c r="AT67" s="3091"/>
      <c r="AU67" s="3091"/>
      <c r="AV67" s="3091"/>
      <c r="AW67" s="3091"/>
      <c r="AX67" s="3091"/>
      <c r="AY67" s="3089"/>
    </row>
    <row r="68" spans="1:51" ht="12.2" customHeight="1" x14ac:dyDescent="0.2">
      <c r="A68" s="2185"/>
      <c r="B68" s="2099">
        <f t="shared" si="0"/>
        <v>2</v>
      </c>
      <c r="C68" s="4538"/>
      <c r="D68" s="4556"/>
      <c r="E68" s="4557"/>
      <c r="F68" s="4557"/>
      <c r="G68" s="4557"/>
      <c r="H68" s="4557"/>
      <c r="I68" s="1943" t="str">
        <f>IF(OR(D59="",D68=""),"",MAX(1,SUMPRODUCT(--(INDEX('Tablas Técnicas'!$C$10:$L$643,,1)=D59),--(INDEX('Tablas Técnicas'!$C$10:$L$643,,2)=D68),INDEX('Tablas Técnicas'!$C$10:$L$643,,9))))</f>
        <v/>
      </c>
      <c r="J68" s="4556"/>
      <c r="K68" s="4557"/>
      <c r="L68" s="4557"/>
      <c r="M68" s="4557"/>
      <c r="N68" s="4557"/>
      <c r="O68" s="1943" t="str">
        <f>IF(OR(J59="",J68=""),"",MAX(1,SUMPRODUCT(--(INDEX('Tablas Técnicas'!$C$10:$L$643,,1)=J59),--(INDEX('Tablas Técnicas'!$C$10:$L$643,,2)=J68),INDEX('Tablas Técnicas'!$C$10:$L$643,,9))))</f>
        <v/>
      </c>
      <c r="P68" s="4556"/>
      <c r="Q68" s="4557"/>
      <c r="R68" s="4557"/>
      <c r="S68" s="4557"/>
      <c r="T68" s="4557"/>
      <c r="U68" s="1943" t="str">
        <f>IF(OR(P59="",P68=""),"",MAX(1,SUMPRODUCT(--(INDEX('Tablas Técnicas'!$C$10:$L$643,,1)=P59),--(INDEX('Tablas Técnicas'!$C$10:$L$643,,2)=P68),INDEX('Tablas Técnicas'!$C$10:$L$643,,9))))</f>
        <v/>
      </c>
      <c r="V68" s="4556"/>
      <c r="W68" s="4557"/>
      <c r="X68" s="4557"/>
      <c r="Y68" s="4557"/>
      <c r="Z68" s="4557"/>
      <c r="AA68" s="1943" t="str">
        <f>IF(OR(V59="",V68=""),"",MAX(1,SUMPRODUCT(--(INDEX('Tablas Técnicas'!$C$10:$L$643,,1)=V59),--(INDEX('Tablas Técnicas'!$C$10:$L$643,,2)=V68),INDEX('Tablas Técnicas'!$C$10:$L$643,,9))))</f>
        <v/>
      </c>
      <c r="AB68" s="4556"/>
      <c r="AC68" s="4557"/>
      <c r="AD68" s="4557"/>
      <c r="AE68" s="4557"/>
      <c r="AF68" s="4557"/>
      <c r="AG68" s="1944" t="str">
        <f>IF(OR(AB59="",AB68=""),"",MAX(1,SUMPRODUCT(--(INDEX('Tablas Técnicas'!$C$10:$L$643,,1)=AB59),--(INDEX('Tablas Técnicas'!$C$10:$L$643,,2)=AB68),INDEX('Tablas Técnicas'!$C$10:$L$643,,9))))</f>
        <v/>
      </c>
      <c r="AH68" s="2193">
        <f>P46</f>
        <v>1</v>
      </c>
      <c r="AI68" s="4558"/>
      <c r="AJ68" s="3089" t="s">
        <v>8818</v>
      </c>
      <c r="AK68" s="3089"/>
      <c r="AL68" s="3089"/>
      <c r="AM68" s="3089" t="b">
        <f t="array" ref="AM68">MAX(I63:I69,O63:O69,U63:U69,AA63:AA69,AG63:AG69,RIGHT(S55:S57,1))&gt;P46</f>
        <v>0</v>
      </c>
      <c r="AN68" s="3089"/>
      <c r="AO68" s="3089"/>
      <c r="AP68" s="3089"/>
      <c r="AQ68" s="3090"/>
      <c r="AR68" s="3091"/>
      <c r="AS68" s="3091"/>
      <c r="AT68" s="3091"/>
      <c r="AU68" s="3091"/>
      <c r="AV68" s="3091"/>
      <c r="AW68" s="3091"/>
      <c r="AX68" s="3091"/>
      <c r="AY68" s="3089"/>
    </row>
    <row r="69" spans="1:51" ht="12.2" customHeight="1" x14ac:dyDescent="0.2">
      <c r="A69" s="2185"/>
      <c r="B69" s="2099">
        <f t="shared" si="0"/>
        <v>2</v>
      </c>
      <c r="C69" s="4538"/>
      <c r="D69" s="4570"/>
      <c r="E69" s="4571"/>
      <c r="F69" s="4571"/>
      <c r="G69" s="4571"/>
      <c r="H69" s="4571"/>
      <c r="I69" s="1945" t="str">
        <f>IF(OR(D59="",D69=""),"",MAX(1,SUMPRODUCT(--(INDEX('Tablas Técnicas'!$C$10:$L$643,,1)=D59),--(INDEX('Tablas Técnicas'!$C$10:$L$643,,2)=D69),INDEX('Tablas Técnicas'!$C$10:$L$643,,9))))</f>
        <v/>
      </c>
      <c r="J69" s="4570"/>
      <c r="K69" s="4571"/>
      <c r="L69" s="4571"/>
      <c r="M69" s="4571"/>
      <c r="N69" s="4571"/>
      <c r="O69" s="1945" t="str">
        <f>IF(OR(J59="",J69=""),"",MAX(1,SUMPRODUCT(--(INDEX('Tablas Técnicas'!$C$10:$L$643,,1)=J59),--(INDEX('Tablas Técnicas'!$C$10:$L$643,,2)=J69),INDEX('Tablas Técnicas'!$C$10:$L$643,,9))))</f>
        <v/>
      </c>
      <c r="P69" s="4570"/>
      <c r="Q69" s="4571"/>
      <c r="R69" s="4571"/>
      <c r="S69" s="4571"/>
      <c r="T69" s="4571"/>
      <c r="U69" s="1945" t="str">
        <f>IF(OR(P59="",P69=""),"",MAX(1,SUMPRODUCT(--(INDEX('Tablas Técnicas'!$C$10:$L$643,,1)=P59),--(INDEX('Tablas Técnicas'!$C$10:$L$643,,2)=P69),INDEX('Tablas Técnicas'!$C$10:$L$643,,9))))</f>
        <v/>
      </c>
      <c r="V69" s="4570"/>
      <c r="W69" s="4571"/>
      <c r="X69" s="4571"/>
      <c r="Y69" s="4571"/>
      <c r="Z69" s="4571"/>
      <c r="AA69" s="1945" t="str">
        <f>IF(OR(V59="",V69=""),"",MAX(1,SUMPRODUCT(--(INDEX('Tablas Técnicas'!$C$10:$L$643,,1)=V59),--(INDEX('Tablas Técnicas'!$C$10:$L$643,,2)=V69),INDEX('Tablas Técnicas'!$C$10:$L$643,,9))))</f>
        <v/>
      </c>
      <c r="AB69" s="4570"/>
      <c r="AC69" s="4571"/>
      <c r="AD69" s="4571"/>
      <c r="AE69" s="4571"/>
      <c r="AF69" s="4571"/>
      <c r="AG69" s="1946" t="str">
        <f>IF(OR(AB59="",AB69=""),"",MAX(1,SUMPRODUCT(--(INDEX('Tablas Técnicas'!$C$10:$L$643,,1)=AB59),--(INDEX('Tablas Técnicas'!$C$10:$L$643,,2)=AB69),INDEX('Tablas Técnicas'!$C$10:$L$643,,9))))</f>
        <v/>
      </c>
      <c r="AH69" s="2193">
        <f>P46</f>
        <v>1</v>
      </c>
      <c r="AI69" s="4558"/>
      <c r="AJ69" s="3089" t="s">
        <v>9324</v>
      </c>
      <c r="AK69" s="3089"/>
      <c r="AL69" s="3089"/>
      <c r="AM69" s="3089" t="b">
        <f>AND(COUNTIF(K50:M54,"Mantenido"),OR(COUNTIF(K50:M54,"Sostenimiento Menor"),COUNTIF(K50:M54,"Sostenimiento Mayor")))</f>
        <v>0</v>
      </c>
      <c r="AN69" s="3090"/>
      <c r="AO69" s="3089"/>
      <c r="AP69" s="3089"/>
      <c r="AQ69" s="3089"/>
      <c r="AR69" s="3089"/>
      <c r="AS69" s="3089"/>
      <c r="AT69" s="3089"/>
      <c r="AU69" s="3091"/>
      <c r="AV69" s="3091"/>
      <c r="AW69" s="3091"/>
      <c r="AX69" s="3091"/>
      <c r="AY69" s="3089"/>
    </row>
    <row r="70" spans="1:51" ht="12.2" customHeight="1" x14ac:dyDescent="0.2">
      <c r="A70" s="2185"/>
      <c r="B70" s="2099">
        <f t="shared" si="0"/>
        <v>2</v>
      </c>
      <c r="C70" s="4538"/>
      <c r="D70" s="4549" t="s">
        <v>1549</v>
      </c>
      <c r="E70" s="4550"/>
      <c r="F70" s="4550"/>
      <c r="G70" s="4550"/>
      <c r="H70" s="4550"/>
      <c r="I70" s="4550"/>
      <c r="J70" s="4550"/>
      <c r="K70" s="4550"/>
      <c r="L70" s="4550"/>
      <c r="M70" s="4550"/>
      <c r="N70" s="4550"/>
      <c r="O70" s="4550"/>
      <c r="P70" s="4550"/>
      <c r="Q70" s="4550"/>
      <c r="R70" s="4550"/>
      <c r="S70" s="4550"/>
      <c r="T70" s="4550"/>
      <c r="U70" s="4550"/>
      <c r="V70" s="4550"/>
      <c r="W70" s="4550"/>
      <c r="X70" s="4550"/>
      <c r="Y70" s="4550"/>
      <c r="Z70" s="4550"/>
      <c r="AA70" s="4550"/>
      <c r="AB70" s="4550"/>
      <c r="AC70" s="4550"/>
      <c r="AD70" s="4550"/>
      <c r="AE70" s="4550"/>
      <c r="AF70" s="4550"/>
      <c r="AG70" s="4576"/>
      <c r="AH70" s="2193"/>
      <c r="AI70" s="4558"/>
      <c r="AJ70" s="3089" t="s">
        <v>9323</v>
      </c>
      <c r="AK70" s="3089"/>
      <c r="AL70" s="3089"/>
      <c r="AM70" s="3089" t="b">
        <f>OR(AND(ISNUMBER(SEARCH("Sostenimiento",K50)),OR(P46=1,MAX(I63:I69)=3)),AND(ISNUMBER(SEARCH("Sostenimiento",K51)),OR(P46=1,MAX(O63:O69)=3)),AND(ISNUMBER(SEARCH("Sostenimiento",K52)),OR(P46=1,MAX(U63:U69)=3)),AND(ISNUMBER(SEARCH("Sostenimiento",K53)),OR(P46=1,MAX(AA63:AA69)=3)),AND(ISNUMBER(SEARCH("Sostenimiento",K54)),OR(P46=1,MAX(AG63:AG69)=3)))</f>
        <v>0</v>
      </c>
      <c r="AN70" s="3089"/>
      <c r="AO70" s="3089"/>
      <c r="AP70" s="3089"/>
      <c r="AQ70" s="3090"/>
      <c r="AR70" s="3089"/>
      <c r="AS70" s="3089"/>
      <c r="AT70" s="3089"/>
      <c r="AU70" s="3091"/>
      <c r="AV70" s="3091"/>
      <c r="AW70" s="3091"/>
      <c r="AX70" s="3091"/>
      <c r="AY70" s="3089"/>
    </row>
    <row r="71" spans="1:51" ht="12.2" customHeight="1" x14ac:dyDescent="0.2">
      <c r="A71" s="2185"/>
      <c r="B71" s="2099">
        <f t="shared" si="0"/>
        <v>2</v>
      </c>
      <c r="C71" s="4538"/>
      <c r="D71" s="4578"/>
      <c r="E71" s="4698"/>
      <c r="F71" s="4698"/>
      <c r="G71" s="4698"/>
      <c r="H71" s="4698"/>
      <c r="I71" s="4698"/>
      <c r="J71" s="4698"/>
      <c r="K71" s="4698"/>
      <c r="L71" s="4698"/>
      <c r="M71" s="4698"/>
      <c r="N71" s="4698"/>
      <c r="O71" s="4698"/>
      <c r="P71" s="4698"/>
      <c r="Q71" s="4698"/>
      <c r="R71" s="4698"/>
      <c r="S71" s="4698"/>
      <c r="T71" s="4698"/>
      <c r="U71" s="4698"/>
      <c r="V71" s="4698"/>
      <c r="W71" s="4698"/>
      <c r="X71" s="4698"/>
      <c r="Y71" s="4698"/>
      <c r="Z71" s="4698"/>
      <c r="AA71" s="4698"/>
      <c r="AB71" s="4698"/>
      <c r="AC71" s="4698"/>
      <c r="AD71" s="4698"/>
      <c r="AE71" s="4698"/>
      <c r="AF71" s="4698"/>
      <c r="AG71" s="4580"/>
      <c r="AH71" s="2193"/>
      <c r="AI71" s="4558"/>
      <c r="AJ71" s="3089" t="s">
        <v>9331</v>
      </c>
      <c r="AK71" s="3089"/>
      <c r="AL71" s="3089"/>
      <c r="AM71" s="308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89"/>
      <c r="AO71" s="3089"/>
      <c r="AP71" s="3089"/>
      <c r="AQ71" s="3090"/>
      <c r="AR71" s="3089"/>
      <c r="AS71" s="3089"/>
      <c r="AT71" s="3089"/>
      <c r="AU71" s="3091"/>
      <c r="AV71" s="3091"/>
      <c r="AW71" s="3091"/>
      <c r="AX71" s="3091"/>
      <c r="AY71" s="3089"/>
    </row>
    <row r="72" spans="1:51" ht="12.2" customHeight="1" x14ac:dyDescent="0.2">
      <c r="A72" s="2185"/>
      <c r="B72" s="2099">
        <f t="shared" si="0"/>
        <v>2</v>
      </c>
      <c r="C72" s="4538"/>
      <c r="D72" s="4578"/>
      <c r="E72" s="4698"/>
      <c r="F72" s="4698"/>
      <c r="G72" s="4698"/>
      <c r="H72" s="4698"/>
      <c r="I72" s="4698"/>
      <c r="J72" s="4698"/>
      <c r="K72" s="4698"/>
      <c r="L72" s="4698"/>
      <c r="M72" s="4698"/>
      <c r="N72" s="4698"/>
      <c r="O72" s="4698"/>
      <c r="P72" s="4698"/>
      <c r="Q72" s="4698"/>
      <c r="R72" s="4698"/>
      <c r="S72" s="4698"/>
      <c r="T72" s="4698"/>
      <c r="U72" s="4698"/>
      <c r="V72" s="4698"/>
      <c r="W72" s="4698"/>
      <c r="X72" s="4698"/>
      <c r="Y72" s="4698"/>
      <c r="Z72" s="4698"/>
      <c r="AA72" s="4698"/>
      <c r="AB72" s="4698"/>
      <c r="AC72" s="4698"/>
      <c r="AD72" s="4698"/>
      <c r="AE72" s="4698"/>
      <c r="AF72" s="4698"/>
      <c r="AG72" s="4580"/>
      <c r="AH72" s="2193"/>
      <c r="AI72" s="4558"/>
      <c r="AJ72" s="3089" t="s">
        <v>9310</v>
      </c>
      <c r="AK72" s="3089"/>
      <c r="AL72" s="3089"/>
      <c r="AM72" s="3089" t="b">
        <f>AND((IF(SUM(V50:V54)&gt;0,1,0)+IF(SUM(X50:X54)&gt;0,1,0)+IF(SUM(Z50:Z54)&gt;0,1,0)+IF(SUM(AB50:AB54)&gt;0,1,0)+IF(SUM(AD50:AD54,)&gt;0,1,0)+IF(SUM(AF50:AF54)&gt;0,1,0))&lt;3,OR(V57&lt;0,X57&lt;0,Z57&lt;0,AB57&lt;0,AD57&lt;0,AF57&lt;0,Y55&lt;0))</f>
        <v>0</v>
      </c>
      <c r="AN72" s="3089"/>
      <c r="AO72" s="3089"/>
      <c r="AP72" s="3089"/>
      <c r="AQ72" s="3090"/>
      <c r="AR72" s="3089"/>
      <c r="AS72" s="3089"/>
      <c r="AT72" s="3089"/>
      <c r="AU72" s="3091"/>
      <c r="AV72" s="3091"/>
      <c r="AW72" s="3091"/>
      <c r="AX72" s="3091"/>
      <c r="AY72" s="3089"/>
    </row>
    <row r="73" spans="1:51" ht="12.2" customHeight="1" x14ac:dyDescent="0.2">
      <c r="A73" s="2185"/>
      <c r="B73" s="2099">
        <f t="shared" si="0"/>
        <v>2</v>
      </c>
      <c r="C73" s="4538"/>
      <c r="D73" s="4578"/>
      <c r="E73" s="4698"/>
      <c r="F73" s="4698"/>
      <c r="G73" s="4698"/>
      <c r="H73" s="4698"/>
      <c r="I73" s="4698"/>
      <c r="J73" s="4698"/>
      <c r="K73" s="4698"/>
      <c r="L73" s="4698"/>
      <c r="M73" s="4698"/>
      <c r="N73" s="4698"/>
      <c r="O73" s="4698"/>
      <c r="P73" s="4698"/>
      <c r="Q73" s="4698"/>
      <c r="R73" s="4698"/>
      <c r="S73" s="4698"/>
      <c r="T73" s="4698"/>
      <c r="U73" s="4698"/>
      <c r="V73" s="4698"/>
      <c r="W73" s="4698"/>
      <c r="X73" s="4698"/>
      <c r="Y73" s="4698"/>
      <c r="Z73" s="4698"/>
      <c r="AA73" s="4698"/>
      <c r="AB73" s="4698"/>
      <c r="AC73" s="4698"/>
      <c r="AD73" s="4698"/>
      <c r="AE73" s="4698"/>
      <c r="AF73" s="4698"/>
      <c r="AG73" s="4580"/>
      <c r="AH73" s="2193"/>
      <c r="AI73" s="4558"/>
      <c r="AJ73" s="3089" t="s">
        <v>9325</v>
      </c>
      <c r="AK73" s="3089"/>
      <c r="AL73" s="3089"/>
      <c r="AM73" s="3089" t="b">
        <f>OR(-V57&gt;TRUNC(SUM(V50:V54)/2),-X57&gt;TRUNC(SUM(X50:X54)/2),-Z57&gt;TRUNC(SUM(Z50:Z54)/2),-AB57&gt;TRUNC(SUM(AB50:AB54)/2),-AD57&gt;TRUNC(SUM(AD50:AD54)/2),-AF57&gt;TRUNC(SUM(AF50:AF54)/2))</f>
        <v>0</v>
      </c>
      <c r="AN73" s="3089"/>
      <c r="AO73" s="3089"/>
      <c r="AP73" s="3089"/>
      <c r="AQ73" s="3090"/>
      <c r="AR73" s="3089"/>
      <c r="AS73" s="3089"/>
      <c r="AT73" s="3089"/>
      <c r="AU73" s="3091"/>
      <c r="AV73" s="3091"/>
      <c r="AW73" s="3091"/>
      <c r="AX73" s="3091"/>
      <c r="AY73" s="3089"/>
    </row>
    <row r="74" spans="1:51" ht="12.2" customHeight="1" x14ac:dyDescent="0.2">
      <c r="A74" s="2185"/>
      <c r="B74" s="2099">
        <f t="shared" si="0"/>
        <v>2</v>
      </c>
      <c r="C74" s="4538"/>
      <c r="D74" s="4578"/>
      <c r="E74" s="4698"/>
      <c r="F74" s="4698"/>
      <c r="G74" s="4698"/>
      <c r="H74" s="4698"/>
      <c r="I74" s="4698"/>
      <c r="J74" s="4698"/>
      <c r="K74" s="4698"/>
      <c r="L74" s="4698"/>
      <c r="M74" s="4698"/>
      <c r="N74" s="4698"/>
      <c r="O74" s="4698"/>
      <c r="P74" s="4698"/>
      <c r="Q74" s="4698"/>
      <c r="R74" s="4698"/>
      <c r="S74" s="4698"/>
      <c r="T74" s="4698"/>
      <c r="U74" s="4698"/>
      <c r="V74" s="4698"/>
      <c r="W74" s="4698"/>
      <c r="X74" s="4698"/>
      <c r="Y74" s="4698"/>
      <c r="Z74" s="4698"/>
      <c r="AA74" s="4698"/>
      <c r="AB74" s="4698"/>
      <c r="AC74" s="4698"/>
      <c r="AD74" s="4698"/>
      <c r="AE74" s="4698"/>
      <c r="AF74" s="4698"/>
      <c r="AG74" s="4580"/>
      <c r="AH74" s="2193"/>
      <c r="AI74" s="4558"/>
      <c r="AJ74" s="3089" t="s">
        <v>9326</v>
      </c>
      <c r="AK74" s="3089"/>
      <c r="AL74" s="3089"/>
      <c r="AM74" s="3089" t="b">
        <f>COUNTIF(D50:E54,"Primario")&gt;1</f>
        <v>0</v>
      </c>
      <c r="AN74" s="3089"/>
      <c r="AO74" s="3089"/>
      <c r="AP74" s="3089"/>
      <c r="AQ74" s="3090"/>
      <c r="AR74" s="3090"/>
      <c r="AS74" s="3090"/>
      <c r="AT74" s="3090"/>
      <c r="AU74" s="3091"/>
      <c r="AV74" s="3091"/>
      <c r="AW74" s="3091"/>
      <c r="AX74" s="3089"/>
      <c r="AY74" s="3089"/>
    </row>
    <row r="75" spans="1:51" ht="12.2" customHeight="1" x14ac:dyDescent="0.2">
      <c r="A75" s="2185"/>
      <c r="B75" s="2099">
        <f t="shared" si="0"/>
        <v>2</v>
      </c>
      <c r="C75" s="4538"/>
      <c r="D75" s="4578"/>
      <c r="E75" s="4698"/>
      <c r="F75" s="4698"/>
      <c r="G75" s="4698"/>
      <c r="H75" s="4698"/>
      <c r="I75" s="4698"/>
      <c r="J75" s="4698"/>
      <c r="K75" s="4698"/>
      <c r="L75" s="4698"/>
      <c r="M75" s="4698"/>
      <c r="N75" s="4698"/>
      <c r="O75" s="4698"/>
      <c r="P75" s="4698"/>
      <c r="Q75" s="4698"/>
      <c r="R75" s="4698"/>
      <c r="S75" s="4698"/>
      <c r="T75" s="4698"/>
      <c r="U75" s="4698"/>
      <c r="V75" s="4698"/>
      <c r="W75" s="4698"/>
      <c r="X75" s="4698"/>
      <c r="Y75" s="4698"/>
      <c r="Z75" s="4698"/>
      <c r="AA75" s="4698"/>
      <c r="AB75" s="4698"/>
      <c r="AC75" s="4698"/>
      <c r="AD75" s="4698"/>
      <c r="AE75" s="4698"/>
      <c r="AF75" s="4698"/>
      <c r="AG75" s="4580"/>
      <c r="AH75" s="2193"/>
      <c r="AI75" s="4558"/>
      <c r="AJ75" s="3089" t="s">
        <v>9309</v>
      </c>
      <c r="AK75" s="3089"/>
      <c r="AL75" s="3089"/>
      <c r="AM75" s="3089" t="b">
        <f>SUM(V57:AG57)&lt;&gt;Y55+ABS(AC55)*2/5+IF(S46="Sí",3*P46,0)</f>
        <v>0</v>
      </c>
      <c r="AN75" s="3089"/>
      <c r="AO75" s="3089"/>
      <c r="AP75" s="3089"/>
      <c r="AQ75" s="3090"/>
      <c r="AR75" s="3090"/>
      <c r="AS75" s="3090"/>
      <c r="AT75" s="3090"/>
      <c r="AU75" s="3091"/>
      <c r="AV75" s="3091"/>
      <c r="AW75" s="3091"/>
      <c r="AX75" s="3089"/>
      <c r="AY75" s="3089"/>
    </row>
    <row r="76" spans="1:51" ht="12.2" customHeight="1" x14ac:dyDescent="0.2">
      <c r="A76" s="2185"/>
      <c r="B76" s="2099">
        <f t="shared" si="0"/>
        <v>2</v>
      </c>
      <c r="C76" s="4538"/>
      <c r="D76" s="4578"/>
      <c r="E76" s="4698"/>
      <c r="F76" s="4698"/>
      <c r="G76" s="4698"/>
      <c r="H76" s="4698"/>
      <c r="I76" s="4698"/>
      <c r="J76" s="4698"/>
      <c r="K76" s="4698"/>
      <c r="L76" s="4698"/>
      <c r="M76" s="4698"/>
      <c r="N76" s="4698"/>
      <c r="O76" s="4698"/>
      <c r="P76" s="4698"/>
      <c r="Q76" s="4698"/>
      <c r="R76" s="4698"/>
      <c r="S76" s="4698"/>
      <c r="T76" s="4698"/>
      <c r="U76" s="4698"/>
      <c r="V76" s="4698"/>
      <c r="W76" s="4698"/>
      <c r="X76" s="4698"/>
      <c r="Y76" s="4698"/>
      <c r="Z76" s="4698"/>
      <c r="AA76" s="4698"/>
      <c r="AB76" s="4698"/>
      <c r="AC76" s="4698"/>
      <c r="AD76" s="4698"/>
      <c r="AE76" s="4698"/>
      <c r="AF76" s="4698"/>
      <c r="AG76" s="4580"/>
      <c r="AH76" s="2193"/>
      <c r="AI76" s="4558"/>
      <c r="AJ76" s="3089" t="s">
        <v>9308</v>
      </c>
      <c r="AK76" s="3089"/>
      <c r="AL76" s="3089"/>
      <c r="AM76" s="3089" t="b">
        <f>AL63-AL64+AM63-AM64&lt;&gt;0</f>
        <v>0</v>
      </c>
      <c r="AN76" s="3091"/>
      <c r="AO76" s="3091"/>
      <c r="AP76" s="3091"/>
      <c r="AQ76" s="3091"/>
      <c r="AR76" s="3090"/>
      <c r="AS76" s="3090"/>
      <c r="AT76" s="3090"/>
      <c r="AU76" s="3091"/>
      <c r="AV76" s="3091"/>
      <c r="AW76" s="3091"/>
      <c r="AX76" s="3089"/>
      <c r="AY76" s="3089"/>
    </row>
    <row r="77" spans="1:51" ht="12.2" customHeight="1" thickBot="1" x14ac:dyDescent="0.25">
      <c r="A77" s="2185"/>
      <c r="B77" s="2099"/>
      <c r="C77" s="4539"/>
      <c r="D77" s="4540"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41"/>
      <c r="F77" s="4541"/>
      <c r="G77" s="4541"/>
      <c r="H77" s="4541"/>
      <c r="I77" s="4541"/>
      <c r="J77" s="4541"/>
      <c r="K77" s="4541"/>
      <c r="L77" s="4541"/>
      <c r="M77" s="4541"/>
      <c r="N77" s="4541"/>
      <c r="O77" s="4541"/>
      <c r="P77" s="4541"/>
      <c r="Q77" s="4541"/>
      <c r="R77" s="4541"/>
      <c r="S77" s="4541"/>
      <c r="T77" s="4541"/>
      <c r="U77" s="4541"/>
      <c r="V77" s="4541"/>
      <c r="W77" s="4541"/>
      <c r="X77" s="4541"/>
      <c r="Y77" s="4541"/>
      <c r="Z77" s="4541"/>
      <c r="AA77" s="4541"/>
      <c r="AB77" s="4541"/>
      <c r="AC77" s="4541"/>
      <c r="AD77" s="4541"/>
      <c r="AE77" s="4541"/>
      <c r="AF77" s="4541"/>
      <c r="AG77" s="4542"/>
      <c r="AH77" s="2193"/>
      <c r="AI77" s="4558"/>
      <c r="AJ77" s="3089" t="s">
        <v>9345</v>
      </c>
      <c r="AK77" s="3091"/>
      <c r="AL77" s="3091"/>
      <c r="AM77" s="3091" t="b">
        <f>ABS(SUM(N55:N57))&gt;(SUM(N50:N54)-10*Y55+AC55+IF(S46="Sí",10*P46,0)+IF(COUNTIF(K50:M54,"Mantenido")&gt;0,P46*10)+MAX(IF(COUNTIF(K50:M54,"Sostenimiento Menor")&gt;0,P46*20)+IF(COUNTIF(K50:M54,"Sostenimiento Mayor")&gt;0,P46*30)))/2</f>
        <v>0</v>
      </c>
      <c r="AN77" s="3089"/>
      <c r="AO77" s="3089"/>
      <c r="AP77" s="3089"/>
      <c r="AQ77" s="3089"/>
      <c r="AR77" s="3090"/>
      <c r="AS77" s="3090"/>
      <c r="AT77" s="3090"/>
      <c r="AU77" s="3091"/>
      <c r="AV77" s="3091"/>
      <c r="AW77" s="3091"/>
      <c r="AX77" s="3089"/>
      <c r="AY77" s="3089"/>
    </row>
    <row r="78" spans="1:51" ht="12.2" customHeight="1" x14ac:dyDescent="0.2">
      <c r="A78" s="2185"/>
      <c r="B78" s="2099"/>
      <c r="C78" s="4675"/>
      <c r="D78" s="4675" t="str">
        <f>IFERROR(VLOOKUP(D59,'Tablas Técnicas'!$O$9:$T$88,2,FALSE),"")</f>
        <v/>
      </c>
      <c r="E78" s="4675"/>
      <c r="F78" s="4675"/>
      <c r="G78" s="4675"/>
      <c r="H78" s="4675"/>
      <c r="I78" s="4675"/>
      <c r="J78" s="4675" t="str">
        <f>IFERROR(VLOOKUP(J59,'Tablas Técnicas'!$O$9:$T$88,2,FALSE),"")</f>
        <v/>
      </c>
      <c r="K78" s="4675"/>
      <c r="L78" s="4675"/>
      <c r="M78" s="4675"/>
      <c r="N78" s="4675"/>
      <c r="O78" s="4675"/>
      <c r="P78" s="4675" t="str">
        <f>IFERROR(VLOOKUP(P59,'Tablas Técnicas'!$O$9:$T$88,2,FALSE),"")</f>
        <v/>
      </c>
      <c r="Q78" s="4675"/>
      <c r="R78" s="4675"/>
      <c r="S78" s="4675"/>
      <c r="T78" s="4675"/>
      <c r="U78" s="4675"/>
      <c r="V78" s="4675" t="str">
        <f>IFERROR(VLOOKUP(V59,'Tablas Técnicas'!$O$9:$T$88,2,FALSE),"")</f>
        <v/>
      </c>
      <c r="W78" s="4675"/>
      <c r="X78" s="4675"/>
      <c r="Y78" s="4675"/>
      <c r="Z78" s="4675"/>
      <c r="AA78" s="4675"/>
      <c r="AB78" s="4675" t="str">
        <f>IFERROR(VLOOKUP(AB59,'Tablas Técnicas'!$O$9:$T$88,2,FALSE),"")</f>
        <v/>
      </c>
      <c r="AC78" s="4675"/>
      <c r="AD78" s="4675"/>
      <c r="AE78" s="4675"/>
      <c r="AF78" s="4675"/>
      <c r="AG78" s="4675"/>
      <c r="AH78" s="2193"/>
      <c r="AI78" s="1921"/>
      <c r="AJ78" s="3089"/>
      <c r="AK78" s="3089"/>
      <c r="AL78" s="3089"/>
      <c r="AM78" s="3089"/>
      <c r="AN78" s="3089"/>
      <c r="AO78" s="3089"/>
      <c r="AP78" s="3089"/>
      <c r="AQ78" s="3089"/>
      <c r="AR78" s="3090"/>
      <c r="AS78" s="3090"/>
      <c r="AT78" s="3090"/>
      <c r="AU78" s="3091"/>
      <c r="AV78" s="3091"/>
      <c r="AW78" s="3091"/>
      <c r="AX78" s="3091"/>
      <c r="AY78" s="3089"/>
    </row>
    <row r="79" spans="1:51" ht="12.2" customHeight="1" thickBot="1" x14ac:dyDescent="0.25">
      <c r="A79" s="2185"/>
      <c r="B79" s="2099"/>
      <c r="C79" s="4676"/>
      <c r="D79" s="2556"/>
      <c r="E79" s="2557"/>
      <c r="F79" s="2557"/>
      <c r="G79" s="2557"/>
      <c r="H79" s="2557"/>
      <c r="I79" s="2557"/>
      <c r="J79" s="2557"/>
      <c r="K79" s="2557"/>
      <c r="L79" s="2557"/>
      <c r="M79" s="2557"/>
      <c r="N79" s="2557"/>
      <c r="O79" s="2557"/>
      <c r="P79" s="2557"/>
      <c r="Q79" s="2557"/>
      <c r="R79" s="2557"/>
      <c r="S79" s="2557"/>
      <c r="T79" s="2557"/>
      <c r="U79" s="2557"/>
      <c r="V79" s="2558"/>
      <c r="W79" s="2558"/>
      <c r="X79" s="2558"/>
      <c r="Y79" s="2558"/>
      <c r="Z79" s="2558"/>
      <c r="AA79" s="2558"/>
      <c r="AB79" s="2558"/>
      <c r="AC79" s="2558"/>
      <c r="AD79" s="2558"/>
      <c r="AE79" s="2558"/>
      <c r="AF79" s="2557"/>
      <c r="AG79" s="2557"/>
      <c r="AH79" s="2193"/>
      <c r="AI79" s="1921"/>
      <c r="AJ79" s="3097"/>
      <c r="AK79" s="3097"/>
      <c r="AL79" s="3097"/>
      <c r="AM79" s="3097"/>
      <c r="AN79" s="3097"/>
      <c r="AO79" s="3097"/>
      <c r="AP79" s="3089"/>
      <c r="AQ79" s="3090"/>
      <c r="AR79" s="3091"/>
      <c r="AS79" s="3091"/>
      <c r="AT79" s="3091"/>
      <c r="AU79" s="3091"/>
      <c r="AV79" s="3091"/>
      <c r="AW79" s="3091"/>
      <c r="AX79" s="3091"/>
      <c r="AY79" s="3098"/>
    </row>
    <row r="80" spans="1:51" ht="12.2" customHeight="1" x14ac:dyDescent="0.2">
      <c r="A80" s="2185"/>
      <c r="B80" s="2099">
        <f t="shared" ref="B80:B110" si="1">1+B46</f>
        <v>3</v>
      </c>
      <c r="C80" s="4537" t="str">
        <f>"Técnica "&amp;B80</f>
        <v>Técnica 3</v>
      </c>
      <c r="D80" s="4636" t="s">
        <v>8716</v>
      </c>
      <c r="E80" s="4637"/>
      <c r="F80" s="4637"/>
      <c r="G80" s="4637"/>
      <c r="H80" s="4637"/>
      <c r="I80" s="4637"/>
      <c r="J80" s="4637"/>
      <c r="K80" s="4637"/>
      <c r="L80" s="4637"/>
      <c r="M80" s="4637"/>
      <c r="N80" s="4638"/>
      <c r="O80" s="4642" t="s">
        <v>1325</v>
      </c>
      <c r="P80" s="4644">
        <v>1</v>
      </c>
      <c r="Q80" s="4646" t="s">
        <v>8800</v>
      </c>
      <c r="R80" s="4647"/>
      <c r="S80" s="4650" t="s">
        <v>1381</v>
      </c>
      <c r="T80" s="4651" t="s">
        <v>1506</v>
      </c>
      <c r="U80" s="4653">
        <f>MAX(IF(P80=3,60,IF(P80=2,40,20)),MIN(SUM(N84:N91)-10*Y89+AC89+IF(S80="Sí",10*P80,0)+IF(COUNTIF(K84:M88,"Mantenido")&gt;0,P80*10)+MAX(IF(COUNTIF(K84:M88,"Sostenimiento Menor")&gt;0,P80*20)+IF(COUNTIF(K84:M88,"Sostenimiento Mayor")&gt;0,P80*30))))</f>
        <v>20</v>
      </c>
      <c r="V80" s="4646" t="s">
        <v>8801</v>
      </c>
      <c r="W80" s="4651"/>
      <c r="X80" s="4566" t="str">
        <f>IFERROR(LEFT(AK96&amp;AL96&amp;AM96&amp;AN96&amp;AO96&amp;AP96,LEN(AK96&amp;AL96&amp;AM96&amp;AN96&amp;AO96&amp;AP96)-2),"")</f>
        <v/>
      </c>
      <c r="Y80" s="4566"/>
      <c r="Z80" s="4566"/>
      <c r="AA80" s="4566"/>
      <c r="AB80" s="4566"/>
      <c r="AC80" s="4566"/>
      <c r="AD80" s="4566"/>
      <c r="AE80" s="4566"/>
      <c r="AF80" s="4566"/>
      <c r="AG80" s="4567"/>
      <c r="AH80" s="2193"/>
      <c r="AI80" s="4558"/>
      <c r="AJ80" s="3094" t="s">
        <v>9342</v>
      </c>
      <c r="AK80" s="3094"/>
      <c r="AL80" s="3094"/>
      <c r="AM80" s="3094"/>
      <c r="AN80" s="3094"/>
      <c r="AO80" s="3094"/>
      <c r="AP80" s="3094"/>
      <c r="AQ80" s="3094"/>
      <c r="AR80" s="3094"/>
      <c r="AS80" s="3089"/>
      <c r="AT80" s="3089"/>
      <c r="AU80" s="3089"/>
      <c r="AV80" s="3089"/>
      <c r="AW80" s="3091"/>
      <c r="AX80" s="3091"/>
      <c r="AY80" s="3089"/>
    </row>
    <row r="81" spans="1:51" ht="12.2" customHeight="1" x14ac:dyDescent="0.2">
      <c r="A81" s="2185"/>
      <c r="B81" s="2099">
        <f t="shared" si="1"/>
        <v>3</v>
      </c>
      <c r="C81" s="4538"/>
      <c r="D81" s="4639"/>
      <c r="E81" s="4685"/>
      <c r="F81" s="4685"/>
      <c r="G81" s="4685"/>
      <c r="H81" s="4685"/>
      <c r="I81" s="4685"/>
      <c r="J81" s="4685"/>
      <c r="K81" s="4685"/>
      <c r="L81" s="4685"/>
      <c r="M81" s="4685"/>
      <c r="N81" s="4686"/>
      <c r="O81" s="4643"/>
      <c r="P81" s="4645"/>
      <c r="Q81" s="4648"/>
      <c r="R81" s="4649"/>
      <c r="S81" s="4645"/>
      <c r="T81" s="4687"/>
      <c r="U81" s="4688"/>
      <c r="V81" s="4648"/>
      <c r="W81" s="4687"/>
      <c r="X81" s="4693"/>
      <c r="Y81" s="4693"/>
      <c r="Z81" s="4693"/>
      <c r="AA81" s="4693"/>
      <c r="AB81" s="4693"/>
      <c r="AC81" s="4693"/>
      <c r="AD81" s="4693"/>
      <c r="AE81" s="4693"/>
      <c r="AF81" s="4693"/>
      <c r="AG81" s="4569"/>
      <c r="AH81" s="2193"/>
      <c r="AI81" s="4558"/>
      <c r="AJ81" s="3094"/>
      <c r="AK81" s="3094" t="s">
        <v>9343</v>
      </c>
      <c r="AL81" s="3094" t="s">
        <v>10464</v>
      </c>
      <c r="AM81" s="3095"/>
      <c r="AN81" s="3095"/>
      <c r="AO81" s="3095"/>
      <c r="AP81" s="3095"/>
      <c r="AQ81" s="3095"/>
      <c r="AR81" s="3094"/>
      <c r="AS81" s="3089"/>
      <c r="AT81" s="3089"/>
      <c r="AU81" s="3089"/>
      <c r="AV81" s="3089"/>
      <c r="AW81" s="3091"/>
      <c r="AX81" s="4536" t="s">
        <v>9312</v>
      </c>
      <c r="AY81" s="4536"/>
    </row>
    <row r="82" spans="1:51" ht="12.2" customHeight="1" x14ac:dyDescent="0.2">
      <c r="A82" s="2185"/>
      <c r="B82" s="2099">
        <f t="shared" si="1"/>
        <v>3</v>
      </c>
      <c r="C82" s="4538"/>
      <c r="D82" s="4549" t="s">
        <v>2824</v>
      </c>
      <c r="E82" s="4550"/>
      <c r="F82" s="4550"/>
      <c r="G82" s="4550"/>
      <c r="H82" s="4550"/>
      <c r="I82" s="4550"/>
      <c r="J82" s="4550"/>
      <c r="K82" s="4633" t="s">
        <v>9636</v>
      </c>
      <c r="L82" s="4633"/>
      <c r="M82" s="4633"/>
      <c r="N82" s="4550" t="s">
        <v>1500</v>
      </c>
      <c r="O82" s="4633" t="s">
        <v>2822</v>
      </c>
      <c r="P82" s="4633" t="s">
        <v>8802</v>
      </c>
      <c r="Q82" s="4550" t="s">
        <v>1364</v>
      </c>
      <c r="R82" s="4550"/>
      <c r="S82" s="4550"/>
      <c r="T82" s="4550"/>
      <c r="U82" s="4550"/>
      <c r="V82" s="4613" t="s">
        <v>1373</v>
      </c>
      <c r="W82" s="4608"/>
      <c r="X82" s="4613" t="s">
        <v>1498</v>
      </c>
      <c r="Y82" s="4614"/>
      <c r="Z82" s="4608" t="s">
        <v>1378</v>
      </c>
      <c r="AA82" s="4608"/>
      <c r="AB82" s="4613" t="s">
        <v>1383</v>
      </c>
      <c r="AC82" s="4614"/>
      <c r="AD82" s="4608" t="s">
        <v>1391</v>
      </c>
      <c r="AE82" s="4608"/>
      <c r="AF82" s="4613" t="s">
        <v>1392</v>
      </c>
      <c r="AG82" s="4609"/>
      <c r="AH82" s="2193"/>
      <c r="AI82" s="4558"/>
      <c r="AJ82" s="3089"/>
      <c r="AK82" s="3089"/>
      <c r="AL82" s="3089" t="s">
        <v>9614</v>
      </c>
      <c r="AM82" s="3089"/>
      <c r="AN82" s="3089"/>
      <c r="AO82" s="3089"/>
      <c r="AP82" s="3089"/>
      <c r="AQ82" s="3089"/>
      <c r="AR82" s="3091"/>
      <c r="AS82" s="3091" t="s">
        <v>9332</v>
      </c>
      <c r="AT82" s="3091" t="s">
        <v>9333</v>
      </c>
      <c r="AU82" s="3089" t="s">
        <v>9321</v>
      </c>
      <c r="AV82" s="3089" t="s">
        <v>9322</v>
      </c>
      <c r="AW82" s="3091" t="s">
        <v>1500</v>
      </c>
      <c r="AX82" s="3091" t="s">
        <v>8804</v>
      </c>
      <c r="AY82" s="3089" t="s">
        <v>8805</v>
      </c>
    </row>
    <row r="83" spans="1:51" ht="12.2" customHeight="1" x14ac:dyDescent="0.2">
      <c r="A83" s="2185"/>
      <c r="B83" s="2099">
        <f t="shared" si="1"/>
        <v>3</v>
      </c>
      <c r="C83" s="4538"/>
      <c r="D83" s="4691"/>
      <c r="E83" s="4692"/>
      <c r="F83" s="4692"/>
      <c r="G83" s="4692"/>
      <c r="H83" s="4692"/>
      <c r="I83" s="4692"/>
      <c r="J83" s="4692"/>
      <c r="K83" s="4689"/>
      <c r="L83" s="4689"/>
      <c r="M83" s="4689"/>
      <c r="N83" s="4679"/>
      <c r="O83" s="4689"/>
      <c r="P83" s="4690"/>
      <c r="Q83" s="4679"/>
      <c r="R83" s="4679"/>
      <c r="S83" s="4679"/>
      <c r="T83" s="4679"/>
      <c r="U83" s="4679"/>
      <c r="V83" s="2537" t="s">
        <v>9311</v>
      </c>
      <c r="W83" s="2538" t="s">
        <v>2828</v>
      </c>
      <c r="X83" s="2537" t="s">
        <v>9311</v>
      </c>
      <c r="Y83" s="2538" t="s">
        <v>2828</v>
      </c>
      <c r="Z83" s="2537" t="s">
        <v>9311</v>
      </c>
      <c r="AA83" s="2538" t="s">
        <v>2828</v>
      </c>
      <c r="AB83" s="2537" t="s">
        <v>9311</v>
      </c>
      <c r="AC83" s="2538" t="s">
        <v>2828</v>
      </c>
      <c r="AD83" s="2537" t="s">
        <v>9311</v>
      </c>
      <c r="AE83" s="2538" t="s">
        <v>2828</v>
      </c>
      <c r="AF83" s="2537" t="s">
        <v>9311</v>
      </c>
      <c r="AG83" s="2539" t="s">
        <v>2828</v>
      </c>
      <c r="AH83" s="2193"/>
      <c r="AI83" s="4558"/>
      <c r="AJ83" s="3089"/>
      <c r="AK83" s="3089" t="s">
        <v>9313</v>
      </c>
      <c r="AL83" s="3089">
        <v>1</v>
      </c>
      <c r="AM83" s="3089">
        <v>2</v>
      </c>
      <c r="AN83" s="3089">
        <v>3</v>
      </c>
      <c r="AO83" s="3089">
        <v>4</v>
      </c>
      <c r="AP83" s="3089">
        <v>5</v>
      </c>
      <c r="AQ83" s="3089">
        <v>6</v>
      </c>
      <c r="AR83" s="3089">
        <v>7</v>
      </c>
      <c r="AS83" s="3091"/>
      <c r="AT83" s="3089" t="s">
        <v>9344</v>
      </c>
      <c r="AU83" s="3091"/>
      <c r="AV83" s="3091"/>
      <c r="AW83" s="3091" t="s">
        <v>9344</v>
      </c>
      <c r="AX83" s="3091"/>
      <c r="AY83" s="3089"/>
    </row>
    <row r="84" spans="1:51" ht="12.2" customHeight="1" x14ac:dyDescent="0.2">
      <c r="A84" s="2185"/>
      <c r="B84" s="2099">
        <f t="shared" si="1"/>
        <v>3</v>
      </c>
      <c r="C84" s="4538"/>
      <c r="D84" s="4624" t="s">
        <v>8806</v>
      </c>
      <c r="E84" s="4625"/>
      <c r="F84" s="4626"/>
      <c r="G84" s="4627"/>
      <c r="H84" s="4627"/>
      <c r="I84" s="4627"/>
      <c r="J84" s="4628"/>
      <c r="K84" s="4595" t="s">
        <v>1456</v>
      </c>
      <c r="L84" s="4596"/>
      <c r="M84" s="4597"/>
      <c r="N84" s="2531">
        <f>IF(AW84&gt;0,IF(VLOOKUP(F84,'Tablas Técnicas'!$O$9:$X$88,10,0),MAX(5,AW84-5),AW84),0)</f>
        <v>0</v>
      </c>
      <c r="O84" s="2531" t="str">
        <f>AS84&amp;" / "&amp;AT84</f>
        <v>0 / 0</v>
      </c>
      <c r="P84" s="2531" t="str">
        <f t="array" ref="P84">W84+Y84+AA84+AC84+AE84+AG84&amp;" / "&amp;IF(K84&lt;&gt;"Mantenido",0,SUM(IF($AL84:$AR84='Tablas Técnicas'!$L$10:$L$643,'Tablas Técnicas'!$H$10:$H$643,0)))</f>
        <v>0 / 0</v>
      </c>
      <c r="Q84" s="4632" t="str">
        <f>IFERROR(VLOOKUP(F84,'Tablas Técnicas'!$O$9:$T$88,5,FALSE),"")</f>
        <v/>
      </c>
      <c r="R84" s="4632"/>
      <c r="S84" s="4632"/>
      <c r="T84" s="4632"/>
      <c r="U84" s="4632"/>
      <c r="V84" s="2055"/>
      <c r="W84" s="2056"/>
      <c r="X84" s="2055"/>
      <c r="Y84" s="2057"/>
      <c r="Z84" s="2058"/>
      <c r="AA84" s="2056"/>
      <c r="AB84" s="2055"/>
      <c r="AC84" s="2057"/>
      <c r="AD84" s="2058"/>
      <c r="AE84" s="2056"/>
      <c r="AF84" s="2055"/>
      <c r="AG84" s="2059"/>
      <c r="AH84" s="2193"/>
      <c r="AI84" s="4558"/>
      <c r="AJ84" s="3089">
        <v>1</v>
      </c>
      <c r="AK84" s="3089">
        <f>P80</f>
        <v>1</v>
      </c>
      <c r="AL84" s="3089" t="str">
        <f>IF(AND(ISNUMBER(MATCH($F84,'Tablas Técnicas'!$L$10:$L$643,0)),INDEX($D97:$D103,Tablas!A$1)="",COUNTIF(AM84:$AS84,$F84)=0),$F84,IF(INDEX($D97:$D103,Tablas!A$1)="","",$F84&amp;INDEX($D97:$D103,Tablas!A$1)))</f>
        <v/>
      </c>
      <c r="AM84" s="3089" t="str">
        <f>IF(AND(ISNUMBER(MATCH($F84,'Tablas Técnicas'!$L$10:$L$643,0)),INDEX($D97:$D103,Tablas!B$1)="",COUNTIF(AN84:$AS84,$F84)=0),$F84,IF(INDEX($D97:$D103,Tablas!B$1)="","",$F84&amp;INDEX($D97:$D103,Tablas!B$1)))</f>
        <v/>
      </c>
      <c r="AN84" s="3089" t="str">
        <f>IF(AND(ISNUMBER(MATCH($F84,'Tablas Técnicas'!$L$10:$L$643,0)),INDEX($D97:$D103,Tablas!C$1)="",COUNTIF(AO84:$AS84,$F84)=0),$F84,IF(INDEX($D97:$D103,Tablas!C$1)="","",$F84&amp;INDEX($D97:$D103,Tablas!C$1)))</f>
        <v/>
      </c>
      <c r="AO84" s="3089" t="str">
        <f>IF(AND(ISNUMBER(MATCH($F84,'Tablas Técnicas'!$L$10:$L$643,0)),INDEX($D97:$D103,Tablas!D$1)="",COUNTIF(AP84:$AS84,$F84)=0),$F84,IF(INDEX($D97:$D103,Tablas!D$1)="","",$F84&amp;INDEX($D97:$D103,Tablas!D$1)))</f>
        <v/>
      </c>
      <c r="AP84" s="3089" t="str">
        <f>IF(AND(ISNUMBER(MATCH($F84,'Tablas Técnicas'!$L$10:$L$643,0)),INDEX($D97:$D103,Tablas!E$1)="",COUNTIF(AQ84:$AS84,$F84)=0),$F84,IF(INDEX($D97:$D103,Tablas!E$1)="","",$F84&amp;INDEX($D97:$D103,Tablas!E$1)))</f>
        <v/>
      </c>
      <c r="AQ84" s="3089" t="str">
        <f>IF(AND(ISNUMBER(MATCH($F84,'Tablas Técnicas'!$L$10:$L$643,0)),INDEX($D97:$D103,Tablas!F$1)="",COUNTIF(AR84:$AS84,$F84)=0),$F84,IF(INDEX($D97:$D103,Tablas!F$1)="","",$F84&amp;INDEX($D97:$D103,Tablas!F$1)))</f>
        <v/>
      </c>
      <c r="AR84" s="3089" t="str">
        <f>IF(AND(ISNUMBER(MATCH($F84,'Tablas Técnicas'!$L$10:$L$643,0)),INDEX($D97:$D103,Tablas!G$1)="",COUNTIF(AS84:$AS84,$F84)=0),$F84,IF(INDEX($D97:$D103,Tablas!G$1)="","",$F84&amp;INDEX($D97:$D103,Tablas!G$1)))</f>
        <v/>
      </c>
      <c r="AS84" s="3091">
        <f>V84+X84+Z84+AB84+AD84+AF84</f>
        <v>0</v>
      </c>
      <c r="AT84" s="3091">
        <f t="array" ref="AT84">SUM(IF($AL84:$AR84='Tablas Técnicas'!$L$10:$L$643,IF(D84="Primario",'Tablas Técnicas'!$E$10:$E$643,'Tablas Técnicas'!$F$10:$F$643)+IF(K84="Sostenimiento menor",'Tablas Técnicas'!$I$10:$I$643,IF(K84="sostenimiento mayor",'Tablas Técnicas'!$J$10:$J$643,0)),0),0)+VALUE(RIGHT(P84,2))+AU84+AV84</f>
        <v>0</v>
      </c>
      <c r="AU84" s="3091">
        <f>IFERROR(IF(V84=0,0,VALUE(MID(Q84,SEARCH("AGI",Q84)+4,1))),0)+IFERROR(IF(X84=0,0,VALUE(MID(Q84,SEARCH("CON",Q84)+4,1))),0)+IFERROR(IF(Z84=0,0,VALUE(MID(Q84,SEARCH("DES",Q84)+4,1))),0)+IFERROR(IF(AB84=0,0,VALUE(MID(Q84,SEARCH("FUE",Q84)+4,1))),0)+IFERROR(IF(AD84=0,0,VALUE(MID(Q84,SEARCH("POD",Q84)+4,1))),0)+IFERROR(IF(AF84=0,0,VALUE(MID(Q84,SEARCH("VOL",Q84)+4,1))),0)</f>
        <v>0</v>
      </c>
      <c r="AV84" s="3091">
        <f>(COUNTIF(AL84:AR84,"*Estado añadido:*")-1)*COUNTIF(AL84:AR84,"*Estado añadido:*")</f>
        <v>0</v>
      </c>
      <c r="AW84" s="3091">
        <f t="array" ref="AW84">SUM(IF($AL84:$AR84='Tablas Técnicas'!$L$10:$L$643,'Tablas Técnicas'!$G$10:$G$643,0))</f>
        <v>0</v>
      </c>
      <c r="AX84" s="3089" t="str">
        <f>IF(F84="","",F84&amp;" ("&amp;IF(AL84="","",SUBSTITUTE(AL84,F84,"")&amp;", ")&amp;IF(AM84="","",SUBSTITUTE(AM84,F84,"")&amp;", ")&amp;IF(AN84="","",SUBSTITUTE(AN84,F84,"")&amp;", ")&amp;IF(AO84="","",SUBSTITUTE(AO84,F84,"")&amp;", ")&amp;IF(AP84="","",SUBSTITUTE(AP84,F84,"")&amp;", ")&amp;IF(AQ84="","",SUBSTITUTE(AQ84,F84,"")&amp;", ")&amp;IF(AR84="","",SUBSTITUTE(AR84,F84,"")&amp;", ")&amp;IF(OR(K84="",K84="-"),"",K84&amp;", "))</f>
        <v/>
      </c>
      <c r="AY84" s="3089" t="str">
        <f>IFERROR(LEFT(AX84,LEN(AX84)-2)&amp;"), ","")</f>
        <v/>
      </c>
    </row>
    <row r="85" spans="1:51" ht="12.2" customHeight="1" x14ac:dyDescent="0.2">
      <c r="A85" s="2185"/>
      <c r="B85" s="2099">
        <f t="shared" si="1"/>
        <v>3</v>
      </c>
      <c r="C85" s="4538"/>
      <c r="D85" s="4583" t="s">
        <v>524</v>
      </c>
      <c r="E85" s="4584"/>
      <c r="F85" s="4615"/>
      <c r="G85" s="4616"/>
      <c r="H85" s="4616"/>
      <c r="I85" s="4616"/>
      <c r="J85" s="4617"/>
      <c r="K85" s="4618" t="s">
        <v>1456</v>
      </c>
      <c r="L85" s="4619"/>
      <c r="M85" s="4620"/>
      <c r="N85" s="2540">
        <f>IF(AW85&gt;0,IF(VLOOKUP(F85,'Tablas Técnicas'!$O$9:$X$88,10,0),MAX(5,AW85-5),AW85),0)</f>
        <v>0</v>
      </c>
      <c r="O85" s="2540" t="str">
        <f>AS85&amp;" / "&amp;AT85</f>
        <v>0 / 0</v>
      </c>
      <c r="P85" s="2540" t="str">
        <f t="array" ref="P85">W85+Y85+AA85+AC85+AE85+AG85&amp;" / "&amp;IF(K85&lt;&gt;"Mantenido",0,SUM(IF($AL85:$AR85='Tablas Técnicas'!$L$10:$L$643,'Tablas Técnicas'!$H$10:$H$643,0)))</f>
        <v>0 / 0</v>
      </c>
      <c r="Q85" s="4684" t="str">
        <f>IFERROR(VLOOKUP(F85,'Tablas Técnicas'!$O$9:$T$88,5,FALSE),"")</f>
        <v/>
      </c>
      <c r="R85" s="4684"/>
      <c r="S85" s="4684"/>
      <c r="T85" s="4684"/>
      <c r="U85" s="4684"/>
      <c r="V85" s="2060"/>
      <c r="W85" s="2061"/>
      <c r="X85" s="2060"/>
      <c r="Y85" s="2062"/>
      <c r="Z85" s="2063"/>
      <c r="AA85" s="2061"/>
      <c r="AB85" s="2060"/>
      <c r="AC85" s="2062"/>
      <c r="AD85" s="2063"/>
      <c r="AE85" s="2061"/>
      <c r="AF85" s="2060"/>
      <c r="AG85" s="2064"/>
      <c r="AH85" s="2193"/>
      <c r="AI85" s="4558"/>
      <c r="AJ85" s="3089">
        <v>2</v>
      </c>
      <c r="AK85" s="3089">
        <f>P80</f>
        <v>1</v>
      </c>
      <c r="AL85" s="3089" t="str">
        <f>IF(AND(ISNUMBER(MATCH($F85,'Tablas Técnicas'!$L$10:$L$643,0)),INDEX($J97:$J103,Tablas!A$1)="",COUNTIF(AM85:$AS85,$F85)=0),$F85,IF(INDEX($J97:$J103,Tablas!A$1)="","",$F85&amp;INDEX($J97:$J103,Tablas!A$1)))</f>
        <v/>
      </c>
      <c r="AM85" s="3089" t="str">
        <f>IF(AND(ISNUMBER(MATCH($F85,'Tablas Técnicas'!$L$10:$L$643,0)),INDEX($J97:$J103,Tablas!B$1)="",COUNTIF(AN85:$AS85,$F85)=0),$F85,IF(INDEX($J97:$J103,Tablas!B$1)="","",$F85&amp;INDEX($J97:$J103,Tablas!B$1)))</f>
        <v/>
      </c>
      <c r="AN85" s="3089" t="str">
        <f>IF(AND(ISNUMBER(MATCH($F85,'Tablas Técnicas'!$L$10:$L$643,0)),INDEX($J97:$J103,Tablas!C$1)="",COUNTIF(AO85:$AS85,$F85)=0),$F85,IF(INDEX($J97:$J103,Tablas!C$1)="","",$F85&amp;INDEX($J97:$J103,Tablas!C$1)))</f>
        <v/>
      </c>
      <c r="AO85" s="3089" t="str">
        <f>IF(AND(ISNUMBER(MATCH($F85,'Tablas Técnicas'!$L$10:$L$643,0)),INDEX($J97:$J103,Tablas!D$1)="",COUNTIF(AP85:$AS85,$F85)=0),$F85,IF(INDEX($J97:$J103,Tablas!D$1)="","",$F85&amp;INDEX($J97:$J103,Tablas!D$1)))</f>
        <v/>
      </c>
      <c r="AP85" s="3089" t="str">
        <f>IF(AND(ISNUMBER(MATCH($F85,'Tablas Técnicas'!$L$10:$L$643,0)),INDEX($J97:$J103,Tablas!E$1)="",COUNTIF(AQ85:$AS85,$F85)=0),$F85,IF(INDEX($J97:$J103,Tablas!E$1)="","",$F85&amp;INDEX($J97:$J103,Tablas!E$1)))</f>
        <v/>
      </c>
      <c r="AQ85" s="3089" t="str">
        <f>IF(AND(ISNUMBER(MATCH($F85,'Tablas Técnicas'!$L$10:$L$643,0)),INDEX($J97:$J103,Tablas!F$1)="",COUNTIF(AR85:$AS85,$F85)=0),$F85,IF(INDEX($J97:$J103,Tablas!F$1)="","",$F85&amp;INDEX($J97:$J103,Tablas!F$1)))</f>
        <v/>
      </c>
      <c r="AR85" s="3089" t="str">
        <f>IF(AND(ISNUMBER(MATCH($F85,'Tablas Técnicas'!$L$10:$L$643,0)),INDEX($J97:$J103,Tablas!G$1)="",COUNTIF(AS85:$AS85,$F85)=0),$F85,IF(INDEX($J97:$J103,Tablas!G$1)="","",$F85&amp;INDEX($J97:$J103,Tablas!G$1)))</f>
        <v/>
      </c>
      <c r="AS85" s="3091">
        <f>V85+X85+Z85+AB85+AD85+AF85</f>
        <v>0</v>
      </c>
      <c r="AT85" s="3091">
        <f t="array" ref="AT85">SUM(IF($AL85:$AR85='Tablas Técnicas'!$L$10:$L$643,IF(D85="Primario",'Tablas Técnicas'!$E$10:$E$643,'Tablas Técnicas'!$F$10:$F$643)+IF(K85="Sostenimiento menor",'Tablas Técnicas'!$I$10:$I$643,IF(K85="sostenimiento mayor",'Tablas Técnicas'!$J$10:$J$643,0)),0),0)+VALUE(RIGHT(P85,2))+AU85+AV85</f>
        <v>0</v>
      </c>
      <c r="AU85" s="3091">
        <f>IFERROR(IF(V85=0,0,VALUE(MID(Q85,SEARCH("AGI",Q85)+4,1))),0)+IFERROR(IF(X85=0,0,VALUE(MID(Q85,SEARCH("CON",Q85)+4,1))),0)+IFERROR(IF(Z85=0,0,VALUE(MID(Q85,SEARCH("DES",Q85)+4,1))),0)+IFERROR(IF(AB85=0,0,VALUE(MID(Q85,SEARCH("FUE",Q85)+4,1))),0)+IFERROR(IF(AD85=0,0,VALUE(MID(Q85,SEARCH("POD",Q85)+4,1))),0)+IFERROR(IF(AF85=0,0,VALUE(MID(Q85,SEARCH("VOL",Q85)+4,1))),0)</f>
        <v>0</v>
      </c>
      <c r="AV85" s="3091">
        <f>(COUNTIF(AL85:AR85,"*Estado añadido:*")-1)*COUNTIF(AL85:AR85,"*Estado añadido:*")</f>
        <v>0</v>
      </c>
      <c r="AW85" s="3091">
        <f t="array" ref="AW85">SUM(IF($AL85:$AR85='Tablas Técnicas'!$L$10:$L$643,'Tablas Técnicas'!$G$10:$G$643,0))</f>
        <v>0</v>
      </c>
      <c r="AX85" s="3089" t="str">
        <f>IF(F85="","",F85&amp;" ("&amp;IF(AL85="","",SUBSTITUTE(AL85,F85,"")&amp;", ")&amp;IF(AM85="","",SUBSTITUTE(AM85,F85,"")&amp;", ")&amp;IF(AN85="","",SUBSTITUTE(AN85,F85,"")&amp;", ")&amp;IF(AO85="","",SUBSTITUTE(AO85,F85,"")&amp;", ")&amp;IF(AP85="","",SUBSTITUTE(AP85,F85,"")&amp;", ")&amp;IF(AQ85="","",SUBSTITUTE(AQ85,F85,"")&amp;", ")&amp;IF(AR85="","",SUBSTITUTE(AR85,F85,"")&amp;", ")&amp;IF(OR(K85="",K85="-"),"",K85&amp;", "))</f>
        <v/>
      </c>
      <c r="AY85" s="3089" t="str">
        <f>IFERROR(LEFT(AX85,LEN(AX85)-2)&amp;"), ","")</f>
        <v/>
      </c>
    </row>
    <row r="86" spans="1:51" ht="12.2" customHeight="1" x14ac:dyDescent="0.2">
      <c r="A86" s="2185"/>
      <c r="B86" s="2099">
        <f t="shared" si="1"/>
        <v>3</v>
      </c>
      <c r="C86" s="4538"/>
      <c r="D86" s="4629" t="s">
        <v>524</v>
      </c>
      <c r="E86" s="4630"/>
      <c r="F86" s="4559"/>
      <c r="G86" s="4560"/>
      <c r="H86" s="4560"/>
      <c r="I86" s="4560"/>
      <c r="J86" s="4561"/>
      <c r="K86" s="4621" t="s">
        <v>1456</v>
      </c>
      <c r="L86" s="4622"/>
      <c r="M86" s="4623"/>
      <c r="N86" s="2536">
        <f>IF(AW86&gt;0,IF(VLOOKUP(F86,'Tablas Técnicas'!$O$9:$X$88,10,0),MAX(5,AW86-5),AW86),0)</f>
        <v>0</v>
      </c>
      <c r="O86" s="2536" t="str">
        <f>AS86&amp;" / "&amp;AT86</f>
        <v>0 / 0</v>
      </c>
      <c r="P86" s="2536" t="str">
        <f t="array" ref="P86">W86+Y86+AA86+AC86+AE86+AG86&amp;" / "&amp;IF(K86&lt;&gt;"Mantenido",0,SUM(IF($AL86:$AR86='Tablas Técnicas'!$L$10:$L$643,'Tablas Técnicas'!$H$10:$H$643,0)))</f>
        <v>0 / 0</v>
      </c>
      <c r="Q86" s="4680" t="str">
        <f>IFERROR(VLOOKUP(F86,'Tablas Técnicas'!$O$9:$T$88,5,FALSE),"")</f>
        <v/>
      </c>
      <c r="R86" s="4680"/>
      <c r="S86" s="4680"/>
      <c r="T86" s="4680"/>
      <c r="U86" s="4680"/>
      <c r="V86" s="2065"/>
      <c r="W86" s="2066"/>
      <c r="X86" s="2065"/>
      <c r="Y86" s="2067"/>
      <c r="Z86" s="2068"/>
      <c r="AA86" s="2066"/>
      <c r="AB86" s="2065"/>
      <c r="AC86" s="2067"/>
      <c r="AD86" s="2068"/>
      <c r="AE86" s="2066"/>
      <c r="AF86" s="2065"/>
      <c r="AG86" s="2069"/>
      <c r="AH86" s="2193"/>
      <c r="AI86" s="4558"/>
      <c r="AJ86" s="3089">
        <v>3</v>
      </c>
      <c r="AK86" s="3089">
        <f>P80</f>
        <v>1</v>
      </c>
      <c r="AL86" s="3089" t="str">
        <f>IF(AND(ISNUMBER(MATCH($F86,'Tablas Técnicas'!$L$10:$L$643,0)),INDEX($P97:$P103,Tablas!A$1)="",COUNTIF(AM86:$AS86,$F86)=0),$F86,IF(INDEX($P97:$P103,Tablas!A$1)="","",$F86&amp;INDEX($P97:$P103,Tablas!A$1)))</f>
        <v/>
      </c>
      <c r="AM86" s="3089" t="str">
        <f>IF(AND(ISNUMBER(MATCH($F86,'Tablas Técnicas'!$L$10:$L$643,0)),INDEX($P97:$P103,Tablas!B$1)="",COUNTIF(AN86:$AS86,$F86)=0),$F86,IF(INDEX($P97:$P103,Tablas!B$1)="","",$F86&amp;INDEX($P97:$P103,Tablas!B$1)))</f>
        <v/>
      </c>
      <c r="AN86" s="3089" t="str">
        <f>IF(AND(ISNUMBER(MATCH($F86,'Tablas Técnicas'!$L$10:$L$643,0)),INDEX($P97:$P103,Tablas!C$1)="",COUNTIF(AO86:$AS86,$F86)=0),$F86,IF(INDEX($P97:$P103,Tablas!C$1)="","",$F86&amp;INDEX($P97:$P103,Tablas!C$1)))</f>
        <v/>
      </c>
      <c r="AO86" s="3089" t="str">
        <f>IF(AND(ISNUMBER(MATCH($F86,'Tablas Técnicas'!$L$10:$L$643,0)),INDEX($P97:$P103,Tablas!D$1)="",COUNTIF(AP86:$AS86,$F86)=0),$F86,IF(INDEX($P97:$P103,Tablas!D$1)="","",$F86&amp;INDEX($P97:$P103,Tablas!D$1)))</f>
        <v/>
      </c>
      <c r="AP86" s="3089" t="str">
        <f>IF(AND(ISNUMBER(MATCH($F86,'Tablas Técnicas'!$L$10:$L$643,0)),INDEX($P97:$P103,Tablas!E$1)="",COUNTIF(AQ86:$AS86,$F86)=0),$F86,IF(INDEX($P97:$P103,Tablas!E$1)="","",$F86&amp;INDEX($P97:$P103,Tablas!E$1)))</f>
        <v/>
      </c>
      <c r="AQ86" s="3089" t="str">
        <f>IF(AND(ISNUMBER(MATCH($F86,'Tablas Técnicas'!$L$10:$L$643,0)),INDEX($P97:$P103,Tablas!F$1)="",COUNTIF(AR86:$AS86,$F86)=0),$F86,IF(INDEX($P97:$P103,Tablas!F$1)="","",$F86&amp;INDEX($P97:$P103,Tablas!F$1)))</f>
        <v/>
      </c>
      <c r="AR86" s="3089" t="str">
        <f>IF(AND(ISNUMBER(MATCH($F86,'Tablas Técnicas'!$L$10:$L$643,0)),INDEX($P97:$P103,Tablas!G$1)="",COUNTIF(AS86:$AS86,$F86)=0),$F86,IF(INDEX($P97:$P103,Tablas!G$1)="","",$F86&amp;INDEX($P97:$P103,Tablas!G$1)))</f>
        <v/>
      </c>
      <c r="AS86" s="3091">
        <f>V86+X86+Z86+AB86+AD86+AF86</f>
        <v>0</v>
      </c>
      <c r="AT86" s="3091">
        <f t="array" ref="AT86">SUM(IF($AL86:$AR86='Tablas Técnicas'!$L$10:$L$643,IF(D86="Primario",'Tablas Técnicas'!$E$10:$E$643,'Tablas Técnicas'!$F$10:$F$643)+IF(K86="Sostenimiento menor",'Tablas Técnicas'!$I$10:$I$643,IF(K86="sostenimiento mayor",'Tablas Técnicas'!$J$10:$J$643,0)),0),0)+VALUE(RIGHT(P86,2))+AU86+AV86</f>
        <v>0</v>
      </c>
      <c r="AU86" s="3091">
        <f>IFERROR(IF(V86=0,0,VALUE(MID(Q86,SEARCH("AGI",Q86)+4,1))),0)+IFERROR(IF(X86=0,0,VALUE(MID(Q86,SEARCH("CON",Q86)+4,1))),0)+IFERROR(IF(Z86=0,0,VALUE(MID(Q86,SEARCH("DES",Q86)+4,1))),0)+IFERROR(IF(AB86=0,0,VALUE(MID(Q86,SEARCH("FUE",Q86)+4,1))),0)+IFERROR(IF(AD86=0,0,VALUE(MID(Q86,SEARCH("POD",Q86)+4,1))),0)+IFERROR(IF(AF86=0,0,VALUE(MID(Q86,SEARCH("VOL",Q86)+4,1))),0)</f>
        <v>0</v>
      </c>
      <c r="AV86" s="3091">
        <f>(COUNTIF(AL86:AR86,"*Estado añadido:*")-1)*COUNTIF(AL86:AR86,"*Estado añadido:*")</f>
        <v>0</v>
      </c>
      <c r="AW86" s="3091">
        <f t="array" ref="AW86">SUM(IF($AL86:$AR86='Tablas Técnicas'!$L$10:$L$643,'Tablas Técnicas'!$G$10:$G$643,0))</f>
        <v>0</v>
      </c>
      <c r="AX86" s="3089" t="str">
        <f>IF(F86="","",F86&amp;" ("&amp;IF(AL86="","",SUBSTITUTE(AL86,F86,"")&amp;", ")&amp;IF(AM86="","",SUBSTITUTE(AM86,F86,"")&amp;", ")&amp;IF(AN86="","",SUBSTITUTE(AN86,F86,"")&amp;", ")&amp;IF(AO86="","",SUBSTITUTE(AO86,F86,"")&amp;", ")&amp;IF(AP86="","",SUBSTITUTE(AP86,F86,"")&amp;", ")&amp;IF(AQ86="","",SUBSTITUTE(AQ86,F86,"")&amp;", ")&amp;IF(AR86="","",SUBSTITUTE(AR86,F86,"")&amp;", ")&amp;IF(OR(K86="",K86="-"),"",K86&amp;", "))</f>
        <v/>
      </c>
      <c r="AY86" s="3089" t="str">
        <f>IFERROR(LEFT(AX86,LEN(AX86)-2)&amp;"), ","")</f>
        <v/>
      </c>
    </row>
    <row r="87" spans="1:51" ht="12.2" customHeight="1" x14ac:dyDescent="0.2">
      <c r="A87" s="2185"/>
      <c r="B87" s="2099">
        <f t="shared" si="1"/>
        <v>3</v>
      </c>
      <c r="C87" s="4538"/>
      <c r="D87" s="4583" t="s">
        <v>524</v>
      </c>
      <c r="E87" s="4584"/>
      <c r="F87" s="4615"/>
      <c r="G87" s="4616"/>
      <c r="H87" s="4616"/>
      <c r="I87" s="4616"/>
      <c r="J87" s="4617"/>
      <c r="K87" s="4618" t="s">
        <v>1456</v>
      </c>
      <c r="L87" s="4619"/>
      <c r="M87" s="4620"/>
      <c r="N87" s="2540">
        <f>IF(AW87&gt;0,IF(VLOOKUP(F87,'Tablas Técnicas'!$O$9:$X$88,10,0),MAX(5,AW87-5),AW87),0)</f>
        <v>0</v>
      </c>
      <c r="O87" s="2540" t="str">
        <f>AS87&amp;" / "&amp;AT87</f>
        <v>0 / 0</v>
      </c>
      <c r="P87" s="2540" t="str">
        <f t="array" ref="P87">W87+Y87+AA87+AC87+AE87+AG87&amp;" / "&amp;IF(K87&lt;&gt;"Mantenido",0,SUM(IF($AL87:$AR87='Tablas Técnicas'!$L$10:$L$643,'Tablas Técnicas'!$H$10:$H$643,0)))</f>
        <v>0 / 0</v>
      </c>
      <c r="Q87" s="4684" t="str">
        <f>IFERROR(VLOOKUP(F87,'Tablas Técnicas'!$O$9:$T$88,5,FALSE),"")</f>
        <v/>
      </c>
      <c r="R87" s="4684"/>
      <c r="S87" s="4684"/>
      <c r="T87" s="4684"/>
      <c r="U87" s="4684"/>
      <c r="V87" s="2060"/>
      <c r="W87" s="2061"/>
      <c r="X87" s="2060"/>
      <c r="Y87" s="2062"/>
      <c r="Z87" s="2063"/>
      <c r="AA87" s="2061"/>
      <c r="AB87" s="2060"/>
      <c r="AC87" s="2062"/>
      <c r="AD87" s="2063"/>
      <c r="AE87" s="2061"/>
      <c r="AF87" s="2060"/>
      <c r="AG87" s="2064"/>
      <c r="AH87" s="2193"/>
      <c r="AI87" s="4558"/>
      <c r="AJ87" s="3089">
        <v>4</v>
      </c>
      <c r="AK87" s="3089">
        <f>P80</f>
        <v>1</v>
      </c>
      <c r="AL87" s="3089" t="str">
        <f>IF(AND(ISNUMBER(MATCH($F87,'Tablas Técnicas'!$L$10:$L$643,0)),INDEX($V97:$V103,Tablas!A$1)="",COUNTIF(AM87:$AS87,$F87)=0),$F87,IF(INDEX($V97:$V103,Tablas!A$1)="","",$F87&amp;INDEX($V97:$V103,Tablas!A$1)))</f>
        <v/>
      </c>
      <c r="AM87" s="3089" t="str">
        <f>IF(AND(ISNUMBER(MATCH($F87,'Tablas Técnicas'!$L$10:$L$643,0)),INDEX($V97:$V103,Tablas!B$1)="",COUNTIF(AN87:$AS87,$F87)=0),$F87,IF(INDEX($V97:$V103,Tablas!B$1)="","",$F87&amp;INDEX($V97:$V103,Tablas!B$1)))</f>
        <v/>
      </c>
      <c r="AN87" s="3089" t="str">
        <f>IF(AND(ISNUMBER(MATCH($F87,'Tablas Técnicas'!$L$10:$L$643,0)),INDEX($V97:$V103,Tablas!C$1)="",COUNTIF(AO87:$AS87,$F87)=0),$F87,IF(INDEX($V97:$V103,Tablas!C$1)="","",$F87&amp;INDEX($V97:$V103,Tablas!C$1)))</f>
        <v/>
      </c>
      <c r="AO87" s="3089" t="str">
        <f>IF(AND(ISNUMBER(MATCH($F87,'Tablas Técnicas'!$L$10:$L$643,0)),INDEX($V97:$V103,Tablas!D$1)="",COUNTIF(AP87:$AS87,$F87)=0),$F87,IF(INDEX($V97:$V103,Tablas!D$1)="","",$F87&amp;INDEX($V97:$V103,Tablas!D$1)))</f>
        <v/>
      </c>
      <c r="AP87" s="3089" t="str">
        <f>IF(AND(ISNUMBER(MATCH($F87,'Tablas Técnicas'!$L$10:$L$643,0)),INDEX($V97:$V103,Tablas!E$1)="",COUNTIF(AQ87:$AS87,$F87)=0),$F87,IF(INDEX($V97:$V103,Tablas!E$1)="","",$F87&amp;INDEX($V97:$V103,Tablas!E$1)))</f>
        <v/>
      </c>
      <c r="AQ87" s="3089" t="str">
        <f>IF(AND(ISNUMBER(MATCH($F87,'Tablas Técnicas'!$L$10:$L$643,0)),INDEX($V97:$V103,Tablas!F$1)="",COUNTIF(AR87:$AS87,$F87)=0),$F87,IF(INDEX($V97:$V103,Tablas!F$1)="","",$F87&amp;INDEX($V97:$V103,Tablas!F$1)))</f>
        <v/>
      </c>
      <c r="AR87" s="3089" t="str">
        <f>IF(AND(ISNUMBER(MATCH($F87,'Tablas Técnicas'!$L$10:$L$643,0)),INDEX($V97:$V103,Tablas!G$1)="",COUNTIF(AS87:$AS87,$F87)=0),$F87,IF(INDEX($V97:$V103,Tablas!G$1)="","",$F87&amp;INDEX($V97:$V103,Tablas!G$1)))</f>
        <v/>
      </c>
      <c r="AS87" s="3091">
        <f>V87+X87+Z87+AB87+AD87+AF87</f>
        <v>0</v>
      </c>
      <c r="AT87" s="3091">
        <f t="array" ref="AT87">SUM(IF($AL87:$AR87='Tablas Técnicas'!$L$10:$L$643,IF(D87="Primario",'Tablas Técnicas'!$E$10:$E$643,'Tablas Técnicas'!$F$10:$F$643)+IF(K87="Sostenimiento menor",'Tablas Técnicas'!$I$10:$I$643,IF(K87="sostenimiento mayor",'Tablas Técnicas'!$J$10:$J$643,0)),0),0)+VALUE(RIGHT(P87,2))+AU87+AV87</f>
        <v>0</v>
      </c>
      <c r="AU87" s="3091">
        <f>IFERROR(IF(V87=0,0,VALUE(MID(Q87,SEARCH("AGI",Q87)+4,1))),0)+IFERROR(IF(X87=0,0,VALUE(MID(Q87,SEARCH("CON",Q87)+4,1))),0)+IFERROR(IF(Z87=0,0,VALUE(MID(Q87,SEARCH("DES",Q87)+4,1))),0)+IFERROR(IF(AB87=0,0,VALUE(MID(Q87,SEARCH("FUE",Q87)+4,1))),0)+IFERROR(IF(AD87=0,0,VALUE(MID(Q87,SEARCH("POD",Q87)+4,1))),0)+IFERROR(IF(AF87=0,0,VALUE(MID(Q87,SEARCH("VOL",Q87)+4,1))),0)</f>
        <v>0</v>
      </c>
      <c r="AV87" s="3091">
        <f>(COUNTIF(AL87:AR87,"*Estado añadido:*")-1)*COUNTIF(AL87:AR87,"*Estado añadido:*")</f>
        <v>0</v>
      </c>
      <c r="AW87" s="3091">
        <f t="array" ref="AW87">SUM(IF($AL87:$AR87='Tablas Técnicas'!$L$10:$L$643,'Tablas Técnicas'!$G$10:$G$643,0))</f>
        <v>0</v>
      </c>
      <c r="AX87" s="3089" t="str">
        <f>IF(F87="","",F87&amp;" ("&amp;IF(AL87="","",SUBSTITUTE(AL87,F87,"")&amp;", ")&amp;IF(AM87="","",SUBSTITUTE(AM87,F87,"")&amp;", ")&amp;IF(AN87="","",SUBSTITUTE(AN87,F87,"")&amp;", ")&amp;IF(AO87="","",SUBSTITUTE(AO87,F87,"")&amp;", ")&amp;IF(AP87="","",SUBSTITUTE(AP87,F87,"")&amp;", ")&amp;IF(AQ87="","",SUBSTITUTE(AQ87,F87,"")&amp;", ")&amp;IF(AR87="","",SUBSTITUTE(AR87,F87,"")&amp;", ")&amp;IF(OR(K87="",K87="-"),"",K87&amp;", "))</f>
        <v/>
      </c>
      <c r="AY87" s="3089" t="str">
        <f>IFERROR(LEFT(AX87,LEN(AX87)-2)&amp;"), ","")</f>
        <v/>
      </c>
    </row>
    <row r="88" spans="1:51" ht="12.2" customHeight="1" thickBot="1" x14ac:dyDescent="0.25">
      <c r="A88" s="2185"/>
      <c r="B88" s="2099">
        <f t="shared" si="1"/>
        <v>3</v>
      </c>
      <c r="C88" s="4538"/>
      <c r="D88" s="4586" t="s">
        <v>524</v>
      </c>
      <c r="E88" s="4587"/>
      <c r="F88" s="4543"/>
      <c r="G88" s="4544"/>
      <c r="H88" s="4544"/>
      <c r="I88" s="4544"/>
      <c r="J88" s="4545"/>
      <c r="K88" s="4546" t="s">
        <v>1456</v>
      </c>
      <c r="L88" s="4547"/>
      <c r="M88" s="4548"/>
      <c r="N88" s="2541">
        <f>IF(AW88&gt;0,IF(VLOOKUP(F88,'Tablas Técnicas'!$O$9:$X$88,10,0),MAX(5,AW88-5),AW88),0)</f>
        <v>0</v>
      </c>
      <c r="O88" s="2541" t="str">
        <f>AS88&amp;" / "&amp;AT88</f>
        <v>0 / 0</v>
      </c>
      <c r="P88" s="2541" t="str">
        <f t="array" ref="P88">W88+Y88+AA88+AC88+AE88+AG88&amp;" / "&amp;IF(K88&lt;&gt;"Mantenido",0,SUM(IF($AL88:$AR88='Tablas Técnicas'!$L$10:$L$643,'Tablas Técnicas'!$H$10:$H$643,0)))</f>
        <v>0 / 0</v>
      </c>
      <c r="Q88" s="4681" t="str">
        <f>IFERROR(VLOOKUP(F88,'Tablas Técnicas'!$O$9:$T$88,5,FALSE),"")</f>
        <v/>
      </c>
      <c r="R88" s="4681"/>
      <c r="S88" s="4681"/>
      <c r="T88" s="4681"/>
      <c r="U88" s="4681"/>
      <c r="V88" s="2070"/>
      <c r="W88" s="2071"/>
      <c r="X88" s="2070"/>
      <c r="Y88" s="2072"/>
      <c r="Z88" s="2073"/>
      <c r="AA88" s="2071"/>
      <c r="AB88" s="2070"/>
      <c r="AC88" s="2072"/>
      <c r="AD88" s="2073"/>
      <c r="AE88" s="2071"/>
      <c r="AF88" s="2070"/>
      <c r="AG88" s="2074"/>
      <c r="AH88" s="2193"/>
      <c r="AI88" s="4558"/>
      <c r="AJ88" s="3089">
        <v>5</v>
      </c>
      <c r="AK88" s="3089">
        <f>P80</f>
        <v>1</v>
      </c>
      <c r="AL88" s="3089" t="str">
        <f>IF(AND(ISNUMBER(MATCH($F88,'Tablas Técnicas'!$L$10:$L$643,0)),INDEX($AB97:$AB103,Tablas!A$1)="",COUNTIF(AM88:$AS88,$F88)=0),$F88,IF(INDEX($AB97:$AB103,Tablas!A$1)="","",$F88&amp;INDEX($AB97:$AB103,Tablas!A$1)))</f>
        <v/>
      </c>
      <c r="AM88" s="3089" t="str">
        <f>IF(AND(ISNUMBER(MATCH($F88,'Tablas Técnicas'!$L$10:$L$643,0)),INDEX($AB97:$AB103,Tablas!B$1)="",COUNTIF(AN88:$AS88,$F88)=0),$F88,IF(INDEX($AB97:$AB103,Tablas!B$1)="","",$F88&amp;INDEX($AB97:$AB103,Tablas!B$1)))</f>
        <v/>
      </c>
      <c r="AN88" s="3089" t="str">
        <f>IF(AND(ISNUMBER(MATCH($F88,'Tablas Técnicas'!$L$10:$L$643,0)),INDEX($AB97:$AB103,Tablas!C$1)="",COUNTIF(AO88:$AS88,$F88)=0),$F88,IF(INDEX($AB97:$AB103,Tablas!C$1)="","",$F88&amp;INDEX($AB97:$AB103,Tablas!C$1)))</f>
        <v/>
      </c>
      <c r="AO88" s="3089" t="str">
        <f>IF(AND(ISNUMBER(MATCH($F88,'Tablas Técnicas'!$L$10:$L$643,0)),INDEX($AB97:$AB103,Tablas!D$1)="",COUNTIF(AP88:$AS88,$F88)=0),$F88,IF(INDEX($AB97:$AB103,Tablas!D$1)="","",$F88&amp;INDEX($AB97:$AB103,Tablas!D$1)))</f>
        <v/>
      </c>
      <c r="AP88" s="3089" t="str">
        <f>IF(AND(ISNUMBER(MATCH($F88,'Tablas Técnicas'!$L$10:$L$643,0)),INDEX($AB97:$AB103,Tablas!E$1)="",COUNTIF(AQ88:$AS88,$F88)=0),$F88,IF(INDEX($AB97:$AB103,Tablas!E$1)="","",$F88&amp;INDEX($AB97:$AB103,Tablas!E$1)))</f>
        <v/>
      </c>
      <c r="AQ88" s="3089" t="str">
        <f>IF(AND(ISNUMBER(MATCH($F88,'Tablas Técnicas'!$L$10:$L$643,0)),INDEX($AB97:$AB103,Tablas!F$1)="",COUNTIF(AR88:$AS88,$F88)=0),$F88,IF(INDEX($AB97:$AB103,Tablas!F$1)="","",$F88&amp;INDEX($AB97:$AB103,Tablas!F$1)))</f>
        <v/>
      </c>
      <c r="AR88" s="3089" t="str">
        <f>IF(AND(ISNUMBER(MATCH($F88,'Tablas Técnicas'!$L$10:$L$643,0)),INDEX($AB97:$AB103,Tablas!G$1)="",COUNTIF(AS88:$AS88,$F88)=0),$F88,IF(INDEX($AB97:$AB103,Tablas!G$1)="","",$F88&amp;INDEX($AB97:$AB103,Tablas!G$1)))</f>
        <v/>
      </c>
      <c r="AS88" s="3091">
        <f>V88+X88+Z88+AB88+AD88+AF88</f>
        <v>0</v>
      </c>
      <c r="AT88" s="3091">
        <f t="array" ref="AT88">SUM(IF($AL88:$AR88='Tablas Técnicas'!$L$10:$L$643,IF(D88="Primario",'Tablas Técnicas'!$E$10:$E$643,'Tablas Técnicas'!$F$10:$F$643)+IF(K88="Sostenimiento menor",'Tablas Técnicas'!$I$10:$I$643,IF(K88="sostenimiento mayor",'Tablas Técnicas'!$J$10:$J$643,0)),0),0)+VALUE(RIGHT(P88,2))+AU88+AV88</f>
        <v>0</v>
      </c>
      <c r="AU88" s="3091">
        <f>IFERROR(IF(V88=0,0,VALUE(MID(Q88,SEARCH("AGI",Q88)+4,1))),0)+IFERROR(IF(X88=0,0,VALUE(MID(Q88,SEARCH("CON",Q88)+4,1))),0)+IFERROR(IF(Z88=0,0,VALUE(MID(Q88,SEARCH("DES",Q88)+4,1))),0)+IFERROR(IF(AB88=0,0,VALUE(MID(Q88,SEARCH("FUE",Q88)+4,1))),0)+IFERROR(IF(AD88=0,0,VALUE(MID(Q88,SEARCH("POD",Q88)+4,1))),0)+IFERROR(IF(AF88=0,0,VALUE(MID(Q88,SEARCH("VOL",Q88)+4,1))),0)</f>
        <v>0</v>
      </c>
      <c r="AV88" s="3091">
        <f>(COUNTIF(AL88:AR88,"*Estado añadido:*")-1)*COUNTIF(AL88:AR88,"*Estado añadido:*")</f>
        <v>0</v>
      </c>
      <c r="AW88" s="3091">
        <f t="array" ref="AW88">SUM(IF($AL88:$AR88='Tablas Técnicas'!$L$10:$L$643,'Tablas Técnicas'!$G$10:$G$643,0))</f>
        <v>0</v>
      </c>
      <c r="AX88" s="3089" t="str">
        <f>IF(F88="","",F88&amp;" ("&amp;IF(AL88="","",SUBSTITUTE(AL88,F88,"")&amp;", ")&amp;IF(AM88="","",SUBSTITUTE(AM88,F88,"")&amp;", ")&amp;IF(AN88="","",SUBSTITUTE(AN88,F88,"")&amp;", ")&amp;IF(AO88="","",SUBSTITUTE(AO88,F88,"")&amp;", ")&amp;IF(AP88="","",SUBSTITUTE(AP88,F88,"")&amp;", ")&amp;IF(AQ88="","",SUBSTITUTE(AQ88,F88,"")&amp;", ")&amp;IF(AR88="","",SUBSTITUTE(AR88,F88,"")&amp;", ")&amp;IF(OR(K88="",K88="-"),"",K88&amp;", "))</f>
        <v/>
      </c>
      <c r="AY88" s="3089" t="str">
        <f>IFERROR(LEFT(AX88,LEN(AX88)-2)&amp;"), ","")</f>
        <v/>
      </c>
    </row>
    <row r="89" spans="1:51" ht="12.2" customHeight="1" x14ac:dyDescent="0.2">
      <c r="A89" s="2185"/>
      <c r="B89" s="2099">
        <f t="shared" si="1"/>
        <v>3</v>
      </c>
      <c r="C89" s="4538"/>
      <c r="D89" s="4589" t="s">
        <v>2819</v>
      </c>
      <c r="E89" s="4590"/>
      <c r="F89" s="4610"/>
      <c r="G89" s="4611"/>
      <c r="H89" s="4611"/>
      <c r="I89" s="4611"/>
      <c r="J89" s="4612"/>
      <c r="K89" s="4628"/>
      <c r="L89" s="4657"/>
      <c r="M89" s="4658"/>
      <c r="N89" s="1929" t="str">
        <f>IFERROR(INDEX('Tablas Técnicas'!$Q$200:$Q$301,MATCH(F89&amp;K89,'Tablas Técnicas'!$S$200:$S$301,0)),"")</f>
        <v/>
      </c>
      <c r="O89" s="4659"/>
      <c r="P89" s="4660"/>
      <c r="Q89" s="4661"/>
      <c r="R89" s="4660"/>
      <c r="S89" s="2761" t="str">
        <f>IFERROR("Nivel: "&amp;MAX(1,INDEX('Tablas Técnicas'!$R$200:$R$301,MATCH(F89&amp;K89,'Tablas Técnicas'!$S$200:$S$301,0))),"")</f>
        <v/>
      </c>
      <c r="T89" s="1930"/>
      <c r="U89" s="1931" t="str">
        <f>IFERROR("("&amp;VLOOKUP(F89,'Tablas Técnicas'!$O$165:$Q$192,3,FALSE)&amp;")","")</f>
        <v/>
      </c>
      <c r="V89" s="4598" t="s">
        <v>9625</v>
      </c>
      <c r="W89" s="4599"/>
      <c r="X89" s="4600"/>
      <c r="Y89" s="2542">
        <v>0</v>
      </c>
      <c r="Z89" s="4694" t="s">
        <v>8811</v>
      </c>
      <c r="AA89" s="4602"/>
      <c r="AB89" s="4603"/>
      <c r="AC89" s="2542">
        <v>0</v>
      </c>
      <c r="AD89" s="4695" t="str">
        <f>"Ki sin repartir: "&amp;AL97-AL98&amp;IF(AM97=0,""," ("&amp;AM97-AM98&amp;")")</f>
        <v>Ki sin repartir: 0</v>
      </c>
      <c r="AE89" s="4605"/>
      <c r="AF89" s="4605"/>
      <c r="AG89" s="4606"/>
      <c r="AH89" s="2193"/>
      <c r="AI89" s="4558"/>
      <c r="AJ89" s="3089">
        <v>1</v>
      </c>
      <c r="AK89" s="3089">
        <f>P80</f>
        <v>1</v>
      </c>
      <c r="AL89" s="3089" t="e">
        <f>VLOOKUP(F89,'Tablas Técnicas'!$O$165:$Q$188,2,FALSE)</f>
        <v>#N/A</v>
      </c>
      <c r="AM89" s="3089"/>
      <c r="AN89" s="3090"/>
      <c r="AO89" s="3089"/>
      <c r="AP89" s="3089"/>
      <c r="AQ89" s="3090"/>
      <c r="AR89" s="3089"/>
      <c r="AS89" s="3089"/>
      <c r="AT89" s="3089"/>
      <c r="AU89" s="3089"/>
      <c r="AV89" s="3089"/>
      <c r="AW89" s="3091"/>
      <c r="AX89" s="3091"/>
      <c r="AY89" s="3089" t="str">
        <f>IF(F89="","",F89&amp;IF(K89="",""," ("&amp;IF(F89="Atadura Elemental",O89&amp;IF(Q89="","",", "&amp;Q89),K89)&amp;")")&amp;", ")</f>
        <v/>
      </c>
    </row>
    <row r="90" spans="1:51" ht="12.2" customHeight="1" x14ac:dyDescent="0.2">
      <c r="A90" s="2185"/>
      <c r="B90" s="2099">
        <f t="shared" si="1"/>
        <v>3</v>
      </c>
      <c r="C90" s="4538"/>
      <c r="D90" s="4591"/>
      <c r="E90" s="4592"/>
      <c r="F90" s="4662"/>
      <c r="G90" s="4663"/>
      <c r="H90" s="4663"/>
      <c r="I90" s="4663"/>
      <c r="J90" s="4664"/>
      <c r="K90" s="4617"/>
      <c r="L90" s="4677"/>
      <c r="M90" s="4678"/>
      <c r="N90" s="1932" t="str">
        <f>IFERROR(INDEX('Tablas Técnicas'!$Q$200:$Q$301,MATCH(F90&amp;K90,'Tablas Técnicas'!$S$200:$S$301,0)),"")</f>
        <v/>
      </c>
      <c r="O90" s="4665"/>
      <c r="P90" s="4666"/>
      <c r="Q90" s="4667"/>
      <c r="R90" s="4666"/>
      <c r="S90" s="2763" t="str">
        <f>IFERROR("Nivel: "&amp;MAX(1,INDEX('Tablas Técnicas'!$R$200:$R$301,MATCH(F90&amp;K90,'Tablas Técnicas'!$S$200:$S$301,0))),"")</f>
        <v/>
      </c>
      <c r="T90" s="2543"/>
      <c r="U90" s="2544" t="str">
        <f>IFERROR("("&amp;VLOOKUP(F90,'Tablas Técnicas'!$O$165:$Q$192,3,FALSE)&amp;")","")</f>
        <v/>
      </c>
      <c r="V90" s="4607" t="str">
        <f>"Mod. "&amp;V82</f>
        <v>Mod. AGI</v>
      </c>
      <c r="W90" s="4608"/>
      <c r="X90" s="4607" t="str">
        <f>"Mod. "&amp;X82</f>
        <v>Mod. CON</v>
      </c>
      <c r="Y90" s="4608"/>
      <c r="Z90" s="4607" t="str">
        <f>"Mod. "&amp;Z82</f>
        <v>Mod. DES</v>
      </c>
      <c r="AA90" s="4608"/>
      <c r="AB90" s="4607" t="str">
        <f>"Mod. "&amp;AB82</f>
        <v>Mod. FUE</v>
      </c>
      <c r="AC90" s="4608"/>
      <c r="AD90" s="4607" t="str">
        <f>"Mod. "&amp;AD82</f>
        <v>Mod. POD</v>
      </c>
      <c r="AE90" s="4608"/>
      <c r="AF90" s="4607" t="str">
        <f>"Mod. "&amp;AF82</f>
        <v>Mod. VOL</v>
      </c>
      <c r="AG90" s="4609"/>
      <c r="AH90" s="2193"/>
      <c r="AI90" s="4558"/>
      <c r="AJ90" s="3089">
        <v>2</v>
      </c>
      <c r="AK90" s="3089">
        <f>P80</f>
        <v>1</v>
      </c>
      <c r="AL90" s="3089" t="e">
        <f>VLOOKUP(F90,'Tablas Técnicas'!$O$165:$Q$188,2,FALSE)</f>
        <v>#N/A</v>
      </c>
      <c r="AM90" s="3089"/>
      <c r="AN90" s="3090"/>
      <c r="AO90" s="3089"/>
      <c r="AP90" s="3089"/>
      <c r="AQ90" s="3090"/>
      <c r="AR90" s="3089"/>
      <c r="AS90" s="3089"/>
      <c r="AT90" s="3089"/>
      <c r="AU90" s="3089"/>
      <c r="AV90" s="3089"/>
      <c r="AW90" s="3091"/>
      <c r="AX90" s="3091"/>
      <c r="AY90" s="3089" t="str">
        <f>IF(F90="","",F90&amp;IF(K90="",""," ("&amp;IF(F90="Atadura Elemental",O90&amp;IF(Q90="","",", "&amp;Q90),K90)&amp;")")&amp;", ")</f>
        <v/>
      </c>
    </row>
    <row r="91" spans="1:51" ht="12.2" customHeight="1" thickBot="1" x14ac:dyDescent="0.25">
      <c r="A91" s="2185"/>
      <c r="B91" s="2099">
        <f t="shared" si="1"/>
        <v>3</v>
      </c>
      <c r="C91" s="4538"/>
      <c r="D91" s="4682"/>
      <c r="E91" s="4683"/>
      <c r="F91" s="4668"/>
      <c r="G91" s="4669"/>
      <c r="H91" s="4669"/>
      <c r="I91" s="4669"/>
      <c r="J91" s="4670"/>
      <c r="K91" s="4672"/>
      <c r="L91" s="4673"/>
      <c r="M91" s="4674"/>
      <c r="N91" s="1933" t="str">
        <f>IFERROR(INDEX('Tablas Técnicas'!$Q$200:$Q$301,MATCH(F91&amp;K91,'Tablas Técnicas'!$S$200:$S$301,0)),"")</f>
        <v/>
      </c>
      <c r="O91" s="4655"/>
      <c r="P91" s="4656"/>
      <c r="Q91" s="4671"/>
      <c r="R91" s="4656"/>
      <c r="S91" s="2762" t="str">
        <f>IFERROR("Nivel: "&amp;MAX(1,INDEX('Tablas Técnicas'!$R$200:$R$301,MATCH(F91&amp;K91,'Tablas Técnicas'!$S$200:$S$301,0))),"")</f>
        <v/>
      </c>
      <c r="T91" s="2545"/>
      <c r="U91" s="2546" t="str">
        <f>IFERROR("("&amp;VLOOKUP(F91,'Tablas Técnicas'!$O$165:$Q$192,3,FALSE)&amp;")","")</f>
        <v/>
      </c>
      <c r="V91" s="4564"/>
      <c r="W91" s="4562"/>
      <c r="X91" s="4562"/>
      <c r="Y91" s="4562"/>
      <c r="Z91" s="4562"/>
      <c r="AA91" s="4562"/>
      <c r="AB91" s="4562"/>
      <c r="AC91" s="4562"/>
      <c r="AD91" s="4562"/>
      <c r="AE91" s="4562"/>
      <c r="AF91" s="4562"/>
      <c r="AG91" s="4574"/>
      <c r="AH91" s="2193"/>
      <c r="AI91" s="4558"/>
      <c r="AJ91" s="3089">
        <v>3</v>
      </c>
      <c r="AK91" s="3089">
        <f>P80</f>
        <v>1</v>
      </c>
      <c r="AL91" s="3089" t="e">
        <f>VLOOKUP(F91,'Tablas Técnicas'!$O$165:$Q$188,2,FALSE)</f>
        <v>#N/A</v>
      </c>
      <c r="AM91" s="3089"/>
      <c r="AN91" s="3090"/>
      <c r="AO91" s="3089"/>
      <c r="AP91" s="3089"/>
      <c r="AQ91" s="3090"/>
      <c r="AR91" s="3091"/>
      <c r="AS91" s="3091"/>
      <c r="AT91" s="3091"/>
      <c r="AU91" s="3091"/>
      <c r="AV91" s="3091"/>
      <c r="AW91" s="3091"/>
      <c r="AX91" s="3091"/>
      <c r="AY91" s="3089" t="str">
        <f>IF(F91="","",F91&amp;IF(K91="",""," ("&amp;IF(F91="Atadura Elemental",O91&amp;IF(Q91="","",", "&amp;Q91),K91)&amp;")")&amp;", ")</f>
        <v/>
      </c>
    </row>
    <row r="92" spans="1:51" ht="12.2" customHeight="1" x14ac:dyDescent="0.2">
      <c r="A92" s="2185"/>
      <c r="B92" s="2099">
        <f t="shared" si="1"/>
        <v>3</v>
      </c>
      <c r="C92" s="4538"/>
      <c r="D92" s="4549" t="s">
        <v>9306</v>
      </c>
      <c r="E92" s="4550"/>
      <c r="F92" s="4550"/>
      <c r="G92" s="4550"/>
      <c r="H92" s="4550"/>
      <c r="I92" s="4550"/>
      <c r="J92" s="4550"/>
      <c r="K92" s="4550"/>
      <c r="L92" s="4550"/>
      <c r="M92" s="4550"/>
      <c r="N92" s="4550"/>
      <c r="O92" s="4550"/>
      <c r="P92" s="4550"/>
      <c r="Q92" s="4550"/>
      <c r="R92" s="4550"/>
      <c r="S92" s="4550"/>
      <c r="T92" s="4550"/>
      <c r="U92" s="4550"/>
      <c r="V92" s="4679"/>
      <c r="W92" s="4679"/>
      <c r="X92" s="4679"/>
      <c r="Y92" s="4679"/>
      <c r="Z92" s="4679"/>
      <c r="AA92" s="4679"/>
      <c r="AB92" s="4679"/>
      <c r="AC92" s="4679"/>
      <c r="AD92" s="4679"/>
      <c r="AE92" s="4679"/>
      <c r="AF92" s="4679"/>
      <c r="AG92" s="4552"/>
      <c r="AH92" s="2193"/>
      <c r="AI92" s="4558"/>
      <c r="AJ92" s="3089"/>
      <c r="AK92" s="3089"/>
      <c r="AL92" s="3089"/>
      <c r="AM92" s="3089"/>
      <c r="AN92" s="3090" t="s">
        <v>8812</v>
      </c>
      <c r="AO92" s="3089" t="e">
        <f>LEFT(AY84&amp;AY85&amp;AY86&amp;AY87&amp;AY88,LEN(AY84&amp;AY85&amp;AY86&amp;AY87&amp;AY88)-2)</f>
        <v>#VALUE!</v>
      </c>
      <c r="AP92" s="3089"/>
      <c r="AQ92" s="3090"/>
      <c r="AR92" s="3091"/>
      <c r="AS92" s="3091"/>
      <c r="AT92" s="3091"/>
      <c r="AU92" s="3090"/>
      <c r="AV92" s="3090"/>
      <c r="AW92" s="3091"/>
      <c r="AX92" s="3091"/>
      <c r="AY92" s="3089"/>
    </row>
    <row r="93" spans="1:51" ht="12.2" customHeight="1" x14ac:dyDescent="0.2">
      <c r="A93" s="2185"/>
      <c r="B93" s="2099">
        <f t="shared" si="1"/>
        <v>3</v>
      </c>
      <c r="C93" s="4538"/>
      <c r="D93" s="4553" t="str">
        <f>IF(F84="","",F84)</f>
        <v/>
      </c>
      <c r="E93" s="4554"/>
      <c r="F93" s="4554"/>
      <c r="G93" s="4554"/>
      <c r="H93" s="4554"/>
      <c r="I93" s="4555"/>
      <c r="J93" s="4553" t="str">
        <f>IF(F85="","",F85)</f>
        <v/>
      </c>
      <c r="K93" s="4554"/>
      <c r="L93" s="4554"/>
      <c r="M93" s="4554"/>
      <c r="N93" s="4554"/>
      <c r="O93" s="4555"/>
      <c r="P93" s="4554" t="str">
        <f>IF(F86="","",F86)</f>
        <v/>
      </c>
      <c r="Q93" s="4554"/>
      <c r="R93" s="4554"/>
      <c r="S93" s="4554"/>
      <c r="T93" s="4554"/>
      <c r="U93" s="4555"/>
      <c r="V93" s="4553" t="str">
        <f>IF(F87="","",F87)</f>
        <v/>
      </c>
      <c r="W93" s="4554"/>
      <c r="X93" s="4554"/>
      <c r="Y93" s="4554"/>
      <c r="Z93" s="4554"/>
      <c r="AA93" s="4555"/>
      <c r="AB93" s="4554" t="str">
        <f>IF(F88="","",F88)</f>
        <v/>
      </c>
      <c r="AC93" s="4554"/>
      <c r="AD93" s="4554"/>
      <c r="AE93" s="4554"/>
      <c r="AF93" s="4554"/>
      <c r="AG93" s="4577"/>
      <c r="AH93" s="2193"/>
      <c r="AI93" s="4558"/>
      <c r="AJ93" s="3089"/>
      <c r="AK93" s="3089"/>
      <c r="AL93" s="3089"/>
      <c r="AM93" s="3089"/>
      <c r="AN93" s="3090" t="s">
        <v>8813</v>
      </c>
      <c r="AO93" s="3089" t="e">
        <f>LEFT(AY89&amp;AY90&amp;AY91,LEN(AY89&amp;AY90&amp;AY91)-2)</f>
        <v>#VALUE!</v>
      </c>
      <c r="AP93" s="3089"/>
      <c r="AQ93" s="3090"/>
      <c r="AR93" s="3091"/>
      <c r="AS93" s="3091"/>
      <c r="AT93" s="3091"/>
      <c r="AU93" s="3090"/>
      <c r="AV93" s="3090"/>
      <c r="AW93" s="3091"/>
      <c r="AX93" s="3091"/>
      <c r="AY93" s="3089"/>
    </row>
    <row r="94" spans="1:51" ht="12.2" customHeight="1" x14ac:dyDescent="0.2">
      <c r="A94" s="2185"/>
      <c r="B94" s="2099">
        <f t="shared" si="1"/>
        <v>3</v>
      </c>
      <c r="C94" s="4538"/>
      <c r="D94" s="2044" t="s">
        <v>1836</v>
      </c>
      <c r="E94" s="2536" t="str">
        <f>IFERROR(VLOOKUP(D93,'Tablas Técnicas'!$O$9:$T$88,3,FALSE),"")</f>
        <v/>
      </c>
      <c r="F94" s="2547"/>
      <c r="G94" s="2548"/>
      <c r="H94" s="2548" t="s">
        <v>1363</v>
      </c>
      <c r="I94" s="2536" t="str">
        <f>IFERROR(VLOOKUP(D93,'Tablas Técnicas'!$O$9:$T$88,4,FALSE),"")</f>
        <v/>
      </c>
      <c r="J94" s="2044" t="s">
        <v>1836</v>
      </c>
      <c r="K94" s="2536" t="str">
        <f>IFERROR(VLOOKUP(J93,'Tablas Técnicas'!$O$9:$T$88,3,FALSE),"")</f>
        <v/>
      </c>
      <c r="L94" s="2547"/>
      <c r="M94" s="2548"/>
      <c r="N94" s="2548" t="s">
        <v>1363</v>
      </c>
      <c r="O94" s="1934" t="str">
        <f>IFERROR(VLOOKUP(J93,'Tablas Técnicas'!$O$9:$T$88,4,FALSE),"")</f>
        <v/>
      </c>
      <c r="P94" s="2548" t="s">
        <v>1836</v>
      </c>
      <c r="Q94" s="2536" t="str">
        <f>IFERROR(VLOOKUP(P93,'Tablas Técnicas'!$O$9:$T$88,3,FALSE),"")</f>
        <v/>
      </c>
      <c r="R94" s="2547"/>
      <c r="S94" s="2548"/>
      <c r="T94" s="2548" t="s">
        <v>1363</v>
      </c>
      <c r="U94" s="2536" t="str">
        <f>IFERROR(VLOOKUP(P93,'Tablas Técnicas'!$O$9:$T$88,4,FALSE),"")</f>
        <v/>
      </c>
      <c r="V94" s="2044" t="s">
        <v>1836</v>
      </c>
      <c r="W94" s="2536" t="str">
        <f>IFERROR(VLOOKUP(V93,'Tablas Técnicas'!$O$9:$T$88,3,FALSE),"")</f>
        <v/>
      </c>
      <c r="X94" s="2547"/>
      <c r="Y94" s="2548"/>
      <c r="Z94" s="2548" t="s">
        <v>1363</v>
      </c>
      <c r="AA94" s="1934" t="str">
        <f>IFERROR(VLOOKUP(V93,'Tablas Técnicas'!$O$9:$T$88,4,FALSE),"")</f>
        <v/>
      </c>
      <c r="AB94" s="2548" t="s">
        <v>1836</v>
      </c>
      <c r="AC94" s="2536" t="str">
        <f>IFERROR(VLOOKUP(AB93,'Tablas Técnicas'!$O$9:$T$88,3,FALSE),"")</f>
        <v/>
      </c>
      <c r="AD94" s="2547"/>
      <c r="AE94" s="2548"/>
      <c r="AF94" s="2548" t="s">
        <v>1363</v>
      </c>
      <c r="AG94" s="1935" t="str">
        <f>IFERROR(VLOOKUP(AB93,'Tablas Técnicas'!$O$9:$T$88,4,FALSE),"")</f>
        <v/>
      </c>
      <c r="AH94" s="2193"/>
      <c r="AI94" s="4558"/>
      <c r="AJ94" s="3089"/>
      <c r="AK94" s="3089"/>
      <c r="AL94" s="3089"/>
      <c r="AM94" s="3089"/>
      <c r="AN94" s="3090"/>
      <c r="AO94" s="3089"/>
      <c r="AP94" s="3089"/>
      <c r="AQ94" s="3090"/>
      <c r="AR94" s="3091"/>
      <c r="AS94" s="3091"/>
      <c r="AT94" s="3091"/>
      <c r="AU94" s="3091"/>
      <c r="AV94" s="3091"/>
      <c r="AW94" s="3091"/>
      <c r="AX94" s="3091"/>
      <c r="AY94" s="3089"/>
    </row>
    <row r="95" spans="1:51" ht="12.2" customHeight="1" x14ac:dyDescent="0.2">
      <c r="A95" s="2185"/>
      <c r="B95" s="2099">
        <f t="shared" si="1"/>
        <v>3</v>
      </c>
      <c r="C95" s="4538"/>
      <c r="D95" s="2045" t="s">
        <v>8814</v>
      </c>
      <c r="E95" s="2548"/>
      <c r="F95" s="2547"/>
      <c r="G95" s="2549"/>
      <c r="H95" s="2549"/>
      <c r="I95" s="2546" t="str">
        <f>IFERROR(IF(D93="Ataque Elemental",IF(NOT(ISNA(VLOOKUP(D97,'Tablas Técnicas'!$O$100:$O$105,1,0))),D97,"Variable"),VLOOKUP(D93,'Tablas Técnicas'!$O$9:$W$88,9,FALSE)),"")</f>
        <v/>
      </c>
      <c r="J95" s="2550" t="s">
        <v>8814</v>
      </c>
      <c r="K95" s="2551"/>
      <c r="L95" s="2552"/>
      <c r="M95" s="2553"/>
      <c r="N95" s="2553"/>
      <c r="O95" s="2554" t="str">
        <f>IFERROR(IF(J93="Ataque Elemental",IF(NOT(ISNA(VLOOKUP(J97,'Tablas Técnicas'!$O$100:$O$105,1,0))),J97,"Variable"),VLOOKUP(J93,'Tablas Técnicas'!$O$9:$W$88,9,FALSE)),"")</f>
        <v/>
      </c>
      <c r="P95" s="2555" t="s">
        <v>8814</v>
      </c>
      <c r="Q95" s="2551"/>
      <c r="R95" s="2552"/>
      <c r="S95" s="2553"/>
      <c r="T95" s="2553"/>
      <c r="U95" s="2546" t="str">
        <f>IFERROR(IF(P93="Ataque Elemental",IF(NOT(ISNA(VLOOKUP(P97,'Tablas Técnicas'!$O$100:$O$105,1,0))),P97,"Variable"),VLOOKUP(P93,'Tablas Técnicas'!$O$9:$W$88,9,FALSE)),"")</f>
        <v/>
      </c>
      <c r="V95" s="2550" t="s">
        <v>8814</v>
      </c>
      <c r="W95" s="2551"/>
      <c r="X95" s="2552"/>
      <c r="Y95" s="2553"/>
      <c r="Z95" s="2553"/>
      <c r="AA95" s="2554" t="str">
        <f>IFERROR(IF(V93="Ataque Elemental",IF(NOT(ISNA(VLOOKUP(V97,'Tablas Técnicas'!$O$100:$O$105,1,0))),V97,"Variable"),VLOOKUP(V93,'Tablas Técnicas'!$O$9:$W$88,9,FALSE)),"")</f>
        <v/>
      </c>
      <c r="AB95" s="2555" t="s">
        <v>8814</v>
      </c>
      <c r="AC95" s="2551"/>
      <c r="AD95" s="2552"/>
      <c r="AE95" s="2553"/>
      <c r="AF95" s="2553"/>
      <c r="AG95" s="2050" t="str">
        <f>IFERROR(IF(AB93="Ataque Elemental",IF(NOT(ISNA(VLOOKUP(AB97,'Tablas Técnicas'!$O$100:$O$105,1,0))),AB97,"Variable"),VLOOKUP(AB93,'Tablas Técnicas'!$O$9:$W$88,9,FALSE)),"")</f>
        <v/>
      </c>
      <c r="AH95" s="2193"/>
      <c r="AI95" s="4558"/>
      <c r="AJ95" s="3089"/>
      <c r="AK95" s="3091" t="s">
        <v>1373</v>
      </c>
      <c r="AL95" s="3091" t="s">
        <v>1498</v>
      </c>
      <c r="AM95" s="3091" t="s">
        <v>1378</v>
      </c>
      <c r="AN95" s="3091" t="s">
        <v>1383</v>
      </c>
      <c r="AO95" s="3091" t="s">
        <v>1391</v>
      </c>
      <c r="AP95" s="3091" t="s">
        <v>1392</v>
      </c>
      <c r="AQ95" s="3090"/>
      <c r="AR95" s="3091"/>
      <c r="AS95" s="3091"/>
      <c r="AT95" s="3091"/>
      <c r="AU95" s="3091"/>
      <c r="AV95" s="3091"/>
      <c r="AW95" s="3091"/>
      <c r="AX95" s="3091"/>
      <c r="AY95" s="3089"/>
    </row>
    <row r="96" spans="1:51" ht="12.2" customHeight="1" x14ac:dyDescent="0.2">
      <c r="A96" s="2185"/>
      <c r="B96" s="2099">
        <f t="shared" si="1"/>
        <v>3</v>
      </c>
      <c r="C96" s="4538"/>
      <c r="D96" s="4553" t="s">
        <v>2827</v>
      </c>
      <c r="E96" s="4554"/>
      <c r="F96" s="4554"/>
      <c r="G96" s="4554"/>
      <c r="H96" s="4555"/>
      <c r="I96" s="1938" t="s">
        <v>1403</v>
      </c>
      <c r="J96" s="4553" t="s">
        <v>2827</v>
      </c>
      <c r="K96" s="4554"/>
      <c r="L96" s="4554"/>
      <c r="M96" s="4554"/>
      <c r="N96" s="4555"/>
      <c r="O96" s="1939" t="s">
        <v>1403</v>
      </c>
      <c r="P96" s="4553" t="s">
        <v>2827</v>
      </c>
      <c r="Q96" s="4554"/>
      <c r="R96" s="4554"/>
      <c r="S96" s="4554"/>
      <c r="T96" s="4555"/>
      <c r="U96" s="1939" t="s">
        <v>1403</v>
      </c>
      <c r="V96" s="4553"/>
      <c r="W96" s="4554"/>
      <c r="X96" s="4554"/>
      <c r="Y96" s="4554"/>
      <c r="Z96" s="4555"/>
      <c r="AA96" s="1939" t="s">
        <v>1403</v>
      </c>
      <c r="AB96" s="4553" t="s">
        <v>2827</v>
      </c>
      <c r="AC96" s="4554"/>
      <c r="AD96" s="4554"/>
      <c r="AE96" s="4554"/>
      <c r="AF96" s="4555"/>
      <c r="AG96" s="1940" t="s">
        <v>1403</v>
      </c>
      <c r="AH96" s="2193"/>
      <c r="AI96" s="4558"/>
      <c r="AJ96" s="3094" t="s">
        <v>9343</v>
      </c>
      <c r="AK96" s="3089" t="str">
        <f>IF(V82="","",IF(SUM(V84:V88)=0,"",V82&amp;" "&amp;SUM(V84:V88)+V91&amp;IF(SUM(W84:W88)=0,""," ("&amp;SUM(W84:W88)&amp;")")&amp;", "))</f>
        <v/>
      </c>
      <c r="AL96" s="3089" t="str">
        <f>IF(X82="","",IF(SUM(X84:X88)=0,"",X82&amp;" "&amp;SUM(X84:X88)+X91&amp;IF(SUM(Y84:Y88)=0,""," ("&amp;SUM(Y84:Y88)&amp;")")&amp;", "))</f>
        <v/>
      </c>
      <c r="AM96" s="3089" t="str">
        <f>IF(Z82="","",IF(SUM(Z84:Z88)=0,"",Z82&amp;" "&amp;SUM(Z84:Z88)+Z91&amp;IF(SUM(AA84:AA88)=0,""," ("&amp;SUM(AA84:AA88)&amp;")")&amp;", "))</f>
        <v/>
      </c>
      <c r="AN96" s="3089" t="str">
        <f>IF(AB82="","",IF(SUM(AB84:AB88)=0,"",AB82&amp;" "&amp;SUM(AB84:AB88)+AB91&amp;IF(SUM(AC84:AC88)=0,""," ("&amp;SUM(AC84:AC88)&amp;")")&amp;", "))</f>
        <v/>
      </c>
      <c r="AO96" s="3089" t="str">
        <f>IF(AD82="","",IF(SUM(AD84:AD88)=0,"",AD82&amp;" "&amp;SUM(AD84:AD88)+AD91&amp;IF(SUM(AE84:AE88)=0,""," ("&amp;SUM(AE84:AE88)&amp;")")&amp;", "))</f>
        <v/>
      </c>
      <c r="AP96" s="3089" t="str">
        <f>IF(AF82="","",IF(SUM(AF84:AF88)=0,"",AF82&amp;" "&amp;SUM(AF84:AF88)+AF91&amp;IF(SUM(AG84:AG88)=0,""," ("&amp;SUM(AG84:AG88)&amp;")")&amp;", "))</f>
        <v/>
      </c>
      <c r="AQ96" s="3089"/>
      <c r="AR96" s="3089"/>
      <c r="AS96" s="3089"/>
      <c r="AT96" s="3089"/>
      <c r="AU96" s="3089"/>
      <c r="AV96" s="3089"/>
      <c r="AW96" s="3089"/>
      <c r="AX96" s="3089"/>
      <c r="AY96" s="3089"/>
    </row>
    <row r="97" spans="1:51" ht="12.2" customHeight="1" x14ac:dyDescent="0.2">
      <c r="A97" s="2185"/>
      <c r="B97" s="2099">
        <f t="shared" si="1"/>
        <v>3</v>
      </c>
      <c r="C97" s="4538"/>
      <c r="D97" s="4575"/>
      <c r="E97" s="4573"/>
      <c r="F97" s="4573"/>
      <c r="G97" s="4573"/>
      <c r="H97" s="4573"/>
      <c r="I97" s="1941" t="str">
        <f>IF(OR(D93="",D97=""),"",MAX(1,SUMPRODUCT(--(INDEX('Tablas Técnicas'!$C$10:$L$643,,1)=D93),--(INDEX('Tablas Técnicas'!$C$10:$L$643,,2)=D97),INDEX('Tablas Técnicas'!$C$10:$L$643,,9))))</f>
        <v/>
      </c>
      <c r="J97" s="4572"/>
      <c r="K97" s="4573"/>
      <c r="L97" s="4573"/>
      <c r="M97" s="4573"/>
      <c r="N97" s="4573"/>
      <c r="O97" s="1941" t="str">
        <f>IF(OR(J93="",J97=""),"",MAX(1,SUMPRODUCT(--(INDEX('Tablas Técnicas'!$C$10:$L$643,,1)=J93),--(INDEX('Tablas Técnicas'!$C$10:$L$643,,2)=J97),INDEX('Tablas Técnicas'!$C$10:$L$643,,9))))</f>
        <v/>
      </c>
      <c r="P97" s="4572"/>
      <c r="Q97" s="4573"/>
      <c r="R97" s="4573"/>
      <c r="S97" s="4573"/>
      <c r="T97" s="4573"/>
      <c r="U97" s="1941" t="str">
        <f>IF(OR(P93="",P97=""),"",MAX(1,SUMPRODUCT(--(INDEX('Tablas Técnicas'!$C$10:$L$643,,1)=P93),--(INDEX('Tablas Técnicas'!$C$10:$L$643,,2)=P97),INDEX('Tablas Técnicas'!$C$10:$L$643,,9))))</f>
        <v/>
      </c>
      <c r="V97" s="4572"/>
      <c r="W97" s="4573"/>
      <c r="X97" s="4573"/>
      <c r="Y97" s="4573"/>
      <c r="Z97" s="4573"/>
      <c r="AA97" s="1941" t="str">
        <f>IF(OR(V93="",V97=""),"",MAX(1,SUMPRODUCT(--(INDEX('Tablas Técnicas'!$C$10:$L$643,,1)=V93),--(INDEX('Tablas Técnicas'!$C$10:$L$643,,2)=V97),INDEX('Tablas Técnicas'!$C$10:$L$643,,9))))</f>
        <v/>
      </c>
      <c r="AB97" s="4572"/>
      <c r="AC97" s="4573"/>
      <c r="AD97" s="4573"/>
      <c r="AE97" s="4573"/>
      <c r="AF97" s="4573"/>
      <c r="AG97" s="1942" t="str">
        <f>IF(OR(AB93="",AB97=""),"",MAX(1,SUMPRODUCT(--(INDEX('Tablas Técnicas'!$C$10:$L$643,,1)=AB93),--(INDEX('Tablas Técnicas'!$C$10:$L$643,,2)=AB97),INDEX('Tablas Técnicas'!$C$10:$L$643,,9))))</f>
        <v/>
      </c>
      <c r="AH97" s="2193">
        <f>P80</f>
        <v>1</v>
      </c>
      <c r="AI97" s="4558"/>
      <c r="AJ97" s="3089" t="s">
        <v>9307</v>
      </c>
      <c r="AK97" s="3089"/>
      <c r="AL97" s="3089">
        <f>MAX(0,SUM(AT84:AT88)+ABS($AC89*2/5))+IF(AM106,0,Y89)+IF(S80="Sí",3*P80,0)</f>
        <v>0</v>
      </c>
      <c r="AM97" s="3089">
        <f t="array" ref="AM97">IF(ISNUMBER(SEARCH("Mantenido",K84&amp;K85&amp;K86&amp;K87&amp;K88)),MAX(0,SUM(VALUE(RIGHT($P84:$P88,2)))),0)</f>
        <v>0</v>
      </c>
      <c r="AN97" s="3091"/>
      <c r="AO97" s="3091"/>
      <c r="AP97" s="3096"/>
      <c r="AQ97" s="3096"/>
      <c r="AR97" s="3096"/>
      <c r="AS97" s="3096"/>
      <c r="AT97" s="3096"/>
      <c r="AU97" s="3096"/>
      <c r="AV97" s="3096"/>
      <c r="AW97" s="3096"/>
      <c r="AX97" s="3096"/>
      <c r="AY97" s="3089"/>
    </row>
    <row r="98" spans="1:51" ht="12.2" customHeight="1" x14ac:dyDescent="0.2">
      <c r="A98" s="2185"/>
      <c r="B98" s="2099">
        <f t="shared" si="1"/>
        <v>3</v>
      </c>
      <c r="C98" s="4538"/>
      <c r="D98" s="4556"/>
      <c r="E98" s="4557"/>
      <c r="F98" s="4557"/>
      <c r="G98" s="4557"/>
      <c r="H98" s="4557"/>
      <c r="I98" s="1943" t="str">
        <f>IF(OR(D93="",D98=""),"",MAX(1,SUMPRODUCT(--(INDEX('Tablas Técnicas'!$C$10:$L$643,,1)=D93),--(INDEX('Tablas Técnicas'!$C$10:$L$643,,2)=D98),INDEX('Tablas Técnicas'!$C$10:$L$643,,9))))</f>
        <v/>
      </c>
      <c r="J98" s="4556"/>
      <c r="K98" s="4557"/>
      <c r="L98" s="4557"/>
      <c r="M98" s="4557"/>
      <c r="N98" s="4557"/>
      <c r="O98" s="1943" t="str">
        <f>IF(OR(J93="",J98=""),"",MAX(1,SUMPRODUCT(--(INDEX('Tablas Técnicas'!$C$10:$L$643,,1)=J93),--(INDEX('Tablas Técnicas'!$C$10:$L$643,,2)=J98),INDEX('Tablas Técnicas'!$C$10:$L$643,,9))))</f>
        <v/>
      </c>
      <c r="P98" s="4556"/>
      <c r="Q98" s="4557"/>
      <c r="R98" s="4557"/>
      <c r="S98" s="4557"/>
      <c r="T98" s="4557"/>
      <c r="U98" s="1943" t="str">
        <f>IF(OR(P93="",P98=""),"",MAX(1,SUMPRODUCT(--(INDEX('Tablas Técnicas'!$C$10:$L$643,,1)=P93),--(INDEX('Tablas Técnicas'!$C$10:$L$643,,2)=P98),INDEX('Tablas Técnicas'!$C$10:$L$643,,9))))</f>
        <v/>
      </c>
      <c r="V98" s="4556"/>
      <c r="W98" s="4557"/>
      <c r="X98" s="4557"/>
      <c r="Y98" s="4557"/>
      <c r="Z98" s="4557"/>
      <c r="AA98" s="1943" t="str">
        <f>IF(OR(V93="",V98=""),"",MAX(1,SUMPRODUCT(--(INDEX('Tablas Técnicas'!$C$10:$L$643,,1)=V93),--(INDEX('Tablas Técnicas'!$C$10:$L$643,,2)=V98),INDEX('Tablas Técnicas'!$C$10:$L$643,,9))))</f>
        <v/>
      </c>
      <c r="AB98" s="4556"/>
      <c r="AC98" s="4557"/>
      <c r="AD98" s="4557"/>
      <c r="AE98" s="4557"/>
      <c r="AF98" s="4557"/>
      <c r="AG98" s="1944" t="str">
        <f>IF(OR(AB93="",AB98=""),"",MAX(1,SUMPRODUCT(--(INDEX('Tablas Técnicas'!$C$10:$L$643,,1)=AB93),--(INDEX('Tablas Técnicas'!$C$10:$L$643,,2)=AB98),INDEX('Tablas Técnicas'!$C$10:$L$643,,9))))</f>
        <v/>
      </c>
      <c r="AH98" s="2193">
        <f>P80</f>
        <v>1</v>
      </c>
      <c r="AI98" s="4558"/>
      <c r="AJ98" s="3089" t="s">
        <v>8816</v>
      </c>
      <c r="AK98" s="3089"/>
      <c r="AL98" s="3089">
        <f>SUM(V84:V88,X84:X88,Z84:Z88,AB84:AB88,AD84:AD88,AF84:AF88)+SUM(V91:AG91)</f>
        <v>0</v>
      </c>
      <c r="AM98" s="3089">
        <f>SUM(W84:W88,Y84:Y88,AA84:AA88,AC84:AC88,AE84:AE88,AG84:AG88)</f>
        <v>0</v>
      </c>
      <c r="AN98" s="3089"/>
      <c r="AO98" s="3089"/>
      <c r="AP98" s="3089"/>
      <c r="AQ98" s="3089"/>
      <c r="AR98" s="3089"/>
      <c r="AS98" s="3089"/>
      <c r="AT98" s="3089"/>
      <c r="AU98" s="3089"/>
      <c r="AV98" s="3089"/>
      <c r="AW98" s="3091"/>
      <c r="AX98" s="3089"/>
      <c r="AY98" s="3089"/>
    </row>
    <row r="99" spans="1:51" ht="12.2" customHeight="1" x14ac:dyDescent="0.2">
      <c r="A99" s="2185"/>
      <c r="B99" s="2099">
        <f t="shared" si="1"/>
        <v>3</v>
      </c>
      <c r="C99" s="4538"/>
      <c r="D99" s="4556"/>
      <c r="E99" s="4557"/>
      <c r="F99" s="4557"/>
      <c r="G99" s="4557"/>
      <c r="H99" s="4557"/>
      <c r="I99" s="1943" t="str">
        <f>IF(OR(D93="",D99=""),"",MAX(1,SUMPRODUCT(--(INDEX('Tablas Técnicas'!$C$10:$L$643,,1)=D93),--(INDEX('Tablas Técnicas'!$C$10:$L$643,,2)=D99),INDEX('Tablas Técnicas'!$C$10:$L$643,,9))))</f>
        <v/>
      </c>
      <c r="J99" s="4556"/>
      <c r="K99" s="4557"/>
      <c r="L99" s="4557"/>
      <c r="M99" s="4557"/>
      <c r="N99" s="4557"/>
      <c r="O99" s="1943" t="str">
        <f>IF(OR(J93="",J99=""),"",MAX(1,SUMPRODUCT(--(INDEX('Tablas Técnicas'!$C$10:$L$643,,1)=J93),--(INDEX('Tablas Técnicas'!$C$10:$L$643,,2)=J99),INDEX('Tablas Técnicas'!$C$10:$L$643,,9))))</f>
        <v/>
      </c>
      <c r="P99" s="4556"/>
      <c r="Q99" s="4557"/>
      <c r="R99" s="4557"/>
      <c r="S99" s="4557"/>
      <c r="T99" s="4557"/>
      <c r="U99" s="1943" t="str">
        <f>IF(OR(P93="",P99=""),"",MAX(1,SUMPRODUCT(--(INDEX('Tablas Técnicas'!$C$10:$L$643,,1)=P93),--(INDEX('Tablas Técnicas'!$C$10:$L$643,,2)=P99),INDEX('Tablas Técnicas'!$C$10:$L$643,,9))))</f>
        <v/>
      </c>
      <c r="V99" s="4556"/>
      <c r="W99" s="4557"/>
      <c r="X99" s="4557"/>
      <c r="Y99" s="4557"/>
      <c r="Z99" s="4557"/>
      <c r="AA99" s="1943" t="str">
        <f>IF(OR(V93="",V99=""),"",MAX(1,SUMPRODUCT(--(INDEX('Tablas Técnicas'!$C$10:$L$643,,1)=V93),--(INDEX('Tablas Técnicas'!$C$10:$L$643,,2)=V99),INDEX('Tablas Técnicas'!$C$10:$L$643,,9))))</f>
        <v/>
      </c>
      <c r="AB99" s="4556"/>
      <c r="AC99" s="4557"/>
      <c r="AD99" s="4557"/>
      <c r="AE99" s="4557"/>
      <c r="AF99" s="4557"/>
      <c r="AG99" s="1944" t="str">
        <f>IF(OR(AB93="",AB99=""),"",MAX(1,SUMPRODUCT(--(INDEX('Tablas Técnicas'!$C$10:$L$643,,1)=AB93),--(INDEX('Tablas Técnicas'!$C$10:$L$643,,2)=AB99),INDEX('Tablas Técnicas'!$C$10:$L$643,,9))))</f>
        <v/>
      </c>
      <c r="AH99" s="2193">
        <f>P80</f>
        <v>1</v>
      </c>
      <c r="AI99" s="4558"/>
      <c r="AJ99" s="3089"/>
      <c r="AK99" s="3089"/>
      <c r="AL99" s="3089"/>
      <c r="AM99" s="3089"/>
      <c r="AN99" s="3089"/>
      <c r="AO99" s="3089"/>
      <c r="AP99" s="3089"/>
      <c r="AQ99" s="3089"/>
      <c r="AR99" s="3089"/>
      <c r="AS99" s="3089"/>
      <c r="AT99" s="3089"/>
      <c r="AU99" s="3089"/>
      <c r="AV99" s="3089"/>
      <c r="AW99" s="3091"/>
      <c r="AX99" s="3091"/>
      <c r="AY99" s="3089"/>
    </row>
    <row r="100" spans="1:51" ht="12.2" customHeight="1" x14ac:dyDescent="0.2">
      <c r="A100" s="2185"/>
      <c r="B100" s="2099">
        <f t="shared" si="1"/>
        <v>3</v>
      </c>
      <c r="C100" s="4538"/>
      <c r="D100" s="4556"/>
      <c r="E100" s="4557"/>
      <c r="F100" s="4557"/>
      <c r="G100" s="4557"/>
      <c r="H100" s="4557"/>
      <c r="I100" s="1943" t="str">
        <f>IF(OR(D93="",D100=""),"",MAX(1,SUMPRODUCT(--(INDEX('Tablas Técnicas'!$C$10:$L$643,,1)=D93),--(INDEX('Tablas Técnicas'!$C$10:$L$643,,2)=D100),INDEX('Tablas Técnicas'!$C$10:$L$643,,9))))</f>
        <v/>
      </c>
      <c r="J100" s="4556"/>
      <c r="K100" s="4557"/>
      <c r="L100" s="4557"/>
      <c r="M100" s="4557"/>
      <c r="N100" s="4557"/>
      <c r="O100" s="1943" t="str">
        <f>IF(OR(J93="",J100=""),"",MAX(1,SUMPRODUCT(--(INDEX('Tablas Técnicas'!$C$10:$L$643,,1)=J93),--(INDEX('Tablas Técnicas'!$C$10:$L$643,,2)=J100),INDEX('Tablas Técnicas'!$C$10:$L$643,,9))))</f>
        <v/>
      </c>
      <c r="P100" s="4556"/>
      <c r="Q100" s="4557"/>
      <c r="R100" s="4557"/>
      <c r="S100" s="4557"/>
      <c r="T100" s="4557"/>
      <c r="U100" s="1943" t="str">
        <f>IF(OR(P93="",P100=""),"",MAX(1,SUMPRODUCT(--(INDEX('Tablas Técnicas'!$C$10:$L$643,,1)=P93),--(INDEX('Tablas Técnicas'!$C$10:$L$643,,2)=P100),INDEX('Tablas Técnicas'!$C$10:$L$643,,9))))</f>
        <v/>
      </c>
      <c r="V100" s="4556"/>
      <c r="W100" s="4557"/>
      <c r="X100" s="4557"/>
      <c r="Y100" s="4557"/>
      <c r="Z100" s="4557"/>
      <c r="AA100" s="1943" t="str">
        <f>IF(OR(V93="",V100=""),"",MAX(1,SUMPRODUCT(--(INDEX('Tablas Técnicas'!$C$10:$L$643,,1)=V93),--(INDEX('Tablas Técnicas'!$C$10:$L$643,,2)=V100),INDEX('Tablas Técnicas'!$C$10:$L$643,,9))))</f>
        <v/>
      </c>
      <c r="AB100" s="4556"/>
      <c r="AC100" s="4557"/>
      <c r="AD100" s="4557"/>
      <c r="AE100" s="4557"/>
      <c r="AF100" s="4557"/>
      <c r="AG100" s="1944" t="str">
        <f>IF(OR(AB93="",AB100=""),"",MAX(1,SUMPRODUCT(--(INDEX('Tablas Técnicas'!$C$10:$L$643,,1)=AB93),--(INDEX('Tablas Técnicas'!$C$10:$L$643,,2)=AB100),INDEX('Tablas Técnicas'!$C$10:$L$643,,9))))</f>
        <v/>
      </c>
      <c r="AH100" s="2193">
        <f>P80</f>
        <v>1</v>
      </c>
      <c r="AI100" s="4558"/>
      <c r="AJ100" s="3089" t="s">
        <v>8817</v>
      </c>
      <c r="AK100" s="3089"/>
      <c r="AL100" s="3089"/>
      <c r="AM100" s="3089"/>
      <c r="AN100" s="3089"/>
      <c r="AO100" s="3089"/>
      <c r="AP100" s="3089"/>
      <c r="AQ100" s="3090"/>
      <c r="AR100" s="3091"/>
      <c r="AS100" s="3091"/>
      <c r="AT100" s="3091"/>
      <c r="AU100" s="3091"/>
      <c r="AV100" s="3091"/>
      <c r="AW100" s="3091"/>
      <c r="AX100" s="3091"/>
      <c r="AY100" s="3089"/>
    </row>
    <row r="101" spans="1:51" ht="12.2" customHeight="1" x14ac:dyDescent="0.2">
      <c r="A101" s="2185"/>
      <c r="B101" s="2099">
        <f t="shared" si="1"/>
        <v>3</v>
      </c>
      <c r="C101" s="4538"/>
      <c r="D101" s="4556"/>
      <c r="E101" s="4557"/>
      <c r="F101" s="4557"/>
      <c r="G101" s="4557"/>
      <c r="H101" s="4557"/>
      <c r="I101" s="1943" t="str">
        <f>IF(OR(D93="",D101=""),"",MAX(1,SUMPRODUCT(--(INDEX('Tablas Técnicas'!$C$10:$L$643,,1)=D93),--(INDEX('Tablas Técnicas'!$C$10:$L$643,,2)=D101),INDEX('Tablas Técnicas'!$C$10:$L$643,,9))))</f>
        <v/>
      </c>
      <c r="J101" s="4556"/>
      <c r="K101" s="4557"/>
      <c r="L101" s="4557"/>
      <c r="M101" s="4557"/>
      <c r="N101" s="4557"/>
      <c r="O101" s="1943" t="str">
        <f>IF(OR(J93="",J101=""),"",MAX(1,SUMPRODUCT(--(INDEX('Tablas Técnicas'!$C$10:$L$643,,1)=J93),--(INDEX('Tablas Técnicas'!$C$10:$L$643,,2)=J101),INDEX('Tablas Técnicas'!$C$10:$L$643,,9))))</f>
        <v/>
      </c>
      <c r="P101" s="4556"/>
      <c r="Q101" s="4557"/>
      <c r="R101" s="4557"/>
      <c r="S101" s="4557"/>
      <c r="T101" s="4557"/>
      <c r="U101" s="1943" t="str">
        <f>IF(OR(P93="",P101=""),"",MAX(1,SUMPRODUCT(--(INDEX('Tablas Técnicas'!$C$10:$L$643,,1)=P93),--(INDEX('Tablas Técnicas'!$C$10:$L$643,,2)=P101),INDEX('Tablas Técnicas'!$C$10:$L$643,,9))))</f>
        <v/>
      </c>
      <c r="V101" s="4556"/>
      <c r="W101" s="4557"/>
      <c r="X101" s="4557"/>
      <c r="Y101" s="4557"/>
      <c r="Z101" s="4557"/>
      <c r="AA101" s="1943" t="str">
        <f>IF(OR(V93="",V101=""),"",MAX(1,SUMPRODUCT(--(INDEX('Tablas Técnicas'!$C$10:$L$643,,1)=V93),--(INDEX('Tablas Técnicas'!$C$10:$L$643,,2)=V101),INDEX('Tablas Técnicas'!$C$10:$L$643,,9))))</f>
        <v/>
      </c>
      <c r="AB101" s="4556"/>
      <c r="AC101" s="4557"/>
      <c r="AD101" s="4557"/>
      <c r="AE101" s="4557"/>
      <c r="AF101" s="4557"/>
      <c r="AG101" s="1944" t="str">
        <f>IF(OR(AB93="",AB101=""),"",MAX(1,SUMPRODUCT(--(INDEX('Tablas Técnicas'!$C$10:$L$643,,1)=AB93),--(INDEX('Tablas Técnicas'!$C$10:$L$643,,2)=AB101),INDEX('Tablas Técnicas'!$C$10:$L$643,,9))))</f>
        <v/>
      </c>
      <c r="AH101" s="2193">
        <f>P80</f>
        <v>1</v>
      </c>
      <c r="AI101" s="4558"/>
      <c r="AJ101" s="3089" t="s">
        <v>9971</v>
      </c>
      <c r="AK101" s="3089"/>
      <c r="AL101" s="3089"/>
      <c r="AM101" s="3089" t="b">
        <f>U80&gt;IF(P80=3,200,IF(P80=2,100,50))</f>
        <v>0</v>
      </c>
      <c r="AN101" s="3089"/>
      <c r="AO101" s="3089"/>
      <c r="AP101" s="3089"/>
      <c r="AQ101" s="3089"/>
      <c r="AR101" s="3091"/>
      <c r="AS101" s="3091"/>
      <c r="AT101" s="3091"/>
      <c r="AU101" s="3091"/>
      <c r="AV101" s="3091"/>
      <c r="AW101" s="3091"/>
      <c r="AX101" s="3091"/>
      <c r="AY101" s="3089"/>
    </row>
    <row r="102" spans="1:51" ht="12.2" customHeight="1" x14ac:dyDescent="0.2">
      <c r="A102" s="2185"/>
      <c r="B102" s="2099">
        <f t="shared" si="1"/>
        <v>3</v>
      </c>
      <c r="C102" s="4538"/>
      <c r="D102" s="4556"/>
      <c r="E102" s="4557"/>
      <c r="F102" s="4557"/>
      <c r="G102" s="4557"/>
      <c r="H102" s="4557"/>
      <c r="I102" s="1943" t="str">
        <f>IF(OR(D93="",D102=""),"",MAX(1,SUMPRODUCT(--(INDEX('Tablas Técnicas'!$C$10:$L$643,,1)=D93),--(INDEX('Tablas Técnicas'!$C$10:$L$643,,2)=D102),INDEX('Tablas Técnicas'!$C$10:$L$643,,9))))</f>
        <v/>
      </c>
      <c r="J102" s="4556"/>
      <c r="K102" s="4557"/>
      <c r="L102" s="4557"/>
      <c r="M102" s="4557"/>
      <c r="N102" s="4557"/>
      <c r="O102" s="1943" t="str">
        <f>IF(OR(J93="",J102=""),"",MAX(1,SUMPRODUCT(--(INDEX('Tablas Técnicas'!$C$10:$L$643,,1)=J93),--(INDEX('Tablas Técnicas'!$C$10:$L$643,,2)=J102),INDEX('Tablas Técnicas'!$C$10:$L$643,,9))))</f>
        <v/>
      </c>
      <c r="P102" s="4556"/>
      <c r="Q102" s="4557"/>
      <c r="R102" s="4557"/>
      <c r="S102" s="4557"/>
      <c r="T102" s="4557"/>
      <c r="U102" s="1943" t="str">
        <f>IF(OR(P93="",P102=""),"",MAX(1,SUMPRODUCT(--(INDEX('Tablas Técnicas'!$C$10:$L$643,,1)=P93),--(INDEX('Tablas Técnicas'!$C$10:$L$643,,2)=P102),INDEX('Tablas Técnicas'!$C$10:$L$643,,9))))</f>
        <v/>
      </c>
      <c r="V102" s="4556"/>
      <c r="W102" s="4557"/>
      <c r="X102" s="4557"/>
      <c r="Y102" s="4557"/>
      <c r="Z102" s="4557"/>
      <c r="AA102" s="1943" t="str">
        <f>IF(OR(V93="",V102=""),"",MAX(1,SUMPRODUCT(--(INDEX('Tablas Técnicas'!$C$10:$L$643,,1)=V93),--(INDEX('Tablas Técnicas'!$C$10:$L$643,,2)=V102),INDEX('Tablas Técnicas'!$C$10:$L$643,,9))))</f>
        <v/>
      </c>
      <c r="AB102" s="4556"/>
      <c r="AC102" s="4557"/>
      <c r="AD102" s="4557"/>
      <c r="AE102" s="4557"/>
      <c r="AF102" s="4557"/>
      <c r="AG102" s="1944" t="str">
        <f>IF(OR(AB93="",AB102=""),"",MAX(1,SUMPRODUCT(--(INDEX('Tablas Técnicas'!$C$10:$L$643,,1)=AB93),--(INDEX('Tablas Técnicas'!$C$10:$L$643,,2)=AB102),INDEX('Tablas Técnicas'!$C$10:$L$643,,9))))</f>
        <v/>
      </c>
      <c r="AH102" s="2193">
        <f>P80</f>
        <v>1</v>
      </c>
      <c r="AI102" s="4558"/>
      <c r="AJ102" s="3089" t="s">
        <v>8818</v>
      </c>
      <c r="AK102" s="3089"/>
      <c r="AL102" s="3089"/>
      <c r="AM102" s="3089" t="b">
        <f t="array" ref="AM102">MAX(I97:I103,O97:O103,U97:U103,AA97:AA103,AG97:AG103,RIGHT(S89:S91,1))&gt;P80</f>
        <v>0</v>
      </c>
      <c r="AN102" s="3089"/>
      <c r="AO102" s="3089"/>
      <c r="AP102" s="3089"/>
      <c r="AQ102" s="3090"/>
      <c r="AR102" s="3091"/>
      <c r="AS102" s="3091"/>
      <c r="AT102" s="3091"/>
      <c r="AU102" s="3091"/>
      <c r="AV102" s="3091"/>
      <c r="AW102" s="3091"/>
      <c r="AX102" s="3091"/>
      <c r="AY102" s="3089"/>
    </row>
    <row r="103" spans="1:51" ht="12.2" customHeight="1" x14ac:dyDescent="0.2">
      <c r="A103" s="2185"/>
      <c r="B103" s="2099">
        <f t="shared" si="1"/>
        <v>3</v>
      </c>
      <c r="C103" s="4538"/>
      <c r="D103" s="4570"/>
      <c r="E103" s="4571"/>
      <c r="F103" s="4571"/>
      <c r="G103" s="4571"/>
      <c r="H103" s="4571"/>
      <c r="I103" s="1945" t="str">
        <f>IF(OR(D93="",D103=""),"",MAX(1,SUMPRODUCT(--(INDEX('Tablas Técnicas'!$C$10:$L$643,,1)=D93),--(INDEX('Tablas Técnicas'!$C$10:$L$643,,2)=D103),INDEX('Tablas Técnicas'!$C$10:$L$643,,9))))</f>
        <v/>
      </c>
      <c r="J103" s="4570"/>
      <c r="K103" s="4571"/>
      <c r="L103" s="4571"/>
      <c r="M103" s="4571"/>
      <c r="N103" s="4571"/>
      <c r="O103" s="1945" t="str">
        <f>IF(OR(J93="",J103=""),"",MAX(1,SUMPRODUCT(--(INDEX('Tablas Técnicas'!$C$10:$L$643,,1)=J93),--(INDEX('Tablas Técnicas'!$C$10:$L$643,,2)=J103),INDEX('Tablas Técnicas'!$C$10:$L$643,,9))))</f>
        <v/>
      </c>
      <c r="P103" s="4570"/>
      <c r="Q103" s="4571"/>
      <c r="R103" s="4571"/>
      <c r="S103" s="4571"/>
      <c r="T103" s="4571"/>
      <c r="U103" s="1945" t="str">
        <f>IF(OR(P93="",P103=""),"",MAX(1,SUMPRODUCT(--(INDEX('Tablas Técnicas'!$C$10:$L$643,,1)=P93),--(INDEX('Tablas Técnicas'!$C$10:$L$643,,2)=P103),INDEX('Tablas Técnicas'!$C$10:$L$643,,9))))</f>
        <v/>
      </c>
      <c r="V103" s="4570"/>
      <c r="W103" s="4571"/>
      <c r="X103" s="4571"/>
      <c r="Y103" s="4571"/>
      <c r="Z103" s="4571"/>
      <c r="AA103" s="1945" t="str">
        <f>IF(OR(V93="",V103=""),"",MAX(1,SUMPRODUCT(--(INDEX('Tablas Técnicas'!$C$10:$L$643,,1)=V93),--(INDEX('Tablas Técnicas'!$C$10:$L$643,,2)=V103),INDEX('Tablas Técnicas'!$C$10:$L$643,,9))))</f>
        <v/>
      </c>
      <c r="AB103" s="4570"/>
      <c r="AC103" s="4571"/>
      <c r="AD103" s="4571"/>
      <c r="AE103" s="4571"/>
      <c r="AF103" s="4571"/>
      <c r="AG103" s="1946" t="str">
        <f>IF(OR(AB93="",AB103=""),"",MAX(1,SUMPRODUCT(--(INDEX('Tablas Técnicas'!$C$10:$L$643,,1)=AB93),--(INDEX('Tablas Técnicas'!$C$10:$L$643,,2)=AB103),INDEX('Tablas Técnicas'!$C$10:$L$643,,9))))</f>
        <v/>
      </c>
      <c r="AH103" s="2193">
        <f>P80</f>
        <v>1</v>
      </c>
      <c r="AI103" s="4558"/>
      <c r="AJ103" s="3089" t="s">
        <v>9324</v>
      </c>
      <c r="AK103" s="3089"/>
      <c r="AL103" s="3089"/>
      <c r="AM103" s="3089" t="b">
        <f>AND(COUNTIF(K84:M88,"Mantenido"),OR(COUNTIF(K84:M88,"Sostenimiento Menor"),COUNTIF(K84:M88,"Sostenimiento Mayor")))</f>
        <v>0</v>
      </c>
      <c r="AN103" s="3090"/>
      <c r="AO103" s="3089"/>
      <c r="AP103" s="3089"/>
      <c r="AQ103" s="3089"/>
      <c r="AR103" s="3089"/>
      <c r="AS103" s="3089"/>
      <c r="AT103" s="3089"/>
      <c r="AU103" s="3091"/>
      <c r="AV103" s="3091"/>
      <c r="AW103" s="3091"/>
      <c r="AX103" s="3091"/>
      <c r="AY103" s="3089"/>
    </row>
    <row r="104" spans="1:51" ht="12.2" customHeight="1" x14ac:dyDescent="0.2">
      <c r="A104" s="2185"/>
      <c r="B104" s="2099">
        <f t="shared" si="1"/>
        <v>3</v>
      </c>
      <c r="C104" s="4538"/>
      <c r="D104" s="4549" t="s">
        <v>1549</v>
      </c>
      <c r="E104" s="4550"/>
      <c r="F104" s="4550"/>
      <c r="G104" s="4550"/>
      <c r="H104" s="4550"/>
      <c r="I104" s="4550"/>
      <c r="J104" s="4550"/>
      <c r="K104" s="4550"/>
      <c r="L104" s="4550"/>
      <c r="M104" s="4550"/>
      <c r="N104" s="4550"/>
      <c r="O104" s="4550"/>
      <c r="P104" s="4550"/>
      <c r="Q104" s="4550"/>
      <c r="R104" s="4550"/>
      <c r="S104" s="4550"/>
      <c r="T104" s="4550"/>
      <c r="U104" s="4550"/>
      <c r="V104" s="4550"/>
      <c r="W104" s="4550"/>
      <c r="X104" s="4550"/>
      <c r="Y104" s="4550"/>
      <c r="Z104" s="4550"/>
      <c r="AA104" s="4550"/>
      <c r="AB104" s="4550"/>
      <c r="AC104" s="4550"/>
      <c r="AD104" s="4550"/>
      <c r="AE104" s="4550"/>
      <c r="AF104" s="4550"/>
      <c r="AG104" s="4576"/>
      <c r="AH104" s="2193"/>
      <c r="AI104" s="4558"/>
      <c r="AJ104" s="3089" t="s">
        <v>9323</v>
      </c>
      <c r="AK104" s="3089"/>
      <c r="AL104" s="3089"/>
      <c r="AM104" s="308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89"/>
      <c r="AO104" s="3089"/>
      <c r="AP104" s="3089"/>
      <c r="AQ104" s="3090"/>
      <c r="AR104" s="3089"/>
      <c r="AS104" s="3089"/>
      <c r="AT104" s="3089"/>
      <c r="AU104" s="3091"/>
      <c r="AV104" s="3091"/>
      <c r="AW104" s="3091"/>
      <c r="AX104" s="3091"/>
      <c r="AY104" s="3089"/>
    </row>
    <row r="105" spans="1:51" ht="12.2" customHeight="1" x14ac:dyDescent="0.2">
      <c r="A105" s="2185"/>
      <c r="B105" s="2099">
        <f t="shared" si="1"/>
        <v>3</v>
      </c>
      <c r="C105" s="4538"/>
      <c r="D105" s="4578"/>
      <c r="E105" s="4698"/>
      <c r="F105" s="4698"/>
      <c r="G105" s="4698"/>
      <c r="H105" s="4698"/>
      <c r="I105" s="4698"/>
      <c r="J105" s="4698"/>
      <c r="K105" s="4698"/>
      <c r="L105" s="4698"/>
      <c r="M105" s="4698"/>
      <c r="N105" s="4698"/>
      <c r="O105" s="4698"/>
      <c r="P105" s="4698"/>
      <c r="Q105" s="4698"/>
      <c r="R105" s="4698"/>
      <c r="S105" s="4698"/>
      <c r="T105" s="4698"/>
      <c r="U105" s="4698"/>
      <c r="V105" s="4698"/>
      <c r="W105" s="4698"/>
      <c r="X105" s="4698"/>
      <c r="Y105" s="4698"/>
      <c r="Z105" s="4698"/>
      <c r="AA105" s="4698"/>
      <c r="AB105" s="4698"/>
      <c r="AC105" s="4698"/>
      <c r="AD105" s="4698"/>
      <c r="AE105" s="4698"/>
      <c r="AF105" s="4698"/>
      <c r="AG105" s="4580"/>
      <c r="AH105" s="2193"/>
      <c r="AI105" s="4558"/>
      <c r="AJ105" s="3089" t="s">
        <v>9331</v>
      </c>
      <c r="AK105" s="3089"/>
      <c r="AL105" s="3089"/>
      <c r="AM105" s="308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89"/>
      <c r="AO105" s="3089"/>
      <c r="AP105" s="3089"/>
      <c r="AQ105" s="3090"/>
      <c r="AR105" s="3089"/>
      <c r="AS105" s="3089"/>
      <c r="AT105" s="3089"/>
      <c r="AU105" s="3091"/>
      <c r="AV105" s="3091"/>
      <c r="AW105" s="3091"/>
      <c r="AX105" s="3091"/>
      <c r="AY105" s="3089"/>
    </row>
    <row r="106" spans="1:51" ht="12.2" customHeight="1" x14ac:dyDescent="0.2">
      <c r="A106" s="2185"/>
      <c r="B106" s="2099">
        <f t="shared" si="1"/>
        <v>3</v>
      </c>
      <c r="C106" s="4538"/>
      <c r="D106" s="4578"/>
      <c r="E106" s="4698"/>
      <c r="F106" s="4698"/>
      <c r="G106" s="4698"/>
      <c r="H106" s="4698"/>
      <c r="I106" s="4698"/>
      <c r="J106" s="4698"/>
      <c r="K106" s="4698"/>
      <c r="L106" s="4698"/>
      <c r="M106" s="4698"/>
      <c r="N106" s="4698"/>
      <c r="O106" s="4698"/>
      <c r="P106" s="4698"/>
      <c r="Q106" s="4698"/>
      <c r="R106" s="4698"/>
      <c r="S106" s="4698"/>
      <c r="T106" s="4698"/>
      <c r="U106" s="4698"/>
      <c r="V106" s="4698"/>
      <c r="W106" s="4698"/>
      <c r="X106" s="4698"/>
      <c r="Y106" s="4698"/>
      <c r="Z106" s="4698"/>
      <c r="AA106" s="4698"/>
      <c r="AB106" s="4698"/>
      <c r="AC106" s="4698"/>
      <c r="AD106" s="4698"/>
      <c r="AE106" s="4698"/>
      <c r="AF106" s="4698"/>
      <c r="AG106" s="4580"/>
      <c r="AH106" s="2193"/>
      <c r="AI106" s="4558"/>
      <c r="AJ106" s="3089" t="s">
        <v>9310</v>
      </c>
      <c r="AK106" s="3089"/>
      <c r="AL106" s="3089"/>
      <c r="AM106" s="3089" t="b">
        <f>AND((IF(SUM(V84:V88)&gt;0,1,0)+IF(SUM(X84:X88)&gt;0,1,0)+IF(SUM(Z84:Z88)&gt;0,1,0)+IF(SUM(AB84:AB88)&gt;0,1,0)+IF(SUM(AD84:AD88,)&gt;0,1,0)+IF(SUM(AF84:AF88)&gt;0,1,0))&lt;3,OR(V91&lt;0,X91&lt;0,Z91&lt;0,AB91&lt;0,AD91&lt;0,AF91&lt;0,Y89&lt;0))</f>
        <v>0</v>
      </c>
      <c r="AN106" s="3089"/>
      <c r="AO106" s="3089"/>
      <c r="AP106" s="3089"/>
      <c r="AQ106" s="3090"/>
      <c r="AR106" s="3089"/>
      <c r="AS106" s="3089"/>
      <c r="AT106" s="3089"/>
      <c r="AU106" s="3091"/>
      <c r="AV106" s="3091"/>
      <c r="AW106" s="3091"/>
      <c r="AX106" s="3091"/>
      <c r="AY106" s="3089"/>
    </row>
    <row r="107" spans="1:51" ht="12.2" customHeight="1" x14ac:dyDescent="0.2">
      <c r="A107" s="2185"/>
      <c r="B107" s="2099">
        <f t="shared" si="1"/>
        <v>3</v>
      </c>
      <c r="C107" s="4538"/>
      <c r="D107" s="4578"/>
      <c r="E107" s="4698"/>
      <c r="F107" s="4698"/>
      <c r="G107" s="4698"/>
      <c r="H107" s="4698"/>
      <c r="I107" s="4698"/>
      <c r="J107" s="4698"/>
      <c r="K107" s="4698"/>
      <c r="L107" s="4698"/>
      <c r="M107" s="4698"/>
      <c r="N107" s="4698"/>
      <c r="O107" s="4698"/>
      <c r="P107" s="4698"/>
      <c r="Q107" s="4698"/>
      <c r="R107" s="4698"/>
      <c r="S107" s="4698"/>
      <c r="T107" s="4698"/>
      <c r="U107" s="4698"/>
      <c r="V107" s="4698"/>
      <c r="W107" s="4698"/>
      <c r="X107" s="4698"/>
      <c r="Y107" s="4698"/>
      <c r="Z107" s="4698"/>
      <c r="AA107" s="4698"/>
      <c r="AB107" s="4698"/>
      <c r="AC107" s="4698"/>
      <c r="AD107" s="4698"/>
      <c r="AE107" s="4698"/>
      <c r="AF107" s="4698"/>
      <c r="AG107" s="4580"/>
      <c r="AH107" s="2193"/>
      <c r="AI107" s="4558"/>
      <c r="AJ107" s="3089" t="s">
        <v>9325</v>
      </c>
      <c r="AK107" s="3089"/>
      <c r="AL107" s="3089"/>
      <c r="AM107" s="3089" t="b">
        <f>OR(-V91&gt;TRUNC(SUM(V84:V88)/2),-X91&gt;TRUNC(SUM(X84:X88)/2),-Z91&gt;TRUNC(SUM(Z84:Z88)/2),-AB91&gt;TRUNC(SUM(AB84:AB88)/2),-AD91&gt;TRUNC(SUM(AD84:AD88)/2),-AF91&gt;TRUNC(SUM(AF84:AF88)/2))</f>
        <v>0</v>
      </c>
      <c r="AN107" s="3089"/>
      <c r="AO107" s="3089"/>
      <c r="AP107" s="3089"/>
      <c r="AQ107" s="3090"/>
      <c r="AR107" s="3089"/>
      <c r="AS107" s="3089"/>
      <c r="AT107" s="3089"/>
      <c r="AU107" s="3091"/>
      <c r="AV107" s="3091"/>
      <c r="AW107" s="3091"/>
      <c r="AX107" s="3091"/>
      <c r="AY107" s="3089"/>
    </row>
    <row r="108" spans="1:51" ht="12.2" customHeight="1" x14ac:dyDescent="0.2">
      <c r="A108" s="2185"/>
      <c r="B108" s="2099">
        <f t="shared" si="1"/>
        <v>3</v>
      </c>
      <c r="C108" s="4538"/>
      <c r="D108" s="4578"/>
      <c r="E108" s="4698"/>
      <c r="F108" s="4698"/>
      <c r="G108" s="4698"/>
      <c r="H108" s="4698"/>
      <c r="I108" s="4698"/>
      <c r="J108" s="4698"/>
      <c r="K108" s="4698"/>
      <c r="L108" s="4698"/>
      <c r="M108" s="4698"/>
      <c r="N108" s="4698"/>
      <c r="O108" s="4698"/>
      <c r="P108" s="4698"/>
      <c r="Q108" s="4698"/>
      <c r="R108" s="4698"/>
      <c r="S108" s="4698"/>
      <c r="T108" s="4698"/>
      <c r="U108" s="4698"/>
      <c r="V108" s="4698"/>
      <c r="W108" s="4698"/>
      <c r="X108" s="4698"/>
      <c r="Y108" s="4698"/>
      <c r="Z108" s="4698"/>
      <c r="AA108" s="4698"/>
      <c r="AB108" s="4698"/>
      <c r="AC108" s="4698"/>
      <c r="AD108" s="4698"/>
      <c r="AE108" s="4698"/>
      <c r="AF108" s="4698"/>
      <c r="AG108" s="4580"/>
      <c r="AH108" s="2193"/>
      <c r="AI108" s="4558"/>
      <c r="AJ108" s="3089" t="s">
        <v>9326</v>
      </c>
      <c r="AK108" s="3089"/>
      <c r="AL108" s="3089"/>
      <c r="AM108" s="3089" t="b">
        <f>COUNTIF(D84:E88,"Primario")&gt;1</f>
        <v>0</v>
      </c>
      <c r="AN108" s="3089"/>
      <c r="AO108" s="3089"/>
      <c r="AP108" s="3089"/>
      <c r="AQ108" s="3090"/>
      <c r="AR108" s="3090"/>
      <c r="AS108" s="3090"/>
      <c r="AT108" s="3090"/>
      <c r="AU108" s="3091"/>
      <c r="AV108" s="3091"/>
      <c r="AW108" s="3091"/>
      <c r="AX108" s="3089"/>
      <c r="AY108" s="3089"/>
    </row>
    <row r="109" spans="1:51" ht="12.2" customHeight="1" x14ac:dyDescent="0.2">
      <c r="A109" s="2185"/>
      <c r="B109" s="2099">
        <f t="shared" si="1"/>
        <v>3</v>
      </c>
      <c r="C109" s="4538"/>
      <c r="D109" s="4578"/>
      <c r="E109" s="4698"/>
      <c r="F109" s="4698"/>
      <c r="G109" s="4698"/>
      <c r="H109" s="4698"/>
      <c r="I109" s="4698"/>
      <c r="J109" s="4698"/>
      <c r="K109" s="4698"/>
      <c r="L109" s="4698"/>
      <c r="M109" s="4698"/>
      <c r="N109" s="4698"/>
      <c r="O109" s="4698"/>
      <c r="P109" s="4698"/>
      <c r="Q109" s="4698"/>
      <c r="R109" s="4698"/>
      <c r="S109" s="4698"/>
      <c r="T109" s="4698"/>
      <c r="U109" s="4698"/>
      <c r="V109" s="4698"/>
      <c r="W109" s="4698"/>
      <c r="X109" s="4698"/>
      <c r="Y109" s="4698"/>
      <c r="Z109" s="4698"/>
      <c r="AA109" s="4698"/>
      <c r="AB109" s="4698"/>
      <c r="AC109" s="4698"/>
      <c r="AD109" s="4698"/>
      <c r="AE109" s="4698"/>
      <c r="AF109" s="4698"/>
      <c r="AG109" s="4580"/>
      <c r="AH109" s="2193"/>
      <c r="AI109" s="4558"/>
      <c r="AJ109" s="3089" t="s">
        <v>9309</v>
      </c>
      <c r="AK109" s="3089"/>
      <c r="AL109" s="3089"/>
      <c r="AM109" s="3089" t="b">
        <f>SUM(V91:AG91)&lt;&gt;Y89+ABS(AC89)*2/5+IF(S80="Sí",3*P80,0)</f>
        <v>0</v>
      </c>
      <c r="AN109" s="3089"/>
      <c r="AO109" s="3089"/>
      <c r="AP109" s="3089"/>
      <c r="AQ109" s="3090"/>
      <c r="AR109" s="3090"/>
      <c r="AS109" s="3090"/>
      <c r="AT109" s="3090"/>
      <c r="AU109" s="3091"/>
      <c r="AV109" s="3091"/>
      <c r="AW109" s="3091"/>
      <c r="AX109" s="3089"/>
      <c r="AY109" s="3089"/>
    </row>
    <row r="110" spans="1:51" ht="12.2" customHeight="1" x14ac:dyDescent="0.2">
      <c r="A110" s="2185"/>
      <c r="B110" s="2099">
        <f t="shared" si="1"/>
        <v>3</v>
      </c>
      <c r="C110" s="4538"/>
      <c r="D110" s="4578"/>
      <c r="E110" s="4698"/>
      <c r="F110" s="4698"/>
      <c r="G110" s="4698"/>
      <c r="H110" s="4698"/>
      <c r="I110" s="4698"/>
      <c r="J110" s="4698"/>
      <c r="K110" s="4698"/>
      <c r="L110" s="4698"/>
      <c r="M110" s="4698"/>
      <c r="N110" s="4698"/>
      <c r="O110" s="4698"/>
      <c r="P110" s="4698"/>
      <c r="Q110" s="4698"/>
      <c r="R110" s="4698"/>
      <c r="S110" s="4698"/>
      <c r="T110" s="4698"/>
      <c r="U110" s="4698"/>
      <c r="V110" s="4698"/>
      <c r="W110" s="4698"/>
      <c r="X110" s="4698"/>
      <c r="Y110" s="4698"/>
      <c r="Z110" s="4698"/>
      <c r="AA110" s="4698"/>
      <c r="AB110" s="4698"/>
      <c r="AC110" s="4698"/>
      <c r="AD110" s="4698"/>
      <c r="AE110" s="4698"/>
      <c r="AF110" s="4698"/>
      <c r="AG110" s="4580"/>
      <c r="AH110" s="2193"/>
      <c r="AI110" s="4558"/>
      <c r="AJ110" s="3089" t="s">
        <v>9308</v>
      </c>
      <c r="AK110" s="3089"/>
      <c r="AL110" s="3089"/>
      <c r="AM110" s="3089" t="b">
        <f>AL97-AL98+AM97-AM98&lt;&gt;0</f>
        <v>0</v>
      </c>
      <c r="AN110" s="3091"/>
      <c r="AO110" s="3091"/>
      <c r="AP110" s="3091"/>
      <c r="AQ110" s="3091"/>
      <c r="AR110" s="3090"/>
      <c r="AS110" s="3090"/>
      <c r="AT110" s="3090"/>
      <c r="AU110" s="3091"/>
      <c r="AV110" s="3091"/>
      <c r="AW110" s="3091"/>
      <c r="AX110" s="3089"/>
      <c r="AY110" s="3089"/>
    </row>
    <row r="111" spans="1:51" ht="12.2" customHeight="1" thickBot="1" x14ac:dyDescent="0.25">
      <c r="A111" s="2185"/>
      <c r="B111" s="2099"/>
      <c r="C111" s="4539"/>
      <c r="D111" s="4540"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41"/>
      <c r="F111" s="4541"/>
      <c r="G111" s="4541"/>
      <c r="H111" s="4541"/>
      <c r="I111" s="4541"/>
      <c r="J111" s="4541"/>
      <c r="K111" s="4541"/>
      <c r="L111" s="4541"/>
      <c r="M111" s="4541"/>
      <c r="N111" s="4541"/>
      <c r="O111" s="4541"/>
      <c r="P111" s="4541"/>
      <c r="Q111" s="4541"/>
      <c r="R111" s="4541"/>
      <c r="S111" s="4541"/>
      <c r="T111" s="4541"/>
      <c r="U111" s="4541"/>
      <c r="V111" s="4541"/>
      <c r="W111" s="4541"/>
      <c r="X111" s="4541"/>
      <c r="Y111" s="4541"/>
      <c r="Z111" s="4541"/>
      <c r="AA111" s="4541"/>
      <c r="AB111" s="4541"/>
      <c r="AC111" s="4541"/>
      <c r="AD111" s="4541"/>
      <c r="AE111" s="4541"/>
      <c r="AF111" s="4541"/>
      <c r="AG111" s="4542"/>
      <c r="AH111" s="2193"/>
      <c r="AI111" s="4558"/>
      <c r="AJ111" s="3089" t="s">
        <v>9345</v>
      </c>
      <c r="AK111" s="3091"/>
      <c r="AL111" s="3091"/>
      <c r="AM111" s="3091" t="b">
        <f>ABS(SUM(N89:N91))&gt;(SUM(N84:N88)-10*Y89+AC89+IF(S80="Sí",10*P80,0)+IF(COUNTIF(K84:M88,"Mantenido")&gt;0,P80*10)+MAX(IF(COUNTIF(K84:M88,"Sostenimiento Menor")&gt;0,P80*20)+IF(COUNTIF(K84:M88,"Sostenimiento Mayor")&gt;0,P80*30)))/2</f>
        <v>0</v>
      </c>
      <c r="AN111" s="3089"/>
      <c r="AO111" s="3089"/>
      <c r="AP111" s="3089"/>
      <c r="AQ111" s="3089"/>
      <c r="AR111" s="3090"/>
      <c r="AS111" s="3090"/>
      <c r="AT111" s="3090"/>
      <c r="AU111" s="3091"/>
      <c r="AV111" s="3091"/>
      <c r="AW111" s="3091"/>
      <c r="AX111" s="3089"/>
      <c r="AY111" s="3089"/>
    </row>
    <row r="112" spans="1:51" ht="12.2" customHeight="1" x14ac:dyDescent="0.2">
      <c r="A112" s="2185"/>
      <c r="B112" s="2099"/>
      <c r="C112" s="4535"/>
      <c r="D112" s="4535" t="str">
        <f>IFERROR(VLOOKUP(D93,'Tablas Técnicas'!$O$9:$T$88,2,FALSE),"")</f>
        <v/>
      </c>
      <c r="E112" s="4535"/>
      <c r="F112" s="4535"/>
      <c r="G112" s="4535"/>
      <c r="H112" s="4535"/>
      <c r="I112" s="4535"/>
      <c r="J112" s="4535" t="str">
        <f>IFERROR(VLOOKUP(J93,'Tablas Técnicas'!$O$9:$T$88,2,FALSE),"")</f>
        <v/>
      </c>
      <c r="K112" s="4535"/>
      <c r="L112" s="4535"/>
      <c r="M112" s="4535"/>
      <c r="N112" s="4535"/>
      <c r="O112" s="4535"/>
      <c r="P112" s="4535" t="str">
        <f>IFERROR(VLOOKUP(P93,'Tablas Técnicas'!$O$9:$T$88,2,FALSE),"")</f>
        <v/>
      </c>
      <c r="Q112" s="4535"/>
      <c r="R112" s="4535"/>
      <c r="S112" s="4535"/>
      <c r="T112" s="4535"/>
      <c r="U112" s="4535"/>
      <c r="V112" s="4535" t="str">
        <f>IFERROR(VLOOKUP(V93,'Tablas Técnicas'!$O$9:$T$88,2,FALSE),"")</f>
        <v/>
      </c>
      <c r="W112" s="4535"/>
      <c r="X112" s="4535"/>
      <c r="Y112" s="4535"/>
      <c r="Z112" s="4535"/>
      <c r="AA112" s="4535"/>
      <c r="AB112" s="4535" t="str">
        <f>IFERROR(VLOOKUP(AB93,'Tablas Técnicas'!$O$9:$T$88,2,FALSE),"")</f>
        <v/>
      </c>
      <c r="AC112" s="4535"/>
      <c r="AD112" s="4535"/>
      <c r="AE112" s="4535"/>
      <c r="AF112" s="4535"/>
      <c r="AG112" s="4535"/>
      <c r="AH112" s="2193"/>
      <c r="AI112" s="1921"/>
      <c r="AJ112" s="3089"/>
      <c r="AK112" s="3089"/>
      <c r="AL112" s="3089"/>
      <c r="AM112" s="3089"/>
      <c r="AN112" s="3089"/>
      <c r="AO112" s="3089"/>
      <c r="AP112" s="3089"/>
      <c r="AQ112" s="3089"/>
      <c r="AR112" s="3090"/>
      <c r="AS112" s="3090"/>
      <c r="AT112" s="3090"/>
      <c r="AU112" s="3091"/>
      <c r="AV112" s="3091"/>
      <c r="AW112" s="3091"/>
      <c r="AX112" s="3091"/>
      <c r="AY112" s="3089"/>
    </row>
    <row r="113" spans="1:51" ht="12.2" customHeight="1" thickBot="1" x14ac:dyDescent="0.25">
      <c r="A113" s="2185"/>
      <c r="B113" s="2099"/>
      <c r="C113" s="4535"/>
      <c r="D113" s="2556"/>
      <c r="E113" s="2557"/>
      <c r="F113" s="2557"/>
      <c r="G113" s="2557"/>
      <c r="H113" s="2557"/>
      <c r="I113" s="2557"/>
      <c r="J113" s="2557"/>
      <c r="K113" s="2557"/>
      <c r="L113" s="2557"/>
      <c r="M113" s="2557"/>
      <c r="N113" s="2557"/>
      <c r="O113" s="2557"/>
      <c r="P113" s="2557"/>
      <c r="Q113" s="2557"/>
      <c r="R113" s="2557"/>
      <c r="S113" s="2557"/>
      <c r="T113" s="2557"/>
      <c r="U113" s="2557"/>
      <c r="V113" s="2558"/>
      <c r="W113" s="2558"/>
      <c r="X113" s="2558"/>
      <c r="Y113" s="2558"/>
      <c r="Z113" s="2558"/>
      <c r="AA113" s="2558"/>
      <c r="AB113" s="2558"/>
      <c r="AC113" s="2558"/>
      <c r="AD113" s="2558"/>
      <c r="AE113" s="2558"/>
      <c r="AF113" s="2557"/>
      <c r="AG113" s="2557"/>
      <c r="AH113" s="2193"/>
      <c r="AI113" s="1921"/>
      <c r="AJ113" s="3097"/>
      <c r="AK113" s="3097"/>
      <c r="AL113" s="3097"/>
      <c r="AM113" s="3097"/>
      <c r="AN113" s="3097"/>
      <c r="AO113" s="3097"/>
      <c r="AP113" s="3089"/>
      <c r="AQ113" s="3090"/>
      <c r="AR113" s="3091"/>
      <c r="AS113" s="3091"/>
      <c r="AT113" s="3091"/>
      <c r="AU113" s="3091"/>
      <c r="AV113" s="3091"/>
      <c r="AW113" s="3091"/>
      <c r="AX113" s="3091"/>
      <c r="AY113" s="3098"/>
    </row>
    <row r="114" spans="1:51" ht="12.2" customHeight="1" x14ac:dyDescent="0.2">
      <c r="A114" s="2185"/>
      <c r="B114" s="2099">
        <f t="shared" ref="B114:B144" si="2">1+B80</f>
        <v>4</v>
      </c>
      <c r="C114" s="4537" t="str">
        <f>"Técnica "&amp;B114</f>
        <v>Técnica 4</v>
      </c>
      <c r="D114" s="4636" t="s">
        <v>8716</v>
      </c>
      <c r="E114" s="4637"/>
      <c r="F114" s="4637"/>
      <c r="G114" s="4637"/>
      <c r="H114" s="4637"/>
      <c r="I114" s="4637"/>
      <c r="J114" s="4637"/>
      <c r="K114" s="4637"/>
      <c r="L114" s="4637"/>
      <c r="M114" s="4637"/>
      <c r="N114" s="4638"/>
      <c r="O114" s="4642" t="s">
        <v>1325</v>
      </c>
      <c r="P114" s="4644">
        <v>1</v>
      </c>
      <c r="Q114" s="4646" t="s">
        <v>8800</v>
      </c>
      <c r="R114" s="4647"/>
      <c r="S114" s="4650" t="s">
        <v>1381</v>
      </c>
      <c r="T114" s="4651" t="s">
        <v>1506</v>
      </c>
      <c r="U114" s="4653">
        <f>MAX(IF(P114=3,60,IF(P114=2,40,20)),MIN(SUM(N118:N125)-10*Y123+AC123+IF(S114="Sí",10*P114,0)+IF(COUNTIF(K118:M122,"Mantenido")&gt;0,P114*10)+MAX(IF(COUNTIF(K118:M122,"Sostenimiento Menor")&gt;0,P114*20)+IF(COUNTIF(K118:M122,"Sostenimiento Mayor")&gt;0,P114*30))))</f>
        <v>20</v>
      </c>
      <c r="V114" s="4646" t="s">
        <v>8801</v>
      </c>
      <c r="W114" s="4651"/>
      <c r="X114" s="4566" t="str">
        <f>IFERROR(LEFT(AK130&amp;AL130&amp;AM130&amp;AN130&amp;AO130&amp;AP130,LEN(AK130&amp;AL130&amp;AM130&amp;AN130&amp;AO130&amp;AP130)-2),"")</f>
        <v/>
      </c>
      <c r="Y114" s="4566"/>
      <c r="Z114" s="4566"/>
      <c r="AA114" s="4566"/>
      <c r="AB114" s="4566"/>
      <c r="AC114" s="4566"/>
      <c r="AD114" s="4566"/>
      <c r="AE114" s="4566"/>
      <c r="AF114" s="4566"/>
      <c r="AG114" s="4567"/>
      <c r="AH114" s="2193"/>
      <c r="AI114" s="4558"/>
      <c r="AJ114" s="3094" t="s">
        <v>9342</v>
      </c>
      <c r="AK114" s="3094"/>
      <c r="AL114" s="3094"/>
      <c r="AM114" s="3094"/>
      <c r="AN114" s="3094"/>
      <c r="AO114" s="3094"/>
      <c r="AP114" s="3094"/>
      <c r="AQ114" s="3094"/>
      <c r="AR114" s="3094"/>
      <c r="AS114" s="3089"/>
      <c r="AT114" s="3089"/>
      <c r="AU114" s="3089"/>
      <c r="AV114" s="3089"/>
      <c r="AW114" s="3091"/>
      <c r="AX114" s="3091"/>
      <c r="AY114" s="3089"/>
    </row>
    <row r="115" spans="1:51" ht="12.2" customHeight="1" x14ac:dyDescent="0.2">
      <c r="A115" s="2185"/>
      <c r="B115" s="2099">
        <f t="shared" si="2"/>
        <v>4</v>
      </c>
      <c r="C115" s="4538"/>
      <c r="D115" s="4639"/>
      <c r="E115" s="4685"/>
      <c r="F115" s="4685"/>
      <c r="G115" s="4685"/>
      <c r="H115" s="4685"/>
      <c r="I115" s="4685"/>
      <c r="J115" s="4685"/>
      <c r="K115" s="4685"/>
      <c r="L115" s="4685"/>
      <c r="M115" s="4685"/>
      <c r="N115" s="4686"/>
      <c r="O115" s="4643"/>
      <c r="P115" s="4645"/>
      <c r="Q115" s="4648"/>
      <c r="R115" s="4649"/>
      <c r="S115" s="4645"/>
      <c r="T115" s="4687"/>
      <c r="U115" s="4688"/>
      <c r="V115" s="4648"/>
      <c r="W115" s="4687"/>
      <c r="X115" s="4693"/>
      <c r="Y115" s="4693"/>
      <c r="Z115" s="4693"/>
      <c r="AA115" s="4693"/>
      <c r="AB115" s="4693"/>
      <c r="AC115" s="4693"/>
      <c r="AD115" s="4693"/>
      <c r="AE115" s="4693"/>
      <c r="AF115" s="4693"/>
      <c r="AG115" s="4569"/>
      <c r="AH115" s="2193"/>
      <c r="AI115" s="4558"/>
      <c r="AJ115" s="3094"/>
      <c r="AK115" s="3094" t="s">
        <v>9343</v>
      </c>
      <c r="AL115" s="3094" t="s">
        <v>10464</v>
      </c>
      <c r="AM115" s="3095"/>
      <c r="AN115" s="3095"/>
      <c r="AO115" s="3095"/>
      <c r="AP115" s="3095"/>
      <c r="AQ115" s="3095"/>
      <c r="AR115" s="3094"/>
      <c r="AS115" s="3089"/>
      <c r="AT115" s="3089"/>
      <c r="AU115" s="3089"/>
      <c r="AV115" s="3089"/>
      <c r="AW115" s="3091"/>
      <c r="AX115" s="4536" t="s">
        <v>9312</v>
      </c>
      <c r="AY115" s="4536"/>
    </row>
    <row r="116" spans="1:51" ht="12.2" customHeight="1" x14ac:dyDescent="0.2">
      <c r="A116" s="2185"/>
      <c r="B116" s="2099">
        <f t="shared" si="2"/>
        <v>4</v>
      </c>
      <c r="C116" s="4538"/>
      <c r="D116" s="4549" t="s">
        <v>2824</v>
      </c>
      <c r="E116" s="4550"/>
      <c r="F116" s="4550"/>
      <c r="G116" s="4550"/>
      <c r="H116" s="4550"/>
      <c r="I116" s="4550"/>
      <c r="J116" s="4550"/>
      <c r="K116" s="4633" t="s">
        <v>9636</v>
      </c>
      <c r="L116" s="4633"/>
      <c r="M116" s="4633"/>
      <c r="N116" s="4550" t="s">
        <v>1500</v>
      </c>
      <c r="O116" s="4633" t="s">
        <v>2822</v>
      </c>
      <c r="P116" s="4633" t="s">
        <v>8802</v>
      </c>
      <c r="Q116" s="4550" t="s">
        <v>1364</v>
      </c>
      <c r="R116" s="4550"/>
      <c r="S116" s="4550"/>
      <c r="T116" s="4550"/>
      <c r="U116" s="4550"/>
      <c r="V116" s="4613" t="s">
        <v>1373</v>
      </c>
      <c r="W116" s="4608"/>
      <c r="X116" s="4613" t="s">
        <v>1498</v>
      </c>
      <c r="Y116" s="4614"/>
      <c r="Z116" s="4608" t="s">
        <v>1378</v>
      </c>
      <c r="AA116" s="4608"/>
      <c r="AB116" s="4613" t="s">
        <v>1383</v>
      </c>
      <c r="AC116" s="4614"/>
      <c r="AD116" s="4608" t="s">
        <v>1391</v>
      </c>
      <c r="AE116" s="4608"/>
      <c r="AF116" s="4613" t="s">
        <v>1392</v>
      </c>
      <c r="AG116" s="4609"/>
      <c r="AH116" s="2193"/>
      <c r="AI116" s="4558"/>
      <c r="AJ116" s="3089"/>
      <c r="AK116" s="3089"/>
      <c r="AL116" s="3089" t="s">
        <v>9614</v>
      </c>
      <c r="AM116" s="3089"/>
      <c r="AN116" s="3089"/>
      <c r="AO116" s="3089"/>
      <c r="AP116" s="3089"/>
      <c r="AQ116" s="3089"/>
      <c r="AR116" s="3091"/>
      <c r="AS116" s="3091" t="s">
        <v>9332</v>
      </c>
      <c r="AT116" s="3091" t="s">
        <v>9333</v>
      </c>
      <c r="AU116" s="3089" t="s">
        <v>9321</v>
      </c>
      <c r="AV116" s="3089" t="s">
        <v>9322</v>
      </c>
      <c r="AW116" s="3091" t="s">
        <v>1500</v>
      </c>
      <c r="AX116" s="3091" t="s">
        <v>8804</v>
      </c>
      <c r="AY116" s="3089" t="s">
        <v>8805</v>
      </c>
    </row>
    <row r="117" spans="1:51" ht="12.2" customHeight="1" x14ac:dyDescent="0.2">
      <c r="A117" s="2185"/>
      <c r="B117" s="2099">
        <f t="shared" si="2"/>
        <v>4</v>
      </c>
      <c r="C117" s="4538"/>
      <c r="D117" s="4691"/>
      <c r="E117" s="4692"/>
      <c r="F117" s="4692"/>
      <c r="G117" s="4692"/>
      <c r="H117" s="4692"/>
      <c r="I117" s="4692"/>
      <c r="J117" s="4692"/>
      <c r="K117" s="4689"/>
      <c r="L117" s="4689"/>
      <c r="M117" s="4689"/>
      <c r="N117" s="4679"/>
      <c r="O117" s="4689"/>
      <c r="P117" s="4690"/>
      <c r="Q117" s="4679"/>
      <c r="R117" s="4679"/>
      <c r="S117" s="4679"/>
      <c r="T117" s="4679"/>
      <c r="U117" s="4679"/>
      <c r="V117" s="2537" t="s">
        <v>9311</v>
      </c>
      <c r="W117" s="2538" t="s">
        <v>2828</v>
      </c>
      <c r="X117" s="2537" t="s">
        <v>9311</v>
      </c>
      <c r="Y117" s="2538" t="s">
        <v>2828</v>
      </c>
      <c r="Z117" s="2537" t="s">
        <v>9311</v>
      </c>
      <c r="AA117" s="2538" t="s">
        <v>2828</v>
      </c>
      <c r="AB117" s="2537" t="s">
        <v>9311</v>
      </c>
      <c r="AC117" s="2538" t="s">
        <v>2828</v>
      </c>
      <c r="AD117" s="2537" t="s">
        <v>9311</v>
      </c>
      <c r="AE117" s="2538" t="s">
        <v>2828</v>
      </c>
      <c r="AF117" s="2537" t="s">
        <v>9311</v>
      </c>
      <c r="AG117" s="2539" t="s">
        <v>2828</v>
      </c>
      <c r="AH117" s="2193"/>
      <c r="AI117" s="4558"/>
      <c r="AJ117" s="3089"/>
      <c r="AK117" s="3089" t="s">
        <v>9313</v>
      </c>
      <c r="AL117" s="3089">
        <v>1</v>
      </c>
      <c r="AM117" s="3089">
        <v>2</v>
      </c>
      <c r="AN117" s="3089">
        <v>3</v>
      </c>
      <c r="AO117" s="3089">
        <v>4</v>
      </c>
      <c r="AP117" s="3089">
        <v>5</v>
      </c>
      <c r="AQ117" s="3089">
        <v>6</v>
      </c>
      <c r="AR117" s="3089">
        <v>7</v>
      </c>
      <c r="AS117" s="3091"/>
      <c r="AT117" s="3089" t="s">
        <v>9344</v>
      </c>
      <c r="AU117" s="3091"/>
      <c r="AV117" s="3091"/>
      <c r="AW117" s="3091" t="s">
        <v>9344</v>
      </c>
      <c r="AX117" s="3091"/>
      <c r="AY117" s="3089"/>
    </row>
    <row r="118" spans="1:51" ht="12.2" customHeight="1" x14ac:dyDescent="0.2">
      <c r="A118" s="2185"/>
      <c r="B118" s="2099">
        <f t="shared" si="2"/>
        <v>4</v>
      </c>
      <c r="C118" s="4538"/>
      <c r="D118" s="4624" t="s">
        <v>8806</v>
      </c>
      <c r="E118" s="4625"/>
      <c r="F118" s="4626"/>
      <c r="G118" s="4627"/>
      <c r="H118" s="4627"/>
      <c r="I118" s="4627"/>
      <c r="J118" s="4628"/>
      <c r="K118" s="4595" t="s">
        <v>1456</v>
      </c>
      <c r="L118" s="4596"/>
      <c r="M118" s="4597"/>
      <c r="N118" s="2531">
        <f>IF(AW118&gt;0,IF(VLOOKUP(F118,'Tablas Técnicas'!$O$9:$X$88,10,0),MAX(5,AW118-5),AW118),0)</f>
        <v>0</v>
      </c>
      <c r="O118" s="2531" t="str">
        <f>AS118&amp;" / "&amp;AT118</f>
        <v>0 / 0</v>
      </c>
      <c r="P118" s="2531" t="str">
        <f t="array" ref="P118">W118+Y118+AA118+AC118+AE118+AG118&amp;" / "&amp;IF(K118&lt;&gt;"Mantenido",0,SUM(IF($AL118:$AR118='Tablas Técnicas'!$L$10:$L$643,'Tablas Técnicas'!$H$10:$H$643,0)))</f>
        <v>0 / 0</v>
      </c>
      <c r="Q118" s="4632" t="str">
        <f>IFERROR(VLOOKUP(F118,'Tablas Técnicas'!$O$9:$T$88,5,FALSE),"")</f>
        <v/>
      </c>
      <c r="R118" s="4632"/>
      <c r="S118" s="4632"/>
      <c r="T118" s="4632"/>
      <c r="U118" s="4632"/>
      <c r="V118" s="2055"/>
      <c r="W118" s="2056"/>
      <c r="X118" s="2055"/>
      <c r="Y118" s="2057"/>
      <c r="Z118" s="2058"/>
      <c r="AA118" s="2056"/>
      <c r="AB118" s="2055"/>
      <c r="AC118" s="2057"/>
      <c r="AD118" s="2058"/>
      <c r="AE118" s="2056"/>
      <c r="AF118" s="2055"/>
      <c r="AG118" s="2059"/>
      <c r="AH118" s="2193"/>
      <c r="AI118" s="4558"/>
      <c r="AJ118" s="3089">
        <v>1</v>
      </c>
      <c r="AK118" s="3089">
        <f>P114</f>
        <v>1</v>
      </c>
      <c r="AL118" s="3089" t="str">
        <f>IF(AND(ISNUMBER(MATCH($F118,'Tablas Técnicas'!$L$10:$L$643,0)),INDEX($D131:$D137,Tablas!A$1)="",COUNTIF(AM118:$AS118,$F118)=0),$F118,IF(INDEX($D131:$D137,Tablas!A$1)="","",$F118&amp;INDEX($D131:$D137,Tablas!A$1)))</f>
        <v/>
      </c>
      <c r="AM118" s="3089" t="str">
        <f>IF(AND(ISNUMBER(MATCH($F118,'Tablas Técnicas'!$L$10:$L$643,0)),INDEX($D131:$D137,Tablas!B$1)="",COUNTIF(AN118:$AS118,$F118)=0),$F118,IF(INDEX($D131:$D137,Tablas!B$1)="","",$F118&amp;INDEX($D131:$D137,Tablas!B$1)))</f>
        <v/>
      </c>
      <c r="AN118" s="3089" t="str">
        <f>IF(AND(ISNUMBER(MATCH($F118,'Tablas Técnicas'!$L$10:$L$643,0)),INDEX($D131:$D137,Tablas!C$1)="",COUNTIF(AO118:$AS118,$F118)=0),$F118,IF(INDEX($D131:$D137,Tablas!C$1)="","",$F118&amp;INDEX($D131:$D137,Tablas!C$1)))</f>
        <v/>
      </c>
      <c r="AO118" s="3089" t="str">
        <f>IF(AND(ISNUMBER(MATCH($F118,'Tablas Técnicas'!$L$10:$L$643,0)),INDEX($D131:$D137,Tablas!D$1)="",COUNTIF(AP118:$AS118,$F118)=0),$F118,IF(INDEX($D131:$D137,Tablas!D$1)="","",$F118&amp;INDEX($D131:$D137,Tablas!D$1)))</f>
        <v/>
      </c>
      <c r="AP118" s="3089" t="str">
        <f>IF(AND(ISNUMBER(MATCH($F118,'Tablas Técnicas'!$L$10:$L$643,0)),INDEX($D131:$D137,Tablas!E$1)="",COUNTIF(AQ118:$AS118,$F118)=0),$F118,IF(INDEX($D131:$D137,Tablas!E$1)="","",$F118&amp;INDEX($D131:$D137,Tablas!E$1)))</f>
        <v/>
      </c>
      <c r="AQ118" s="3089" t="str">
        <f>IF(AND(ISNUMBER(MATCH($F118,'Tablas Técnicas'!$L$10:$L$643,0)),INDEX($D131:$D137,Tablas!F$1)="",COUNTIF(AR118:$AS118,$F118)=0),$F118,IF(INDEX($D131:$D137,Tablas!F$1)="","",$F118&amp;INDEX($D131:$D137,Tablas!F$1)))</f>
        <v/>
      </c>
      <c r="AR118" s="3089" t="str">
        <f>IF(AND(ISNUMBER(MATCH($F118,'Tablas Técnicas'!$L$10:$L$643,0)),INDEX($D131:$D137,Tablas!G$1)="",COUNTIF(AS118:$AS118,$F118)=0),$F118,IF(INDEX($D131:$D137,Tablas!G$1)="","",$F118&amp;INDEX($D131:$D137,Tablas!G$1)))</f>
        <v/>
      </c>
      <c r="AS118" s="3091">
        <f>V118+X118+Z118+AB118+AD118+AF118</f>
        <v>0</v>
      </c>
      <c r="AT118" s="3091">
        <f t="array" ref="AT118">SUM(IF($AL118:$AR118='Tablas Técnicas'!$L$10:$L$643,IF(D118="Primario",'Tablas Técnicas'!$E$10:$E$643,'Tablas Técnicas'!$F$10:$F$643)+IF(K118="Sostenimiento menor",'Tablas Técnicas'!$I$10:$I$643,IF(K118="sostenimiento mayor",'Tablas Técnicas'!$J$10:$J$643,0)),0),0)+VALUE(RIGHT(P118,2))+AU118+AV118</f>
        <v>0</v>
      </c>
      <c r="AU118" s="309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091">
        <f>(COUNTIF(AL118:AR118,"*Estado añadido:*")-1)*COUNTIF(AL118:AR118,"*Estado añadido:*")</f>
        <v>0</v>
      </c>
      <c r="AW118" s="3091">
        <f t="array" ref="AW118">SUM(IF($AL118:$AR118='Tablas Técnicas'!$L$10:$L$643,'Tablas Técnicas'!$G$10:$G$643,0))</f>
        <v>0</v>
      </c>
      <c r="AX118" s="308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089" t="str">
        <f>IFERROR(LEFT(AX118,LEN(AX118)-2)&amp;"), ","")</f>
        <v/>
      </c>
    </row>
    <row r="119" spans="1:51" ht="12.2" customHeight="1" x14ac:dyDescent="0.2">
      <c r="A119" s="2185"/>
      <c r="B119" s="2099">
        <f t="shared" si="2"/>
        <v>4</v>
      </c>
      <c r="C119" s="4538"/>
      <c r="D119" s="4583" t="s">
        <v>524</v>
      </c>
      <c r="E119" s="4584"/>
      <c r="F119" s="4615"/>
      <c r="G119" s="4616"/>
      <c r="H119" s="4616"/>
      <c r="I119" s="4616"/>
      <c r="J119" s="4617"/>
      <c r="K119" s="4618" t="s">
        <v>1456</v>
      </c>
      <c r="L119" s="4619"/>
      <c r="M119" s="4620"/>
      <c r="N119" s="2540">
        <f>IF(AW119&gt;0,IF(VLOOKUP(F119,'Tablas Técnicas'!$O$9:$X$88,10,0),MAX(5,AW119-5),AW119),0)</f>
        <v>0</v>
      </c>
      <c r="O119" s="2540" t="str">
        <f>AS119&amp;" / "&amp;AT119</f>
        <v>0 / 0</v>
      </c>
      <c r="P119" s="2540" t="str">
        <f t="array" ref="P119">W119+Y119+AA119+AC119+AE119+AG119&amp;" / "&amp;IF(K119&lt;&gt;"Mantenido",0,SUM(IF($AL119:$AR119='Tablas Técnicas'!$L$10:$L$643,'Tablas Técnicas'!$H$10:$H$643,0)))</f>
        <v>0 / 0</v>
      </c>
      <c r="Q119" s="4684" t="str">
        <f>IFERROR(VLOOKUP(F119,'Tablas Técnicas'!$O$9:$T$88,5,FALSE),"")</f>
        <v/>
      </c>
      <c r="R119" s="4684"/>
      <c r="S119" s="4684"/>
      <c r="T119" s="4684"/>
      <c r="U119" s="4684"/>
      <c r="V119" s="2060"/>
      <c r="W119" s="2061"/>
      <c r="X119" s="2060"/>
      <c r="Y119" s="2062"/>
      <c r="Z119" s="2063"/>
      <c r="AA119" s="2061"/>
      <c r="AB119" s="2060"/>
      <c r="AC119" s="2062"/>
      <c r="AD119" s="2063"/>
      <c r="AE119" s="2061"/>
      <c r="AF119" s="2060"/>
      <c r="AG119" s="2064"/>
      <c r="AH119" s="2193"/>
      <c r="AI119" s="4558"/>
      <c r="AJ119" s="3089">
        <v>2</v>
      </c>
      <c r="AK119" s="3089">
        <f>P114</f>
        <v>1</v>
      </c>
      <c r="AL119" s="3089" t="str">
        <f>IF(AND(ISNUMBER(MATCH($F119,'Tablas Técnicas'!$L$10:$L$643,0)),INDEX($J131:$J137,Tablas!A$1)="",COUNTIF(AM119:$AS119,$F119)=0),$F119,IF(INDEX($J131:$J137,Tablas!A$1)="","",$F119&amp;INDEX($J131:$J137,Tablas!A$1)))</f>
        <v/>
      </c>
      <c r="AM119" s="3089" t="str">
        <f>IF(AND(ISNUMBER(MATCH($F119,'Tablas Técnicas'!$L$10:$L$643,0)),INDEX($J131:$J137,Tablas!B$1)="",COUNTIF(AN119:$AS119,$F119)=0),$F119,IF(INDEX($J131:$J137,Tablas!B$1)="","",$F119&amp;INDEX($J131:$J137,Tablas!B$1)))</f>
        <v/>
      </c>
      <c r="AN119" s="3089" t="str">
        <f>IF(AND(ISNUMBER(MATCH($F119,'Tablas Técnicas'!$L$10:$L$643,0)),INDEX($J131:$J137,Tablas!C$1)="",COUNTIF(AO119:$AS119,$F119)=0),$F119,IF(INDEX($J131:$J137,Tablas!C$1)="","",$F119&amp;INDEX($J131:$J137,Tablas!C$1)))</f>
        <v/>
      </c>
      <c r="AO119" s="3089" t="str">
        <f>IF(AND(ISNUMBER(MATCH($F119,'Tablas Técnicas'!$L$10:$L$643,0)),INDEX($J131:$J137,Tablas!D$1)="",COUNTIF(AP119:$AS119,$F119)=0),$F119,IF(INDEX($J131:$J137,Tablas!D$1)="","",$F119&amp;INDEX($J131:$J137,Tablas!D$1)))</f>
        <v/>
      </c>
      <c r="AP119" s="3089" t="str">
        <f>IF(AND(ISNUMBER(MATCH($F119,'Tablas Técnicas'!$L$10:$L$643,0)),INDEX($J131:$J137,Tablas!E$1)="",COUNTIF(AQ119:$AS119,$F119)=0),$F119,IF(INDEX($J131:$J137,Tablas!E$1)="","",$F119&amp;INDEX($J131:$J137,Tablas!E$1)))</f>
        <v/>
      </c>
      <c r="AQ119" s="3089" t="str">
        <f>IF(AND(ISNUMBER(MATCH($F119,'Tablas Técnicas'!$L$10:$L$643,0)),INDEX($J131:$J137,Tablas!F$1)="",COUNTIF(AR119:$AS119,$F119)=0),$F119,IF(INDEX($J131:$J137,Tablas!F$1)="","",$F119&amp;INDEX($J131:$J137,Tablas!F$1)))</f>
        <v/>
      </c>
      <c r="AR119" s="3089" t="str">
        <f>IF(AND(ISNUMBER(MATCH($F119,'Tablas Técnicas'!$L$10:$L$643,0)),INDEX($J131:$J137,Tablas!G$1)="",COUNTIF(AS119:$AS119,$F119)=0),$F119,IF(INDEX($J131:$J137,Tablas!G$1)="","",$F119&amp;INDEX($J131:$J137,Tablas!G$1)))</f>
        <v/>
      </c>
      <c r="AS119" s="3091">
        <f>V119+X119+Z119+AB119+AD119+AF119</f>
        <v>0</v>
      </c>
      <c r="AT119" s="3091">
        <f t="array" ref="AT119">SUM(IF($AL119:$AR119='Tablas Técnicas'!$L$10:$L$643,IF(D119="Primario",'Tablas Técnicas'!$E$10:$E$643,'Tablas Técnicas'!$F$10:$F$643)+IF(K119="Sostenimiento menor",'Tablas Técnicas'!$I$10:$I$643,IF(K119="sostenimiento mayor",'Tablas Técnicas'!$J$10:$J$643,0)),0),0)+VALUE(RIGHT(P119,2))+AU119+AV119</f>
        <v>0</v>
      </c>
      <c r="AU119" s="309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091">
        <f>(COUNTIF(AL119:AR119,"*Estado añadido:*")-1)*COUNTIF(AL119:AR119,"*Estado añadido:*")</f>
        <v>0</v>
      </c>
      <c r="AW119" s="3091">
        <f t="array" ref="AW119">SUM(IF($AL119:$AR119='Tablas Técnicas'!$L$10:$L$643,'Tablas Técnicas'!$G$10:$G$643,0))</f>
        <v>0</v>
      </c>
      <c r="AX119" s="3089"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089" t="str">
        <f>IFERROR(LEFT(AX119,LEN(AX119)-2)&amp;"), ","")</f>
        <v/>
      </c>
    </row>
    <row r="120" spans="1:51" ht="12.2" customHeight="1" x14ac:dyDescent="0.2">
      <c r="A120" s="2185"/>
      <c r="B120" s="2099">
        <f t="shared" si="2"/>
        <v>4</v>
      </c>
      <c r="C120" s="4538"/>
      <c r="D120" s="4629" t="s">
        <v>524</v>
      </c>
      <c r="E120" s="4630"/>
      <c r="F120" s="4559"/>
      <c r="G120" s="4560"/>
      <c r="H120" s="4560"/>
      <c r="I120" s="4560"/>
      <c r="J120" s="4561"/>
      <c r="K120" s="4621" t="s">
        <v>1456</v>
      </c>
      <c r="L120" s="4622"/>
      <c r="M120" s="4623"/>
      <c r="N120" s="2536">
        <f>IF(AW120&gt;0,IF(VLOOKUP(F120,'Tablas Técnicas'!$O$9:$X$88,10,0),MAX(5,AW120-5),AW120),0)</f>
        <v>0</v>
      </c>
      <c r="O120" s="2536" t="str">
        <f>AS120&amp;" / "&amp;AT120</f>
        <v>0 / 0</v>
      </c>
      <c r="P120" s="2536" t="str">
        <f t="array" ref="P120">W120+Y120+AA120+AC120+AE120+AG120&amp;" / "&amp;IF(K120&lt;&gt;"Mantenido",0,SUM(IF($AL120:$AR120='Tablas Técnicas'!$L$10:$L$643,'Tablas Técnicas'!$H$10:$H$643,0)))</f>
        <v>0 / 0</v>
      </c>
      <c r="Q120" s="4680" t="str">
        <f>IFERROR(VLOOKUP(F120,'Tablas Técnicas'!$O$9:$T$88,5,FALSE),"")</f>
        <v/>
      </c>
      <c r="R120" s="4680"/>
      <c r="S120" s="4680"/>
      <c r="T120" s="4680"/>
      <c r="U120" s="4680"/>
      <c r="V120" s="2065"/>
      <c r="W120" s="2066"/>
      <c r="X120" s="2065"/>
      <c r="Y120" s="2067"/>
      <c r="Z120" s="2068"/>
      <c r="AA120" s="2066"/>
      <c r="AB120" s="2065"/>
      <c r="AC120" s="2067"/>
      <c r="AD120" s="2068"/>
      <c r="AE120" s="2066"/>
      <c r="AF120" s="2065"/>
      <c r="AG120" s="2069"/>
      <c r="AH120" s="2193"/>
      <c r="AI120" s="4558"/>
      <c r="AJ120" s="3089">
        <v>3</v>
      </c>
      <c r="AK120" s="3089">
        <f>P114</f>
        <v>1</v>
      </c>
      <c r="AL120" s="3089" t="str">
        <f>IF(AND(ISNUMBER(MATCH($F120,'Tablas Técnicas'!$L$10:$L$643,0)),INDEX($P131:$P137,Tablas!A$1)="",COUNTIF(AM120:$AS120,$F120)=0),$F120,IF(INDEX($P131:$P137,Tablas!A$1)="","",$F120&amp;INDEX($P131:$P137,Tablas!A$1)))</f>
        <v/>
      </c>
      <c r="AM120" s="3089" t="str">
        <f>IF(AND(ISNUMBER(MATCH($F120,'Tablas Técnicas'!$L$10:$L$643,0)),INDEX($P131:$P137,Tablas!B$1)="",COUNTIF(AN120:$AS120,$F120)=0),$F120,IF(INDEX($P131:$P137,Tablas!B$1)="","",$F120&amp;INDEX($P131:$P137,Tablas!B$1)))</f>
        <v/>
      </c>
      <c r="AN120" s="3089" t="str">
        <f>IF(AND(ISNUMBER(MATCH($F120,'Tablas Técnicas'!$L$10:$L$643,0)),INDEX($P131:$P137,Tablas!C$1)="",COUNTIF(AO120:$AS120,$F120)=0),$F120,IF(INDEX($P131:$P137,Tablas!C$1)="","",$F120&amp;INDEX($P131:$P137,Tablas!C$1)))</f>
        <v/>
      </c>
      <c r="AO120" s="3089" t="str">
        <f>IF(AND(ISNUMBER(MATCH($F120,'Tablas Técnicas'!$L$10:$L$643,0)),INDEX($P131:$P137,Tablas!D$1)="",COUNTIF(AP120:$AS120,$F120)=0),$F120,IF(INDEX($P131:$P137,Tablas!D$1)="","",$F120&amp;INDEX($P131:$P137,Tablas!D$1)))</f>
        <v/>
      </c>
      <c r="AP120" s="3089" t="str">
        <f>IF(AND(ISNUMBER(MATCH($F120,'Tablas Técnicas'!$L$10:$L$643,0)),INDEX($P131:$P137,Tablas!E$1)="",COUNTIF(AQ120:$AS120,$F120)=0),$F120,IF(INDEX($P131:$P137,Tablas!E$1)="","",$F120&amp;INDEX($P131:$P137,Tablas!E$1)))</f>
        <v/>
      </c>
      <c r="AQ120" s="3089" t="str">
        <f>IF(AND(ISNUMBER(MATCH($F120,'Tablas Técnicas'!$L$10:$L$643,0)),INDEX($P131:$P137,Tablas!F$1)="",COUNTIF(AR120:$AS120,$F120)=0),$F120,IF(INDEX($P131:$P137,Tablas!F$1)="","",$F120&amp;INDEX($P131:$P137,Tablas!F$1)))</f>
        <v/>
      </c>
      <c r="AR120" s="3089" t="str">
        <f>IF(AND(ISNUMBER(MATCH($F120,'Tablas Técnicas'!$L$10:$L$643,0)),INDEX($P131:$P137,Tablas!G$1)="",COUNTIF(AS120:$AS120,$F120)=0),$F120,IF(INDEX($P131:$P137,Tablas!G$1)="","",$F120&amp;INDEX($P131:$P137,Tablas!G$1)))</f>
        <v/>
      </c>
      <c r="AS120" s="3091">
        <f>V120+X120+Z120+AB120+AD120+AF120</f>
        <v>0</v>
      </c>
      <c r="AT120" s="3091">
        <f t="array" ref="AT120">SUM(IF($AL120:$AR120='Tablas Técnicas'!$L$10:$L$643,IF(D120="Primario",'Tablas Técnicas'!$E$10:$E$643,'Tablas Técnicas'!$F$10:$F$643)+IF(K120="Sostenimiento menor",'Tablas Técnicas'!$I$10:$I$643,IF(K120="sostenimiento mayor",'Tablas Técnicas'!$J$10:$J$643,0)),0),0)+VALUE(RIGHT(P120,2))+AU120+AV120</f>
        <v>0</v>
      </c>
      <c r="AU120" s="309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091">
        <f>(COUNTIF(AL120:AR120,"*Estado añadido:*")-1)*COUNTIF(AL120:AR120,"*Estado añadido:*")</f>
        <v>0</v>
      </c>
      <c r="AW120" s="3091">
        <f t="array" ref="AW120">SUM(IF($AL120:$AR120='Tablas Técnicas'!$L$10:$L$643,'Tablas Técnicas'!$G$10:$G$643,0))</f>
        <v>0</v>
      </c>
      <c r="AX120" s="3089"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089" t="str">
        <f>IFERROR(LEFT(AX120,LEN(AX120)-2)&amp;"), ","")</f>
        <v/>
      </c>
    </row>
    <row r="121" spans="1:51" ht="12.2" customHeight="1" x14ac:dyDescent="0.2">
      <c r="A121" s="2185"/>
      <c r="B121" s="2099">
        <f t="shared" si="2"/>
        <v>4</v>
      </c>
      <c r="C121" s="4538"/>
      <c r="D121" s="4583" t="s">
        <v>524</v>
      </c>
      <c r="E121" s="4584"/>
      <c r="F121" s="4615"/>
      <c r="G121" s="4616"/>
      <c r="H121" s="4616"/>
      <c r="I121" s="4616"/>
      <c r="J121" s="4617"/>
      <c r="K121" s="4618" t="s">
        <v>1456</v>
      </c>
      <c r="L121" s="4619"/>
      <c r="M121" s="4620"/>
      <c r="N121" s="2540">
        <f>IF(AW121&gt;0,IF(VLOOKUP(F121,'Tablas Técnicas'!$O$9:$X$88,10,0),MAX(5,AW121-5),AW121),0)</f>
        <v>0</v>
      </c>
      <c r="O121" s="2540" t="str">
        <f>AS121&amp;" / "&amp;AT121</f>
        <v>0 / 0</v>
      </c>
      <c r="P121" s="2540" t="str">
        <f t="array" ref="P121">W121+Y121+AA121+AC121+AE121+AG121&amp;" / "&amp;IF(K121&lt;&gt;"Mantenido",0,SUM(IF($AL121:$AR121='Tablas Técnicas'!$L$10:$L$643,'Tablas Técnicas'!$H$10:$H$643,0)))</f>
        <v>0 / 0</v>
      </c>
      <c r="Q121" s="4684" t="str">
        <f>IFERROR(VLOOKUP(F121,'Tablas Técnicas'!$O$9:$T$88,5,FALSE),"")</f>
        <v/>
      </c>
      <c r="R121" s="4684"/>
      <c r="S121" s="4684"/>
      <c r="T121" s="4684"/>
      <c r="U121" s="4684"/>
      <c r="V121" s="2060"/>
      <c r="W121" s="2061"/>
      <c r="X121" s="2060"/>
      <c r="Y121" s="2062"/>
      <c r="Z121" s="2063"/>
      <c r="AA121" s="2061"/>
      <c r="AB121" s="2060"/>
      <c r="AC121" s="2062"/>
      <c r="AD121" s="2063"/>
      <c r="AE121" s="2061"/>
      <c r="AF121" s="2060"/>
      <c r="AG121" s="2064"/>
      <c r="AH121" s="2193"/>
      <c r="AI121" s="4558"/>
      <c r="AJ121" s="3089">
        <v>4</v>
      </c>
      <c r="AK121" s="3089">
        <f>P114</f>
        <v>1</v>
      </c>
      <c r="AL121" s="3089" t="str">
        <f>IF(AND(ISNUMBER(MATCH($F121,'Tablas Técnicas'!$L$10:$L$643,0)),INDEX($V131:$V137,Tablas!A$1)="",COUNTIF(AM121:$AS121,$F121)=0),$F121,IF(INDEX($V131:$V137,Tablas!A$1)="","",$F121&amp;INDEX($V131:$V137,Tablas!A$1)))</f>
        <v/>
      </c>
      <c r="AM121" s="3089" t="str">
        <f>IF(AND(ISNUMBER(MATCH($F121,'Tablas Técnicas'!$L$10:$L$643,0)),INDEX($V131:$V137,Tablas!B$1)="",COUNTIF(AN121:$AS121,$F121)=0),$F121,IF(INDEX($V131:$V137,Tablas!B$1)="","",$F121&amp;INDEX($V131:$V137,Tablas!B$1)))</f>
        <v/>
      </c>
      <c r="AN121" s="3089" t="str">
        <f>IF(AND(ISNUMBER(MATCH($F121,'Tablas Técnicas'!$L$10:$L$643,0)),INDEX($V131:$V137,Tablas!C$1)="",COUNTIF(AO121:$AS121,$F121)=0),$F121,IF(INDEX($V131:$V137,Tablas!C$1)="","",$F121&amp;INDEX($V131:$V137,Tablas!C$1)))</f>
        <v/>
      </c>
      <c r="AO121" s="3089" t="str">
        <f>IF(AND(ISNUMBER(MATCH($F121,'Tablas Técnicas'!$L$10:$L$643,0)),INDEX($V131:$V137,Tablas!D$1)="",COUNTIF(AP121:$AS121,$F121)=0),$F121,IF(INDEX($V131:$V137,Tablas!D$1)="","",$F121&amp;INDEX($V131:$V137,Tablas!D$1)))</f>
        <v/>
      </c>
      <c r="AP121" s="3089" t="str">
        <f>IF(AND(ISNUMBER(MATCH($F121,'Tablas Técnicas'!$L$10:$L$643,0)),INDEX($V131:$V137,Tablas!E$1)="",COUNTIF(AQ121:$AS121,$F121)=0),$F121,IF(INDEX($V131:$V137,Tablas!E$1)="","",$F121&amp;INDEX($V131:$V137,Tablas!E$1)))</f>
        <v/>
      </c>
      <c r="AQ121" s="3089" t="str">
        <f>IF(AND(ISNUMBER(MATCH($F121,'Tablas Técnicas'!$L$10:$L$643,0)),INDEX($V131:$V137,Tablas!F$1)="",COUNTIF(AR121:$AS121,$F121)=0),$F121,IF(INDEX($V131:$V137,Tablas!F$1)="","",$F121&amp;INDEX($V131:$V137,Tablas!F$1)))</f>
        <v/>
      </c>
      <c r="AR121" s="3089" t="str">
        <f>IF(AND(ISNUMBER(MATCH($F121,'Tablas Técnicas'!$L$10:$L$643,0)),INDEX($V131:$V137,Tablas!G$1)="",COUNTIF(AS121:$AS121,$F121)=0),$F121,IF(INDEX($V131:$V137,Tablas!G$1)="","",$F121&amp;INDEX($V131:$V137,Tablas!G$1)))</f>
        <v/>
      </c>
      <c r="AS121" s="3091">
        <f>V121+X121+Z121+AB121+AD121+AF121</f>
        <v>0</v>
      </c>
      <c r="AT121" s="3091">
        <f t="array" ref="AT121">SUM(IF($AL121:$AR121='Tablas Técnicas'!$L$10:$L$643,IF(D121="Primario",'Tablas Técnicas'!$E$10:$E$643,'Tablas Técnicas'!$F$10:$F$643)+IF(K121="Sostenimiento menor",'Tablas Técnicas'!$I$10:$I$643,IF(K121="sostenimiento mayor",'Tablas Técnicas'!$J$10:$J$643,0)),0),0)+VALUE(RIGHT(P121,2))+AU121+AV121</f>
        <v>0</v>
      </c>
      <c r="AU121" s="309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091">
        <f>(COUNTIF(AL121:AR121,"*Estado añadido:*")-1)*COUNTIF(AL121:AR121,"*Estado añadido:*")</f>
        <v>0</v>
      </c>
      <c r="AW121" s="3091">
        <f t="array" ref="AW121">SUM(IF($AL121:$AR121='Tablas Técnicas'!$L$10:$L$643,'Tablas Técnicas'!$G$10:$G$643,0))</f>
        <v>0</v>
      </c>
      <c r="AX121" s="3089"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089" t="str">
        <f>IFERROR(LEFT(AX121,LEN(AX121)-2)&amp;"), ","")</f>
        <v/>
      </c>
    </row>
    <row r="122" spans="1:51" ht="12.2" customHeight="1" thickBot="1" x14ac:dyDescent="0.25">
      <c r="A122" s="2185"/>
      <c r="B122" s="2099">
        <f t="shared" si="2"/>
        <v>4</v>
      </c>
      <c r="C122" s="4538"/>
      <c r="D122" s="4586" t="s">
        <v>524</v>
      </c>
      <c r="E122" s="4587"/>
      <c r="F122" s="4543"/>
      <c r="G122" s="4544"/>
      <c r="H122" s="4544"/>
      <c r="I122" s="4544"/>
      <c r="J122" s="4545"/>
      <c r="K122" s="4546" t="s">
        <v>1456</v>
      </c>
      <c r="L122" s="4547"/>
      <c r="M122" s="4548"/>
      <c r="N122" s="2541">
        <f>IF(AW122&gt;0,IF(VLOOKUP(F122,'Tablas Técnicas'!$O$9:$X$88,10,0),MAX(5,AW122-5),AW122),0)</f>
        <v>0</v>
      </c>
      <c r="O122" s="2541" t="str">
        <f>AS122&amp;" / "&amp;AT122</f>
        <v>0 / 0</v>
      </c>
      <c r="P122" s="2541" t="str">
        <f t="array" ref="P122">W122+Y122+AA122+AC122+AE122+AG122&amp;" / "&amp;IF(K122&lt;&gt;"Mantenido",0,SUM(IF($AL122:$AR122='Tablas Técnicas'!$L$10:$L$643,'Tablas Técnicas'!$H$10:$H$643,0)))</f>
        <v>0 / 0</v>
      </c>
      <c r="Q122" s="4681" t="str">
        <f>IFERROR(VLOOKUP(F122,'Tablas Técnicas'!$O$9:$T$88,5,FALSE),"")</f>
        <v/>
      </c>
      <c r="R122" s="4681"/>
      <c r="S122" s="4681"/>
      <c r="T122" s="4681"/>
      <c r="U122" s="4681"/>
      <c r="V122" s="2070"/>
      <c r="W122" s="2071"/>
      <c r="X122" s="2070"/>
      <c r="Y122" s="2072"/>
      <c r="Z122" s="2073"/>
      <c r="AA122" s="2071"/>
      <c r="AB122" s="2070"/>
      <c r="AC122" s="2072"/>
      <c r="AD122" s="2073"/>
      <c r="AE122" s="2071"/>
      <c r="AF122" s="2070"/>
      <c r="AG122" s="2074"/>
      <c r="AH122" s="2193"/>
      <c r="AI122" s="4558"/>
      <c r="AJ122" s="3089">
        <v>5</v>
      </c>
      <c r="AK122" s="3089">
        <f>P114</f>
        <v>1</v>
      </c>
      <c r="AL122" s="3089" t="str">
        <f>IF(AND(ISNUMBER(MATCH($F122,'Tablas Técnicas'!$L$10:$L$643,0)),INDEX($AB131:$AB137,Tablas!A$1)="",COUNTIF(AM122:$AS122,$F122)=0),$F122,IF(INDEX($AB131:$AB137,Tablas!A$1)="","",$F122&amp;INDEX($AB131:$AB137,Tablas!A$1)))</f>
        <v/>
      </c>
      <c r="AM122" s="3089" t="str">
        <f>IF(AND(ISNUMBER(MATCH($F122,'Tablas Técnicas'!$L$10:$L$643,0)),INDEX($AB131:$AB137,Tablas!B$1)="",COUNTIF(AN122:$AS122,$F122)=0),$F122,IF(INDEX($AB131:$AB137,Tablas!B$1)="","",$F122&amp;INDEX($AB131:$AB137,Tablas!B$1)))</f>
        <v/>
      </c>
      <c r="AN122" s="3089" t="str">
        <f>IF(AND(ISNUMBER(MATCH($F122,'Tablas Técnicas'!$L$10:$L$643,0)),INDEX($AB131:$AB137,Tablas!C$1)="",COUNTIF(AO122:$AS122,$F122)=0),$F122,IF(INDEX($AB131:$AB137,Tablas!C$1)="","",$F122&amp;INDEX($AB131:$AB137,Tablas!C$1)))</f>
        <v/>
      </c>
      <c r="AO122" s="3089" t="str">
        <f>IF(AND(ISNUMBER(MATCH($F122,'Tablas Técnicas'!$L$10:$L$643,0)),INDEX($AB131:$AB137,Tablas!D$1)="",COUNTIF(AP122:$AS122,$F122)=0),$F122,IF(INDEX($AB131:$AB137,Tablas!D$1)="","",$F122&amp;INDEX($AB131:$AB137,Tablas!D$1)))</f>
        <v/>
      </c>
      <c r="AP122" s="3089" t="str">
        <f>IF(AND(ISNUMBER(MATCH($F122,'Tablas Técnicas'!$L$10:$L$643,0)),INDEX($AB131:$AB137,Tablas!E$1)="",COUNTIF(AQ122:$AS122,$F122)=0),$F122,IF(INDEX($AB131:$AB137,Tablas!E$1)="","",$F122&amp;INDEX($AB131:$AB137,Tablas!E$1)))</f>
        <v/>
      </c>
      <c r="AQ122" s="3089" t="str">
        <f>IF(AND(ISNUMBER(MATCH($F122,'Tablas Técnicas'!$L$10:$L$643,0)),INDEX($AB131:$AB137,Tablas!F$1)="",COUNTIF(AR122:$AS122,$F122)=0),$F122,IF(INDEX($AB131:$AB137,Tablas!F$1)="","",$F122&amp;INDEX($AB131:$AB137,Tablas!F$1)))</f>
        <v/>
      </c>
      <c r="AR122" s="3089" t="str">
        <f>IF(AND(ISNUMBER(MATCH($F122,'Tablas Técnicas'!$L$10:$L$643,0)),INDEX($AB131:$AB137,Tablas!G$1)="",COUNTIF(AS122:$AS122,$F122)=0),$F122,IF(INDEX($AB131:$AB137,Tablas!G$1)="","",$F122&amp;INDEX($AB131:$AB137,Tablas!G$1)))</f>
        <v/>
      </c>
      <c r="AS122" s="3091">
        <f>V122+X122+Z122+AB122+AD122+AF122</f>
        <v>0</v>
      </c>
      <c r="AT122" s="3091">
        <f t="array" ref="AT122">SUM(IF($AL122:$AR122='Tablas Técnicas'!$L$10:$L$643,IF(D122="Primario",'Tablas Técnicas'!$E$10:$E$643,'Tablas Técnicas'!$F$10:$F$643)+IF(K122="Sostenimiento menor",'Tablas Técnicas'!$I$10:$I$643,IF(K122="sostenimiento mayor",'Tablas Técnicas'!$J$10:$J$643,0)),0),0)+VALUE(RIGHT(P122,2))+AU122+AV122</f>
        <v>0</v>
      </c>
      <c r="AU122" s="309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091">
        <f>(COUNTIF(AL122:AR122,"*Estado añadido:*")-1)*COUNTIF(AL122:AR122,"*Estado añadido:*")</f>
        <v>0</v>
      </c>
      <c r="AW122" s="3091">
        <f t="array" ref="AW122">SUM(IF($AL122:$AR122='Tablas Técnicas'!$L$10:$L$643,'Tablas Técnicas'!$G$10:$G$643,0))</f>
        <v>0</v>
      </c>
      <c r="AX122" s="3089"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089" t="str">
        <f>IFERROR(LEFT(AX122,LEN(AX122)-2)&amp;"), ","")</f>
        <v/>
      </c>
    </row>
    <row r="123" spans="1:51" ht="12.2" customHeight="1" x14ac:dyDescent="0.2">
      <c r="A123" s="2185"/>
      <c r="B123" s="2099">
        <f t="shared" si="2"/>
        <v>4</v>
      </c>
      <c r="C123" s="4538"/>
      <c r="D123" s="4589" t="s">
        <v>2819</v>
      </c>
      <c r="E123" s="4590"/>
      <c r="F123" s="4610"/>
      <c r="G123" s="4611"/>
      <c r="H123" s="4611"/>
      <c r="I123" s="4611"/>
      <c r="J123" s="4612"/>
      <c r="K123" s="4628"/>
      <c r="L123" s="4657"/>
      <c r="M123" s="4658"/>
      <c r="N123" s="1929" t="str">
        <f>IFERROR(INDEX('Tablas Técnicas'!$Q$200:$Q$301,MATCH(F123&amp;K123,'Tablas Técnicas'!$S$200:$S$301,0)),"")</f>
        <v/>
      </c>
      <c r="O123" s="4659"/>
      <c r="P123" s="4660"/>
      <c r="Q123" s="4661"/>
      <c r="R123" s="4660"/>
      <c r="S123" s="2761" t="str">
        <f>IFERROR("Nivel: "&amp;MAX(1,INDEX('Tablas Técnicas'!$R$200:$R$301,MATCH(F123&amp;K123,'Tablas Técnicas'!$S$200:$S$301,0))),"")</f>
        <v/>
      </c>
      <c r="T123" s="1930"/>
      <c r="U123" s="1931" t="str">
        <f>IFERROR("("&amp;VLOOKUP(F123,'Tablas Técnicas'!$O$165:$Q$192,3,FALSE)&amp;")","")</f>
        <v/>
      </c>
      <c r="V123" s="4598" t="s">
        <v>9625</v>
      </c>
      <c r="W123" s="4599"/>
      <c r="X123" s="4600"/>
      <c r="Y123" s="2542">
        <v>0</v>
      </c>
      <c r="Z123" s="4694" t="s">
        <v>8811</v>
      </c>
      <c r="AA123" s="4602"/>
      <c r="AB123" s="4603"/>
      <c r="AC123" s="2542">
        <v>0</v>
      </c>
      <c r="AD123" s="4695" t="str">
        <f>"Ki sin repartir: "&amp;AL131-AL132&amp;IF(AM131=0,""," ("&amp;AM131-AM132&amp;")")</f>
        <v>Ki sin repartir: 0</v>
      </c>
      <c r="AE123" s="4605"/>
      <c r="AF123" s="4605"/>
      <c r="AG123" s="4606"/>
      <c r="AH123" s="2193"/>
      <c r="AI123" s="4558"/>
      <c r="AJ123" s="3089">
        <v>1</v>
      </c>
      <c r="AK123" s="3089">
        <f>P114</f>
        <v>1</v>
      </c>
      <c r="AL123" s="3089" t="e">
        <f>VLOOKUP(F123,'Tablas Técnicas'!$O$165:$Q$188,2,FALSE)</f>
        <v>#N/A</v>
      </c>
      <c r="AM123" s="3089"/>
      <c r="AN123" s="3090"/>
      <c r="AO123" s="3089"/>
      <c r="AP123" s="3089"/>
      <c r="AQ123" s="3090"/>
      <c r="AR123" s="3089"/>
      <c r="AS123" s="3089"/>
      <c r="AT123" s="3089"/>
      <c r="AU123" s="3089"/>
      <c r="AV123" s="3089"/>
      <c r="AW123" s="3091"/>
      <c r="AX123" s="3091"/>
      <c r="AY123" s="3089" t="str">
        <f>IF(F123="","",F123&amp;IF(K123="",""," ("&amp;IF(F123="Atadura Elemental",O123&amp;IF(Q123="","",", "&amp;Q123),K123)&amp;")")&amp;", ")</f>
        <v/>
      </c>
    </row>
    <row r="124" spans="1:51" ht="12.2" customHeight="1" x14ac:dyDescent="0.2">
      <c r="A124" s="2185"/>
      <c r="B124" s="2099">
        <f t="shared" si="2"/>
        <v>4</v>
      </c>
      <c r="C124" s="4538"/>
      <c r="D124" s="4591"/>
      <c r="E124" s="4592"/>
      <c r="F124" s="4662"/>
      <c r="G124" s="4663"/>
      <c r="H124" s="4663"/>
      <c r="I124" s="4663"/>
      <c r="J124" s="4664"/>
      <c r="K124" s="4617"/>
      <c r="L124" s="4677"/>
      <c r="M124" s="4678"/>
      <c r="N124" s="1932" t="str">
        <f>IFERROR(INDEX('Tablas Técnicas'!$Q$200:$Q$301,MATCH(F124&amp;K124,'Tablas Técnicas'!$S$200:$S$301,0)),"")</f>
        <v/>
      </c>
      <c r="O124" s="4665"/>
      <c r="P124" s="4666"/>
      <c r="Q124" s="4667"/>
      <c r="R124" s="4666"/>
      <c r="S124" s="2763" t="str">
        <f>IFERROR("Nivel: "&amp;MAX(1,INDEX('Tablas Técnicas'!$R$200:$R$301,MATCH(F124&amp;K124,'Tablas Técnicas'!$S$200:$S$301,0))),"")</f>
        <v/>
      </c>
      <c r="T124" s="2543"/>
      <c r="U124" s="2544" t="str">
        <f>IFERROR("("&amp;VLOOKUP(F124,'Tablas Técnicas'!$O$165:$Q$192,3,FALSE)&amp;")","")</f>
        <v/>
      </c>
      <c r="V124" s="4607" t="str">
        <f>"Mod. "&amp;V116</f>
        <v>Mod. AGI</v>
      </c>
      <c r="W124" s="4608"/>
      <c r="X124" s="4607" t="str">
        <f>"Mod. "&amp;X116</f>
        <v>Mod. CON</v>
      </c>
      <c r="Y124" s="4608"/>
      <c r="Z124" s="4607" t="str">
        <f>"Mod. "&amp;Z116</f>
        <v>Mod. DES</v>
      </c>
      <c r="AA124" s="4608"/>
      <c r="AB124" s="4607" t="str">
        <f>"Mod. "&amp;AB116</f>
        <v>Mod. FUE</v>
      </c>
      <c r="AC124" s="4608"/>
      <c r="AD124" s="4607" t="str">
        <f>"Mod. "&amp;AD116</f>
        <v>Mod. POD</v>
      </c>
      <c r="AE124" s="4608"/>
      <c r="AF124" s="4607" t="str">
        <f>"Mod. "&amp;AF116</f>
        <v>Mod. VOL</v>
      </c>
      <c r="AG124" s="4609"/>
      <c r="AH124" s="2193"/>
      <c r="AI124" s="4558"/>
      <c r="AJ124" s="3089">
        <v>2</v>
      </c>
      <c r="AK124" s="3089">
        <f>P114</f>
        <v>1</v>
      </c>
      <c r="AL124" s="3089" t="e">
        <f>VLOOKUP(F124,'Tablas Técnicas'!$O$165:$Q$188,2,FALSE)</f>
        <v>#N/A</v>
      </c>
      <c r="AM124" s="3089"/>
      <c r="AN124" s="3090"/>
      <c r="AO124" s="3089"/>
      <c r="AP124" s="3089"/>
      <c r="AQ124" s="3090"/>
      <c r="AR124" s="3089"/>
      <c r="AS124" s="3089"/>
      <c r="AT124" s="3089"/>
      <c r="AU124" s="3089"/>
      <c r="AV124" s="3089"/>
      <c r="AW124" s="3091"/>
      <c r="AX124" s="3091"/>
      <c r="AY124" s="3089" t="str">
        <f>IF(F124="","",F124&amp;IF(K124="",""," ("&amp;IF(F124="Atadura Elemental",O124&amp;IF(Q124="","",", "&amp;Q124),K124)&amp;")")&amp;", ")</f>
        <v/>
      </c>
    </row>
    <row r="125" spans="1:51" ht="12.2" customHeight="1" thickBot="1" x14ac:dyDescent="0.25">
      <c r="A125" s="2185"/>
      <c r="B125" s="2099">
        <f t="shared" si="2"/>
        <v>4</v>
      </c>
      <c r="C125" s="4538"/>
      <c r="D125" s="4682"/>
      <c r="E125" s="4683"/>
      <c r="F125" s="4668"/>
      <c r="G125" s="4669"/>
      <c r="H125" s="4669"/>
      <c r="I125" s="4669"/>
      <c r="J125" s="4670"/>
      <c r="K125" s="4672"/>
      <c r="L125" s="4673"/>
      <c r="M125" s="4674"/>
      <c r="N125" s="1933" t="str">
        <f>IFERROR(INDEX('Tablas Técnicas'!$Q$200:$Q$301,MATCH(F125&amp;K125,'Tablas Técnicas'!$S$200:$S$301,0)),"")</f>
        <v/>
      </c>
      <c r="O125" s="4655"/>
      <c r="P125" s="4656"/>
      <c r="Q125" s="4671"/>
      <c r="R125" s="4656"/>
      <c r="S125" s="2762" t="str">
        <f>IFERROR("Nivel: "&amp;MAX(1,INDEX('Tablas Técnicas'!$R$200:$R$301,MATCH(F125&amp;K125,'Tablas Técnicas'!$S$200:$S$301,0))),"")</f>
        <v/>
      </c>
      <c r="T125" s="2545"/>
      <c r="U125" s="2546" t="str">
        <f>IFERROR("("&amp;VLOOKUP(F125,'Tablas Técnicas'!$O$165:$Q$192,3,FALSE)&amp;")","")</f>
        <v/>
      </c>
      <c r="V125" s="4564"/>
      <c r="W125" s="4562"/>
      <c r="X125" s="4562"/>
      <c r="Y125" s="4562"/>
      <c r="Z125" s="4562"/>
      <c r="AA125" s="4562"/>
      <c r="AB125" s="4562"/>
      <c r="AC125" s="4562"/>
      <c r="AD125" s="4562"/>
      <c r="AE125" s="4562"/>
      <c r="AF125" s="4562"/>
      <c r="AG125" s="4574"/>
      <c r="AH125" s="2193"/>
      <c r="AI125" s="4558"/>
      <c r="AJ125" s="3089">
        <v>3</v>
      </c>
      <c r="AK125" s="3089">
        <f>P114</f>
        <v>1</v>
      </c>
      <c r="AL125" s="3089" t="e">
        <f>VLOOKUP(F125,'Tablas Técnicas'!$O$165:$Q$188,2,FALSE)</f>
        <v>#N/A</v>
      </c>
      <c r="AM125" s="3089"/>
      <c r="AN125" s="3090"/>
      <c r="AO125" s="3089"/>
      <c r="AP125" s="3089"/>
      <c r="AQ125" s="3090"/>
      <c r="AR125" s="3091"/>
      <c r="AS125" s="3091"/>
      <c r="AT125" s="3091"/>
      <c r="AU125" s="3091"/>
      <c r="AV125" s="3091"/>
      <c r="AW125" s="3091"/>
      <c r="AX125" s="3091"/>
      <c r="AY125" s="3089" t="str">
        <f>IF(F125="","",F125&amp;IF(K125="",""," ("&amp;IF(F125="Atadura Elemental",O125&amp;IF(Q125="","",", "&amp;Q125),K125)&amp;")")&amp;", ")</f>
        <v/>
      </c>
    </row>
    <row r="126" spans="1:51" ht="12.2" customHeight="1" x14ac:dyDescent="0.2">
      <c r="A126" s="2185"/>
      <c r="B126" s="2099">
        <f t="shared" si="2"/>
        <v>4</v>
      </c>
      <c r="C126" s="4538"/>
      <c r="D126" s="4549" t="s">
        <v>9306</v>
      </c>
      <c r="E126" s="4550"/>
      <c r="F126" s="4550"/>
      <c r="G126" s="4550"/>
      <c r="H126" s="4550"/>
      <c r="I126" s="4550"/>
      <c r="J126" s="4550"/>
      <c r="K126" s="4550"/>
      <c r="L126" s="4550"/>
      <c r="M126" s="4550"/>
      <c r="N126" s="4550"/>
      <c r="O126" s="4550"/>
      <c r="P126" s="4550"/>
      <c r="Q126" s="4550"/>
      <c r="R126" s="4550"/>
      <c r="S126" s="4550"/>
      <c r="T126" s="4550"/>
      <c r="U126" s="4550"/>
      <c r="V126" s="4679"/>
      <c r="W126" s="4679"/>
      <c r="X126" s="4679"/>
      <c r="Y126" s="4679"/>
      <c r="Z126" s="4679"/>
      <c r="AA126" s="4679"/>
      <c r="AB126" s="4679"/>
      <c r="AC126" s="4679"/>
      <c r="AD126" s="4679"/>
      <c r="AE126" s="4679"/>
      <c r="AF126" s="4679"/>
      <c r="AG126" s="4552"/>
      <c r="AH126" s="2193"/>
      <c r="AI126" s="4558"/>
      <c r="AJ126" s="3089"/>
      <c r="AK126" s="3089"/>
      <c r="AL126" s="3089"/>
      <c r="AM126" s="3089"/>
      <c r="AN126" s="3090" t="s">
        <v>8812</v>
      </c>
      <c r="AO126" s="3089" t="e">
        <f>LEFT(AY118&amp;AY119&amp;AY120&amp;AY121&amp;AY122,LEN(AY118&amp;AY119&amp;AY120&amp;AY121&amp;AY122)-2)</f>
        <v>#VALUE!</v>
      </c>
      <c r="AP126" s="3089"/>
      <c r="AQ126" s="3090"/>
      <c r="AR126" s="3091"/>
      <c r="AS126" s="3091"/>
      <c r="AT126" s="3091"/>
      <c r="AU126" s="3090"/>
      <c r="AV126" s="3090"/>
      <c r="AW126" s="3091"/>
      <c r="AX126" s="3091"/>
      <c r="AY126" s="3089"/>
    </row>
    <row r="127" spans="1:51" ht="12.2" customHeight="1" x14ac:dyDescent="0.2">
      <c r="A127" s="2185"/>
      <c r="B127" s="2099">
        <f t="shared" si="2"/>
        <v>4</v>
      </c>
      <c r="C127" s="4538"/>
      <c r="D127" s="4553" t="str">
        <f>IF(F118="","",F118)</f>
        <v/>
      </c>
      <c r="E127" s="4554"/>
      <c r="F127" s="4554"/>
      <c r="G127" s="4554"/>
      <c r="H127" s="4554"/>
      <c r="I127" s="4555"/>
      <c r="J127" s="4553" t="str">
        <f>IF(F119="","",F119)</f>
        <v/>
      </c>
      <c r="K127" s="4554"/>
      <c r="L127" s="4554"/>
      <c r="M127" s="4554"/>
      <c r="N127" s="4554"/>
      <c r="O127" s="4555"/>
      <c r="P127" s="4554" t="str">
        <f>IF(F120="","",F120)</f>
        <v/>
      </c>
      <c r="Q127" s="4554"/>
      <c r="R127" s="4554"/>
      <c r="S127" s="4554"/>
      <c r="T127" s="4554"/>
      <c r="U127" s="4555"/>
      <c r="V127" s="4553" t="str">
        <f>IF(F121="","",F121)</f>
        <v/>
      </c>
      <c r="W127" s="4554"/>
      <c r="X127" s="4554"/>
      <c r="Y127" s="4554"/>
      <c r="Z127" s="4554"/>
      <c r="AA127" s="4555"/>
      <c r="AB127" s="4554" t="str">
        <f>IF(F122="","",F122)</f>
        <v/>
      </c>
      <c r="AC127" s="4554"/>
      <c r="AD127" s="4554"/>
      <c r="AE127" s="4554"/>
      <c r="AF127" s="4554"/>
      <c r="AG127" s="4577"/>
      <c r="AH127" s="2193"/>
      <c r="AI127" s="4558"/>
      <c r="AJ127" s="3089"/>
      <c r="AK127" s="3089"/>
      <c r="AL127" s="3089"/>
      <c r="AM127" s="3089"/>
      <c r="AN127" s="3090" t="s">
        <v>8813</v>
      </c>
      <c r="AO127" s="3089" t="e">
        <f>LEFT(AY123&amp;AY124&amp;AY125,LEN(AY123&amp;AY124&amp;AY125)-2)</f>
        <v>#VALUE!</v>
      </c>
      <c r="AP127" s="3089"/>
      <c r="AQ127" s="3090"/>
      <c r="AR127" s="3091"/>
      <c r="AS127" s="3091"/>
      <c r="AT127" s="3091"/>
      <c r="AU127" s="3090"/>
      <c r="AV127" s="3090"/>
      <c r="AW127" s="3091"/>
      <c r="AX127" s="3091"/>
      <c r="AY127" s="3089"/>
    </row>
    <row r="128" spans="1:51" ht="12.2" customHeight="1" x14ac:dyDescent="0.2">
      <c r="A128" s="2185"/>
      <c r="B128" s="2099">
        <f t="shared" si="2"/>
        <v>4</v>
      </c>
      <c r="C128" s="4538"/>
      <c r="D128" s="2044" t="s">
        <v>1836</v>
      </c>
      <c r="E128" s="2536" t="str">
        <f>IFERROR(VLOOKUP(D127,'Tablas Técnicas'!$O$9:$T$88,3,FALSE),"")</f>
        <v/>
      </c>
      <c r="F128" s="2547"/>
      <c r="G128" s="2548"/>
      <c r="H128" s="2548" t="s">
        <v>1363</v>
      </c>
      <c r="I128" s="2536" t="str">
        <f>IFERROR(VLOOKUP(D127,'Tablas Técnicas'!$O$9:$T$88,4,FALSE),"")</f>
        <v/>
      </c>
      <c r="J128" s="2044" t="s">
        <v>1836</v>
      </c>
      <c r="K128" s="2536" t="str">
        <f>IFERROR(VLOOKUP(J127,'Tablas Técnicas'!$O$9:$T$88,3,FALSE),"")</f>
        <v/>
      </c>
      <c r="L128" s="2547"/>
      <c r="M128" s="2548"/>
      <c r="N128" s="2548" t="s">
        <v>1363</v>
      </c>
      <c r="O128" s="1934" t="str">
        <f>IFERROR(VLOOKUP(J127,'Tablas Técnicas'!$O$9:$T$88,4,FALSE),"")</f>
        <v/>
      </c>
      <c r="P128" s="2548" t="s">
        <v>1836</v>
      </c>
      <c r="Q128" s="2536" t="str">
        <f>IFERROR(VLOOKUP(P127,'Tablas Técnicas'!$O$9:$T$88,3,FALSE),"")</f>
        <v/>
      </c>
      <c r="R128" s="2547"/>
      <c r="S128" s="2548"/>
      <c r="T128" s="2548" t="s">
        <v>1363</v>
      </c>
      <c r="U128" s="2536" t="str">
        <f>IFERROR(VLOOKUP(P127,'Tablas Técnicas'!$O$9:$T$88,4,FALSE),"")</f>
        <v/>
      </c>
      <c r="V128" s="2044" t="s">
        <v>1836</v>
      </c>
      <c r="W128" s="2536" t="str">
        <f>IFERROR(VLOOKUP(V127,'Tablas Técnicas'!$O$9:$T$88,3,FALSE),"")</f>
        <v/>
      </c>
      <c r="X128" s="2547"/>
      <c r="Y128" s="2548"/>
      <c r="Z128" s="2548" t="s">
        <v>1363</v>
      </c>
      <c r="AA128" s="1934" t="str">
        <f>IFERROR(VLOOKUP(V127,'Tablas Técnicas'!$O$9:$T$88,4,FALSE),"")</f>
        <v/>
      </c>
      <c r="AB128" s="2548" t="s">
        <v>1836</v>
      </c>
      <c r="AC128" s="2536" t="str">
        <f>IFERROR(VLOOKUP(AB127,'Tablas Técnicas'!$O$9:$T$88,3,FALSE),"")</f>
        <v/>
      </c>
      <c r="AD128" s="2547"/>
      <c r="AE128" s="2548"/>
      <c r="AF128" s="2548" t="s">
        <v>1363</v>
      </c>
      <c r="AG128" s="1935" t="str">
        <f>IFERROR(VLOOKUP(AB127,'Tablas Técnicas'!$O$9:$T$88,4,FALSE),"")</f>
        <v/>
      </c>
      <c r="AH128" s="2193"/>
      <c r="AI128" s="4558"/>
      <c r="AJ128" s="3089"/>
      <c r="AK128" s="3089"/>
      <c r="AL128" s="3089"/>
      <c r="AM128" s="3089"/>
      <c r="AN128" s="3090"/>
      <c r="AO128" s="3089"/>
      <c r="AP128" s="3089"/>
      <c r="AQ128" s="3090"/>
      <c r="AR128" s="3091"/>
      <c r="AS128" s="3091"/>
      <c r="AT128" s="3091"/>
      <c r="AU128" s="3091"/>
      <c r="AV128" s="3091"/>
      <c r="AW128" s="3091"/>
      <c r="AX128" s="3091"/>
      <c r="AY128" s="3089"/>
    </row>
    <row r="129" spans="1:51" ht="12.2" customHeight="1" x14ac:dyDescent="0.2">
      <c r="A129" s="2185"/>
      <c r="B129" s="2099">
        <f t="shared" si="2"/>
        <v>4</v>
      </c>
      <c r="C129" s="4538"/>
      <c r="D129" s="2045" t="s">
        <v>8814</v>
      </c>
      <c r="E129" s="2548"/>
      <c r="F129" s="2547"/>
      <c r="G129" s="2549"/>
      <c r="H129" s="2549"/>
      <c r="I129" s="2546" t="str">
        <f>IFERROR(IF(D127="Ataque Elemental",IF(NOT(ISNA(VLOOKUP(D131,'Tablas Técnicas'!$O$100:$O$105,1,0))),D131,"Variable"),VLOOKUP(D127,'Tablas Técnicas'!$O$9:$W$88,9,FALSE)),"")</f>
        <v/>
      </c>
      <c r="J129" s="2550" t="s">
        <v>8814</v>
      </c>
      <c r="K129" s="2551"/>
      <c r="L129" s="2552"/>
      <c r="M129" s="2553"/>
      <c r="N129" s="2553"/>
      <c r="O129" s="2554" t="str">
        <f>IFERROR(IF(J127="Ataque Elemental",IF(NOT(ISNA(VLOOKUP(J131,'Tablas Técnicas'!$O$100:$O$105,1,0))),J131,"Variable"),VLOOKUP(J127,'Tablas Técnicas'!$O$9:$W$88,9,FALSE)),"")</f>
        <v/>
      </c>
      <c r="P129" s="2555" t="s">
        <v>8814</v>
      </c>
      <c r="Q129" s="2551"/>
      <c r="R129" s="2552"/>
      <c r="S129" s="2553"/>
      <c r="T129" s="2553"/>
      <c r="U129" s="2546" t="str">
        <f>IFERROR(IF(P127="Ataque Elemental",IF(NOT(ISNA(VLOOKUP(P131,'Tablas Técnicas'!$O$100:$O$105,1,0))),P131,"Variable"),VLOOKUP(P127,'Tablas Técnicas'!$O$9:$W$88,9,FALSE)),"")</f>
        <v/>
      </c>
      <c r="V129" s="2550" t="s">
        <v>8814</v>
      </c>
      <c r="W129" s="2551"/>
      <c r="X129" s="2552"/>
      <c r="Y129" s="2553"/>
      <c r="Z129" s="2553"/>
      <c r="AA129" s="2554" t="str">
        <f>IFERROR(IF(V127="Ataque Elemental",IF(NOT(ISNA(VLOOKUP(V131,'Tablas Técnicas'!$O$100:$O$105,1,0))),V131,"Variable"),VLOOKUP(V127,'Tablas Técnicas'!$O$9:$W$88,9,FALSE)),"")</f>
        <v/>
      </c>
      <c r="AB129" s="2555" t="s">
        <v>8814</v>
      </c>
      <c r="AC129" s="2551"/>
      <c r="AD129" s="2552"/>
      <c r="AE129" s="2553"/>
      <c r="AF129" s="2553"/>
      <c r="AG129" s="2050" t="str">
        <f>IFERROR(IF(AB127="Ataque Elemental",IF(NOT(ISNA(VLOOKUP(AB131,'Tablas Técnicas'!$O$100:$O$105,1,0))),AB131,"Variable"),VLOOKUP(AB127,'Tablas Técnicas'!$O$9:$W$88,9,FALSE)),"")</f>
        <v/>
      </c>
      <c r="AH129" s="2193"/>
      <c r="AI129" s="4558"/>
      <c r="AJ129" s="3089"/>
      <c r="AK129" s="3091" t="s">
        <v>1373</v>
      </c>
      <c r="AL129" s="3091" t="s">
        <v>1498</v>
      </c>
      <c r="AM129" s="3091" t="s">
        <v>1378</v>
      </c>
      <c r="AN129" s="3091" t="s">
        <v>1383</v>
      </c>
      <c r="AO129" s="3091" t="s">
        <v>1391</v>
      </c>
      <c r="AP129" s="3091" t="s">
        <v>1392</v>
      </c>
      <c r="AQ129" s="3090"/>
      <c r="AR129" s="3091"/>
      <c r="AS129" s="3091"/>
      <c r="AT129" s="3091"/>
      <c r="AU129" s="3091"/>
      <c r="AV129" s="3091"/>
      <c r="AW129" s="3091"/>
      <c r="AX129" s="3091"/>
      <c r="AY129" s="3089"/>
    </row>
    <row r="130" spans="1:51" ht="12.2" customHeight="1" x14ac:dyDescent="0.2">
      <c r="A130" s="2185"/>
      <c r="B130" s="2099">
        <f t="shared" si="2"/>
        <v>4</v>
      </c>
      <c r="C130" s="4538"/>
      <c r="D130" s="4553" t="s">
        <v>2827</v>
      </c>
      <c r="E130" s="4554"/>
      <c r="F130" s="4554"/>
      <c r="G130" s="4554"/>
      <c r="H130" s="4555"/>
      <c r="I130" s="1938" t="s">
        <v>1403</v>
      </c>
      <c r="J130" s="4553" t="s">
        <v>2827</v>
      </c>
      <c r="K130" s="4554"/>
      <c r="L130" s="4554"/>
      <c r="M130" s="4554"/>
      <c r="N130" s="4555"/>
      <c r="O130" s="1939" t="s">
        <v>1403</v>
      </c>
      <c r="P130" s="4553" t="s">
        <v>2827</v>
      </c>
      <c r="Q130" s="4554"/>
      <c r="R130" s="4554"/>
      <c r="S130" s="4554"/>
      <c r="T130" s="4555"/>
      <c r="U130" s="1939" t="s">
        <v>1403</v>
      </c>
      <c r="V130" s="4553"/>
      <c r="W130" s="4554"/>
      <c r="X130" s="4554"/>
      <c r="Y130" s="4554"/>
      <c r="Z130" s="4555"/>
      <c r="AA130" s="1939" t="s">
        <v>1403</v>
      </c>
      <c r="AB130" s="4553" t="s">
        <v>2827</v>
      </c>
      <c r="AC130" s="4554"/>
      <c r="AD130" s="4554"/>
      <c r="AE130" s="4554"/>
      <c r="AF130" s="4555"/>
      <c r="AG130" s="1940" t="s">
        <v>1403</v>
      </c>
      <c r="AH130" s="2193"/>
      <c r="AI130" s="4558"/>
      <c r="AJ130" s="3094" t="s">
        <v>9343</v>
      </c>
      <c r="AK130" s="3089" t="str">
        <f>IF(V116="","",IF(SUM(V118:V122)=0,"",V116&amp;" "&amp;SUM(V118:V122)+V125&amp;IF(SUM(W118:W122)=0,""," ("&amp;SUM(W118:W122)&amp;")")&amp;", "))</f>
        <v/>
      </c>
      <c r="AL130" s="3089" t="str">
        <f>IF(X116="","",IF(SUM(X118:X122)=0,"",X116&amp;" "&amp;SUM(X118:X122)+X125&amp;IF(SUM(Y118:Y122)=0,""," ("&amp;SUM(Y118:Y122)&amp;")")&amp;", "))</f>
        <v/>
      </c>
      <c r="AM130" s="3089" t="str">
        <f>IF(Z116="","",IF(SUM(Z118:Z122)=0,"",Z116&amp;" "&amp;SUM(Z118:Z122)+Z125&amp;IF(SUM(AA118:AA122)=0,""," ("&amp;SUM(AA118:AA122)&amp;")")&amp;", "))</f>
        <v/>
      </c>
      <c r="AN130" s="3089" t="str">
        <f>IF(AB116="","",IF(SUM(AB118:AB122)=0,"",AB116&amp;" "&amp;SUM(AB118:AB122)+AB125&amp;IF(SUM(AC118:AC122)=0,""," ("&amp;SUM(AC118:AC122)&amp;")")&amp;", "))</f>
        <v/>
      </c>
      <c r="AO130" s="3089" t="str">
        <f>IF(AD116="","",IF(SUM(AD118:AD122)=0,"",AD116&amp;" "&amp;SUM(AD118:AD122)+AD125&amp;IF(SUM(AE118:AE122)=0,""," ("&amp;SUM(AE118:AE122)&amp;")")&amp;", "))</f>
        <v/>
      </c>
      <c r="AP130" s="3089" t="str">
        <f>IF(AF116="","",IF(SUM(AF118:AF122)=0,"",AF116&amp;" "&amp;SUM(AF118:AF122)+AF125&amp;IF(SUM(AG118:AG122)=0,""," ("&amp;SUM(AG118:AG122)&amp;")")&amp;", "))</f>
        <v/>
      </c>
      <c r="AQ130" s="3089"/>
      <c r="AR130" s="3089"/>
      <c r="AS130" s="3089"/>
      <c r="AT130" s="3089"/>
      <c r="AU130" s="3089"/>
      <c r="AV130" s="3089"/>
      <c r="AW130" s="3089"/>
      <c r="AX130" s="3089"/>
      <c r="AY130" s="3089"/>
    </row>
    <row r="131" spans="1:51" ht="12.2" customHeight="1" x14ac:dyDescent="0.2">
      <c r="A131" s="2185"/>
      <c r="B131" s="2099">
        <f t="shared" si="2"/>
        <v>4</v>
      </c>
      <c r="C131" s="4538"/>
      <c r="D131" s="4575"/>
      <c r="E131" s="4573"/>
      <c r="F131" s="4573"/>
      <c r="G131" s="4573"/>
      <c r="H131" s="4573"/>
      <c r="I131" s="1941" t="str">
        <f>IF(OR(D127="",D131=""),"",MAX(1,SUMPRODUCT(--(INDEX('Tablas Técnicas'!$C$10:$L$643,,1)=D127),--(INDEX('Tablas Técnicas'!$C$10:$L$643,,2)=D131),INDEX('Tablas Técnicas'!$C$10:$L$643,,9))))</f>
        <v/>
      </c>
      <c r="J131" s="4572"/>
      <c r="K131" s="4573"/>
      <c r="L131" s="4573"/>
      <c r="M131" s="4573"/>
      <c r="N131" s="4573"/>
      <c r="O131" s="1941" t="str">
        <f>IF(OR(J127="",J131=""),"",MAX(1,SUMPRODUCT(--(INDEX('Tablas Técnicas'!$C$10:$L$643,,1)=J127),--(INDEX('Tablas Técnicas'!$C$10:$L$643,,2)=J131),INDEX('Tablas Técnicas'!$C$10:$L$643,,9))))</f>
        <v/>
      </c>
      <c r="P131" s="4572"/>
      <c r="Q131" s="4573"/>
      <c r="R131" s="4573"/>
      <c r="S131" s="4573"/>
      <c r="T131" s="4573"/>
      <c r="U131" s="1941" t="str">
        <f>IF(OR(P127="",P131=""),"",MAX(1,SUMPRODUCT(--(INDEX('Tablas Técnicas'!$C$10:$L$643,,1)=P127),--(INDEX('Tablas Técnicas'!$C$10:$L$643,,2)=P131),INDEX('Tablas Técnicas'!$C$10:$L$643,,9))))</f>
        <v/>
      </c>
      <c r="V131" s="4572"/>
      <c r="W131" s="4573"/>
      <c r="X131" s="4573"/>
      <c r="Y131" s="4573"/>
      <c r="Z131" s="4573"/>
      <c r="AA131" s="1941" t="str">
        <f>IF(OR(V127="",V131=""),"",MAX(1,SUMPRODUCT(--(INDEX('Tablas Técnicas'!$C$10:$L$643,,1)=V127),--(INDEX('Tablas Técnicas'!$C$10:$L$643,,2)=V131),INDEX('Tablas Técnicas'!$C$10:$L$643,,9))))</f>
        <v/>
      </c>
      <c r="AB131" s="4572"/>
      <c r="AC131" s="4573"/>
      <c r="AD131" s="4573"/>
      <c r="AE131" s="4573"/>
      <c r="AF131" s="4573"/>
      <c r="AG131" s="1942" t="str">
        <f>IF(OR(AB127="",AB131=""),"",MAX(1,SUMPRODUCT(--(INDEX('Tablas Técnicas'!$C$10:$L$643,,1)=AB127),--(INDEX('Tablas Técnicas'!$C$10:$L$643,,2)=AB131),INDEX('Tablas Técnicas'!$C$10:$L$643,,9))))</f>
        <v/>
      </c>
      <c r="AH131" s="2193">
        <f>P114</f>
        <v>1</v>
      </c>
      <c r="AI131" s="4558"/>
      <c r="AJ131" s="3089" t="s">
        <v>9307</v>
      </c>
      <c r="AK131" s="3089"/>
      <c r="AL131" s="3089">
        <f>MAX(0,SUM(AT118:AT122)+ABS($AC123*2/5))+IF(AM140,0,Y123)+IF(S114="Sí",3*P114,0)</f>
        <v>0</v>
      </c>
      <c r="AM131" s="3089">
        <f t="array" ref="AM131">IF(ISNUMBER(SEARCH("Mantenido",K118&amp;K119&amp;K120&amp;K121&amp;K122)),MAX(0,SUM(VALUE(RIGHT($P118:$P122,2)))),0)</f>
        <v>0</v>
      </c>
      <c r="AN131" s="3091"/>
      <c r="AO131" s="3091"/>
      <c r="AP131" s="3096"/>
      <c r="AQ131" s="3096"/>
      <c r="AR131" s="3096"/>
      <c r="AS131" s="3096"/>
      <c r="AT131" s="3096"/>
      <c r="AU131" s="3096"/>
      <c r="AV131" s="3096"/>
      <c r="AW131" s="3096"/>
      <c r="AX131" s="3096"/>
      <c r="AY131" s="3089"/>
    </row>
    <row r="132" spans="1:51" ht="12.2" customHeight="1" x14ac:dyDescent="0.2">
      <c r="A132" s="2185"/>
      <c r="B132" s="2099">
        <f t="shared" si="2"/>
        <v>4</v>
      </c>
      <c r="C132" s="4538"/>
      <c r="D132" s="4556"/>
      <c r="E132" s="4557"/>
      <c r="F132" s="4557"/>
      <c r="G132" s="4557"/>
      <c r="H132" s="4557"/>
      <c r="I132" s="1943" t="str">
        <f>IF(OR(D127="",D132=""),"",MAX(1,SUMPRODUCT(--(INDEX('Tablas Técnicas'!$C$10:$L$643,,1)=D127),--(INDEX('Tablas Técnicas'!$C$10:$L$643,,2)=D132),INDEX('Tablas Técnicas'!$C$10:$L$643,,9))))</f>
        <v/>
      </c>
      <c r="J132" s="4556"/>
      <c r="K132" s="4557"/>
      <c r="L132" s="4557"/>
      <c r="M132" s="4557"/>
      <c r="N132" s="4557"/>
      <c r="O132" s="1943" t="str">
        <f>IF(OR(J127="",J132=""),"",MAX(1,SUMPRODUCT(--(INDEX('Tablas Técnicas'!$C$10:$L$643,,1)=J127),--(INDEX('Tablas Técnicas'!$C$10:$L$643,,2)=J132),INDEX('Tablas Técnicas'!$C$10:$L$643,,9))))</f>
        <v/>
      </c>
      <c r="P132" s="4556"/>
      <c r="Q132" s="4557"/>
      <c r="R132" s="4557"/>
      <c r="S132" s="4557"/>
      <c r="T132" s="4557"/>
      <c r="U132" s="1943" t="str">
        <f>IF(OR(P127="",P132=""),"",MAX(1,SUMPRODUCT(--(INDEX('Tablas Técnicas'!$C$10:$L$643,,1)=P127),--(INDEX('Tablas Técnicas'!$C$10:$L$643,,2)=P132),INDEX('Tablas Técnicas'!$C$10:$L$643,,9))))</f>
        <v/>
      </c>
      <c r="V132" s="4556"/>
      <c r="W132" s="4557"/>
      <c r="X132" s="4557"/>
      <c r="Y132" s="4557"/>
      <c r="Z132" s="4557"/>
      <c r="AA132" s="1943" t="str">
        <f>IF(OR(V127="",V132=""),"",MAX(1,SUMPRODUCT(--(INDEX('Tablas Técnicas'!$C$10:$L$643,,1)=V127),--(INDEX('Tablas Técnicas'!$C$10:$L$643,,2)=V132),INDEX('Tablas Técnicas'!$C$10:$L$643,,9))))</f>
        <v/>
      </c>
      <c r="AB132" s="4556"/>
      <c r="AC132" s="4557"/>
      <c r="AD132" s="4557"/>
      <c r="AE132" s="4557"/>
      <c r="AF132" s="4557"/>
      <c r="AG132" s="1944" t="str">
        <f>IF(OR(AB127="",AB132=""),"",MAX(1,SUMPRODUCT(--(INDEX('Tablas Técnicas'!$C$10:$L$643,,1)=AB127),--(INDEX('Tablas Técnicas'!$C$10:$L$643,,2)=AB132),INDEX('Tablas Técnicas'!$C$10:$L$643,,9))))</f>
        <v/>
      </c>
      <c r="AH132" s="2193">
        <f>P114</f>
        <v>1</v>
      </c>
      <c r="AI132" s="4558"/>
      <c r="AJ132" s="3089" t="s">
        <v>8816</v>
      </c>
      <c r="AK132" s="3089"/>
      <c r="AL132" s="3089">
        <f>SUM(V118:V122,X118:X122,Z118:Z122,AB118:AB122,AD118:AD122,AF118:AF122)+SUM(V125:AG125)</f>
        <v>0</v>
      </c>
      <c r="AM132" s="3089">
        <f>SUM(W118:W122,Y118:Y122,AA118:AA122,AC118:AC122,AE118:AE122,AG118:AG122)</f>
        <v>0</v>
      </c>
      <c r="AN132" s="3089"/>
      <c r="AO132" s="3089"/>
      <c r="AP132" s="3089"/>
      <c r="AQ132" s="3089"/>
      <c r="AR132" s="3089"/>
      <c r="AS132" s="3089"/>
      <c r="AT132" s="3089"/>
      <c r="AU132" s="3089"/>
      <c r="AV132" s="3089"/>
      <c r="AW132" s="3091"/>
      <c r="AX132" s="3089"/>
      <c r="AY132" s="3089"/>
    </row>
    <row r="133" spans="1:51" ht="12.2" customHeight="1" x14ac:dyDescent="0.2">
      <c r="A133" s="2185"/>
      <c r="B133" s="2099">
        <f t="shared" si="2"/>
        <v>4</v>
      </c>
      <c r="C133" s="4538"/>
      <c r="D133" s="4556"/>
      <c r="E133" s="4557"/>
      <c r="F133" s="4557"/>
      <c r="G133" s="4557"/>
      <c r="H133" s="4557"/>
      <c r="I133" s="1943" t="str">
        <f>IF(OR(D127="",D133=""),"",MAX(1,SUMPRODUCT(--(INDEX('Tablas Técnicas'!$C$10:$L$643,,1)=D127),--(INDEX('Tablas Técnicas'!$C$10:$L$643,,2)=D133),INDEX('Tablas Técnicas'!$C$10:$L$643,,9))))</f>
        <v/>
      </c>
      <c r="J133" s="4556"/>
      <c r="K133" s="4557"/>
      <c r="L133" s="4557"/>
      <c r="M133" s="4557"/>
      <c r="N133" s="4557"/>
      <c r="O133" s="1943" t="str">
        <f>IF(OR(J127="",J133=""),"",MAX(1,SUMPRODUCT(--(INDEX('Tablas Técnicas'!$C$10:$L$643,,1)=J127),--(INDEX('Tablas Técnicas'!$C$10:$L$643,,2)=J133),INDEX('Tablas Técnicas'!$C$10:$L$643,,9))))</f>
        <v/>
      </c>
      <c r="P133" s="4556"/>
      <c r="Q133" s="4557"/>
      <c r="R133" s="4557"/>
      <c r="S133" s="4557"/>
      <c r="T133" s="4557"/>
      <c r="U133" s="1943" t="str">
        <f>IF(OR(P127="",P133=""),"",MAX(1,SUMPRODUCT(--(INDEX('Tablas Técnicas'!$C$10:$L$643,,1)=P127),--(INDEX('Tablas Técnicas'!$C$10:$L$643,,2)=P133),INDEX('Tablas Técnicas'!$C$10:$L$643,,9))))</f>
        <v/>
      </c>
      <c r="V133" s="4556"/>
      <c r="W133" s="4557"/>
      <c r="X133" s="4557"/>
      <c r="Y133" s="4557"/>
      <c r="Z133" s="4557"/>
      <c r="AA133" s="1943" t="str">
        <f>IF(OR(V127="",V133=""),"",MAX(1,SUMPRODUCT(--(INDEX('Tablas Técnicas'!$C$10:$L$643,,1)=V127),--(INDEX('Tablas Técnicas'!$C$10:$L$643,,2)=V133),INDEX('Tablas Técnicas'!$C$10:$L$643,,9))))</f>
        <v/>
      </c>
      <c r="AB133" s="4556"/>
      <c r="AC133" s="4557"/>
      <c r="AD133" s="4557"/>
      <c r="AE133" s="4557"/>
      <c r="AF133" s="4557"/>
      <c r="AG133" s="1944" t="str">
        <f>IF(OR(AB127="",AB133=""),"",MAX(1,SUMPRODUCT(--(INDEX('Tablas Técnicas'!$C$10:$L$643,,1)=AB127),--(INDEX('Tablas Técnicas'!$C$10:$L$643,,2)=AB133),INDEX('Tablas Técnicas'!$C$10:$L$643,,9))))</f>
        <v/>
      </c>
      <c r="AH133" s="2193">
        <f>P114</f>
        <v>1</v>
      </c>
      <c r="AI133" s="4558"/>
      <c r="AJ133" s="3089"/>
      <c r="AK133" s="3089"/>
      <c r="AL133" s="3089"/>
      <c r="AM133" s="3089"/>
      <c r="AN133" s="3089"/>
      <c r="AO133" s="3089"/>
      <c r="AP133" s="3089"/>
      <c r="AQ133" s="3089"/>
      <c r="AR133" s="3089"/>
      <c r="AS133" s="3089"/>
      <c r="AT133" s="3089"/>
      <c r="AU133" s="3089"/>
      <c r="AV133" s="3089"/>
      <c r="AW133" s="3091"/>
      <c r="AX133" s="3091"/>
      <c r="AY133" s="3089"/>
    </row>
    <row r="134" spans="1:51" ht="12.2" customHeight="1" x14ac:dyDescent="0.2">
      <c r="A134" s="2185"/>
      <c r="B134" s="2099">
        <f t="shared" si="2"/>
        <v>4</v>
      </c>
      <c r="C134" s="4538"/>
      <c r="D134" s="4556"/>
      <c r="E134" s="4557"/>
      <c r="F134" s="4557"/>
      <c r="G134" s="4557"/>
      <c r="H134" s="4557"/>
      <c r="I134" s="1943" t="str">
        <f>IF(OR(D127="",D134=""),"",MAX(1,SUMPRODUCT(--(INDEX('Tablas Técnicas'!$C$10:$L$643,,1)=D127),--(INDEX('Tablas Técnicas'!$C$10:$L$643,,2)=D134),INDEX('Tablas Técnicas'!$C$10:$L$643,,9))))</f>
        <v/>
      </c>
      <c r="J134" s="4556"/>
      <c r="K134" s="4557"/>
      <c r="L134" s="4557"/>
      <c r="M134" s="4557"/>
      <c r="N134" s="4557"/>
      <c r="O134" s="1943" t="str">
        <f>IF(OR(J127="",J134=""),"",MAX(1,SUMPRODUCT(--(INDEX('Tablas Técnicas'!$C$10:$L$643,,1)=J127),--(INDEX('Tablas Técnicas'!$C$10:$L$643,,2)=J134),INDEX('Tablas Técnicas'!$C$10:$L$643,,9))))</f>
        <v/>
      </c>
      <c r="P134" s="4556"/>
      <c r="Q134" s="4557"/>
      <c r="R134" s="4557"/>
      <c r="S134" s="4557"/>
      <c r="T134" s="4557"/>
      <c r="U134" s="1943" t="str">
        <f>IF(OR(P127="",P134=""),"",MAX(1,SUMPRODUCT(--(INDEX('Tablas Técnicas'!$C$10:$L$643,,1)=P127),--(INDEX('Tablas Técnicas'!$C$10:$L$643,,2)=P134),INDEX('Tablas Técnicas'!$C$10:$L$643,,9))))</f>
        <v/>
      </c>
      <c r="V134" s="4556"/>
      <c r="W134" s="4557"/>
      <c r="X134" s="4557"/>
      <c r="Y134" s="4557"/>
      <c r="Z134" s="4557"/>
      <c r="AA134" s="1943" t="str">
        <f>IF(OR(V127="",V134=""),"",MAX(1,SUMPRODUCT(--(INDEX('Tablas Técnicas'!$C$10:$L$643,,1)=V127),--(INDEX('Tablas Técnicas'!$C$10:$L$643,,2)=V134),INDEX('Tablas Técnicas'!$C$10:$L$643,,9))))</f>
        <v/>
      </c>
      <c r="AB134" s="4556"/>
      <c r="AC134" s="4557"/>
      <c r="AD134" s="4557"/>
      <c r="AE134" s="4557"/>
      <c r="AF134" s="4557"/>
      <c r="AG134" s="1944" t="str">
        <f>IF(OR(AB127="",AB134=""),"",MAX(1,SUMPRODUCT(--(INDEX('Tablas Técnicas'!$C$10:$L$643,,1)=AB127),--(INDEX('Tablas Técnicas'!$C$10:$L$643,,2)=AB134),INDEX('Tablas Técnicas'!$C$10:$L$643,,9))))</f>
        <v/>
      </c>
      <c r="AH134" s="2193">
        <f>P114</f>
        <v>1</v>
      </c>
      <c r="AI134" s="4558"/>
      <c r="AJ134" s="3089" t="s">
        <v>8817</v>
      </c>
      <c r="AK134" s="3089"/>
      <c r="AL134" s="3089"/>
      <c r="AM134" s="3089"/>
      <c r="AN134" s="3089"/>
      <c r="AO134" s="3089"/>
      <c r="AP134" s="3089"/>
      <c r="AQ134" s="3090"/>
      <c r="AR134" s="3091"/>
      <c r="AS134" s="3091"/>
      <c r="AT134" s="3091"/>
      <c r="AU134" s="3091"/>
      <c r="AV134" s="3091"/>
      <c r="AW134" s="3091"/>
      <c r="AX134" s="3091"/>
      <c r="AY134" s="3089"/>
    </row>
    <row r="135" spans="1:51" ht="12.2" customHeight="1" x14ac:dyDescent="0.2">
      <c r="A135" s="2185"/>
      <c r="B135" s="2099">
        <f t="shared" si="2"/>
        <v>4</v>
      </c>
      <c r="C135" s="4538"/>
      <c r="D135" s="4556"/>
      <c r="E135" s="4557"/>
      <c r="F135" s="4557"/>
      <c r="G135" s="4557"/>
      <c r="H135" s="4557"/>
      <c r="I135" s="1943" t="str">
        <f>IF(OR(D127="",D135=""),"",MAX(1,SUMPRODUCT(--(INDEX('Tablas Técnicas'!$C$10:$L$643,,1)=D127),--(INDEX('Tablas Técnicas'!$C$10:$L$643,,2)=D135),INDEX('Tablas Técnicas'!$C$10:$L$643,,9))))</f>
        <v/>
      </c>
      <c r="J135" s="4556"/>
      <c r="K135" s="4557"/>
      <c r="L135" s="4557"/>
      <c r="M135" s="4557"/>
      <c r="N135" s="4557"/>
      <c r="O135" s="1943" t="str">
        <f>IF(OR(J127="",J135=""),"",MAX(1,SUMPRODUCT(--(INDEX('Tablas Técnicas'!$C$10:$L$643,,1)=J127),--(INDEX('Tablas Técnicas'!$C$10:$L$643,,2)=J135),INDEX('Tablas Técnicas'!$C$10:$L$643,,9))))</f>
        <v/>
      </c>
      <c r="P135" s="4556"/>
      <c r="Q135" s="4557"/>
      <c r="R135" s="4557"/>
      <c r="S135" s="4557"/>
      <c r="T135" s="4557"/>
      <c r="U135" s="1943" t="str">
        <f>IF(OR(P127="",P135=""),"",MAX(1,SUMPRODUCT(--(INDEX('Tablas Técnicas'!$C$10:$L$643,,1)=P127),--(INDEX('Tablas Técnicas'!$C$10:$L$643,,2)=P135),INDEX('Tablas Técnicas'!$C$10:$L$643,,9))))</f>
        <v/>
      </c>
      <c r="V135" s="4556"/>
      <c r="W135" s="4557"/>
      <c r="X135" s="4557"/>
      <c r="Y135" s="4557"/>
      <c r="Z135" s="4557"/>
      <c r="AA135" s="1943" t="str">
        <f>IF(OR(V127="",V135=""),"",MAX(1,SUMPRODUCT(--(INDEX('Tablas Técnicas'!$C$10:$L$643,,1)=V127),--(INDEX('Tablas Técnicas'!$C$10:$L$643,,2)=V135),INDEX('Tablas Técnicas'!$C$10:$L$643,,9))))</f>
        <v/>
      </c>
      <c r="AB135" s="4556"/>
      <c r="AC135" s="4557"/>
      <c r="AD135" s="4557"/>
      <c r="AE135" s="4557"/>
      <c r="AF135" s="4557"/>
      <c r="AG135" s="1944" t="str">
        <f>IF(OR(AB127="",AB135=""),"",MAX(1,SUMPRODUCT(--(INDEX('Tablas Técnicas'!$C$10:$L$643,,1)=AB127),--(INDEX('Tablas Técnicas'!$C$10:$L$643,,2)=AB135),INDEX('Tablas Técnicas'!$C$10:$L$643,,9))))</f>
        <v/>
      </c>
      <c r="AH135" s="2193">
        <f>P114</f>
        <v>1</v>
      </c>
      <c r="AI135" s="4558"/>
      <c r="AJ135" s="3089" t="s">
        <v>9971</v>
      </c>
      <c r="AK135" s="3089"/>
      <c r="AL135" s="3089"/>
      <c r="AM135" s="3089" t="b">
        <f>U114&gt;IF(P114=3,200,IF(P114=2,100,50))</f>
        <v>0</v>
      </c>
      <c r="AN135" s="3089"/>
      <c r="AO135" s="3089"/>
      <c r="AP135" s="3089"/>
      <c r="AQ135" s="3089"/>
      <c r="AR135" s="3091"/>
      <c r="AS135" s="3091"/>
      <c r="AT135" s="3091"/>
      <c r="AU135" s="3091"/>
      <c r="AV135" s="3091"/>
      <c r="AW135" s="3091"/>
      <c r="AX135" s="3091"/>
      <c r="AY135" s="3089"/>
    </row>
    <row r="136" spans="1:51" ht="12.2" customHeight="1" x14ac:dyDescent="0.2">
      <c r="A136" s="2185"/>
      <c r="B136" s="2099">
        <f t="shared" si="2"/>
        <v>4</v>
      </c>
      <c r="C136" s="4538"/>
      <c r="D136" s="4556"/>
      <c r="E136" s="4557"/>
      <c r="F136" s="4557"/>
      <c r="G136" s="4557"/>
      <c r="H136" s="4557"/>
      <c r="I136" s="1943" t="str">
        <f>IF(OR(D127="",D136=""),"",MAX(1,SUMPRODUCT(--(INDEX('Tablas Técnicas'!$C$10:$L$643,,1)=D127),--(INDEX('Tablas Técnicas'!$C$10:$L$643,,2)=D136),INDEX('Tablas Técnicas'!$C$10:$L$643,,9))))</f>
        <v/>
      </c>
      <c r="J136" s="4556"/>
      <c r="K136" s="4557"/>
      <c r="L136" s="4557"/>
      <c r="M136" s="4557"/>
      <c r="N136" s="4557"/>
      <c r="O136" s="1943" t="str">
        <f>IF(OR(J127="",J136=""),"",MAX(1,SUMPRODUCT(--(INDEX('Tablas Técnicas'!$C$10:$L$643,,1)=J127),--(INDEX('Tablas Técnicas'!$C$10:$L$643,,2)=J136),INDEX('Tablas Técnicas'!$C$10:$L$643,,9))))</f>
        <v/>
      </c>
      <c r="P136" s="4556"/>
      <c r="Q136" s="4557"/>
      <c r="R136" s="4557"/>
      <c r="S136" s="4557"/>
      <c r="T136" s="4557"/>
      <c r="U136" s="1943" t="str">
        <f>IF(OR(P127="",P136=""),"",MAX(1,SUMPRODUCT(--(INDEX('Tablas Técnicas'!$C$10:$L$643,,1)=P127),--(INDEX('Tablas Técnicas'!$C$10:$L$643,,2)=P136),INDEX('Tablas Técnicas'!$C$10:$L$643,,9))))</f>
        <v/>
      </c>
      <c r="V136" s="4556"/>
      <c r="W136" s="4557"/>
      <c r="X136" s="4557"/>
      <c r="Y136" s="4557"/>
      <c r="Z136" s="4557"/>
      <c r="AA136" s="1943" t="str">
        <f>IF(OR(V127="",V136=""),"",MAX(1,SUMPRODUCT(--(INDEX('Tablas Técnicas'!$C$10:$L$643,,1)=V127),--(INDEX('Tablas Técnicas'!$C$10:$L$643,,2)=V136),INDEX('Tablas Técnicas'!$C$10:$L$643,,9))))</f>
        <v/>
      </c>
      <c r="AB136" s="4556"/>
      <c r="AC136" s="4557"/>
      <c r="AD136" s="4557"/>
      <c r="AE136" s="4557"/>
      <c r="AF136" s="4557"/>
      <c r="AG136" s="1944" t="str">
        <f>IF(OR(AB127="",AB136=""),"",MAX(1,SUMPRODUCT(--(INDEX('Tablas Técnicas'!$C$10:$L$643,,1)=AB127),--(INDEX('Tablas Técnicas'!$C$10:$L$643,,2)=AB136),INDEX('Tablas Técnicas'!$C$10:$L$643,,9))))</f>
        <v/>
      </c>
      <c r="AH136" s="2193">
        <f>P114</f>
        <v>1</v>
      </c>
      <c r="AI136" s="4558"/>
      <c r="AJ136" s="3089" t="s">
        <v>8818</v>
      </c>
      <c r="AK136" s="3089"/>
      <c r="AL136" s="3089"/>
      <c r="AM136" s="3089" t="b">
        <f t="array" ref="AM136">MAX(I131:I137,O131:O137,U131:U137,AA131:AA137,AG131:AG137,RIGHT(S123:S125,1))&gt;P114</f>
        <v>0</v>
      </c>
      <c r="AN136" s="3089"/>
      <c r="AO136" s="3089"/>
      <c r="AP136" s="3089"/>
      <c r="AQ136" s="3090"/>
      <c r="AR136" s="3091"/>
      <c r="AS136" s="3091"/>
      <c r="AT136" s="3091"/>
      <c r="AU136" s="3091"/>
      <c r="AV136" s="3091"/>
      <c r="AW136" s="3091"/>
      <c r="AX136" s="3091"/>
      <c r="AY136" s="3089"/>
    </row>
    <row r="137" spans="1:51" ht="12.2" customHeight="1" x14ac:dyDescent="0.2">
      <c r="A137" s="2185"/>
      <c r="B137" s="2099">
        <f t="shared" si="2"/>
        <v>4</v>
      </c>
      <c r="C137" s="4538"/>
      <c r="D137" s="4570"/>
      <c r="E137" s="4571"/>
      <c r="F137" s="4571"/>
      <c r="G137" s="4571"/>
      <c r="H137" s="4571"/>
      <c r="I137" s="1945" t="str">
        <f>IF(OR(D127="",D137=""),"",MAX(1,SUMPRODUCT(--(INDEX('Tablas Técnicas'!$C$10:$L$643,,1)=D127),--(INDEX('Tablas Técnicas'!$C$10:$L$643,,2)=D137),INDEX('Tablas Técnicas'!$C$10:$L$643,,9))))</f>
        <v/>
      </c>
      <c r="J137" s="4570"/>
      <c r="K137" s="4571"/>
      <c r="L137" s="4571"/>
      <c r="M137" s="4571"/>
      <c r="N137" s="4571"/>
      <c r="O137" s="1945" t="str">
        <f>IF(OR(J127="",J137=""),"",MAX(1,SUMPRODUCT(--(INDEX('Tablas Técnicas'!$C$10:$L$643,,1)=J127),--(INDEX('Tablas Técnicas'!$C$10:$L$643,,2)=J137),INDEX('Tablas Técnicas'!$C$10:$L$643,,9))))</f>
        <v/>
      </c>
      <c r="P137" s="4570"/>
      <c r="Q137" s="4571"/>
      <c r="R137" s="4571"/>
      <c r="S137" s="4571"/>
      <c r="T137" s="4571"/>
      <c r="U137" s="1945" t="str">
        <f>IF(OR(P127="",P137=""),"",MAX(1,SUMPRODUCT(--(INDEX('Tablas Técnicas'!$C$10:$L$643,,1)=P127),--(INDEX('Tablas Técnicas'!$C$10:$L$643,,2)=P137),INDEX('Tablas Técnicas'!$C$10:$L$643,,9))))</f>
        <v/>
      </c>
      <c r="V137" s="4570"/>
      <c r="W137" s="4571"/>
      <c r="X137" s="4571"/>
      <c r="Y137" s="4571"/>
      <c r="Z137" s="4571"/>
      <c r="AA137" s="1945" t="str">
        <f>IF(OR(V127="",V137=""),"",MAX(1,SUMPRODUCT(--(INDEX('Tablas Técnicas'!$C$10:$L$643,,1)=V127),--(INDEX('Tablas Técnicas'!$C$10:$L$643,,2)=V137),INDEX('Tablas Técnicas'!$C$10:$L$643,,9))))</f>
        <v/>
      </c>
      <c r="AB137" s="4570"/>
      <c r="AC137" s="4571"/>
      <c r="AD137" s="4571"/>
      <c r="AE137" s="4571"/>
      <c r="AF137" s="4571"/>
      <c r="AG137" s="1946" t="str">
        <f>IF(OR(AB127="",AB137=""),"",MAX(1,SUMPRODUCT(--(INDEX('Tablas Técnicas'!$C$10:$L$643,,1)=AB127),--(INDEX('Tablas Técnicas'!$C$10:$L$643,,2)=AB137),INDEX('Tablas Técnicas'!$C$10:$L$643,,9))))</f>
        <v/>
      </c>
      <c r="AH137" s="2193">
        <f>P114</f>
        <v>1</v>
      </c>
      <c r="AI137" s="4558"/>
      <c r="AJ137" s="3089" t="s">
        <v>9324</v>
      </c>
      <c r="AK137" s="3089"/>
      <c r="AL137" s="3089"/>
      <c r="AM137" s="3089" t="b">
        <f>AND(COUNTIF(K118:M122,"Mantenido"),OR(COUNTIF(K118:M122,"Sostenimiento Menor"),COUNTIF(K118:M122,"Sostenimiento Mayor")))</f>
        <v>0</v>
      </c>
      <c r="AN137" s="3090"/>
      <c r="AO137" s="3089"/>
      <c r="AP137" s="3089"/>
      <c r="AQ137" s="3089"/>
      <c r="AR137" s="3089"/>
      <c r="AS137" s="3089"/>
      <c r="AT137" s="3089"/>
      <c r="AU137" s="3091"/>
      <c r="AV137" s="3091"/>
      <c r="AW137" s="3091"/>
      <c r="AX137" s="3091"/>
      <c r="AY137" s="3089"/>
    </row>
    <row r="138" spans="1:51" ht="12.2" customHeight="1" x14ac:dyDescent="0.2">
      <c r="A138" s="2185"/>
      <c r="B138" s="2099">
        <f t="shared" si="2"/>
        <v>4</v>
      </c>
      <c r="C138" s="4538"/>
      <c r="D138" s="4549" t="s">
        <v>1549</v>
      </c>
      <c r="E138" s="4550"/>
      <c r="F138" s="4550"/>
      <c r="G138" s="4550"/>
      <c r="H138" s="4550"/>
      <c r="I138" s="4550"/>
      <c r="J138" s="4550"/>
      <c r="K138" s="4550"/>
      <c r="L138" s="4550"/>
      <c r="M138" s="4550"/>
      <c r="N138" s="4550"/>
      <c r="O138" s="4550"/>
      <c r="P138" s="4550"/>
      <c r="Q138" s="4550"/>
      <c r="R138" s="4550"/>
      <c r="S138" s="4550"/>
      <c r="T138" s="4550"/>
      <c r="U138" s="4550"/>
      <c r="V138" s="4550"/>
      <c r="W138" s="4550"/>
      <c r="X138" s="4550"/>
      <c r="Y138" s="4550"/>
      <c r="Z138" s="4550"/>
      <c r="AA138" s="4550"/>
      <c r="AB138" s="4550"/>
      <c r="AC138" s="4550"/>
      <c r="AD138" s="4550"/>
      <c r="AE138" s="4550"/>
      <c r="AF138" s="4550"/>
      <c r="AG138" s="4576"/>
      <c r="AH138" s="2193"/>
      <c r="AI138" s="4558"/>
      <c r="AJ138" s="3089" t="s">
        <v>9323</v>
      </c>
      <c r="AK138" s="3089"/>
      <c r="AL138" s="3089"/>
      <c r="AM138" s="308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89"/>
      <c r="AO138" s="3089"/>
      <c r="AP138" s="3089"/>
      <c r="AQ138" s="3090"/>
      <c r="AR138" s="3089"/>
      <c r="AS138" s="3089"/>
      <c r="AT138" s="3089"/>
      <c r="AU138" s="3091"/>
      <c r="AV138" s="3091"/>
      <c r="AW138" s="3091"/>
      <c r="AX138" s="3091"/>
      <c r="AY138" s="3089"/>
    </row>
    <row r="139" spans="1:51" ht="12.2" customHeight="1" x14ac:dyDescent="0.2">
      <c r="A139" s="2185"/>
      <c r="B139" s="2099">
        <f t="shared" si="2"/>
        <v>4</v>
      </c>
      <c r="C139" s="4538"/>
      <c r="D139" s="4578"/>
      <c r="E139" s="4698"/>
      <c r="F139" s="4698"/>
      <c r="G139" s="4698"/>
      <c r="H139" s="4698"/>
      <c r="I139" s="4698"/>
      <c r="J139" s="4698"/>
      <c r="K139" s="4698"/>
      <c r="L139" s="4698"/>
      <c r="M139" s="4698"/>
      <c r="N139" s="4698"/>
      <c r="O139" s="4698"/>
      <c r="P139" s="4698"/>
      <c r="Q139" s="4698"/>
      <c r="R139" s="4698"/>
      <c r="S139" s="4698"/>
      <c r="T139" s="4698"/>
      <c r="U139" s="4698"/>
      <c r="V139" s="4698"/>
      <c r="W139" s="4698"/>
      <c r="X139" s="4698"/>
      <c r="Y139" s="4698"/>
      <c r="Z139" s="4698"/>
      <c r="AA139" s="4698"/>
      <c r="AB139" s="4698"/>
      <c r="AC139" s="4698"/>
      <c r="AD139" s="4698"/>
      <c r="AE139" s="4698"/>
      <c r="AF139" s="4698"/>
      <c r="AG139" s="4580"/>
      <c r="AH139" s="2193"/>
      <c r="AI139" s="4558"/>
      <c r="AJ139" s="3089" t="s">
        <v>9331</v>
      </c>
      <c r="AK139" s="3089"/>
      <c r="AL139" s="3089"/>
      <c r="AM139" s="308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89"/>
      <c r="AO139" s="3089"/>
      <c r="AP139" s="3089"/>
      <c r="AQ139" s="3090"/>
      <c r="AR139" s="3089"/>
      <c r="AS139" s="3089"/>
      <c r="AT139" s="3089"/>
      <c r="AU139" s="3091"/>
      <c r="AV139" s="3091"/>
      <c r="AW139" s="3091"/>
      <c r="AX139" s="3091"/>
      <c r="AY139" s="3089"/>
    </row>
    <row r="140" spans="1:51" ht="12.2" customHeight="1" x14ac:dyDescent="0.2">
      <c r="A140" s="2185"/>
      <c r="B140" s="2099">
        <f t="shared" si="2"/>
        <v>4</v>
      </c>
      <c r="C140" s="4538"/>
      <c r="D140" s="4578"/>
      <c r="E140" s="4698"/>
      <c r="F140" s="4698"/>
      <c r="G140" s="4698"/>
      <c r="H140" s="4698"/>
      <c r="I140" s="4698"/>
      <c r="J140" s="4698"/>
      <c r="K140" s="4698"/>
      <c r="L140" s="4698"/>
      <c r="M140" s="4698"/>
      <c r="N140" s="4698"/>
      <c r="O140" s="4698"/>
      <c r="P140" s="4698"/>
      <c r="Q140" s="4698"/>
      <c r="R140" s="4698"/>
      <c r="S140" s="4698"/>
      <c r="T140" s="4698"/>
      <c r="U140" s="4698"/>
      <c r="V140" s="4698"/>
      <c r="W140" s="4698"/>
      <c r="X140" s="4698"/>
      <c r="Y140" s="4698"/>
      <c r="Z140" s="4698"/>
      <c r="AA140" s="4698"/>
      <c r="AB140" s="4698"/>
      <c r="AC140" s="4698"/>
      <c r="AD140" s="4698"/>
      <c r="AE140" s="4698"/>
      <c r="AF140" s="4698"/>
      <c r="AG140" s="4580"/>
      <c r="AH140" s="2193"/>
      <c r="AI140" s="4558"/>
      <c r="AJ140" s="3089" t="s">
        <v>9310</v>
      </c>
      <c r="AK140" s="3089"/>
      <c r="AL140" s="3089"/>
      <c r="AM140" s="3089" t="b">
        <f>AND((IF(SUM(V118:V122)&gt;0,1,0)+IF(SUM(X118:X122)&gt;0,1,0)+IF(SUM(Z118:Z122)&gt;0,1,0)+IF(SUM(AB118:AB122)&gt;0,1,0)+IF(SUM(AD118:AD122,)&gt;0,1,0)+IF(SUM(AF118:AF122)&gt;0,1,0))&lt;3,OR(V125&lt;0,X125&lt;0,Z125&lt;0,AB125&lt;0,AD125&lt;0,AF125&lt;0,Y123&lt;0))</f>
        <v>0</v>
      </c>
      <c r="AN140" s="3089"/>
      <c r="AO140" s="3089"/>
      <c r="AP140" s="3089"/>
      <c r="AQ140" s="3090"/>
      <c r="AR140" s="3089"/>
      <c r="AS140" s="3089"/>
      <c r="AT140" s="3089"/>
      <c r="AU140" s="3091"/>
      <c r="AV140" s="3091"/>
      <c r="AW140" s="3091"/>
      <c r="AX140" s="3091"/>
      <c r="AY140" s="3089"/>
    </row>
    <row r="141" spans="1:51" ht="12.2" customHeight="1" x14ac:dyDescent="0.2">
      <c r="A141" s="2185"/>
      <c r="B141" s="2099">
        <f t="shared" si="2"/>
        <v>4</v>
      </c>
      <c r="C141" s="4538"/>
      <c r="D141" s="4578"/>
      <c r="E141" s="4698"/>
      <c r="F141" s="4698"/>
      <c r="G141" s="4698"/>
      <c r="H141" s="4698"/>
      <c r="I141" s="4698"/>
      <c r="J141" s="4698"/>
      <c r="K141" s="4698"/>
      <c r="L141" s="4698"/>
      <c r="M141" s="4698"/>
      <c r="N141" s="4698"/>
      <c r="O141" s="4698"/>
      <c r="P141" s="4698"/>
      <c r="Q141" s="4698"/>
      <c r="R141" s="4698"/>
      <c r="S141" s="4698"/>
      <c r="T141" s="4698"/>
      <c r="U141" s="4698"/>
      <c r="V141" s="4698"/>
      <c r="W141" s="4698"/>
      <c r="X141" s="4698"/>
      <c r="Y141" s="4698"/>
      <c r="Z141" s="4698"/>
      <c r="AA141" s="4698"/>
      <c r="AB141" s="4698"/>
      <c r="AC141" s="4698"/>
      <c r="AD141" s="4698"/>
      <c r="AE141" s="4698"/>
      <c r="AF141" s="4698"/>
      <c r="AG141" s="4580"/>
      <c r="AH141" s="2193"/>
      <c r="AI141" s="4558"/>
      <c r="AJ141" s="3089" t="s">
        <v>9325</v>
      </c>
      <c r="AK141" s="3089"/>
      <c r="AL141" s="3089"/>
      <c r="AM141" s="3089" t="b">
        <f>OR(-V125&gt;TRUNC(SUM(V118:V122)/2),-X125&gt;TRUNC(SUM(X118:X122)/2),-Z125&gt;TRUNC(SUM(Z118:Z122)/2),-AB125&gt;TRUNC(SUM(AB118:AB122)/2),-AD125&gt;TRUNC(SUM(AD118:AD122)/2),-AF125&gt;TRUNC(SUM(AF118:AF122)/2))</f>
        <v>0</v>
      </c>
      <c r="AN141" s="3089"/>
      <c r="AO141" s="3089"/>
      <c r="AP141" s="3089"/>
      <c r="AQ141" s="3090"/>
      <c r="AR141" s="3089"/>
      <c r="AS141" s="3089"/>
      <c r="AT141" s="3089"/>
      <c r="AU141" s="3091"/>
      <c r="AV141" s="3091"/>
      <c r="AW141" s="3091"/>
      <c r="AX141" s="3091"/>
      <c r="AY141" s="3089"/>
    </row>
    <row r="142" spans="1:51" ht="12.2" customHeight="1" x14ac:dyDescent="0.2">
      <c r="A142" s="2185"/>
      <c r="B142" s="2099">
        <f t="shared" si="2"/>
        <v>4</v>
      </c>
      <c r="C142" s="4538"/>
      <c r="D142" s="4578"/>
      <c r="E142" s="4698"/>
      <c r="F142" s="4698"/>
      <c r="G142" s="4698"/>
      <c r="H142" s="4698"/>
      <c r="I142" s="4698"/>
      <c r="J142" s="4698"/>
      <c r="K142" s="4698"/>
      <c r="L142" s="4698"/>
      <c r="M142" s="4698"/>
      <c r="N142" s="4698"/>
      <c r="O142" s="4698"/>
      <c r="P142" s="4698"/>
      <c r="Q142" s="4698"/>
      <c r="R142" s="4698"/>
      <c r="S142" s="4698"/>
      <c r="T142" s="4698"/>
      <c r="U142" s="4698"/>
      <c r="V142" s="4698"/>
      <c r="W142" s="4698"/>
      <c r="X142" s="4698"/>
      <c r="Y142" s="4698"/>
      <c r="Z142" s="4698"/>
      <c r="AA142" s="4698"/>
      <c r="AB142" s="4698"/>
      <c r="AC142" s="4698"/>
      <c r="AD142" s="4698"/>
      <c r="AE142" s="4698"/>
      <c r="AF142" s="4698"/>
      <c r="AG142" s="4580"/>
      <c r="AH142" s="2193"/>
      <c r="AI142" s="4558"/>
      <c r="AJ142" s="3089" t="s">
        <v>9326</v>
      </c>
      <c r="AK142" s="3089"/>
      <c r="AL142" s="3089"/>
      <c r="AM142" s="3089" t="b">
        <f>COUNTIF(D118:E122,"Primario")&gt;1</f>
        <v>0</v>
      </c>
      <c r="AN142" s="3089"/>
      <c r="AO142" s="3089"/>
      <c r="AP142" s="3089"/>
      <c r="AQ142" s="3090"/>
      <c r="AR142" s="3090"/>
      <c r="AS142" s="3090"/>
      <c r="AT142" s="3090"/>
      <c r="AU142" s="3091"/>
      <c r="AV142" s="3091"/>
      <c r="AW142" s="3091"/>
      <c r="AX142" s="3089"/>
      <c r="AY142" s="3089"/>
    </row>
    <row r="143" spans="1:51" ht="12.2" customHeight="1" x14ac:dyDescent="0.2">
      <c r="A143" s="2185"/>
      <c r="B143" s="2099">
        <f t="shared" si="2"/>
        <v>4</v>
      </c>
      <c r="C143" s="4538"/>
      <c r="D143" s="4578"/>
      <c r="E143" s="4698"/>
      <c r="F143" s="4698"/>
      <c r="G143" s="4698"/>
      <c r="H143" s="4698"/>
      <c r="I143" s="4698"/>
      <c r="J143" s="4698"/>
      <c r="K143" s="4698"/>
      <c r="L143" s="4698"/>
      <c r="M143" s="4698"/>
      <c r="N143" s="4698"/>
      <c r="O143" s="4698"/>
      <c r="P143" s="4698"/>
      <c r="Q143" s="4698"/>
      <c r="R143" s="4698"/>
      <c r="S143" s="4698"/>
      <c r="T143" s="4698"/>
      <c r="U143" s="4698"/>
      <c r="V143" s="4698"/>
      <c r="W143" s="4698"/>
      <c r="X143" s="4698"/>
      <c r="Y143" s="4698"/>
      <c r="Z143" s="4698"/>
      <c r="AA143" s="4698"/>
      <c r="AB143" s="4698"/>
      <c r="AC143" s="4698"/>
      <c r="AD143" s="4698"/>
      <c r="AE143" s="4698"/>
      <c r="AF143" s="4698"/>
      <c r="AG143" s="4580"/>
      <c r="AH143" s="2193"/>
      <c r="AI143" s="4558"/>
      <c r="AJ143" s="3089" t="s">
        <v>9309</v>
      </c>
      <c r="AK143" s="3089"/>
      <c r="AL143" s="3089"/>
      <c r="AM143" s="3089" t="b">
        <f>SUM(V125:AG125)&lt;&gt;Y123+ABS(AC123)*2/5+IF(S114="Sí",3*P114,0)</f>
        <v>0</v>
      </c>
      <c r="AN143" s="3089"/>
      <c r="AO143" s="3089"/>
      <c r="AP143" s="3089"/>
      <c r="AQ143" s="3090"/>
      <c r="AR143" s="3090"/>
      <c r="AS143" s="3090"/>
      <c r="AT143" s="3090"/>
      <c r="AU143" s="3091"/>
      <c r="AV143" s="3091"/>
      <c r="AW143" s="3091"/>
      <c r="AX143" s="3089"/>
      <c r="AY143" s="3089"/>
    </row>
    <row r="144" spans="1:51" ht="12.2" customHeight="1" x14ac:dyDescent="0.2">
      <c r="A144" s="2185"/>
      <c r="B144" s="2099">
        <f t="shared" si="2"/>
        <v>4</v>
      </c>
      <c r="C144" s="4538"/>
      <c r="D144" s="4578"/>
      <c r="E144" s="4698"/>
      <c r="F144" s="4698"/>
      <c r="G144" s="4698"/>
      <c r="H144" s="4698"/>
      <c r="I144" s="4698"/>
      <c r="J144" s="4698"/>
      <c r="K144" s="4698"/>
      <c r="L144" s="4698"/>
      <c r="M144" s="4698"/>
      <c r="N144" s="4698"/>
      <c r="O144" s="4698"/>
      <c r="P144" s="4698"/>
      <c r="Q144" s="4698"/>
      <c r="R144" s="4698"/>
      <c r="S144" s="4698"/>
      <c r="T144" s="4698"/>
      <c r="U144" s="4698"/>
      <c r="V144" s="4698"/>
      <c r="W144" s="4698"/>
      <c r="X144" s="4698"/>
      <c r="Y144" s="4698"/>
      <c r="Z144" s="4698"/>
      <c r="AA144" s="4698"/>
      <c r="AB144" s="4698"/>
      <c r="AC144" s="4698"/>
      <c r="AD144" s="4698"/>
      <c r="AE144" s="4698"/>
      <c r="AF144" s="4698"/>
      <c r="AG144" s="4580"/>
      <c r="AH144" s="2193"/>
      <c r="AI144" s="4558"/>
      <c r="AJ144" s="3089" t="s">
        <v>9308</v>
      </c>
      <c r="AK144" s="3089"/>
      <c r="AL144" s="3089"/>
      <c r="AM144" s="3089" t="b">
        <f>AL131-AL132+AM131-AM132&lt;&gt;0</f>
        <v>0</v>
      </c>
      <c r="AN144" s="3091"/>
      <c r="AO144" s="3091"/>
      <c r="AP144" s="3091"/>
      <c r="AQ144" s="3091"/>
      <c r="AR144" s="3090"/>
      <c r="AS144" s="3090"/>
      <c r="AT144" s="3090"/>
      <c r="AU144" s="3091"/>
      <c r="AV144" s="3091"/>
      <c r="AW144" s="3091"/>
      <c r="AX144" s="3089"/>
      <c r="AY144" s="3089"/>
    </row>
    <row r="145" spans="1:51" ht="12.2" customHeight="1" thickBot="1" x14ac:dyDescent="0.25">
      <c r="A145" s="2185"/>
      <c r="B145" s="2099"/>
      <c r="C145" s="4539"/>
      <c r="D145" s="4540"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41"/>
      <c r="F145" s="4541"/>
      <c r="G145" s="4541"/>
      <c r="H145" s="4541"/>
      <c r="I145" s="4541"/>
      <c r="J145" s="4541"/>
      <c r="K145" s="4541"/>
      <c r="L145" s="4541"/>
      <c r="M145" s="4541"/>
      <c r="N145" s="4541"/>
      <c r="O145" s="4541"/>
      <c r="P145" s="4541"/>
      <c r="Q145" s="4541"/>
      <c r="R145" s="4541"/>
      <c r="S145" s="4541"/>
      <c r="T145" s="4541"/>
      <c r="U145" s="4541"/>
      <c r="V145" s="4541"/>
      <c r="W145" s="4541"/>
      <c r="X145" s="4541"/>
      <c r="Y145" s="4541"/>
      <c r="Z145" s="4541"/>
      <c r="AA145" s="4541"/>
      <c r="AB145" s="4541"/>
      <c r="AC145" s="4541"/>
      <c r="AD145" s="4541"/>
      <c r="AE145" s="4541"/>
      <c r="AF145" s="4541"/>
      <c r="AG145" s="4542"/>
      <c r="AH145" s="2193"/>
      <c r="AI145" s="4558"/>
      <c r="AJ145" s="3089" t="s">
        <v>9345</v>
      </c>
      <c r="AK145" s="3091"/>
      <c r="AL145" s="3091"/>
      <c r="AM145" s="3091" t="b">
        <f>ABS(SUM(N123:N125))&gt;(SUM(N118:N122)-10*Y123+AC123+IF(S114="Sí",10*P114,0)+IF(COUNTIF(K118:M122,"Mantenido")&gt;0,P114*10)+MAX(IF(COUNTIF(K118:M122,"Sostenimiento Menor")&gt;0,P114*20)+IF(COUNTIF(K118:M122,"Sostenimiento Mayor")&gt;0,P114*30)))/2</f>
        <v>0</v>
      </c>
      <c r="AN145" s="3089"/>
      <c r="AO145" s="3089"/>
      <c r="AP145" s="3089"/>
      <c r="AQ145" s="3089"/>
      <c r="AR145" s="3090"/>
      <c r="AS145" s="3090"/>
      <c r="AT145" s="3090"/>
      <c r="AU145" s="3091"/>
      <c r="AV145" s="3091"/>
      <c r="AW145" s="3091"/>
      <c r="AX145" s="3089"/>
      <c r="AY145" s="3089"/>
    </row>
    <row r="146" spans="1:51" ht="12.2" customHeight="1" x14ac:dyDescent="0.2">
      <c r="A146" s="2185"/>
      <c r="B146" s="2099"/>
      <c r="C146" s="4535"/>
      <c r="D146" s="4535" t="str">
        <f>IFERROR(VLOOKUP(D127,'Tablas Técnicas'!$O$9:$T$88,2,FALSE),"")</f>
        <v/>
      </c>
      <c r="E146" s="4535"/>
      <c r="F146" s="4535"/>
      <c r="G146" s="4535"/>
      <c r="H146" s="4535"/>
      <c r="I146" s="4535"/>
      <c r="J146" s="4535" t="str">
        <f>IFERROR(VLOOKUP(J127,'Tablas Técnicas'!$O$9:$T$88,2,FALSE),"")</f>
        <v/>
      </c>
      <c r="K146" s="4535"/>
      <c r="L146" s="4535"/>
      <c r="M146" s="4535"/>
      <c r="N146" s="4535"/>
      <c r="O146" s="4535"/>
      <c r="P146" s="4535" t="str">
        <f>IFERROR(VLOOKUP(P127,'Tablas Técnicas'!$O$9:$T$88,2,FALSE),"")</f>
        <v/>
      </c>
      <c r="Q146" s="4535"/>
      <c r="R146" s="4535"/>
      <c r="S146" s="4535"/>
      <c r="T146" s="4535"/>
      <c r="U146" s="4535"/>
      <c r="V146" s="4535" t="str">
        <f>IFERROR(VLOOKUP(V127,'Tablas Técnicas'!$O$9:$T$88,2,FALSE),"")</f>
        <v/>
      </c>
      <c r="W146" s="4535"/>
      <c r="X146" s="4535"/>
      <c r="Y146" s="4535"/>
      <c r="Z146" s="4535"/>
      <c r="AA146" s="4535"/>
      <c r="AB146" s="4535" t="str">
        <f>IFERROR(VLOOKUP(AB127,'Tablas Técnicas'!$O$9:$T$88,2,FALSE),"")</f>
        <v/>
      </c>
      <c r="AC146" s="4535"/>
      <c r="AD146" s="4535"/>
      <c r="AE146" s="4535"/>
      <c r="AF146" s="4535"/>
      <c r="AG146" s="4535"/>
      <c r="AH146" s="2193"/>
      <c r="AI146" s="1921"/>
      <c r="AJ146" s="3089"/>
      <c r="AK146" s="3089"/>
      <c r="AL146" s="3089"/>
      <c r="AM146" s="3089"/>
      <c r="AN146" s="3089"/>
      <c r="AO146" s="3089"/>
      <c r="AP146" s="3089"/>
      <c r="AQ146" s="3089"/>
      <c r="AR146" s="3090"/>
      <c r="AS146" s="3090"/>
      <c r="AT146" s="3090"/>
      <c r="AU146" s="3091"/>
      <c r="AV146" s="3091"/>
      <c r="AW146" s="3091"/>
      <c r="AX146" s="3091"/>
      <c r="AY146" s="3089"/>
    </row>
    <row r="147" spans="1:51" ht="12.2" customHeight="1" thickBot="1" x14ac:dyDescent="0.25">
      <c r="A147" s="2185"/>
      <c r="B147" s="2099"/>
      <c r="C147" s="4535"/>
      <c r="D147" s="2556"/>
      <c r="E147" s="2557"/>
      <c r="F147" s="2557"/>
      <c r="G147" s="2557"/>
      <c r="H147" s="2557"/>
      <c r="I147" s="2557"/>
      <c r="J147" s="2557"/>
      <c r="K147" s="2557"/>
      <c r="L147" s="2557"/>
      <c r="M147" s="2557"/>
      <c r="N147" s="2557"/>
      <c r="O147" s="2557"/>
      <c r="P147" s="2557"/>
      <c r="Q147" s="2557"/>
      <c r="R147" s="2557"/>
      <c r="S147" s="2557"/>
      <c r="T147" s="2557"/>
      <c r="U147" s="2557"/>
      <c r="V147" s="2558"/>
      <c r="W147" s="2558"/>
      <c r="X147" s="2558"/>
      <c r="Y147" s="2558"/>
      <c r="Z147" s="2558"/>
      <c r="AA147" s="2558"/>
      <c r="AB147" s="2558"/>
      <c r="AC147" s="2558"/>
      <c r="AD147" s="2558"/>
      <c r="AE147" s="2558"/>
      <c r="AF147" s="2557"/>
      <c r="AG147" s="2557"/>
      <c r="AH147" s="2193"/>
      <c r="AI147" s="1921"/>
      <c r="AJ147" s="3097"/>
      <c r="AK147" s="3097"/>
      <c r="AL147" s="3097"/>
      <c r="AM147" s="3097"/>
      <c r="AN147" s="3097"/>
      <c r="AO147" s="3097"/>
      <c r="AP147" s="3089"/>
      <c r="AQ147" s="3090"/>
      <c r="AR147" s="3091"/>
      <c r="AS147" s="3091"/>
      <c r="AT147" s="3091"/>
      <c r="AU147" s="3091"/>
      <c r="AV147" s="3091"/>
      <c r="AW147" s="3091"/>
      <c r="AX147" s="3091"/>
      <c r="AY147" s="3098"/>
    </row>
    <row r="148" spans="1:51" ht="12.2" customHeight="1" x14ac:dyDescent="0.2">
      <c r="A148" s="2185"/>
      <c r="B148" s="2099">
        <f t="shared" ref="B148:B178" si="3">1+B114</f>
        <v>5</v>
      </c>
      <c r="C148" s="4537" t="str">
        <f>"Técnica "&amp;B148</f>
        <v>Técnica 5</v>
      </c>
      <c r="D148" s="4636" t="s">
        <v>8716</v>
      </c>
      <c r="E148" s="4637"/>
      <c r="F148" s="4637"/>
      <c r="G148" s="4637"/>
      <c r="H148" s="4637"/>
      <c r="I148" s="4637"/>
      <c r="J148" s="4637"/>
      <c r="K148" s="4637"/>
      <c r="L148" s="4637"/>
      <c r="M148" s="4637"/>
      <c r="N148" s="4638"/>
      <c r="O148" s="4642" t="s">
        <v>1325</v>
      </c>
      <c r="P148" s="4644">
        <v>1</v>
      </c>
      <c r="Q148" s="4646" t="s">
        <v>8800</v>
      </c>
      <c r="R148" s="4647"/>
      <c r="S148" s="4650" t="s">
        <v>1381</v>
      </c>
      <c r="T148" s="4651" t="s">
        <v>1506</v>
      </c>
      <c r="U148" s="4653">
        <f>MAX(IF(P148=3,60,IF(P148=2,40,20)),MIN(SUM(N152:N159)-10*Y157+AC157+IF(S148="Sí",10*P148,0)+IF(COUNTIF(K152:M156,"Mantenido")&gt;0,P148*10)+MAX(IF(COUNTIF(K152:M156,"Sostenimiento Menor")&gt;0,P148*20)+IF(COUNTIF(K152:M156,"Sostenimiento Mayor")&gt;0,P148*30))))</f>
        <v>20</v>
      </c>
      <c r="V148" s="4646" t="s">
        <v>8801</v>
      </c>
      <c r="W148" s="4651"/>
      <c r="X148" s="4566" t="str">
        <f>IFERROR(LEFT(AK164&amp;AL164&amp;AM164&amp;AN164&amp;AO164&amp;AP164,LEN(AK164&amp;AL164&amp;AM164&amp;AN164&amp;AO164&amp;AP164)-2),"")</f>
        <v/>
      </c>
      <c r="Y148" s="4566"/>
      <c r="Z148" s="4566"/>
      <c r="AA148" s="4566"/>
      <c r="AB148" s="4566"/>
      <c r="AC148" s="4566"/>
      <c r="AD148" s="4566"/>
      <c r="AE148" s="4566"/>
      <c r="AF148" s="4566"/>
      <c r="AG148" s="4567"/>
      <c r="AH148" s="2193"/>
      <c r="AI148" s="4558"/>
      <c r="AJ148" s="3094" t="s">
        <v>9342</v>
      </c>
      <c r="AK148" s="3094"/>
      <c r="AL148" s="3094"/>
      <c r="AM148" s="3094"/>
      <c r="AN148" s="3094"/>
      <c r="AO148" s="3094"/>
      <c r="AP148" s="3094"/>
      <c r="AQ148" s="3094"/>
      <c r="AR148" s="3094"/>
      <c r="AS148" s="3089"/>
      <c r="AT148" s="3089"/>
      <c r="AU148" s="3089"/>
      <c r="AV148" s="3089"/>
      <c r="AW148" s="3091"/>
      <c r="AX148" s="3091"/>
      <c r="AY148" s="3089"/>
    </row>
    <row r="149" spans="1:51" ht="12.2" customHeight="1" x14ac:dyDescent="0.2">
      <c r="A149" s="2185"/>
      <c r="B149" s="2099">
        <f t="shared" si="3"/>
        <v>5</v>
      </c>
      <c r="C149" s="4538"/>
      <c r="D149" s="4639"/>
      <c r="E149" s="4685"/>
      <c r="F149" s="4685"/>
      <c r="G149" s="4685"/>
      <c r="H149" s="4685"/>
      <c r="I149" s="4685"/>
      <c r="J149" s="4685"/>
      <c r="K149" s="4685"/>
      <c r="L149" s="4685"/>
      <c r="M149" s="4685"/>
      <c r="N149" s="4686"/>
      <c r="O149" s="4643"/>
      <c r="P149" s="4645"/>
      <c r="Q149" s="4648"/>
      <c r="R149" s="4649"/>
      <c r="S149" s="4645"/>
      <c r="T149" s="4687"/>
      <c r="U149" s="4688"/>
      <c r="V149" s="4648"/>
      <c r="W149" s="4687"/>
      <c r="X149" s="4693"/>
      <c r="Y149" s="4693"/>
      <c r="Z149" s="4693"/>
      <c r="AA149" s="4693"/>
      <c r="AB149" s="4693"/>
      <c r="AC149" s="4693"/>
      <c r="AD149" s="4693"/>
      <c r="AE149" s="4693"/>
      <c r="AF149" s="4693"/>
      <c r="AG149" s="4569"/>
      <c r="AH149" s="2193"/>
      <c r="AI149" s="4558"/>
      <c r="AJ149" s="3094"/>
      <c r="AK149" s="3094" t="s">
        <v>9343</v>
      </c>
      <c r="AL149" s="3094" t="s">
        <v>10464</v>
      </c>
      <c r="AM149" s="3095"/>
      <c r="AN149" s="3095"/>
      <c r="AO149" s="3095"/>
      <c r="AP149" s="3095"/>
      <c r="AQ149" s="3095"/>
      <c r="AR149" s="3094"/>
      <c r="AS149" s="3089"/>
      <c r="AT149" s="3089"/>
      <c r="AU149" s="3089"/>
      <c r="AV149" s="3089"/>
      <c r="AW149" s="3091"/>
      <c r="AX149" s="4536" t="s">
        <v>9312</v>
      </c>
      <c r="AY149" s="4536"/>
    </row>
    <row r="150" spans="1:51" ht="12.2" customHeight="1" x14ac:dyDescent="0.2">
      <c r="A150" s="2185"/>
      <c r="B150" s="2099">
        <f t="shared" si="3"/>
        <v>5</v>
      </c>
      <c r="C150" s="4538"/>
      <c r="D150" s="4549" t="s">
        <v>2824</v>
      </c>
      <c r="E150" s="4550"/>
      <c r="F150" s="4550"/>
      <c r="G150" s="4550"/>
      <c r="H150" s="4550"/>
      <c r="I150" s="4550"/>
      <c r="J150" s="4550"/>
      <c r="K150" s="4633" t="s">
        <v>9636</v>
      </c>
      <c r="L150" s="4633"/>
      <c r="M150" s="4633"/>
      <c r="N150" s="4550" t="s">
        <v>1500</v>
      </c>
      <c r="O150" s="4633" t="s">
        <v>2822</v>
      </c>
      <c r="P150" s="4633" t="s">
        <v>8802</v>
      </c>
      <c r="Q150" s="4550" t="s">
        <v>1364</v>
      </c>
      <c r="R150" s="4550"/>
      <c r="S150" s="4550"/>
      <c r="T150" s="4550"/>
      <c r="U150" s="4550"/>
      <c r="V150" s="4613" t="s">
        <v>1373</v>
      </c>
      <c r="W150" s="4608"/>
      <c r="X150" s="4613" t="s">
        <v>1498</v>
      </c>
      <c r="Y150" s="4614"/>
      <c r="Z150" s="4608" t="s">
        <v>1378</v>
      </c>
      <c r="AA150" s="4608"/>
      <c r="AB150" s="4613" t="s">
        <v>1383</v>
      </c>
      <c r="AC150" s="4614"/>
      <c r="AD150" s="4608" t="s">
        <v>1391</v>
      </c>
      <c r="AE150" s="4608"/>
      <c r="AF150" s="4613" t="s">
        <v>1392</v>
      </c>
      <c r="AG150" s="4609"/>
      <c r="AH150" s="2193"/>
      <c r="AI150" s="4558"/>
      <c r="AJ150" s="3089"/>
      <c r="AK150" s="3089"/>
      <c r="AL150" s="3089" t="s">
        <v>9614</v>
      </c>
      <c r="AM150" s="3089"/>
      <c r="AN150" s="3089"/>
      <c r="AO150" s="3089"/>
      <c r="AP150" s="3089"/>
      <c r="AQ150" s="3089"/>
      <c r="AR150" s="3091"/>
      <c r="AS150" s="3091" t="s">
        <v>9332</v>
      </c>
      <c r="AT150" s="3091" t="s">
        <v>9333</v>
      </c>
      <c r="AU150" s="3089" t="s">
        <v>9321</v>
      </c>
      <c r="AV150" s="3089" t="s">
        <v>9322</v>
      </c>
      <c r="AW150" s="3091" t="s">
        <v>1500</v>
      </c>
      <c r="AX150" s="3091" t="s">
        <v>8804</v>
      </c>
      <c r="AY150" s="3089" t="s">
        <v>8805</v>
      </c>
    </row>
    <row r="151" spans="1:51" ht="12.2" customHeight="1" x14ac:dyDescent="0.2">
      <c r="A151" s="2185"/>
      <c r="B151" s="2099">
        <f t="shared" si="3"/>
        <v>5</v>
      </c>
      <c r="C151" s="4538"/>
      <c r="D151" s="4691"/>
      <c r="E151" s="4692"/>
      <c r="F151" s="4692"/>
      <c r="G151" s="4692"/>
      <c r="H151" s="4692"/>
      <c r="I151" s="4692"/>
      <c r="J151" s="4692"/>
      <c r="K151" s="4689"/>
      <c r="L151" s="4689"/>
      <c r="M151" s="4689"/>
      <c r="N151" s="4679"/>
      <c r="O151" s="4689"/>
      <c r="P151" s="4690"/>
      <c r="Q151" s="4679"/>
      <c r="R151" s="4679"/>
      <c r="S151" s="4679"/>
      <c r="T151" s="4679"/>
      <c r="U151" s="4679"/>
      <c r="V151" s="2537" t="s">
        <v>9311</v>
      </c>
      <c r="W151" s="2538" t="s">
        <v>2828</v>
      </c>
      <c r="X151" s="2537" t="s">
        <v>9311</v>
      </c>
      <c r="Y151" s="2538" t="s">
        <v>2828</v>
      </c>
      <c r="Z151" s="2537" t="s">
        <v>9311</v>
      </c>
      <c r="AA151" s="2538" t="s">
        <v>2828</v>
      </c>
      <c r="AB151" s="2537" t="s">
        <v>9311</v>
      </c>
      <c r="AC151" s="2538" t="s">
        <v>2828</v>
      </c>
      <c r="AD151" s="2537" t="s">
        <v>9311</v>
      </c>
      <c r="AE151" s="2538" t="s">
        <v>2828</v>
      </c>
      <c r="AF151" s="2537" t="s">
        <v>9311</v>
      </c>
      <c r="AG151" s="2539" t="s">
        <v>2828</v>
      </c>
      <c r="AH151" s="2193"/>
      <c r="AI151" s="4558"/>
      <c r="AJ151" s="3089"/>
      <c r="AK151" s="3089" t="s">
        <v>9313</v>
      </c>
      <c r="AL151" s="3089">
        <v>1</v>
      </c>
      <c r="AM151" s="3089">
        <v>2</v>
      </c>
      <c r="AN151" s="3089">
        <v>3</v>
      </c>
      <c r="AO151" s="3089">
        <v>4</v>
      </c>
      <c r="AP151" s="3089">
        <v>5</v>
      </c>
      <c r="AQ151" s="3089">
        <v>6</v>
      </c>
      <c r="AR151" s="3089">
        <v>7</v>
      </c>
      <c r="AS151" s="3091"/>
      <c r="AT151" s="3089" t="s">
        <v>9344</v>
      </c>
      <c r="AU151" s="3091"/>
      <c r="AV151" s="3091"/>
      <c r="AW151" s="3091" t="s">
        <v>9344</v>
      </c>
      <c r="AX151" s="3091"/>
      <c r="AY151" s="3089"/>
    </row>
    <row r="152" spans="1:51" ht="12.2" customHeight="1" x14ac:dyDescent="0.2">
      <c r="A152" s="2185"/>
      <c r="B152" s="2099">
        <f t="shared" si="3"/>
        <v>5</v>
      </c>
      <c r="C152" s="4538"/>
      <c r="D152" s="4624" t="s">
        <v>8806</v>
      </c>
      <c r="E152" s="4625"/>
      <c r="F152" s="4626"/>
      <c r="G152" s="4627"/>
      <c r="H152" s="4627"/>
      <c r="I152" s="4627"/>
      <c r="J152" s="4628"/>
      <c r="K152" s="4595" t="s">
        <v>1456</v>
      </c>
      <c r="L152" s="4596"/>
      <c r="M152" s="4597"/>
      <c r="N152" s="2531">
        <f>IF(AW152&gt;0,IF(VLOOKUP(F152,'Tablas Técnicas'!$O$9:$X$88,10,0),MAX(5,AW152-5),AW152),0)</f>
        <v>0</v>
      </c>
      <c r="O152" s="2531" t="str">
        <f>AS152&amp;" / "&amp;AT152</f>
        <v>0 / 0</v>
      </c>
      <c r="P152" s="2531" t="str">
        <f t="array" ref="P152">W152+Y152+AA152+AC152+AE152+AG152&amp;" / "&amp;IF(K152&lt;&gt;"Mantenido",0,SUM(IF($AL152:$AR152='Tablas Técnicas'!$L$10:$L$643,'Tablas Técnicas'!$H$10:$H$643,0)))</f>
        <v>0 / 0</v>
      </c>
      <c r="Q152" s="4632" t="str">
        <f>IFERROR(VLOOKUP(F152,'Tablas Técnicas'!$O$9:$T$88,5,FALSE),"")</f>
        <v/>
      </c>
      <c r="R152" s="4632"/>
      <c r="S152" s="4632"/>
      <c r="T152" s="4632"/>
      <c r="U152" s="4632"/>
      <c r="V152" s="2055"/>
      <c r="W152" s="2056"/>
      <c r="X152" s="2055"/>
      <c r="Y152" s="2057"/>
      <c r="Z152" s="2058"/>
      <c r="AA152" s="2056"/>
      <c r="AB152" s="2055"/>
      <c r="AC152" s="2057"/>
      <c r="AD152" s="2058"/>
      <c r="AE152" s="2056"/>
      <c r="AF152" s="2055"/>
      <c r="AG152" s="2059"/>
      <c r="AH152" s="2193"/>
      <c r="AI152" s="4558"/>
      <c r="AJ152" s="3089">
        <v>1</v>
      </c>
      <c r="AK152" s="3089">
        <f>P148</f>
        <v>1</v>
      </c>
      <c r="AL152" s="3089" t="str">
        <f>IF(AND(ISNUMBER(MATCH($F152,'Tablas Técnicas'!$L$10:$L$643,0)),INDEX($D165:$D171,Tablas!A$1)="",COUNTIF(AM152:$AS152,$F152)=0),$F152,IF(INDEX($D165:$D171,Tablas!A$1)="","",$F152&amp;INDEX($D165:$D171,Tablas!A$1)))</f>
        <v/>
      </c>
      <c r="AM152" s="3089" t="str">
        <f>IF(AND(ISNUMBER(MATCH($F152,'Tablas Técnicas'!$L$10:$L$643,0)),INDEX($D165:$D171,Tablas!B$1)="",COUNTIF(AN152:$AS152,$F152)=0),$F152,IF(INDEX($D165:$D171,Tablas!B$1)="","",$F152&amp;INDEX($D165:$D171,Tablas!B$1)))</f>
        <v/>
      </c>
      <c r="AN152" s="3089" t="str">
        <f>IF(AND(ISNUMBER(MATCH($F152,'Tablas Técnicas'!$L$10:$L$643,0)),INDEX($D165:$D171,Tablas!C$1)="",COUNTIF(AO152:$AS152,$F152)=0),$F152,IF(INDEX($D165:$D171,Tablas!C$1)="","",$F152&amp;INDEX($D165:$D171,Tablas!C$1)))</f>
        <v/>
      </c>
      <c r="AO152" s="3089" t="str">
        <f>IF(AND(ISNUMBER(MATCH($F152,'Tablas Técnicas'!$L$10:$L$643,0)),INDEX($D165:$D171,Tablas!D$1)="",COUNTIF(AP152:$AS152,$F152)=0),$F152,IF(INDEX($D165:$D171,Tablas!D$1)="","",$F152&amp;INDEX($D165:$D171,Tablas!D$1)))</f>
        <v/>
      </c>
      <c r="AP152" s="3089" t="str">
        <f>IF(AND(ISNUMBER(MATCH($F152,'Tablas Técnicas'!$L$10:$L$643,0)),INDEX($D165:$D171,Tablas!E$1)="",COUNTIF(AQ152:$AS152,$F152)=0),$F152,IF(INDEX($D165:$D171,Tablas!E$1)="","",$F152&amp;INDEX($D165:$D171,Tablas!E$1)))</f>
        <v/>
      </c>
      <c r="AQ152" s="3089" t="str">
        <f>IF(AND(ISNUMBER(MATCH($F152,'Tablas Técnicas'!$L$10:$L$643,0)),INDEX($D165:$D171,Tablas!F$1)="",COUNTIF(AR152:$AS152,$F152)=0),$F152,IF(INDEX($D165:$D171,Tablas!F$1)="","",$F152&amp;INDEX($D165:$D171,Tablas!F$1)))</f>
        <v/>
      </c>
      <c r="AR152" s="3089" t="str">
        <f>IF(AND(ISNUMBER(MATCH($F152,'Tablas Técnicas'!$L$10:$L$643,0)),INDEX($D165:$D171,Tablas!G$1)="",COUNTIF(AS152:$AS152,$F152)=0),$F152,IF(INDEX($D165:$D171,Tablas!G$1)="","",$F152&amp;INDEX($D165:$D171,Tablas!G$1)))</f>
        <v/>
      </c>
      <c r="AS152" s="3091">
        <f>V152+X152+Z152+AB152+AD152+AF152</f>
        <v>0</v>
      </c>
      <c r="AT152" s="3091">
        <f t="array" ref="AT152">SUM(IF($AL152:$AR152='Tablas Técnicas'!$L$10:$L$643,IF(D152="Primario",'Tablas Técnicas'!$E$10:$E$643,'Tablas Técnicas'!$F$10:$F$643)+IF(K152="Sostenimiento menor",'Tablas Técnicas'!$I$10:$I$643,IF(K152="sostenimiento mayor",'Tablas Técnicas'!$J$10:$J$643,0)),0),0)+VALUE(RIGHT(P152,2))+AU152+AV152</f>
        <v>0</v>
      </c>
      <c r="AU152" s="309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091">
        <f>(COUNTIF(AL152:AR152,"*Estado añadido:*")-1)*COUNTIF(AL152:AR152,"*Estado añadido:*")</f>
        <v>0</v>
      </c>
      <c r="AW152" s="3091">
        <f t="array" ref="AW152">SUM(IF($AL152:$AR152='Tablas Técnicas'!$L$10:$L$643,'Tablas Técnicas'!$G$10:$G$643,0))</f>
        <v>0</v>
      </c>
      <c r="AX152" s="308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089" t="str">
        <f>IFERROR(LEFT(AX152,LEN(AX152)-2)&amp;"), ","")</f>
        <v/>
      </c>
    </row>
    <row r="153" spans="1:51" ht="12.2" customHeight="1" x14ac:dyDescent="0.2">
      <c r="A153" s="2185"/>
      <c r="B153" s="2099">
        <f t="shared" si="3"/>
        <v>5</v>
      </c>
      <c r="C153" s="4538"/>
      <c r="D153" s="4583" t="s">
        <v>524</v>
      </c>
      <c r="E153" s="4584"/>
      <c r="F153" s="4615"/>
      <c r="G153" s="4616"/>
      <c r="H153" s="4616"/>
      <c r="I153" s="4616"/>
      <c r="J153" s="4617"/>
      <c r="K153" s="4618" t="s">
        <v>1456</v>
      </c>
      <c r="L153" s="4619"/>
      <c r="M153" s="4620"/>
      <c r="N153" s="2540">
        <f>IF(AW153&gt;0,IF(VLOOKUP(F153,'Tablas Técnicas'!$O$9:$X$88,10,0),MAX(5,AW153-5),AW153),0)</f>
        <v>0</v>
      </c>
      <c r="O153" s="2540" t="str">
        <f>AS153&amp;" / "&amp;AT153</f>
        <v>0 / 0</v>
      </c>
      <c r="P153" s="2540" t="str">
        <f t="array" ref="P153">W153+Y153+AA153+AC153+AE153+AG153&amp;" / "&amp;IF(K153&lt;&gt;"Mantenido",0,SUM(IF($AL153:$AR153='Tablas Técnicas'!$L$10:$L$643,'Tablas Técnicas'!$H$10:$H$643,0)))</f>
        <v>0 / 0</v>
      </c>
      <c r="Q153" s="4684" t="str">
        <f>IFERROR(VLOOKUP(F153,'Tablas Técnicas'!$O$9:$T$88,5,FALSE),"")</f>
        <v/>
      </c>
      <c r="R153" s="4684"/>
      <c r="S153" s="4684"/>
      <c r="T153" s="4684"/>
      <c r="U153" s="4684"/>
      <c r="V153" s="2060"/>
      <c r="W153" s="2061"/>
      <c r="X153" s="2060"/>
      <c r="Y153" s="2062"/>
      <c r="Z153" s="2063"/>
      <c r="AA153" s="2061"/>
      <c r="AB153" s="2060"/>
      <c r="AC153" s="2062"/>
      <c r="AD153" s="2063"/>
      <c r="AE153" s="2061"/>
      <c r="AF153" s="2060"/>
      <c r="AG153" s="2064"/>
      <c r="AH153" s="2193"/>
      <c r="AI153" s="4558"/>
      <c r="AJ153" s="3089">
        <v>2</v>
      </c>
      <c r="AK153" s="3089">
        <f>P148</f>
        <v>1</v>
      </c>
      <c r="AL153" s="3089" t="str">
        <f>IF(AND(ISNUMBER(MATCH($F153,'Tablas Técnicas'!$L$10:$L$643,0)),INDEX($J165:$J171,Tablas!A$1)="",COUNTIF(AM153:$AS153,$F153)=0),$F153,IF(INDEX($J165:$J171,Tablas!A$1)="","",$F153&amp;INDEX($J165:$J171,Tablas!A$1)))</f>
        <v/>
      </c>
      <c r="AM153" s="3089" t="str">
        <f>IF(AND(ISNUMBER(MATCH($F153,'Tablas Técnicas'!$L$10:$L$643,0)),INDEX($J165:$J171,Tablas!B$1)="",COUNTIF(AN153:$AS153,$F153)=0),$F153,IF(INDEX($J165:$J171,Tablas!B$1)="","",$F153&amp;INDEX($J165:$J171,Tablas!B$1)))</f>
        <v/>
      </c>
      <c r="AN153" s="3089" t="str">
        <f>IF(AND(ISNUMBER(MATCH($F153,'Tablas Técnicas'!$L$10:$L$643,0)),INDEX($J165:$J171,Tablas!C$1)="",COUNTIF(AO153:$AS153,$F153)=0),$F153,IF(INDEX($J165:$J171,Tablas!C$1)="","",$F153&amp;INDEX($J165:$J171,Tablas!C$1)))</f>
        <v/>
      </c>
      <c r="AO153" s="3089" t="str">
        <f>IF(AND(ISNUMBER(MATCH($F153,'Tablas Técnicas'!$L$10:$L$643,0)),INDEX($J165:$J171,Tablas!D$1)="",COUNTIF(AP153:$AS153,$F153)=0),$F153,IF(INDEX($J165:$J171,Tablas!D$1)="","",$F153&amp;INDEX($J165:$J171,Tablas!D$1)))</f>
        <v/>
      </c>
      <c r="AP153" s="3089" t="str">
        <f>IF(AND(ISNUMBER(MATCH($F153,'Tablas Técnicas'!$L$10:$L$643,0)),INDEX($J165:$J171,Tablas!E$1)="",COUNTIF(AQ153:$AS153,$F153)=0),$F153,IF(INDEX($J165:$J171,Tablas!E$1)="","",$F153&amp;INDEX($J165:$J171,Tablas!E$1)))</f>
        <v/>
      </c>
      <c r="AQ153" s="3089" t="str">
        <f>IF(AND(ISNUMBER(MATCH($F153,'Tablas Técnicas'!$L$10:$L$643,0)),INDEX($J165:$J171,Tablas!F$1)="",COUNTIF(AR153:$AS153,$F153)=0),$F153,IF(INDEX($J165:$J171,Tablas!F$1)="","",$F153&amp;INDEX($J165:$J171,Tablas!F$1)))</f>
        <v/>
      </c>
      <c r="AR153" s="3089" t="str">
        <f>IF(AND(ISNUMBER(MATCH($F153,'Tablas Técnicas'!$L$10:$L$643,0)),INDEX($J165:$J171,Tablas!G$1)="",COUNTIF(AS153:$AS153,$F153)=0),$F153,IF(INDEX($J165:$J171,Tablas!G$1)="","",$F153&amp;INDEX($J165:$J171,Tablas!G$1)))</f>
        <v/>
      </c>
      <c r="AS153" s="3091">
        <f>V153+X153+Z153+AB153+AD153+AF153</f>
        <v>0</v>
      </c>
      <c r="AT153" s="3091">
        <f t="array" ref="AT153">SUM(IF($AL153:$AR153='Tablas Técnicas'!$L$10:$L$643,IF(D153="Primario",'Tablas Técnicas'!$E$10:$E$643,'Tablas Técnicas'!$F$10:$F$643)+IF(K153="Sostenimiento menor",'Tablas Técnicas'!$I$10:$I$643,IF(K153="sostenimiento mayor",'Tablas Técnicas'!$J$10:$J$643,0)),0),0)+VALUE(RIGHT(P153,2))+AU153+AV153</f>
        <v>0</v>
      </c>
      <c r="AU153" s="309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091">
        <f>(COUNTIF(AL153:AR153,"*Estado añadido:*")-1)*COUNTIF(AL153:AR153,"*Estado añadido:*")</f>
        <v>0</v>
      </c>
      <c r="AW153" s="3091">
        <f t="array" ref="AW153">SUM(IF($AL153:$AR153='Tablas Técnicas'!$L$10:$L$643,'Tablas Técnicas'!$G$10:$G$643,0))</f>
        <v>0</v>
      </c>
      <c r="AX153" s="3089"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089" t="str">
        <f>IFERROR(LEFT(AX153,LEN(AX153)-2)&amp;"), ","")</f>
        <v/>
      </c>
    </row>
    <row r="154" spans="1:51" ht="12.2" customHeight="1" x14ac:dyDescent="0.2">
      <c r="A154" s="2185"/>
      <c r="B154" s="2099">
        <f t="shared" si="3"/>
        <v>5</v>
      </c>
      <c r="C154" s="4538"/>
      <c r="D154" s="4629" t="s">
        <v>524</v>
      </c>
      <c r="E154" s="4630"/>
      <c r="F154" s="4559"/>
      <c r="G154" s="4560"/>
      <c r="H154" s="4560"/>
      <c r="I154" s="4560"/>
      <c r="J154" s="4561"/>
      <c r="K154" s="4621" t="s">
        <v>1456</v>
      </c>
      <c r="L154" s="4622"/>
      <c r="M154" s="4623"/>
      <c r="N154" s="2536">
        <f>IF(AW154&gt;0,IF(VLOOKUP(F154,'Tablas Técnicas'!$O$9:$X$88,10,0),MAX(5,AW154-5),AW154),0)</f>
        <v>0</v>
      </c>
      <c r="O154" s="2536" t="str">
        <f>AS154&amp;" / "&amp;AT154</f>
        <v>0 / 0</v>
      </c>
      <c r="P154" s="2536" t="str">
        <f t="array" ref="P154">W154+Y154+AA154+AC154+AE154+AG154&amp;" / "&amp;IF(K154&lt;&gt;"Mantenido",0,SUM(IF($AL154:$AR154='Tablas Técnicas'!$L$10:$L$643,'Tablas Técnicas'!$H$10:$H$643,0)))</f>
        <v>0 / 0</v>
      </c>
      <c r="Q154" s="4680" t="str">
        <f>IFERROR(VLOOKUP(F154,'Tablas Técnicas'!$O$9:$T$88,5,FALSE),"")</f>
        <v/>
      </c>
      <c r="R154" s="4680"/>
      <c r="S154" s="4680"/>
      <c r="T154" s="4680"/>
      <c r="U154" s="4680"/>
      <c r="V154" s="2065"/>
      <c r="W154" s="2066"/>
      <c r="X154" s="2065"/>
      <c r="Y154" s="2067"/>
      <c r="Z154" s="2068"/>
      <c r="AA154" s="2066"/>
      <c r="AB154" s="2065"/>
      <c r="AC154" s="2067"/>
      <c r="AD154" s="2068"/>
      <c r="AE154" s="2066"/>
      <c r="AF154" s="2065"/>
      <c r="AG154" s="2069"/>
      <c r="AH154" s="2193"/>
      <c r="AI154" s="4558"/>
      <c r="AJ154" s="3089">
        <v>3</v>
      </c>
      <c r="AK154" s="3089">
        <f>P148</f>
        <v>1</v>
      </c>
      <c r="AL154" s="3089" t="str">
        <f>IF(AND(ISNUMBER(MATCH($F154,'Tablas Técnicas'!$L$10:$L$643,0)),INDEX($P165:$P171,Tablas!A$1)="",COUNTIF(AM154:$AS154,$F154)=0),$F154,IF(INDEX($P165:$P171,Tablas!A$1)="","",$F154&amp;INDEX($P165:$P171,Tablas!A$1)))</f>
        <v/>
      </c>
      <c r="AM154" s="3089" t="str">
        <f>IF(AND(ISNUMBER(MATCH($F154,'Tablas Técnicas'!$L$10:$L$643,0)),INDEX($P165:$P171,Tablas!B$1)="",COUNTIF(AN154:$AS154,$F154)=0),$F154,IF(INDEX($P165:$P171,Tablas!B$1)="","",$F154&amp;INDEX($P165:$P171,Tablas!B$1)))</f>
        <v/>
      </c>
      <c r="AN154" s="3089" t="str">
        <f>IF(AND(ISNUMBER(MATCH($F154,'Tablas Técnicas'!$L$10:$L$643,0)),INDEX($P165:$P171,Tablas!C$1)="",COUNTIF(AO154:$AS154,$F154)=0),$F154,IF(INDEX($P165:$P171,Tablas!C$1)="","",$F154&amp;INDEX($P165:$P171,Tablas!C$1)))</f>
        <v/>
      </c>
      <c r="AO154" s="3089" t="str">
        <f>IF(AND(ISNUMBER(MATCH($F154,'Tablas Técnicas'!$L$10:$L$643,0)),INDEX($P165:$P171,Tablas!D$1)="",COUNTIF(AP154:$AS154,$F154)=0),$F154,IF(INDEX($P165:$P171,Tablas!D$1)="","",$F154&amp;INDEX($P165:$P171,Tablas!D$1)))</f>
        <v/>
      </c>
      <c r="AP154" s="3089" t="str">
        <f>IF(AND(ISNUMBER(MATCH($F154,'Tablas Técnicas'!$L$10:$L$643,0)),INDEX($P165:$P171,Tablas!E$1)="",COUNTIF(AQ154:$AS154,$F154)=0),$F154,IF(INDEX($P165:$P171,Tablas!E$1)="","",$F154&amp;INDEX($P165:$P171,Tablas!E$1)))</f>
        <v/>
      </c>
      <c r="AQ154" s="3089" t="str">
        <f>IF(AND(ISNUMBER(MATCH($F154,'Tablas Técnicas'!$L$10:$L$643,0)),INDEX($P165:$P171,Tablas!F$1)="",COUNTIF(AR154:$AS154,$F154)=0),$F154,IF(INDEX($P165:$P171,Tablas!F$1)="","",$F154&amp;INDEX($P165:$P171,Tablas!F$1)))</f>
        <v/>
      </c>
      <c r="AR154" s="3089" t="str">
        <f>IF(AND(ISNUMBER(MATCH($F154,'Tablas Técnicas'!$L$10:$L$643,0)),INDEX($P165:$P171,Tablas!G$1)="",COUNTIF(AS154:$AS154,$F154)=0),$F154,IF(INDEX($P165:$P171,Tablas!G$1)="","",$F154&amp;INDEX($P165:$P171,Tablas!G$1)))</f>
        <v/>
      </c>
      <c r="AS154" s="3091">
        <f>V154+X154+Z154+AB154+AD154+AF154</f>
        <v>0</v>
      </c>
      <c r="AT154" s="3091">
        <f t="array" ref="AT154">SUM(IF($AL154:$AR154='Tablas Técnicas'!$L$10:$L$643,IF(D154="Primario",'Tablas Técnicas'!$E$10:$E$643,'Tablas Técnicas'!$F$10:$F$643)+IF(K154="Sostenimiento menor",'Tablas Técnicas'!$I$10:$I$643,IF(K154="sostenimiento mayor",'Tablas Técnicas'!$J$10:$J$643,0)),0),0)+VALUE(RIGHT(P154,2))+AU154+AV154</f>
        <v>0</v>
      </c>
      <c r="AU154" s="309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091">
        <f>(COUNTIF(AL154:AR154,"*Estado añadido:*")-1)*COUNTIF(AL154:AR154,"*Estado añadido:*")</f>
        <v>0</v>
      </c>
      <c r="AW154" s="3091">
        <f t="array" ref="AW154">SUM(IF($AL154:$AR154='Tablas Técnicas'!$L$10:$L$643,'Tablas Técnicas'!$G$10:$G$643,0))</f>
        <v>0</v>
      </c>
      <c r="AX154" s="3089"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089" t="str">
        <f>IFERROR(LEFT(AX154,LEN(AX154)-2)&amp;"), ","")</f>
        <v/>
      </c>
    </row>
    <row r="155" spans="1:51" ht="12.2" customHeight="1" x14ac:dyDescent="0.2">
      <c r="A155" s="2185"/>
      <c r="B155" s="2099">
        <f t="shared" si="3"/>
        <v>5</v>
      </c>
      <c r="C155" s="4538"/>
      <c r="D155" s="4583" t="s">
        <v>524</v>
      </c>
      <c r="E155" s="4584"/>
      <c r="F155" s="4615"/>
      <c r="G155" s="4616"/>
      <c r="H155" s="4616"/>
      <c r="I155" s="4616"/>
      <c r="J155" s="4617"/>
      <c r="K155" s="4618" t="s">
        <v>1456</v>
      </c>
      <c r="L155" s="4619"/>
      <c r="M155" s="4620"/>
      <c r="N155" s="2540">
        <f>IF(AW155&gt;0,IF(VLOOKUP(F155,'Tablas Técnicas'!$O$9:$X$88,10,0),MAX(5,AW155-5),AW155),0)</f>
        <v>0</v>
      </c>
      <c r="O155" s="2540" t="str">
        <f>AS155&amp;" / "&amp;AT155</f>
        <v>0 / 0</v>
      </c>
      <c r="P155" s="2540" t="str">
        <f t="array" ref="P155">W155+Y155+AA155+AC155+AE155+AG155&amp;" / "&amp;IF(K155&lt;&gt;"Mantenido",0,SUM(IF($AL155:$AR155='Tablas Técnicas'!$L$10:$L$643,'Tablas Técnicas'!$H$10:$H$643,0)))</f>
        <v>0 / 0</v>
      </c>
      <c r="Q155" s="4684" t="str">
        <f>IFERROR(VLOOKUP(F155,'Tablas Técnicas'!$O$9:$T$88,5,FALSE),"")</f>
        <v/>
      </c>
      <c r="R155" s="4684"/>
      <c r="S155" s="4684"/>
      <c r="T155" s="4684"/>
      <c r="U155" s="4684"/>
      <c r="V155" s="2060"/>
      <c r="W155" s="2061"/>
      <c r="X155" s="2060"/>
      <c r="Y155" s="2062"/>
      <c r="Z155" s="2063"/>
      <c r="AA155" s="2061"/>
      <c r="AB155" s="2060"/>
      <c r="AC155" s="2062"/>
      <c r="AD155" s="2063"/>
      <c r="AE155" s="2061"/>
      <c r="AF155" s="2060"/>
      <c r="AG155" s="2064"/>
      <c r="AH155" s="2193"/>
      <c r="AI155" s="4558"/>
      <c r="AJ155" s="3089">
        <v>4</v>
      </c>
      <c r="AK155" s="3089">
        <f>P148</f>
        <v>1</v>
      </c>
      <c r="AL155" s="3089" t="str">
        <f>IF(AND(ISNUMBER(MATCH($F155,'Tablas Técnicas'!$L$10:$L$643,0)),INDEX($V165:$V171,Tablas!A$1)="",COUNTIF(AM155:$AS155,$F155)=0),$F155,IF(INDEX($V165:$V171,Tablas!A$1)="","",$F155&amp;INDEX($V165:$V171,Tablas!A$1)))</f>
        <v/>
      </c>
      <c r="AM155" s="3089" t="str">
        <f>IF(AND(ISNUMBER(MATCH($F155,'Tablas Técnicas'!$L$10:$L$643,0)),INDEX($V165:$V171,Tablas!B$1)="",COUNTIF(AN155:$AS155,$F155)=0),$F155,IF(INDEX($V165:$V171,Tablas!B$1)="","",$F155&amp;INDEX($V165:$V171,Tablas!B$1)))</f>
        <v/>
      </c>
      <c r="AN155" s="3089" t="str">
        <f>IF(AND(ISNUMBER(MATCH($F155,'Tablas Técnicas'!$L$10:$L$643,0)),INDEX($V165:$V171,Tablas!C$1)="",COUNTIF(AO155:$AS155,$F155)=0),$F155,IF(INDEX($V165:$V171,Tablas!C$1)="","",$F155&amp;INDEX($V165:$V171,Tablas!C$1)))</f>
        <v/>
      </c>
      <c r="AO155" s="3089" t="str">
        <f>IF(AND(ISNUMBER(MATCH($F155,'Tablas Técnicas'!$L$10:$L$643,0)),INDEX($V165:$V171,Tablas!D$1)="",COUNTIF(AP155:$AS155,$F155)=0),$F155,IF(INDEX($V165:$V171,Tablas!D$1)="","",$F155&amp;INDEX($V165:$V171,Tablas!D$1)))</f>
        <v/>
      </c>
      <c r="AP155" s="3089" t="str">
        <f>IF(AND(ISNUMBER(MATCH($F155,'Tablas Técnicas'!$L$10:$L$643,0)),INDEX($V165:$V171,Tablas!E$1)="",COUNTIF(AQ155:$AS155,$F155)=0),$F155,IF(INDEX($V165:$V171,Tablas!E$1)="","",$F155&amp;INDEX($V165:$V171,Tablas!E$1)))</f>
        <v/>
      </c>
      <c r="AQ155" s="3089" t="str">
        <f>IF(AND(ISNUMBER(MATCH($F155,'Tablas Técnicas'!$L$10:$L$643,0)),INDEX($V165:$V171,Tablas!F$1)="",COUNTIF(AR155:$AS155,$F155)=0),$F155,IF(INDEX($V165:$V171,Tablas!F$1)="","",$F155&amp;INDEX($V165:$V171,Tablas!F$1)))</f>
        <v/>
      </c>
      <c r="AR155" s="3089" t="str">
        <f>IF(AND(ISNUMBER(MATCH($F155,'Tablas Técnicas'!$L$10:$L$643,0)),INDEX($V165:$V171,Tablas!G$1)="",COUNTIF(AS155:$AS155,$F155)=0),$F155,IF(INDEX($V165:$V171,Tablas!G$1)="","",$F155&amp;INDEX($V165:$V171,Tablas!G$1)))</f>
        <v/>
      </c>
      <c r="AS155" s="3091">
        <f>V155+X155+Z155+AB155+AD155+AF155</f>
        <v>0</v>
      </c>
      <c r="AT155" s="3091">
        <f t="array" ref="AT155">SUM(IF($AL155:$AR155='Tablas Técnicas'!$L$10:$L$643,IF(D155="Primario",'Tablas Técnicas'!$E$10:$E$643,'Tablas Técnicas'!$F$10:$F$643)+IF(K155="Sostenimiento menor",'Tablas Técnicas'!$I$10:$I$643,IF(K155="sostenimiento mayor",'Tablas Técnicas'!$J$10:$J$643,0)),0),0)+VALUE(RIGHT(P155,2))+AU155+AV155</f>
        <v>0</v>
      </c>
      <c r="AU155" s="309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091">
        <f>(COUNTIF(AL155:AR155,"*Estado añadido:*")-1)*COUNTIF(AL155:AR155,"*Estado añadido:*")</f>
        <v>0</v>
      </c>
      <c r="AW155" s="3091">
        <f t="array" ref="AW155">SUM(IF($AL155:$AR155='Tablas Técnicas'!$L$10:$L$643,'Tablas Técnicas'!$G$10:$G$643,0))</f>
        <v>0</v>
      </c>
      <c r="AX155" s="3089"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089" t="str">
        <f>IFERROR(LEFT(AX155,LEN(AX155)-2)&amp;"), ","")</f>
        <v/>
      </c>
    </row>
    <row r="156" spans="1:51" ht="12.2" customHeight="1" thickBot="1" x14ac:dyDescent="0.25">
      <c r="A156" s="2185"/>
      <c r="B156" s="2099">
        <f t="shared" si="3"/>
        <v>5</v>
      </c>
      <c r="C156" s="4538"/>
      <c r="D156" s="4586" t="s">
        <v>524</v>
      </c>
      <c r="E156" s="4587"/>
      <c r="F156" s="4543"/>
      <c r="G156" s="4544"/>
      <c r="H156" s="4544"/>
      <c r="I156" s="4544"/>
      <c r="J156" s="4545"/>
      <c r="K156" s="4546" t="s">
        <v>1456</v>
      </c>
      <c r="L156" s="4547"/>
      <c r="M156" s="4548"/>
      <c r="N156" s="2541">
        <f>IF(AW156&gt;0,IF(VLOOKUP(F156,'Tablas Técnicas'!$O$9:$X$88,10,0),MAX(5,AW156-5),AW156),0)</f>
        <v>0</v>
      </c>
      <c r="O156" s="2541" t="str">
        <f>AS156&amp;" / "&amp;AT156</f>
        <v>0 / 0</v>
      </c>
      <c r="P156" s="2541" t="str">
        <f t="array" ref="P156">W156+Y156+AA156+AC156+AE156+AG156&amp;" / "&amp;IF(K156&lt;&gt;"Mantenido",0,SUM(IF($AL156:$AR156='Tablas Técnicas'!$L$10:$L$643,'Tablas Técnicas'!$H$10:$H$643,0)))</f>
        <v>0 / 0</v>
      </c>
      <c r="Q156" s="4681" t="str">
        <f>IFERROR(VLOOKUP(F156,'Tablas Técnicas'!$O$9:$T$88,5,FALSE),"")</f>
        <v/>
      </c>
      <c r="R156" s="4681"/>
      <c r="S156" s="4681"/>
      <c r="T156" s="4681"/>
      <c r="U156" s="4681"/>
      <c r="V156" s="2070"/>
      <c r="W156" s="2071"/>
      <c r="X156" s="2070"/>
      <c r="Y156" s="2072"/>
      <c r="Z156" s="2073"/>
      <c r="AA156" s="2071"/>
      <c r="AB156" s="2070"/>
      <c r="AC156" s="2072"/>
      <c r="AD156" s="2073"/>
      <c r="AE156" s="2071"/>
      <c r="AF156" s="2070"/>
      <c r="AG156" s="2074"/>
      <c r="AH156" s="2193"/>
      <c r="AI156" s="4558"/>
      <c r="AJ156" s="3089">
        <v>5</v>
      </c>
      <c r="AK156" s="3089">
        <f>P148</f>
        <v>1</v>
      </c>
      <c r="AL156" s="3089" t="str">
        <f>IF(AND(ISNUMBER(MATCH($F156,'Tablas Técnicas'!$L$10:$L$643,0)),INDEX($AB165:$AB171,Tablas!A$1)="",COUNTIF(AM156:$AS156,$F156)=0),$F156,IF(INDEX($AB165:$AB171,Tablas!A$1)="","",$F156&amp;INDEX($AB165:$AB171,Tablas!A$1)))</f>
        <v/>
      </c>
      <c r="AM156" s="3089" t="str">
        <f>IF(AND(ISNUMBER(MATCH($F156,'Tablas Técnicas'!$L$10:$L$643,0)),INDEX($AB165:$AB171,Tablas!B$1)="",COUNTIF(AN156:$AS156,$F156)=0),$F156,IF(INDEX($AB165:$AB171,Tablas!B$1)="","",$F156&amp;INDEX($AB165:$AB171,Tablas!B$1)))</f>
        <v/>
      </c>
      <c r="AN156" s="3089" t="str">
        <f>IF(AND(ISNUMBER(MATCH($F156,'Tablas Técnicas'!$L$10:$L$643,0)),INDEX($AB165:$AB171,Tablas!C$1)="",COUNTIF(AO156:$AS156,$F156)=0),$F156,IF(INDEX($AB165:$AB171,Tablas!C$1)="","",$F156&amp;INDEX($AB165:$AB171,Tablas!C$1)))</f>
        <v/>
      </c>
      <c r="AO156" s="3089" t="str">
        <f>IF(AND(ISNUMBER(MATCH($F156,'Tablas Técnicas'!$L$10:$L$643,0)),INDEX($AB165:$AB171,Tablas!D$1)="",COUNTIF(AP156:$AS156,$F156)=0),$F156,IF(INDEX($AB165:$AB171,Tablas!D$1)="","",$F156&amp;INDEX($AB165:$AB171,Tablas!D$1)))</f>
        <v/>
      </c>
      <c r="AP156" s="3089" t="str">
        <f>IF(AND(ISNUMBER(MATCH($F156,'Tablas Técnicas'!$L$10:$L$643,0)),INDEX($AB165:$AB171,Tablas!E$1)="",COUNTIF(AQ156:$AS156,$F156)=0),$F156,IF(INDEX($AB165:$AB171,Tablas!E$1)="","",$F156&amp;INDEX($AB165:$AB171,Tablas!E$1)))</f>
        <v/>
      </c>
      <c r="AQ156" s="3089" t="str">
        <f>IF(AND(ISNUMBER(MATCH($F156,'Tablas Técnicas'!$L$10:$L$643,0)),INDEX($AB165:$AB171,Tablas!F$1)="",COUNTIF(AR156:$AS156,$F156)=0),$F156,IF(INDEX($AB165:$AB171,Tablas!F$1)="","",$F156&amp;INDEX($AB165:$AB171,Tablas!F$1)))</f>
        <v/>
      </c>
      <c r="AR156" s="3089" t="str">
        <f>IF(AND(ISNUMBER(MATCH($F156,'Tablas Técnicas'!$L$10:$L$643,0)),INDEX($AB165:$AB171,Tablas!G$1)="",COUNTIF(AS156:$AS156,$F156)=0),$F156,IF(INDEX($AB165:$AB171,Tablas!G$1)="","",$F156&amp;INDEX($AB165:$AB171,Tablas!G$1)))</f>
        <v/>
      </c>
      <c r="AS156" s="3091">
        <f>V156+X156+Z156+AB156+AD156+AF156</f>
        <v>0</v>
      </c>
      <c r="AT156" s="3091">
        <f t="array" ref="AT156">SUM(IF($AL156:$AR156='Tablas Técnicas'!$L$10:$L$643,IF(D156="Primario",'Tablas Técnicas'!$E$10:$E$643,'Tablas Técnicas'!$F$10:$F$643)+IF(K156="Sostenimiento menor",'Tablas Técnicas'!$I$10:$I$643,IF(K156="sostenimiento mayor",'Tablas Técnicas'!$J$10:$J$643,0)),0),0)+VALUE(RIGHT(P156,2))+AU156+AV156</f>
        <v>0</v>
      </c>
      <c r="AU156" s="309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091">
        <f>(COUNTIF(AL156:AR156,"*Estado añadido:*")-1)*COUNTIF(AL156:AR156,"*Estado añadido:*")</f>
        <v>0</v>
      </c>
      <c r="AW156" s="3091">
        <f t="array" ref="AW156">SUM(IF($AL156:$AR156='Tablas Técnicas'!$L$10:$L$643,'Tablas Técnicas'!$G$10:$G$643,0))</f>
        <v>0</v>
      </c>
      <c r="AX156" s="3089"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089" t="str">
        <f>IFERROR(LEFT(AX156,LEN(AX156)-2)&amp;"), ","")</f>
        <v/>
      </c>
    </row>
    <row r="157" spans="1:51" ht="12.2" customHeight="1" x14ac:dyDescent="0.2">
      <c r="A157" s="2185"/>
      <c r="B157" s="2099">
        <f t="shared" si="3"/>
        <v>5</v>
      </c>
      <c r="C157" s="4538"/>
      <c r="D157" s="4589" t="s">
        <v>2819</v>
      </c>
      <c r="E157" s="4590"/>
      <c r="F157" s="4610"/>
      <c r="G157" s="4611"/>
      <c r="H157" s="4611"/>
      <c r="I157" s="4611"/>
      <c r="J157" s="4612"/>
      <c r="K157" s="4628"/>
      <c r="L157" s="4657"/>
      <c r="M157" s="4658"/>
      <c r="N157" s="1929" t="str">
        <f>IFERROR(INDEX('Tablas Técnicas'!$Q$200:$Q$301,MATCH(F157&amp;K157,'Tablas Técnicas'!$S$200:$S$301,0)),"")</f>
        <v/>
      </c>
      <c r="O157" s="4659"/>
      <c r="P157" s="4660"/>
      <c r="Q157" s="4661"/>
      <c r="R157" s="4660"/>
      <c r="S157" s="2761" t="str">
        <f>IFERROR("Nivel: "&amp;MAX(1,INDEX('Tablas Técnicas'!$R$200:$R$301,MATCH(F157&amp;K157,'Tablas Técnicas'!$S$200:$S$301,0))),"")</f>
        <v/>
      </c>
      <c r="T157" s="1930"/>
      <c r="U157" s="1931" t="str">
        <f>IFERROR("("&amp;VLOOKUP(F157,'Tablas Técnicas'!$O$165:$Q$192,3,FALSE)&amp;")","")</f>
        <v/>
      </c>
      <c r="V157" s="4598" t="s">
        <v>9625</v>
      </c>
      <c r="W157" s="4599"/>
      <c r="X157" s="4600"/>
      <c r="Y157" s="2542">
        <v>0</v>
      </c>
      <c r="Z157" s="4694" t="s">
        <v>8811</v>
      </c>
      <c r="AA157" s="4602"/>
      <c r="AB157" s="4603"/>
      <c r="AC157" s="2542">
        <v>0</v>
      </c>
      <c r="AD157" s="4695" t="str">
        <f>"Ki sin repartir: "&amp;AL165-AL166&amp;IF(AM165=0,""," ("&amp;AM165-AM166&amp;")")</f>
        <v>Ki sin repartir: 0</v>
      </c>
      <c r="AE157" s="4605"/>
      <c r="AF157" s="4605"/>
      <c r="AG157" s="4606"/>
      <c r="AH157" s="2193"/>
      <c r="AI157" s="4558"/>
      <c r="AJ157" s="3089">
        <v>1</v>
      </c>
      <c r="AK157" s="3089">
        <f>P148</f>
        <v>1</v>
      </c>
      <c r="AL157" s="3089" t="e">
        <f>VLOOKUP(F157,'Tablas Técnicas'!$O$165:$Q$188,2,FALSE)</f>
        <v>#N/A</v>
      </c>
      <c r="AM157" s="3089"/>
      <c r="AN157" s="3090"/>
      <c r="AO157" s="3089"/>
      <c r="AP157" s="3089"/>
      <c r="AQ157" s="3090"/>
      <c r="AR157" s="3089"/>
      <c r="AS157" s="3089"/>
      <c r="AT157" s="3089"/>
      <c r="AU157" s="3089"/>
      <c r="AV157" s="3089"/>
      <c r="AW157" s="3091"/>
      <c r="AX157" s="3091"/>
      <c r="AY157" s="3089" t="str">
        <f>IF(F157="","",F157&amp;IF(K157="",""," ("&amp;IF(F157="Atadura Elemental",O157&amp;IF(Q157="","",", "&amp;Q157),K157)&amp;")")&amp;", ")</f>
        <v/>
      </c>
    </row>
    <row r="158" spans="1:51" ht="12.2" customHeight="1" x14ac:dyDescent="0.2">
      <c r="A158" s="2185"/>
      <c r="B158" s="2099">
        <f t="shared" si="3"/>
        <v>5</v>
      </c>
      <c r="C158" s="4538"/>
      <c r="D158" s="4591"/>
      <c r="E158" s="4592"/>
      <c r="F158" s="4662"/>
      <c r="G158" s="4663"/>
      <c r="H158" s="4663"/>
      <c r="I158" s="4663"/>
      <c r="J158" s="4664"/>
      <c r="K158" s="4617"/>
      <c r="L158" s="4677"/>
      <c r="M158" s="4678"/>
      <c r="N158" s="1932" t="str">
        <f>IFERROR(INDEX('Tablas Técnicas'!$Q$200:$Q$301,MATCH(F158&amp;K158,'Tablas Técnicas'!$S$200:$S$301,0)),"")</f>
        <v/>
      </c>
      <c r="O158" s="4665"/>
      <c r="P158" s="4666"/>
      <c r="Q158" s="4667"/>
      <c r="R158" s="4666"/>
      <c r="S158" s="2763" t="str">
        <f>IFERROR("Nivel: "&amp;MAX(1,INDEX('Tablas Técnicas'!$R$200:$R$301,MATCH(F158&amp;K158,'Tablas Técnicas'!$S$200:$S$301,0))),"")</f>
        <v/>
      </c>
      <c r="T158" s="2543"/>
      <c r="U158" s="2544" t="str">
        <f>IFERROR("("&amp;VLOOKUP(F158,'Tablas Técnicas'!$O$165:$Q$192,3,FALSE)&amp;")","")</f>
        <v/>
      </c>
      <c r="V158" s="4607" t="str">
        <f>"Mod. "&amp;V150</f>
        <v>Mod. AGI</v>
      </c>
      <c r="W158" s="4608"/>
      <c r="X158" s="4607" t="str">
        <f>"Mod. "&amp;X150</f>
        <v>Mod. CON</v>
      </c>
      <c r="Y158" s="4608"/>
      <c r="Z158" s="4607" t="str">
        <f>"Mod. "&amp;Z150</f>
        <v>Mod. DES</v>
      </c>
      <c r="AA158" s="4608"/>
      <c r="AB158" s="4607" t="str">
        <f>"Mod. "&amp;AB150</f>
        <v>Mod. FUE</v>
      </c>
      <c r="AC158" s="4608"/>
      <c r="AD158" s="4607" t="str">
        <f>"Mod. "&amp;AD150</f>
        <v>Mod. POD</v>
      </c>
      <c r="AE158" s="4608"/>
      <c r="AF158" s="4607" t="str">
        <f>"Mod. "&amp;AF150</f>
        <v>Mod. VOL</v>
      </c>
      <c r="AG158" s="4609"/>
      <c r="AH158" s="2193"/>
      <c r="AI158" s="4558"/>
      <c r="AJ158" s="3089">
        <v>2</v>
      </c>
      <c r="AK158" s="3089">
        <f>P148</f>
        <v>1</v>
      </c>
      <c r="AL158" s="3089" t="e">
        <f>VLOOKUP(F158,'Tablas Técnicas'!$O$165:$Q$188,2,FALSE)</f>
        <v>#N/A</v>
      </c>
      <c r="AM158" s="3089"/>
      <c r="AN158" s="3090"/>
      <c r="AO158" s="3089"/>
      <c r="AP158" s="3089"/>
      <c r="AQ158" s="3090"/>
      <c r="AR158" s="3089"/>
      <c r="AS158" s="3089"/>
      <c r="AT158" s="3089"/>
      <c r="AU158" s="3089"/>
      <c r="AV158" s="3089"/>
      <c r="AW158" s="3091"/>
      <c r="AX158" s="3091"/>
      <c r="AY158" s="3089" t="str">
        <f>IF(F158="","",F158&amp;IF(K158="",""," ("&amp;IF(F158="Atadura Elemental",O158&amp;IF(Q158="","",", "&amp;Q158),K158)&amp;")")&amp;", ")</f>
        <v/>
      </c>
    </row>
    <row r="159" spans="1:51" ht="12.2" customHeight="1" thickBot="1" x14ac:dyDescent="0.25">
      <c r="A159" s="2185"/>
      <c r="B159" s="2099">
        <f t="shared" si="3"/>
        <v>5</v>
      </c>
      <c r="C159" s="4538"/>
      <c r="D159" s="4682"/>
      <c r="E159" s="4683"/>
      <c r="F159" s="4668"/>
      <c r="G159" s="4669"/>
      <c r="H159" s="4669"/>
      <c r="I159" s="4669"/>
      <c r="J159" s="4670"/>
      <c r="K159" s="4672"/>
      <c r="L159" s="4673"/>
      <c r="M159" s="4674"/>
      <c r="N159" s="1933" t="str">
        <f>IFERROR(INDEX('Tablas Técnicas'!$Q$200:$Q$301,MATCH(F159&amp;K159,'Tablas Técnicas'!$S$200:$S$301,0)),"")</f>
        <v/>
      </c>
      <c r="O159" s="4655"/>
      <c r="P159" s="4656"/>
      <c r="Q159" s="4671"/>
      <c r="R159" s="4656"/>
      <c r="S159" s="2762" t="str">
        <f>IFERROR("Nivel: "&amp;MAX(1,INDEX('Tablas Técnicas'!$R$200:$R$301,MATCH(F159&amp;K159,'Tablas Técnicas'!$S$200:$S$301,0))),"")</f>
        <v/>
      </c>
      <c r="T159" s="2545"/>
      <c r="U159" s="2546" t="str">
        <f>IFERROR("("&amp;VLOOKUP(F159,'Tablas Técnicas'!$O$165:$Q$192,3,FALSE)&amp;")","")</f>
        <v/>
      </c>
      <c r="V159" s="4564"/>
      <c r="W159" s="4562"/>
      <c r="X159" s="4562"/>
      <c r="Y159" s="4562"/>
      <c r="Z159" s="4562"/>
      <c r="AA159" s="4562"/>
      <c r="AB159" s="4562"/>
      <c r="AC159" s="4562"/>
      <c r="AD159" s="4562"/>
      <c r="AE159" s="4562"/>
      <c r="AF159" s="4562"/>
      <c r="AG159" s="4574"/>
      <c r="AH159" s="2193"/>
      <c r="AI159" s="4558"/>
      <c r="AJ159" s="3089">
        <v>3</v>
      </c>
      <c r="AK159" s="3089">
        <f>P148</f>
        <v>1</v>
      </c>
      <c r="AL159" s="3089" t="e">
        <f>VLOOKUP(F159,'Tablas Técnicas'!$O$165:$Q$188,2,FALSE)</f>
        <v>#N/A</v>
      </c>
      <c r="AM159" s="3089"/>
      <c r="AN159" s="3090"/>
      <c r="AO159" s="3089"/>
      <c r="AP159" s="3089"/>
      <c r="AQ159" s="3090"/>
      <c r="AR159" s="3091"/>
      <c r="AS159" s="3091"/>
      <c r="AT159" s="3091"/>
      <c r="AU159" s="3091"/>
      <c r="AV159" s="3091"/>
      <c r="AW159" s="3091"/>
      <c r="AX159" s="3091"/>
      <c r="AY159" s="3089" t="str">
        <f>IF(F159="","",F159&amp;IF(K159="",""," ("&amp;IF(F159="Atadura Elemental",O159&amp;IF(Q159="","",", "&amp;Q159),K159)&amp;")")&amp;", ")</f>
        <v/>
      </c>
    </row>
    <row r="160" spans="1:51" ht="12.2" customHeight="1" x14ac:dyDescent="0.2">
      <c r="A160" s="2185"/>
      <c r="B160" s="2099">
        <f t="shared" si="3"/>
        <v>5</v>
      </c>
      <c r="C160" s="4538"/>
      <c r="D160" s="4549" t="s">
        <v>9306</v>
      </c>
      <c r="E160" s="4550"/>
      <c r="F160" s="4550"/>
      <c r="G160" s="4550"/>
      <c r="H160" s="4550"/>
      <c r="I160" s="4550"/>
      <c r="J160" s="4550"/>
      <c r="K160" s="4550"/>
      <c r="L160" s="4550"/>
      <c r="M160" s="4550"/>
      <c r="N160" s="4550"/>
      <c r="O160" s="4550"/>
      <c r="P160" s="4550"/>
      <c r="Q160" s="4550"/>
      <c r="R160" s="4550"/>
      <c r="S160" s="4550"/>
      <c r="T160" s="4550"/>
      <c r="U160" s="4550"/>
      <c r="V160" s="4679"/>
      <c r="W160" s="4679"/>
      <c r="X160" s="4679"/>
      <c r="Y160" s="4679"/>
      <c r="Z160" s="4679"/>
      <c r="AA160" s="4679"/>
      <c r="AB160" s="4679"/>
      <c r="AC160" s="4679"/>
      <c r="AD160" s="4679"/>
      <c r="AE160" s="4679"/>
      <c r="AF160" s="4679"/>
      <c r="AG160" s="4552"/>
      <c r="AH160" s="2193"/>
      <c r="AI160" s="4558"/>
      <c r="AJ160" s="3089"/>
      <c r="AK160" s="3089"/>
      <c r="AL160" s="3089"/>
      <c r="AM160" s="3089"/>
      <c r="AN160" s="3090" t="s">
        <v>8812</v>
      </c>
      <c r="AO160" s="3089" t="e">
        <f>LEFT(AY152&amp;AY153&amp;AY154&amp;AY155&amp;AY156,LEN(AY152&amp;AY153&amp;AY154&amp;AY155&amp;AY156)-2)</f>
        <v>#VALUE!</v>
      </c>
      <c r="AP160" s="3089"/>
      <c r="AQ160" s="3090"/>
      <c r="AR160" s="3091"/>
      <c r="AS160" s="3091"/>
      <c r="AT160" s="3091"/>
      <c r="AU160" s="3090"/>
      <c r="AV160" s="3090"/>
      <c r="AW160" s="3091"/>
      <c r="AX160" s="3091"/>
      <c r="AY160" s="3089"/>
    </row>
    <row r="161" spans="1:51" ht="12.2" customHeight="1" x14ac:dyDescent="0.2">
      <c r="A161" s="2185"/>
      <c r="B161" s="2099">
        <f t="shared" si="3"/>
        <v>5</v>
      </c>
      <c r="C161" s="4538"/>
      <c r="D161" s="4553" t="str">
        <f>IF(F152="","",F152)</f>
        <v/>
      </c>
      <c r="E161" s="4554"/>
      <c r="F161" s="4554"/>
      <c r="G161" s="4554"/>
      <c r="H161" s="4554"/>
      <c r="I161" s="4555"/>
      <c r="J161" s="4553" t="str">
        <f>IF(F153="","",F153)</f>
        <v/>
      </c>
      <c r="K161" s="4554"/>
      <c r="L161" s="4554"/>
      <c r="M161" s="4554"/>
      <c r="N161" s="4554"/>
      <c r="O161" s="4555"/>
      <c r="P161" s="4554" t="str">
        <f>IF(F154="","",F154)</f>
        <v/>
      </c>
      <c r="Q161" s="4554"/>
      <c r="R161" s="4554"/>
      <c r="S161" s="4554"/>
      <c r="T161" s="4554"/>
      <c r="U161" s="4555"/>
      <c r="V161" s="4553" t="str">
        <f>IF(F155="","",F155)</f>
        <v/>
      </c>
      <c r="W161" s="4554"/>
      <c r="X161" s="4554"/>
      <c r="Y161" s="4554"/>
      <c r="Z161" s="4554"/>
      <c r="AA161" s="4555"/>
      <c r="AB161" s="4554" t="str">
        <f>IF(F156="","",F156)</f>
        <v/>
      </c>
      <c r="AC161" s="4554"/>
      <c r="AD161" s="4554"/>
      <c r="AE161" s="4554"/>
      <c r="AF161" s="4554"/>
      <c r="AG161" s="4577"/>
      <c r="AH161" s="2193"/>
      <c r="AI161" s="4558"/>
      <c r="AJ161" s="3089"/>
      <c r="AK161" s="3089"/>
      <c r="AL161" s="3089"/>
      <c r="AM161" s="3089"/>
      <c r="AN161" s="3090" t="s">
        <v>8813</v>
      </c>
      <c r="AO161" s="3089" t="e">
        <f>LEFT(AY157&amp;AY158&amp;AY159,LEN(AY157&amp;AY158&amp;AY159)-2)</f>
        <v>#VALUE!</v>
      </c>
      <c r="AP161" s="3089"/>
      <c r="AQ161" s="3090"/>
      <c r="AR161" s="3091"/>
      <c r="AS161" s="3091"/>
      <c r="AT161" s="3091"/>
      <c r="AU161" s="3090"/>
      <c r="AV161" s="3090"/>
      <c r="AW161" s="3091"/>
      <c r="AX161" s="3091"/>
      <c r="AY161" s="3089"/>
    </row>
    <row r="162" spans="1:51" ht="12.2" customHeight="1" x14ac:dyDescent="0.2">
      <c r="A162" s="2185"/>
      <c r="B162" s="2099">
        <f t="shared" si="3"/>
        <v>5</v>
      </c>
      <c r="C162" s="4538"/>
      <c r="D162" s="2044" t="s">
        <v>1836</v>
      </c>
      <c r="E162" s="2536" t="str">
        <f>IFERROR(VLOOKUP(D161,'Tablas Técnicas'!$O$9:$T$88,3,FALSE),"")</f>
        <v/>
      </c>
      <c r="F162" s="2547"/>
      <c r="G162" s="2548"/>
      <c r="H162" s="2548" t="s">
        <v>1363</v>
      </c>
      <c r="I162" s="2536" t="str">
        <f>IFERROR(VLOOKUP(D161,'Tablas Técnicas'!$O$9:$T$88,4,FALSE),"")</f>
        <v/>
      </c>
      <c r="J162" s="2044" t="s">
        <v>1836</v>
      </c>
      <c r="K162" s="2536" t="str">
        <f>IFERROR(VLOOKUP(J161,'Tablas Técnicas'!$O$9:$T$88,3,FALSE),"")</f>
        <v/>
      </c>
      <c r="L162" s="2547"/>
      <c r="M162" s="2548"/>
      <c r="N162" s="2548" t="s">
        <v>1363</v>
      </c>
      <c r="O162" s="1934" t="str">
        <f>IFERROR(VLOOKUP(J161,'Tablas Técnicas'!$O$9:$T$88,4,FALSE),"")</f>
        <v/>
      </c>
      <c r="P162" s="2548" t="s">
        <v>1836</v>
      </c>
      <c r="Q162" s="2536" t="str">
        <f>IFERROR(VLOOKUP(P161,'Tablas Técnicas'!$O$9:$T$88,3,FALSE),"")</f>
        <v/>
      </c>
      <c r="R162" s="2547"/>
      <c r="S162" s="2548"/>
      <c r="T162" s="2548" t="s">
        <v>1363</v>
      </c>
      <c r="U162" s="2536" t="str">
        <f>IFERROR(VLOOKUP(P161,'Tablas Técnicas'!$O$9:$T$88,4,FALSE),"")</f>
        <v/>
      </c>
      <c r="V162" s="2044" t="s">
        <v>1836</v>
      </c>
      <c r="W162" s="2536" t="str">
        <f>IFERROR(VLOOKUP(V161,'Tablas Técnicas'!$O$9:$T$88,3,FALSE),"")</f>
        <v/>
      </c>
      <c r="X162" s="2547"/>
      <c r="Y162" s="2548"/>
      <c r="Z162" s="2548" t="s">
        <v>1363</v>
      </c>
      <c r="AA162" s="1934" t="str">
        <f>IFERROR(VLOOKUP(V161,'Tablas Técnicas'!$O$9:$T$88,4,FALSE),"")</f>
        <v/>
      </c>
      <c r="AB162" s="2548" t="s">
        <v>1836</v>
      </c>
      <c r="AC162" s="2536" t="str">
        <f>IFERROR(VLOOKUP(AB161,'Tablas Técnicas'!$O$9:$T$88,3,FALSE),"")</f>
        <v/>
      </c>
      <c r="AD162" s="2547"/>
      <c r="AE162" s="2548"/>
      <c r="AF162" s="2548" t="s">
        <v>1363</v>
      </c>
      <c r="AG162" s="1935" t="str">
        <f>IFERROR(VLOOKUP(AB161,'Tablas Técnicas'!$O$9:$T$88,4,FALSE),"")</f>
        <v/>
      </c>
      <c r="AH162" s="2193"/>
      <c r="AI162" s="4558"/>
      <c r="AJ162" s="3089"/>
      <c r="AK162" s="3089"/>
      <c r="AL162" s="3089"/>
      <c r="AM162" s="3089"/>
      <c r="AN162" s="3090"/>
      <c r="AO162" s="3089"/>
      <c r="AP162" s="3089"/>
      <c r="AQ162" s="3090"/>
      <c r="AR162" s="3091"/>
      <c r="AS162" s="3091"/>
      <c r="AT162" s="3091"/>
      <c r="AU162" s="3091"/>
      <c r="AV162" s="3091"/>
      <c r="AW162" s="3091"/>
      <c r="AX162" s="3091"/>
      <c r="AY162" s="3089"/>
    </row>
    <row r="163" spans="1:51" ht="12.2" customHeight="1" x14ac:dyDescent="0.2">
      <c r="A163" s="2185"/>
      <c r="B163" s="2099">
        <f t="shared" si="3"/>
        <v>5</v>
      </c>
      <c r="C163" s="4538"/>
      <c r="D163" s="2045" t="s">
        <v>8814</v>
      </c>
      <c r="E163" s="2548"/>
      <c r="F163" s="2547"/>
      <c r="G163" s="2549"/>
      <c r="H163" s="2549"/>
      <c r="I163" s="2546" t="str">
        <f>IFERROR(IF(D161="Ataque Elemental",IF(NOT(ISNA(VLOOKUP(D165,'Tablas Técnicas'!$O$100:$O$105,1,0))),D165,"Variable"),VLOOKUP(D161,'Tablas Técnicas'!$O$9:$W$88,9,FALSE)),"")</f>
        <v/>
      </c>
      <c r="J163" s="2550" t="s">
        <v>8814</v>
      </c>
      <c r="K163" s="2551"/>
      <c r="L163" s="2552"/>
      <c r="M163" s="2553"/>
      <c r="N163" s="2553"/>
      <c r="O163" s="2554" t="str">
        <f>IFERROR(IF(J161="Ataque Elemental",IF(NOT(ISNA(VLOOKUP(J165,'Tablas Técnicas'!$O$100:$O$105,1,0))),J165,"Variable"),VLOOKUP(J161,'Tablas Técnicas'!$O$9:$W$88,9,FALSE)),"")</f>
        <v/>
      </c>
      <c r="P163" s="2555" t="s">
        <v>8814</v>
      </c>
      <c r="Q163" s="2551"/>
      <c r="R163" s="2552"/>
      <c r="S163" s="2553"/>
      <c r="T163" s="2553"/>
      <c r="U163" s="2546" t="str">
        <f>IFERROR(IF(P161="Ataque Elemental",IF(NOT(ISNA(VLOOKUP(P165,'Tablas Técnicas'!$O$100:$O$105,1,0))),P165,"Variable"),VLOOKUP(P161,'Tablas Técnicas'!$O$9:$W$88,9,FALSE)),"")</f>
        <v/>
      </c>
      <c r="V163" s="2550" t="s">
        <v>8814</v>
      </c>
      <c r="W163" s="2551"/>
      <c r="X163" s="2552"/>
      <c r="Y163" s="2553"/>
      <c r="Z163" s="2553"/>
      <c r="AA163" s="2554" t="str">
        <f>IFERROR(IF(V161="Ataque Elemental",IF(NOT(ISNA(VLOOKUP(V165,'Tablas Técnicas'!$O$100:$O$105,1,0))),V165,"Variable"),VLOOKUP(V161,'Tablas Técnicas'!$O$9:$W$88,9,FALSE)),"")</f>
        <v/>
      </c>
      <c r="AB163" s="2555" t="s">
        <v>8814</v>
      </c>
      <c r="AC163" s="2551"/>
      <c r="AD163" s="2552"/>
      <c r="AE163" s="2553"/>
      <c r="AF163" s="2553"/>
      <c r="AG163" s="2050" t="str">
        <f>IFERROR(IF(AB161="Ataque Elemental",IF(NOT(ISNA(VLOOKUP(AB165,'Tablas Técnicas'!$O$100:$O$105,1,0))),AB165,"Variable"),VLOOKUP(AB161,'Tablas Técnicas'!$O$9:$W$88,9,FALSE)),"")</f>
        <v/>
      </c>
      <c r="AH163" s="2193"/>
      <c r="AI163" s="4558"/>
      <c r="AJ163" s="3089"/>
      <c r="AK163" s="3091" t="s">
        <v>1373</v>
      </c>
      <c r="AL163" s="3091" t="s">
        <v>1498</v>
      </c>
      <c r="AM163" s="3091" t="s">
        <v>1378</v>
      </c>
      <c r="AN163" s="3091" t="s">
        <v>1383</v>
      </c>
      <c r="AO163" s="3091" t="s">
        <v>1391</v>
      </c>
      <c r="AP163" s="3091" t="s">
        <v>1392</v>
      </c>
      <c r="AQ163" s="3090"/>
      <c r="AR163" s="3091"/>
      <c r="AS163" s="3091"/>
      <c r="AT163" s="3091"/>
      <c r="AU163" s="3091"/>
      <c r="AV163" s="3091"/>
      <c r="AW163" s="3091"/>
      <c r="AX163" s="3091"/>
      <c r="AY163" s="3089"/>
    </row>
    <row r="164" spans="1:51" ht="12.2" customHeight="1" x14ac:dyDescent="0.2">
      <c r="A164" s="2185"/>
      <c r="B164" s="2099">
        <f t="shared" si="3"/>
        <v>5</v>
      </c>
      <c r="C164" s="4538"/>
      <c r="D164" s="4553" t="s">
        <v>2827</v>
      </c>
      <c r="E164" s="4554"/>
      <c r="F164" s="4554"/>
      <c r="G164" s="4554"/>
      <c r="H164" s="4555"/>
      <c r="I164" s="1938" t="s">
        <v>1403</v>
      </c>
      <c r="J164" s="4553" t="s">
        <v>2827</v>
      </c>
      <c r="K164" s="4554"/>
      <c r="L164" s="4554"/>
      <c r="M164" s="4554"/>
      <c r="N164" s="4555"/>
      <c r="O164" s="1939" t="s">
        <v>1403</v>
      </c>
      <c r="P164" s="4553" t="s">
        <v>2827</v>
      </c>
      <c r="Q164" s="4554"/>
      <c r="R164" s="4554"/>
      <c r="S164" s="4554"/>
      <c r="T164" s="4555"/>
      <c r="U164" s="1939" t="s">
        <v>1403</v>
      </c>
      <c r="V164" s="4553"/>
      <c r="W164" s="4554"/>
      <c r="X164" s="4554"/>
      <c r="Y164" s="4554"/>
      <c r="Z164" s="4555"/>
      <c r="AA164" s="1939" t="s">
        <v>1403</v>
      </c>
      <c r="AB164" s="4553" t="s">
        <v>2827</v>
      </c>
      <c r="AC164" s="4554"/>
      <c r="AD164" s="4554"/>
      <c r="AE164" s="4554"/>
      <c r="AF164" s="4555"/>
      <c r="AG164" s="1940" t="s">
        <v>1403</v>
      </c>
      <c r="AH164" s="2193"/>
      <c r="AI164" s="4558"/>
      <c r="AJ164" s="3094" t="s">
        <v>9343</v>
      </c>
      <c r="AK164" s="3089" t="str">
        <f>IF(V150="","",IF(SUM(V152:V156)=0,"",V150&amp;" "&amp;SUM(V152:V156)+V159&amp;IF(SUM(W152:W156)=0,""," ("&amp;SUM(W152:W156)&amp;")")&amp;", "))</f>
        <v/>
      </c>
      <c r="AL164" s="3089" t="str">
        <f>IF(X150="","",IF(SUM(X152:X156)=0,"",X150&amp;" "&amp;SUM(X152:X156)+X159&amp;IF(SUM(Y152:Y156)=0,""," ("&amp;SUM(Y152:Y156)&amp;")")&amp;", "))</f>
        <v/>
      </c>
      <c r="AM164" s="3089" t="str">
        <f>IF(Z150="","",IF(SUM(Z152:Z156)=0,"",Z150&amp;" "&amp;SUM(Z152:Z156)+Z159&amp;IF(SUM(AA152:AA156)=0,""," ("&amp;SUM(AA152:AA156)&amp;")")&amp;", "))</f>
        <v/>
      </c>
      <c r="AN164" s="3089" t="str">
        <f>IF(AB150="","",IF(SUM(AB152:AB156)=0,"",AB150&amp;" "&amp;SUM(AB152:AB156)+AB159&amp;IF(SUM(AC152:AC156)=0,""," ("&amp;SUM(AC152:AC156)&amp;")")&amp;", "))</f>
        <v/>
      </c>
      <c r="AO164" s="3089" t="str">
        <f>IF(AD150="","",IF(SUM(AD152:AD156)=0,"",AD150&amp;" "&amp;SUM(AD152:AD156)+AD159&amp;IF(SUM(AE152:AE156)=0,""," ("&amp;SUM(AE152:AE156)&amp;")")&amp;", "))</f>
        <v/>
      </c>
      <c r="AP164" s="3089" t="str">
        <f>IF(AF150="","",IF(SUM(AF152:AF156)=0,"",AF150&amp;" "&amp;SUM(AF152:AF156)+AF159&amp;IF(SUM(AG152:AG156)=0,""," ("&amp;SUM(AG152:AG156)&amp;")")&amp;", "))</f>
        <v/>
      </c>
      <c r="AQ164" s="3089"/>
      <c r="AR164" s="3089"/>
      <c r="AS164" s="3089"/>
      <c r="AT164" s="3089"/>
      <c r="AU164" s="3089"/>
      <c r="AV164" s="3089"/>
      <c r="AW164" s="3089"/>
      <c r="AX164" s="3089"/>
      <c r="AY164" s="3089"/>
    </row>
    <row r="165" spans="1:51" ht="12.2" customHeight="1" x14ac:dyDescent="0.2">
      <c r="A165" s="2185"/>
      <c r="B165" s="2099">
        <f t="shared" si="3"/>
        <v>5</v>
      </c>
      <c r="C165" s="4538"/>
      <c r="D165" s="4575"/>
      <c r="E165" s="4573"/>
      <c r="F165" s="4573"/>
      <c r="G165" s="4573"/>
      <c r="H165" s="4573"/>
      <c r="I165" s="1941" t="str">
        <f>IF(OR(D161="",D165=""),"",MAX(1,SUMPRODUCT(--(INDEX('Tablas Técnicas'!$C$10:$L$643,,1)=D161),--(INDEX('Tablas Técnicas'!$C$10:$L$643,,2)=D165),INDEX('Tablas Técnicas'!$C$10:$L$643,,9))))</f>
        <v/>
      </c>
      <c r="J165" s="4572"/>
      <c r="K165" s="4573"/>
      <c r="L165" s="4573"/>
      <c r="M165" s="4573"/>
      <c r="N165" s="4573"/>
      <c r="O165" s="1941" t="str">
        <f>IF(OR(J161="",J165=""),"",MAX(1,SUMPRODUCT(--(INDEX('Tablas Técnicas'!$C$10:$L$643,,1)=J161),--(INDEX('Tablas Técnicas'!$C$10:$L$643,,2)=J165),INDEX('Tablas Técnicas'!$C$10:$L$643,,9))))</f>
        <v/>
      </c>
      <c r="P165" s="4572"/>
      <c r="Q165" s="4573"/>
      <c r="R165" s="4573"/>
      <c r="S165" s="4573"/>
      <c r="T165" s="4573"/>
      <c r="U165" s="1941" t="str">
        <f>IF(OR(P161="",P165=""),"",MAX(1,SUMPRODUCT(--(INDEX('Tablas Técnicas'!$C$10:$L$643,,1)=P161),--(INDEX('Tablas Técnicas'!$C$10:$L$643,,2)=P165),INDEX('Tablas Técnicas'!$C$10:$L$643,,9))))</f>
        <v/>
      </c>
      <c r="V165" s="4572"/>
      <c r="W165" s="4573"/>
      <c r="X165" s="4573"/>
      <c r="Y165" s="4573"/>
      <c r="Z165" s="4573"/>
      <c r="AA165" s="1941" t="str">
        <f>IF(OR(V161="",V165=""),"",MAX(1,SUMPRODUCT(--(INDEX('Tablas Técnicas'!$C$10:$L$643,,1)=V161),--(INDEX('Tablas Técnicas'!$C$10:$L$643,,2)=V165),INDEX('Tablas Técnicas'!$C$10:$L$643,,9))))</f>
        <v/>
      </c>
      <c r="AB165" s="4572"/>
      <c r="AC165" s="4573"/>
      <c r="AD165" s="4573"/>
      <c r="AE165" s="4573"/>
      <c r="AF165" s="4573"/>
      <c r="AG165" s="1942" t="str">
        <f>IF(OR(AB161="",AB165=""),"",MAX(1,SUMPRODUCT(--(INDEX('Tablas Técnicas'!$C$10:$L$643,,1)=AB161),--(INDEX('Tablas Técnicas'!$C$10:$L$643,,2)=AB165),INDEX('Tablas Técnicas'!$C$10:$L$643,,9))))</f>
        <v/>
      </c>
      <c r="AH165" s="2193">
        <f>P148</f>
        <v>1</v>
      </c>
      <c r="AI165" s="4558"/>
      <c r="AJ165" s="3089" t="s">
        <v>9307</v>
      </c>
      <c r="AK165" s="3089"/>
      <c r="AL165" s="3089">
        <f>MAX(0,SUM(AT152:AT156)+ABS($AC157*2/5))+IF(AM174,0,Y157)+IF(S148="Sí",3*P148,0)</f>
        <v>0</v>
      </c>
      <c r="AM165" s="3089">
        <f t="array" ref="AM165">IF(ISNUMBER(SEARCH("Mantenido",K152&amp;K153&amp;K154&amp;K155&amp;K156)),MAX(0,SUM(VALUE(RIGHT($P152:$P156,2)))),0)</f>
        <v>0</v>
      </c>
      <c r="AN165" s="3091"/>
      <c r="AO165" s="3091"/>
      <c r="AP165" s="3096"/>
      <c r="AQ165" s="3096"/>
      <c r="AR165" s="3096"/>
      <c r="AS165" s="3096"/>
      <c r="AT165" s="3096"/>
      <c r="AU165" s="3096"/>
      <c r="AV165" s="3096"/>
      <c r="AW165" s="3096"/>
      <c r="AX165" s="3096"/>
      <c r="AY165" s="3089"/>
    </row>
    <row r="166" spans="1:51" ht="12.2" customHeight="1" x14ac:dyDescent="0.2">
      <c r="A166" s="2185"/>
      <c r="B166" s="2099">
        <f t="shared" si="3"/>
        <v>5</v>
      </c>
      <c r="C166" s="4538"/>
      <c r="D166" s="4556"/>
      <c r="E166" s="4557"/>
      <c r="F166" s="4557"/>
      <c r="G166" s="4557"/>
      <c r="H166" s="4557"/>
      <c r="I166" s="1943" t="str">
        <f>IF(OR(D161="",D166=""),"",MAX(1,SUMPRODUCT(--(INDEX('Tablas Técnicas'!$C$10:$L$643,,1)=D161),--(INDEX('Tablas Técnicas'!$C$10:$L$643,,2)=D166),INDEX('Tablas Técnicas'!$C$10:$L$643,,9))))</f>
        <v/>
      </c>
      <c r="J166" s="4556"/>
      <c r="K166" s="4557"/>
      <c r="L166" s="4557"/>
      <c r="M166" s="4557"/>
      <c r="N166" s="4557"/>
      <c r="O166" s="1943" t="str">
        <f>IF(OR(J161="",J166=""),"",MAX(1,SUMPRODUCT(--(INDEX('Tablas Técnicas'!$C$10:$L$643,,1)=J161),--(INDEX('Tablas Técnicas'!$C$10:$L$643,,2)=J166),INDEX('Tablas Técnicas'!$C$10:$L$643,,9))))</f>
        <v/>
      </c>
      <c r="P166" s="4556"/>
      <c r="Q166" s="4557"/>
      <c r="R166" s="4557"/>
      <c r="S166" s="4557"/>
      <c r="T166" s="4557"/>
      <c r="U166" s="1943" t="str">
        <f>IF(OR(P161="",P166=""),"",MAX(1,SUMPRODUCT(--(INDEX('Tablas Técnicas'!$C$10:$L$643,,1)=P161),--(INDEX('Tablas Técnicas'!$C$10:$L$643,,2)=P166),INDEX('Tablas Técnicas'!$C$10:$L$643,,9))))</f>
        <v/>
      </c>
      <c r="V166" s="4556"/>
      <c r="W166" s="4557"/>
      <c r="X166" s="4557"/>
      <c r="Y166" s="4557"/>
      <c r="Z166" s="4557"/>
      <c r="AA166" s="1943" t="str">
        <f>IF(OR(V161="",V166=""),"",MAX(1,SUMPRODUCT(--(INDEX('Tablas Técnicas'!$C$10:$L$643,,1)=V161),--(INDEX('Tablas Técnicas'!$C$10:$L$643,,2)=V166),INDEX('Tablas Técnicas'!$C$10:$L$643,,9))))</f>
        <v/>
      </c>
      <c r="AB166" s="4556"/>
      <c r="AC166" s="4557"/>
      <c r="AD166" s="4557"/>
      <c r="AE166" s="4557"/>
      <c r="AF166" s="4557"/>
      <c r="AG166" s="1944" t="str">
        <f>IF(OR(AB161="",AB166=""),"",MAX(1,SUMPRODUCT(--(INDEX('Tablas Técnicas'!$C$10:$L$643,,1)=AB161),--(INDEX('Tablas Técnicas'!$C$10:$L$643,,2)=AB166),INDEX('Tablas Técnicas'!$C$10:$L$643,,9))))</f>
        <v/>
      </c>
      <c r="AH166" s="2193">
        <f>P148</f>
        <v>1</v>
      </c>
      <c r="AI166" s="4558"/>
      <c r="AJ166" s="3089" t="s">
        <v>8816</v>
      </c>
      <c r="AK166" s="3089"/>
      <c r="AL166" s="3089">
        <f>SUM(V152:V156,X152:X156,Z152:Z156,AB152:AB156,AD152:AD156,AF152:AF156)+SUM(V159:AG159)</f>
        <v>0</v>
      </c>
      <c r="AM166" s="3089">
        <f>SUM(W152:W156,Y152:Y156,AA152:AA156,AC152:AC156,AE152:AE156,AG152:AG156)</f>
        <v>0</v>
      </c>
      <c r="AN166" s="3089"/>
      <c r="AO166" s="3089"/>
      <c r="AP166" s="3089"/>
      <c r="AQ166" s="3089"/>
      <c r="AR166" s="3089"/>
      <c r="AS166" s="3089"/>
      <c r="AT166" s="3089"/>
      <c r="AU166" s="3089"/>
      <c r="AV166" s="3089"/>
      <c r="AW166" s="3091"/>
      <c r="AX166" s="3089"/>
      <c r="AY166" s="3089"/>
    </row>
    <row r="167" spans="1:51" ht="12.2" customHeight="1" x14ac:dyDescent="0.2">
      <c r="A167" s="2185"/>
      <c r="B167" s="2099">
        <f t="shared" si="3"/>
        <v>5</v>
      </c>
      <c r="C167" s="4538"/>
      <c r="D167" s="4556"/>
      <c r="E167" s="4557"/>
      <c r="F167" s="4557"/>
      <c r="G167" s="4557"/>
      <c r="H167" s="4557"/>
      <c r="I167" s="1943" t="str">
        <f>IF(OR(D161="",D167=""),"",MAX(1,SUMPRODUCT(--(INDEX('Tablas Técnicas'!$C$10:$L$643,,1)=D161),--(INDEX('Tablas Técnicas'!$C$10:$L$643,,2)=D167),INDEX('Tablas Técnicas'!$C$10:$L$643,,9))))</f>
        <v/>
      </c>
      <c r="J167" s="4556"/>
      <c r="K167" s="4557"/>
      <c r="L167" s="4557"/>
      <c r="M167" s="4557"/>
      <c r="N167" s="4557"/>
      <c r="O167" s="1943" t="str">
        <f>IF(OR(J161="",J167=""),"",MAX(1,SUMPRODUCT(--(INDEX('Tablas Técnicas'!$C$10:$L$643,,1)=J161),--(INDEX('Tablas Técnicas'!$C$10:$L$643,,2)=J167),INDEX('Tablas Técnicas'!$C$10:$L$643,,9))))</f>
        <v/>
      </c>
      <c r="P167" s="4556"/>
      <c r="Q167" s="4557"/>
      <c r="R167" s="4557"/>
      <c r="S167" s="4557"/>
      <c r="T167" s="4557"/>
      <c r="U167" s="1943" t="str">
        <f>IF(OR(P161="",P167=""),"",MAX(1,SUMPRODUCT(--(INDEX('Tablas Técnicas'!$C$10:$L$643,,1)=P161),--(INDEX('Tablas Técnicas'!$C$10:$L$643,,2)=P167),INDEX('Tablas Técnicas'!$C$10:$L$643,,9))))</f>
        <v/>
      </c>
      <c r="V167" s="4556"/>
      <c r="W167" s="4557"/>
      <c r="X167" s="4557"/>
      <c r="Y167" s="4557"/>
      <c r="Z167" s="4557"/>
      <c r="AA167" s="1943" t="str">
        <f>IF(OR(V161="",V167=""),"",MAX(1,SUMPRODUCT(--(INDEX('Tablas Técnicas'!$C$10:$L$643,,1)=V161),--(INDEX('Tablas Técnicas'!$C$10:$L$643,,2)=V167),INDEX('Tablas Técnicas'!$C$10:$L$643,,9))))</f>
        <v/>
      </c>
      <c r="AB167" s="4556"/>
      <c r="AC167" s="4557"/>
      <c r="AD167" s="4557"/>
      <c r="AE167" s="4557"/>
      <c r="AF167" s="4557"/>
      <c r="AG167" s="1944" t="str">
        <f>IF(OR(AB161="",AB167=""),"",MAX(1,SUMPRODUCT(--(INDEX('Tablas Técnicas'!$C$10:$L$643,,1)=AB161),--(INDEX('Tablas Técnicas'!$C$10:$L$643,,2)=AB167),INDEX('Tablas Técnicas'!$C$10:$L$643,,9))))</f>
        <v/>
      </c>
      <c r="AH167" s="2193">
        <f>P148</f>
        <v>1</v>
      </c>
      <c r="AI167" s="4558"/>
      <c r="AJ167" s="3089"/>
      <c r="AK167" s="3089"/>
      <c r="AL167" s="3089"/>
      <c r="AM167" s="3089"/>
      <c r="AN167" s="3089"/>
      <c r="AO167" s="3089"/>
      <c r="AP167" s="3089"/>
      <c r="AQ167" s="3089"/>
      <c r="AR167" s="3089"/>
      <c r="AS167" s="3089"/>
      <c r="AT167" s="3089"/>
      <c r="AU167" s="3089"/>
      <c r="AV167" s="3089"/>
      <c r="AW167" s="3091"/>
      <c r="AX167" s="3091"/>
      <c r="AY167" s="3089"/>
    </row>
    <row r="168" spans="1:51" ht="12.2" customHeight="1" x14ac:dyDescent="0.2">
      <c r="A168" s="2185"/>
      <c r="B168" s="2099">
        <f t="shared" si="3"/>
        <v>5</v>
      </c>
      <c r="C168" s="4538"/>
      <c r="D168" s="4556"/>
      <c r="E168" s="4557"/>
      <c r="F168" s="4557"/>
      <c r="G168" s="4557"/>
      <c r="H168" s="4557"/>
      <c r="I168" s="1943" t="str">
        <f>IF(OR(D161="",D168=""),"",MAX(1,SUMPRODUCT(--(INDEX('Tablas Técnicas'!$C$10:$L$643,,1)=D161),--(INDEX('Tablas Técnicas'!$C$10:$L$643,,2)=D168),INDEX('Tablas Técnicas'!$C$10:$L$643,,9))))</f>
        <v/>
      </c>
      <c r="J168" s="4556"/>
      <c r="K168" s="4557"/>
      <c r="L168" s="4557"/>
      <c r="M168" s="4557"/>
      <c r="N168" s="4557"/>
      <c r="O168" s="1943" t="str">
        <f>IF(OR(J161="",J168=""),"",MAX(1,SUMPRODUCT(--(INDEX('Tablas Técnicas'!$C$10:$L$643,,1)=J161),--(INDEX('Tablas Técnicas'!$C$10:$L$643,,2)=J168),INDEX('Tablas Técnicas'!$C$10:$L$643,,9))))</f>
        <v/>
      </c>
      <c r="P168" s="4556"/>
      <c r="Q168" s="4557"/>
      <c r="R168" s="4557"/>
      <c r="S168" s="4557"/>
      <c r="T168" s="4557"/>
      <c r="U168" s="1943" t="str">
        <f>IF(OR(P161="",P168=""),"",MAX(1,SUMPRODUCT(--(INDEX('Tablas Técnicas'!$C$10:$L$643,,1)=P161),--(INDEX('Tablas Técnicas'!$C$10:$L$643,,2)=P168),INDEX('Tablas Técnicas'!$C$10:$L$643,,9))))</f>
        <v/>
      </c>
      <c r="V168" s="4556"/>
      <c r="W168" s="4557"/>
      <c r="X168" s="4557"/>
      <c r="Y168" s="4557"/>
      <c r="Z168" s="4557"/>
      <c r="AA168" s="1943" t="str">
        <f>IF(OR(V161="",V168=""),"",MAX(1,SUMPRODUCT(--(INDEX('Tablas Técnicas'!$C$10:$L$643,,1)=V161),--(INDEX('Tablas Técnicas'!$C$10:$L$643,,2)=V168),INDEX('Tablas Técnicas'!$C$10:$L$643,,9))))</f>
        <v/>
      </c>
      <c r="AB168" s="4556"/>
      <c r="AC168" s="4557"/>
      <c r="AD168" s="4557"/>
      <c r="AE168" s="4557"/>
      <c r="AF168" s="4557"/>
      <c r="AG168" s="1944" t="str">
        <f>IF(OR(AB161="",AB168=""),"",MAX(1,SUMPRODUCT(--(INDEX('Tablas Técnicas'!$C$10:$L$643,,1)=AB161),--(INDEX('Tablas Técnicas'!$C$10:$L$643,,2)=AB168),INDEX('Tablas Técnicas'!$C$10:$L$643,,9))))</f>
        <v/>
      </c>
      <c r="AH168" s="2193">
        <f>P148</f>
        <v>1</v>
      </c>
      <c r="AI168" s="4558"/>
      <c r="AJ168" s="3089" t="s">
        <v>8817</v>
      </c>
      <c r="AK168" s="3089"/>
      <c r="AL168" s="3089"/>
      <c r="AM168" s="3089"/>
      <c r="AN168" s="3089"/>
      <c r="AO168" s="3089"/>
      <c r="AP168" s="3089"/>
      <c r="AQ168" s="3090"/>
      <c r="AR168" s="3091"/>
      <c r="AS168" s="3091"/>
      <c r="AT168" s="3091"/>
      <c r="AU168" s="3091"/>
      <c r="AV168" s="3091"/>
      <c r="AW168" s="3091"/>
      <c r="AX168" s="3091"/>
      <c r="AY168" s="3089"/>
    </row>
    <row r="169" spans="1:51" ht="12.2" customHeight="1" x14ac:dyDescent="0.2">
      <c r="A169" s="2185"/>
      <c r="B169" s="2099">
        <f t="shared" si="3"/>
        <v>5</v>
      </c>
      <c r="C169" s="4538"/>
      <c r="D169" s="4556"/>
      <c r="E169" s="4557"/>
      <c r="F169" s="4557"/>
      <c r="G169" s="4557"/>
      <c r="H169" s="4557"/>
      <c r="I169" s="1943" t="str">
        <f>IF(OR(D161="",D169=""),"",MAX(1,SUMPRODUCT(--(INDEX('Tablas Técnicas'!$C$10:$L$643,,1)=D161),--(INDEX('Tablas Técnicas'!$C$10:$L$643,,2)=D169),INDEX('Tablas Técnicas'!$C$10:$L$643,,9))))</f>
        <v/>
      </c>
      <c r="J169" s="4556"/>
      <c r="K169" s="4557"/>
      <c r="L169" s="4557"/>
      <c r="M169" s="4557"/>
      <c r="N169" s="4557"/>
      <c r="O169" s="1943" t="str">
        <f>IF(OR(J161="",J169=""),"",MAX(1,SUMPRODUCT(--(INDEX('Tablas Técnicas'!$C$10:$L$643,,1)=J161),--(INDEX('Tablas Técnicas'!$C$10:$L$643,,2)=J169),INDEX('Tablas Técnicas'!$C$10:$L$643,,9))))</f>
        <v/>
      </c>
      <c r="P169" s="4556"/>
      <c r="Q169" s="4557"/>
      <c r="R169" s="4557"/>
      <c r="S169" s="4557"/>
      <c r="T169" s="4557"/>
      <c r="U169" s="1943" t="str">
        <f>IF(OR(P161="",P169=""),"",MAX(1,SUMPRODUCT(--(INDEX('Tablas Técnicas'!$C$10:$L$643,,1)=P161),--(INDEX('Tablas Técnicas'!$C$10:$L$643,,2)=P169),INDEX('Tablas Técnicas'!$C$10:$L$643,,9))))</f>
        <v/>
      </c>
      <c r="V169" s="4556"/>
      <c r="W169" s="4557"/>
      <c r="X169" s="4557"/>
      <c r="Y169" s="4557"/>
      <c r="Z169" s="4557"/>
      <c r="AA169" s="1943" t="str">
        <f>IF(OR(V161="",V169=""),"",MAX(1,SUMPRODUCT(--(INDEX('Tablas Técnicas'!$C$10:$L$643,,1)=V161),--(INDEX('Tablas Técnicas'!$C$10:$L$643,,2)=V169),INDEX('Tablas Técnicas'!$C$10:$L$643,,9))))</f>
        <v/>
      </c>
      <c r="AB169" s="4556"/>
      <c r="AC169" s="4557"/>
      <c r="AD169" s="4557"/>
      <c r="AE169" s="4557"/>
      <c r="AF169" s="4557"/>
      <c r="AG169" s="1944" t="str">
        <f>IF(OR(AB161="",AB169=""),"",MAX(1,SUMPRODUCT(--(INDEX('Tablas Técnicas'!$C$10:$L$643,,1)=AB161),--(INDEX('Tablas Técnicas'!$C$10:$L$643,,2)=AB169),INDEX('Tablas Técnicas'!$C$10:$L$643,,9))))</f>
        <v/>
      </c>
      <c r="AH169" s="2193">
        <f>P148</f>
        <v>1</v>
      </c>
      <c r="AI169" s="4558"/>
      <c r="AJ169" s="3089" t="s">
        <v>9971</v>
      </c>
      <c r="AK169" s="3089"/>
      <c r="AL169" s="3089"/>
      <c r="AM169" s="3089" t="b">
        <f>U148&gt;IF(P148=3,200,IF(P148=2,100,50))</f>
        <v>0</v>
      </c>
      <c r="AN169" s="3089"/>
      <c r="AO169" s="3089"/>
      <c r="AP169" s="3089"/>
      <c r="AQ169" s="3089"/>
      <c r="AR169" s="3091"/>
      <c r="AS169" s="3091"/>
      <c r="AT169" s="3091"/>
      <c r="AU169" s="3091"/>
      <c r="AV169" s="3091"/>
      <c r="AW169" s="3091"/>
      <c r="AX169" s="3091"/>
      <c r="AY169" s="3089"/>
    </row>
    <row r="170" spans="1:51" ht="12.2" customHeight="1" x14ac:dyDescent="0.2">
      <c r="A170" s="2185"/>
      <c r="B170" s="2099">
        <f t="shared" si="3"/>
        <v>5</v>
      </c>
      <c r="C170" s="4538"/>
      <c r="D170" s="4556"/>
      <c r="E170" s="4557"/>
      <c r="F170" s="4557"/>
      <c r="G170" s="4557"/>
      <c r="H170" s="4557"/>
      <c r="I170" s="1943" t="str">
        <f>IF(OR(D161="",D170=""),"",MAX(1,SUMPRODUCT(--(INDEX('Tablas Técnicas'!$C$10:$L$643,,1)=D161),--(INDEX('Tablas Técnicas'!$C$10:$L$643,,2)=D170),INDEX('Tablas Técnicas'!$C$10:$L$643,,9))))</f>
        <v/>
      </c>
      <c r="J170" s="4556"/>
      <c r="K170" s="4557"/>
      <c r="L170" s="4557"/>
      <c r="M170" s="4557"/>
      <c r="N170" s="4557"/>
      <c r="O170" s="1943" t="str">
        <f>IF(OR(J161="",J170=""),"",MAX(1,SUMPRODUCT(--(INDEX('Tablas Técnicas'!$C$10:$L$643,,1)=J161),--(INDEX('Tablas Técnicas'!$C$10:$L$643,,2)=J170),INDEX('Tablas Técnicas'!$C$10:$L$643,,9))))</f>
        <v/>
      </c>
      <c r="P170" s="4556"/>
      <c r="Q170" s="4557"/>
      <c r="R170" s="4557"/>
      <c r="S170" s="4557"/>
      <c r="T170" s="4557"/>
      <c r="U170" s="1943" t="str">
        <f>IF(OR(P161="",P170=""),"",MAX(1,SUMPRODUCT(--(INDEX('Tablas Técnicas'!$C$10:$L$643,,1)=P161),--(INDEX('Tablas Técnicas'!$C$10:$L$643,,2)=P170),INDEX('Tablas Técnicas'!$C$10:$L$643,,9))))</f>
        <v/>
      </c>
      <c r="V170" s="4556"/>
      <c r="W170" s="4557"/>
      <c r="X170" s="4557"/>
      <c r="Y170" s="4557"/>
      <c r="Z170" s="4557"/>
      <c r="AA170" s="1943" t="str">
        <f>IF(OR(V161="",V170=""),"",MAX(1,SUMPRODUCT(--(INDEX('Tablas Técnicas'!$C$10:$L$643,,1)=V161),--(INDEX('Tablas Técnicas'!$C$10:$L$643,,2)=V170),INDEX('Tablas Técnicas'!$C$10:$L$643,,9))))</f>
        <v/>
      </c>
      <c r="AB170" s="4556"/>
      <c r="AC170" s="4557"/>
      <c r="AD170" s="4557"/>
      <c r="AE170" s="4557"/>
      <c r="AF170" s="4557"/>
      <c r="AG170" s="1944" t="str">
        <f>IF(OR(AB161="",AB170=""),"",MAX(1,SUMPRODUCT(--(INDEX('Tablas Técnicas'!$C$10:$L$643,,1)=AB161),--(INDEX('Tablas Técnicas'!$C$10:$L$643,,2)=AB170),INDEX('Tablas Técnicas'!$C$10:$L$643,,9))))</f>
        <v/>
      </c>
      <c r="AH170" s="2193">
        <f>P148</f>
        <v>1</v>
      </c>
      <c r="AI170" s="4558"/>
      <c r="AJ170" s="3089" t="s">
        <v>8818</v>
      </c>
      <c r="AK170" s="3089"/>
      <c r="AL170" s="3089"/>
      <c r="AM170" s="3089" t="b">
        <f t="array" ref="AM170">MAX(I165:I171,O165:O171,U165:U171,AA165:AA171,AG165:AG171,RIGHT(S157:S159,1))&gt;P148</f>
        <v>0</v>
      </c>
      <c r="AN170" s="3089"/>
      <c r="AO170" s="3089"/>
      <c r="AP170" s="3089"/>
      <c r="AQ170" s="3090"/>
      <c r="AR170" s="3091"/>
      <c r="AS170" s="3091"/>
      <c r="AT170" s="3091"/>
      <c r="AU170" s="3091"/>
      <c r="AV170" s="3091"/>
      <c r="AW170" s="3091"/>
      <c r="AX170" s="3091"/>
      <c r="AY170" s="3089"/>
    </row>
    <row r="171" spans="1:51" ht="12.2" customHeight="1" x14ac:dyDescent="0.2">
      <c r="A171" s="2185"/>
      <c r="B171" s="2099">
        <f t="shared" si="3"/>
        <v>5</v>
      </c>
      <c r="C171" s="4538"/>
      <c r="D171" s="4570"/>
      <c r="E171" s="4571"/>
      <c r="F171" s="4571"/>
      <c r="G171" s="4571"/>
      <c r="H171" s="4571"/>
      <c r="I171" s="1945" t="str">
        <f>IF(OR(D161="",D171=""),"",MAX(1,SUMPRODUCT(--(INDEX('Tablas Técnicas'!$C$10:$L$643,,1)=D161),--(INDEX('Tablas Técnicas'!$C$10:$L$643,,2)=D171),INDEX('Tablas Técnicas'!$C$10:$L$643,,9))))</f>
        <v/>
      </c>
      <c r="J171" s="4570"/>
      <c r="K171" s="4571"/>
      <c r="L171" s="4571"/>
      <c r="M171" s="4571"/>
      <c r="N171" s="4571"/>
      <c r="O171" s="1945" t="str">
        <f>IF(OR(J161="",J171=""),"",MAX(1,SUMPRODUCT(--(INDEX('Tablas Técnicas'!$C$10:$L$643,,1)=J161),--(INDEX('Tablas Técnicas'!$C$10:$L$643,,2)=J171),INDEX('Tablas Técnicas'!$C$10:$L$643,,9))))</f>
        <v/>
      </c>
      <c r="P171" s="4570"/>
      <c r="Q171" s="4571"/>
      <c r="R171" s="4571"/>
      <c r="S171" s="4571"/>
      <c r="T171" s="4571"/>
      <c r="U171" s="1945" t="str">
        <f>IF(OR(P161="",P171=""),"",MAX(1,SUMPRODUCT(--(INDEX('Tablas Técnicas'!$C$10:$L$643,,1)=P161),--(INDEX('Tablas Técnicas'!$C$10:$L$643,,2)=P171),INDEX('Tablas Técnicas'!$C$10:$L$643,,9))))</f>
        <v/>
      </c>
      <c r="V171" s="4570"/>
      <c r="W171" s="4571"/>
      <c r="X171" s="4571"/>
      <c r="Y171" s="4571"/>
      <c r="Z171" s="4571"/>
      <c r="AA171" s="1945" t="str">
        <f>IF(OR(V161="",V171=""),"",MAX(1,SUMPRODUCT(--(INDEX('Tablas Técnicas'!$C$10:$L$643,,1)=V161),--(INDEX('Tablas Técnicas'!$C$10:$L$643,,2)=V171),INDEX('Tablas Técnicas'!$C$10:$L$643,,9))))</f>
        <v/>
      </c>
      <c r="AB171" s="4570"/>
      <c r="AC171" s="4571"/>
      <c r="AD171" s="4571"/>
      <c r="AE171" s="4571"/>
      <c r="AF171" s="4571"/>
      <c r="AG171" s="1946" t="str">
        <f>IF(OR(AB161="",AB171=""),"",MAX(1,SUMPRODUCT(--(INDEX('Tablas Técnicas'!$C$10:$L$643,,1)=AB161),--(INDEX('Tablas Técnicas'!$C$10:$L$643,,2)=AB171),INDEX('Tablas Técnicas'!$C$10:$L$643,,9))))</f>
        <v/>
      </c>
      <c r="AH171" s="2193">
        <f>P148</f>
        <v>1</v>
      </c>
      <c r="AI171" s="4558"/>
      <c r="AJ171" s="3089" t="s">
        <v>9324</v>
      </c>
      <c r="AK171" s="3089"/>
      <c r="AL171" s="3089"/>
      <c r="AM171" s="3089" t="b">
        <f>AND(COUNTIF(K152:M156,"Mantenido"),OR(COUNTIF(K152:M156,"Sostenimiento Menor"),COUNTIF(K152:M156,"Sostenimiento Mayor")))</f>
        <v>0</v>
      </c>
      <c r="AN171" s="3090"/>
      <c r="AO171" s="3089"/>
      <c r="AP171" s="3089"/>
      <c r="AQ171" s="3089"/>
      <c r="AR171" s="3089"/>
      <c r="AS171" s="3089"/>
      <c r="AT171" s="3089"/>
      <c r="AU171" s="3091"/>
      <c r="AV171" s="3091"/>
      <c r="AW171" s="3091"/>
      <c r="AX171" s="3091"/>
      <c r="AY171" s="3089"/>
    </row>
    <row r="172" spans="1:51" ht="12.2" customHeight="1" x14ac:dyDescent="0.2">
      <c r="A172" s="2185"/>
      <c r="B172" s="2099">
        <f t="shared" si="3"/>
        <v>5</v>
      </c>
      <c r="C172" s="4538"/>
      <c r="D172" s="4549" t="s">
        <v>1549</v>
      </c>
      <c r="E172" s="4550"/>
      <c r="F172" s="4550"/>
      <c r="G172" s="4550"/>
      <c r="H172" s="4550"/>
      <c r="I172" s="4550"/>
      <c r="J172" s="4550"/>
      <c r="K172" s="4550"/>
      <c r="L172" s="4550"/>
      <c r="M172" s="4550"/>
      <c r="N172" s="4550"/>
      <c r="O172" s="4550"/>
      <c r="P172" s="4550"/>
      <c r="Q172" s="4550"/>
      <c r="R172" s="4550"/>
      <c r="S172" s="4550"/>
      <c r="T172" s="4550"/>
      <c r="U172" s="4550"/>
      <c r="V172" s="4550"/>
      <c r="W172" s="4550"/>
      <c r="X172" s="4550"/>
      <c r="Y172" s="4550"/>
      <c r="Z172" s="4550"/>
      <c r="AA172" s="4550"/>
      <c r="AB172" s="4550"/>
      <c r="AC172" s="4550"/>
      <c r="AD172" s="4550"/>
      <c r="AE172" s="4550"/>
      <c r="AF172" s="4550"/>
      <c r="AG172" s="4576"/>
      <c r="AH172" s="2193"/>
      <c r="AI172" s="4558"/>
      <c r="AJ172" s="3089" t="s">
        <v>9323</v>
      </c>
      <c r="AK172" s="3089"/>
      <c r="AL172" s="3089"/>
      <c r="AM172" s="308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89"/>
      <c r="AO172" s="3089"/>
      <c r="AP172" s="3089"/>
      <c r="AQ172" s="3090"/>
      <c r="AR172" s="3089"/>
      <c r="AS172" s="3089"/>
      <c r="AT172" s="3089"/>
      <c r="AU172" s="3091"/>
      <c r="AV172" s="3091"/>
      <c r="AW172" s="3091"/>
      <c r="AX172" s="3091"/>
      <c r="AY172" s="3089"/>
    </row>
    <row r="173" spans="1:51" ht="12.2" customHeight="1" x14ac:dyDescent="0.2">
      <c r="A173" s="2185"/>
      <c r="B173" s="2099">
        <f t="shared" si="3"/>
        <v>5</v>
      </c>
      <c r="C173" s="4538"/>
      <c r="D173" s="4578"/>
      <c r="E173" s="4698"/>
      <c r="F173" s="4698"/>
      <c r="G173" s="4698"/>
      <c r="H173" s="4698"/>
      <c r="I173" s="4698"/>
      <c r="J173" s="4698"/>
      <c r="K173" s="4698"/>
      <c r="L173" s="4698"/>
      <c r="M173" s="4698"/>
      <c r="N173" s="4698"/>
      <c r="O173" s="4698"/>
      <c r="P173" s="4698"/>
      <c r="Q173" s="4698"/>
      <c r="R173" s="4698"/>
      <c r="S173" s="4698"/>
      <c r="T173" s="4698"/>
      <c r="U173" s="4698"/>
      <c r="V173" s="4698"/>
      <c r="W173" s="4698"/>
      <c r="X173" s="4698"/>
      <c r="Y173" s="4698"/>
      <c r="Z173" s="4698"/>
      <c r="AA173" s="4698"/>
      <c r="AB173" s="4698"/>
      <c r="AC173" s="4698"/>
      <c r="AD173" s="4698"/>
      <c r="AE173" s="4698"/>
      <c r="AF173" s="4698"/>
      <c r="AG173" s="4580"/>
      <c r="AH173" s="2193"/>
      <c r="AI173" s="4558"/>
      <c r="AJ173" s="3089" t="s">
        <v>9331</v>
      </c>
      <c r="AK173" s="3089"/>
      <c r="AL173" s="3089"/>
      <c r="AM173" s="308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89"/>
      <c r="AO173" s="3089"/>
      <c r="AP173" s="3089"/>
      <c r="AQ173" s="3090"/>
      <c r="AR173" s="3089"/>
      <c r="AS173" s="3089"/>
      <c r="AT173" s="3089"/>
      <c r="AU173" s="3091"/>
      <c r="AV173" s="3091"/>
      <c r="AW173" s="3091"/>
      <c r="AX173" s="3091"/>
      <c r="AY173" s="3089"/>
    </row>
    <row r="174" spans="1:51" ht="12.2" customHeight="1" x14ac:dyDescent="0.2">
      <c r="A174" s="2185"/>
      <c r="B174" s="2099">
        <f t="shared" si="3"/>
        <v>5</v>
      </c>
      <c r="C174" s="4538"/>
      <c r="D174" s="4578"/>
      <c r="E174" s="4698"/>
      <c r="F174" s="4698"/>
      <c r="G174" s="4698"/>
      <c r="H174" s="4698"/>
      <c r="I174" s="4698"/>
      <c r="J174" s="4698"/>
      <c r="K174" s="4698"/>
      <c r="L174" s="4698"/>
      <c r="M174" s="4698"/>
      <c r="N174" s="4698"/>
      <c r="O174" s="4698"/>
      <c r="P174" s="4698"/>
      <c r="Q174" s="4698"/>
      <c r="R174" s="4698"/>
      <c r="S174" s="4698"/>
      <c r="T174" s="4698"/>
      <c r="U174" s="4698"/>
      <c r="V174" s="4698"/>
      <c r="W174" s="4698"/>
      <c r="X174" s="4698"/>
      <c r="Y174" s="4698"/>
      <c r="Z174" s="4698"/>
      <c r="AA174" s="4698"/>
      <c r="AB174" s="4698"/>
      <c r="AC174" s="4698"/>
      <c r="AD174" s="4698"/>
      <c r="AE174" s="4698"/>
      <c r="AF174" s="4698"/>
      <c r="AG174" s="4580"/>
      <c r="AH174" s="2193"/>
      <c r="AI174" s="4558"/>
      <c r="AJ174" s="3089" t="s">
        <v>9310</v>
      </c>
      <c r="AK174" s="3089"/>
      <c r="AL174" s="3089"/>
      <c r="AM174" s="3089" t="b">
        <f>AND((IF(SUM(V152:V156)&gt;0,1,0)+IF(SUM(X152:X156)&gt;0,1,0)+IF(SUM(Z152:Z156)&gt;0,1,0)+IF(SUM(AB152:AB156)&gt;0,1,0)+IF(SUM(AD152:AD156,)&gt;0,1,0)+IF(SUM(AF152:AF156)&gt;0,1,0))&lt;3,OR(V159&lt;0,X159&lt;0,Z159&lt;0,AB159&lt;0,AD159&lt;0,AF159&lt;0,Y157&lt;0))</f>
        <v>0</v>
      </c>
      <c r="AN174" s="3089"/>
      <c r="AO174" s="3089"/>
      <c r="AP174" s="3089"/>
      <c r="AQ174" s="3090"/>
      <c r="AR174" s="3089"/>
      <c r="AS174" s="3089"/>
      <c r="AT174" s="3089"/>
      <c r="AU174" s="3091"/>
      <c r="AV174" s="3091"/>
      <c r="AW174" s="3091"/>
      <c r="AX174" s="3091"/>
      <c r="AY174" s="3089"/>
    </row>
    <row r="175" spans="1:51" ht="12.2" customHeight="1" x14ac:dyDescent="0.2">
      <c r="A175" s="2185"/>
      <c r="B175" s="2099">
        <f t="shared" si="3"/>
        <v>5</v>
      </c>
      <c r="C175" s="4538"/>
      <c r="D175" s="4578"/>
      <c r="E175" s="4698"/>
      <c r="F175" s="4698"/>
      <c r="G175" s="4698"/>
      <c r="H175" s="4698"/>
      <c r="I175" s="4698"/>
      <c r="J175" s="4698"/>
      <c r="K175" s="4698"/>
      <c r="L175" s="4698"/>
      <c r="M175" s="4698"/>
      <c r="N175" s="4698"/>
      <c r="O175" s="4698"/>
      <c r="P175" s="4698"/>
      <c r="Q175" s="4698"/>
      <c r="R175" s="4698"/>
      <c r="S175" s="4698"/>
      <c r="T175" s="4698"/>
      <c r="U175" s="4698"/>
      <c r="V175" s="4698"/>
      <c r="W175" s="4698"/>
      <c r="X175" s="4698"/>
      <c r="Y175" s="4698"/>
      <c r="Z175" s="4698"/>
      <c r="AA175" s="4698"/>
      <c r="AB175" s="4698"/>
      <c r="AC175" s="4698"/>
      <c r="AD175" s="4698"/>
      <c r="AE175" s="4698"/>
      <c r="AF175" s="4698"/>
      <c r="AG175" s="4580"/>
      <c r="AH175" s="2193"/>
      <c r="AI175" s="4558"/>
      <c r="AJ175" s="3089" t="s">
        <v>9325</v>
      </c>
      <c r="AK175" s="3089"/>
      <c r="AL175" s="3089"/>
      <c r="AM175" s="3089" t="b">
        <f>OR(-V159&gt;TRUNC(SUM(V152:V156)/2),-X159&gt;TRUNC(SUM(X152:X156)/2),-Z159&gt;TRUNC(SUM(Z152:Z156)/2),-AB159&gt;TRUNC(SUM(AB152:AB156)/2),-AD159&gt;TRUNC(SUM(AD152:AD156)/2),-AF159&gt;TRUNC(SUM(AF152:AF156)/2))</f>
        <v>0</v>
      </c>
      <c r="AN175" s="3089"/>
      <c r="AO175" s="3089"/>
      <c r="AP175" s="3089"/>
      <c r="AQ175" s="3090"/>
      <c r="AR175" s="3089"/>
      <c r="AS175" s="3089"/>
      <c r="AT175" s="3089"/>
      <c r="AU175" s="3091"/>
      <c r="AV175" s="3091"/>
      <c r="AW175" s="3091"/>
      <c r="AX175" s="3091"/>
      <c r="AY175" s="3089"/>
    </row>
    <row r="176" spans="1:51" ht="12.2" customHeight="1" x14ac:dyDescent="0.2">
      <c r="A176" s="2185"/>
      <c r="B176" s="2099">
        <f t="shared" si="3"/>
        <v>5</v>
      </c>
      <c r="C176" s="4538"/>
      <c r="D176" s="4578"/>
      <c r="E176" s="4698"/>
      <c r="F176" s="4698"/>
      <c r="G176" s="4698"/>
      <c r="H176" s="4698"/>
      <c r="I176" s="4698"/>
      <c r="J176" s="4698"/>
      <c r="K176" s="4698"/>
      <c r="L176" s="4698"/>
      <c r="M176" s="4698"/>
      <c r="N176" s="4698"/>
      <c r="O176" s="4698"/>
      <c r="P176" s="4698"/>
      <c r="Q176" s="4698"/>
      <c r="R176" s="4698"/>
      <c r="S176" s="4698"/>
      <c r="T176" s="4698"/>
      <c r="U176" s="4698"/>
      <c r="V176" s="4698"/>
      <c r="W176" s="4698"/>
      <c r="X176" s="4698"/>
      <c r="Y176" s="4698"/>
      <c r="Z176" s="4698"/>
      <c r="AA176" s="4698"/>
      <c r="AB176" s="4698"/>
      <c r="AC176" s="4698"/>
      <c r="AD176" s="4698"/>
      <c r="AE176" s="4698"/>
      <c r="AF176" s="4698"/>
      <c r="AG176" s="4580"/>
      <c r="AH176" s="2193"/>
      <c r="AI176" s="4558"/>
      <c r="AJ176" s="3089" t="s">
        <v>9326</v>
      </c>
      <c r="AK176" s="3089"/>
      <c r="AL176" s="3089"/>
      <c r="AM176" s="3089" t="b">
        <f>COUNTIF(D152:E156,"Primario")&gt;1</f>
        <v>0</v>
      </c>
      <c r="AN176" s="3089"/>
      <c r="AO176" s="3089"/>
      <c r="AP176" s="3089"/>
      <c r="AQ176" s="3090"/>
      <c r="AR176" s="3090"/>
      <c r="AS176" s="3090"/>
      <c r="AT176" s="3090"/>
      <c r="AU176" s="3091"/>
      <c r="AV176" s="3091"/>
      <c r="AW176" s="3091"/>
      <c r="AX176" s="3089"/>
      <c r="AY176" s="3089"/>
    </row>
    <row r="177" spans="1:51" ht="12.2" customHeight="1" x14ac:dyDescent="0.2">
      <c r="A177" s="2185"/>
      <c r="B177" s="2099">
        <f t="shared" si="3"/>
        <v>5</v>
      </c>
      <c r="C177" s="4538"/>
      <c r="D177" s="4578"/>
      <c r="E177" s="4698"/>
      <c r="F177" s="4698"/>
      <c r="G177" s="4698"/>
      <c r="H177" s="4698"/>
      <c r="I177" s="4698"/>
      <c r="J177" s="4698"/>
      <c r="K177" s="4698"/>
      <c r="L177" s="4698"/>
      <c r="M177" s="4698"/>
      <c r="N177" s="4698"/>
      <c r="O177" s="4698"/>
      <c r="P177" s="4698"/>
      <c r="Q177" s="4698"/>
      <c r="R177" s="4698"/>
      <c r="S177" s="4698"/>
      <c r="T177" s="4698"/>
      <c r="U177" s="4698"/>
      <c r="V177" s="4698"/>
      <c r="W177" s="4698"/>
      <c r="X177" s="4698"/>
      <c r="Y177" s="4698"/>
      <c r="Z177" s="4698"/>
      <c r="AA177" s="4698"/>
      <c r="AB177" s="4698"/>
      <c r="AC177" s="4698"/>
      <c r="AD177" s="4698"/>
      <c r="AE177" s="4698"/>
      <c r="AF177" s="4698"/>
      <c r="AG177" s="4580"/>
      <c r="AH177" s="2193"/>
      <c r="AI177" s="4558"/>
      <c r="AJ177" s="3089" t="s">
        <v>9309</v>
      </c>
      <c r="AK177" s="3089"/>
      <c r="AL177" s="3089"/>
      <c r="AM177" s="3089" t="b">
        <f>SUM(V159:AG159)&lt;&gt;Y157+ABS(AC157)*2/5+IF(S148="Sí",3*P148,0)</f>
        <v>0</v>
      </c>
      <c r="AN177" s="3089"/>
      <c r="AO177" s="3089"/>
      <c r="AP177" s="3089"/>
      <c r="AQ177" s="3090"/>
      <c r="AR177" s="3090"/>
      <c r="AS177" s="3090"/>
      <c r="AT177" s="3090"/>
      <c r="AU177" s="3091"/>
      <c r="AV177" s="3091"/>
      <c r="AW177" s="3091"/>
      <c r="AX177" s="3089"/>
      <c r="AY177" s="3089"/>
    </row>
    <row r="178" spans="1:51" ht="12.2" customHeight="1" x14ac:dyDescent="0.2">
      <c r="A178" s="2185"/>
      <c r="B178" s="2099">
        <f t="shared" si="3"/>
        <v>5</v>
      </c>
      <c r="C178" s="4538"/>
      <c r="D178" s="4578"/>
      <c r="E178" s="4698"/>
      <c r="F178" s="4698"/>
      <c r="G178" s="4698"/>
      <c r="H178" s="4698"/>
      <c r="I178" s="4698"/>
      <c r="J178" s="4698"/>
      <c r="K178" s="4698"/>
      <c r="L178" s="4698"/>
      <c r="M178" s="4698"/>
      <c r="N178" s="4698"/>
      <c r="O178" s="4698"/>
      <c r="P178" s="4698"/>
      <c r="Q178" s="4698"/>
      <c r="R178" s="4698"/>
      <c r="S178" s="4698"/>
      <c r="T178" s="4698"/>
      <c r="U178" s="4698"/>
      <c r="V178" s="4698"/>
      <c r="W178" s="4698"/>
      <c r="X178" s="4698"/>
      <c r="Y178" s="4698"/>
      <c r="Z178" s="4698"/>
      <c r="AA178" s="4698"/>
      <c r="AB178" s="4698"/>
      <c r="AC178" s="4698"/>
      <c r="AD178" s="4698"/>
      <c r="AE178" s="4698"/>
      <c r="AF178" s="4698"/>
      <c r="AG178" s="4580"/>
      <c r="AH178" s="2193"/>
      <c r="AI178" s="4558"/>
      <c r="AJ178" s="3089" t="s">
        <v>9308</v>
      </c>
      <c r="AK178" s="3089"/>
      <c r="AL178" s="3089"/>
      <c r="AM178" s="3089" t="b">
        <f>AL165-AL166+AM165-AM166&lt;&gt;0</f>
        <v>0</v>
      </c>
      <c r="AN178" s="3091"/>
      <c r="AO178" s="3091"/>
      <c r="AP178" s="3091"/>
      <c r="AQ178" s="3091"/>
      <c r="AR178" s="3090"/>
      <c r="AS178" s="3090"/>
      <c r="AT178" s="3090"/>
      <c r="AU178" s="3091"/>
      <c r="AV178" s="3091"/>
      <c r="AW178" s="3091"/>
      <c r="AX178" s="3089"/>
      <c r="AY178" s="3089"/>
    </row>
    <row r="179" spans="1:51" ht="12.2" customHeight="1" thickBot="1" x14ac:dyDescent="0.25">
      <c r="A179" s="2185"/>
      <c r="B179" s="2099"/>
      <c r="C179" s="4539"/>
      <c r="D179" s="4540"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41"/>
      <c r="F179" s="4541"/>
      <c r="G179" s="4541"/>
      <c r="H179" s="4541"/>
      <c r="I179" s="4541"/>
      <c r="J179" s="4541"/>
      <c r="K179" s="4541"/>
      <c r="L179" s="4541"/>
      <c r="M179" s="4541"/>
      <c r="N179" s="4541"/>
      <c r="O179" s="4541"/>
      <c r="P179" s="4541"/>
      <c r="Q179" s="4541"/>
      <c r="R179" s="4541"/>
      <c r="S179" s="4541"/>
      <c r="T179" s="4541"/>
      <c r="U179" s="4541"/>
      <c r="V179" s="4541"/>
      <c r="W179" s="4541"/>
      <c r="X179" s="4541"/>
      <c r="Y179" s="4541"/>
      <c r="Z179" s="4541"/>
      <c r="AA179" s="4541"/>
      <c r="AB179" s="4541"/>
      <c r="AC179" s="4541"/>
      <c r="AD179" s="4541"/>
      <c r="AE179" s="4541"/>
      <c r="AF179" s="4541"/>
      <c r="AG179" s="4542"/>
      <c r="AH179" s="2193"/>
      <c r="AI179" s="4558"/>
      <c r="AJ179" s="3089" t="s">
        <v>9345</v>
      </c>
      <c r="AK179" s="3091"/>
      <c r="AL179" s="3091"/>
      <c r="AM179" s="3091" t="b">
        <f>ABS(SUM(N157:N159))&gt;(SUM(N152:N156)-10*Y157+AC157+IF(S148="Sí",10*P148,0)+IF(COUNTIF(K152:M156,"Mantenido")&gt;0,P148*10)+MAX(IF(COUNTIF(K152:M156,"Sostenimiento Menor")&gt;0,P148*20)+IF(COUNTIF(K152:M156,"Sostenimiento Mayor")&gt;0,P148*30)))/2</f>
        <v>0</v>
      </c>
      <c r="AN179" s="3089"/>
      <c r="AO179" s="3089"/>
      <c r="AP179" s="3089"/>
      <c r="AQ179" s="3089"/>
      <c r="AR179" s="3090"/>
      <c r="AS179" s="3090"/>
      <c r="AT179" s="3090"/>
      <c r="AU179" s="3091"/>
      <c r="AV179" s="3091"/>
      <c r="AW179" s="3091"/>
      <c r="AX179" s="3089"/>
      <c r="AY179" s="3089"/>
    </row>
    <row r="180" spans="1:51" ht="12.2" customHeight="1" x14ac:dyDescent="0.2">
      <c r="A180" s="2185"/>
      <c r="B180" s="2099"/>
      <c r="C180" s="4675"/>
      <c r="D180" s="4535" t="str">
        <f>IFERROR(VLOOKUP(D161,'Tablas Técnicas'!$O$9:$T$88,2,FALSE),"")</f>
        <v/>
      </c>
      <c r="E180" s="4535"/>
      <c r="F180" s="4535"/>
      <c r="G180" s="4535"/>
      <c r="H180" s="4535"/>
      <c r="I180" s="4535"/>
      <c r="J180" s="4535" t="str">
        <f>IFERROR(VLOOKUP(J161,'Tablas Técnicas'!$O$9:$T$88,2,FALSE),"")</f>
        <v/>
      </c>
      <c r="K180" s="4535"/>
      <c r="L180" s="4535"/>
      <c r="M180" s="4535"/>
      <c r="N180" s="4535"/>
      <c r="O180" s="4535"/>
      <c r="P180" s="4535" t="str">
        <f>IFERROR(VLOOKUP(P161,'Tablas Técnicas'!$O$9:$T$88,2,FALSE),"")</f>
        <v/>
      </c>
      <c r="Q180" s="4535"/>
      <c r="R180" s="4535"/>
      <c r="S180" s="4535"/>
      <c r="T180" s="4535"/>
      <c r="U180" s="4535"/>
      <c r="V180" s="4535" t="str">
        <f>IFERROR(VLOOKUP(V161,'Tablas Técnicas'!$O$9:$T$88,2,FALSE),"")</f>
        <v/>
      </c>
      <c r="W180" s="4535"/>
      <c r="X180" s="4535"/>
      <c r="Y180" s="4535"/>
      <c r="Z180" s="4535"/>
      <c r="AA180" s="4535"/>
      <c r="AB180" s="4535" t="str">
        <f>IFERROR(VLOOKUP(AB161,'Tablas Técnicas'!$O$9:$T$88,2,FALSE),"")</f>
        <v/>
      </c>
      <c r="AC180" s="4535"/>
      <c r="AD180" s="4535"/>
      <c r="AE180" s="4535"/>
      <c r="AF180" s="4535"/>
      <c r="AG180" s="4535"/>
      <c r="AH180" s="2193"/>
      <c r="AI180" s="1921"/>
      <c r="AJ180" s="3089"/>
      <c r="AK180" s="3089"/>
      <c r="AL180" s="3089"/>
      <c r="AM180" s="3089"/>
      <c r="AN180" s="3089"/>
      <c r="AO180" s="3089"/>
      <c r="AP180" s="3089"/>
      <c r="AQ180" s="3089"/>
      <c r="AR180" s="3090"/>
      <c r="AS180" s="3090"/>
      <c r="AT180" s="3090"/>
      <c r="AU180" s="3091"/>
      <c r="AV180" s="3091"/>
      <c r="AW180" s="3091"/>
      <c r="AX180" s="3091"/>
      <c r="AY180" s="3089"/>
    </row>
    <row r="181" spans="1:51" s="2529" customFormat="1" ht="12.2" customHeight="1" thickBot="1" x14ac:dyDescent="0.25">
      <c r="A181" s="2185"/>
      <c r="B181" s="2100"/>
      <c r="C181" s="4676"/>
      <c r="D181" s="2532"/>
      <c r="E181" s="2532"/>
      <c r="F181" s="2532"/>
      <c r="G181" s="2532"/>
      <c r="H181" s="2532"/>
      <c r="I181" s="2532"/>
      <c r="J181" s="2532"/>
      <c r="K181" s="2532"/>
      <c r="L181" s="2532"/>
      <c r="M181" s="2532"/>
      <c r="N181" s="2532"/>
      <c r="O181" s="2532"/>
      <c r="P181" s="2532"/>
      <c r="Q181" s="2532"/>
      <c r="R181" s="2532"/>
      <c r="S181" s="2532"/>
      <c r="T181" s="2532"/>
      <c r="U181" s="2532"/>
      <c r="V181" s="2532"/>
      <c r="W181" s="2532"/>
      <c r="X181" s="2532"/>
      <c r="Y181" s="2532"/>
      <c r="Z181" s="2532"/>
      <c r="AA181" s="2532"/>
      <c r="AB181" s="2532"/>
      <c r="AC181" s="2532"/>
      <c r="AD181" s="2532"/>
      <c r="AE181" s="2532"/>
      <c r="AF181" s="2532"/>
      <c r="AG181" s="2532"/>
      <c r="AH181" s="2194"/>
      <c r="AI181" s="2530"/>
      <c r="AJ181" s="3089"/>
      <c r="AK181" s="3089"/>
      <c r="AL181" s="3089"/>
      <c r="AM181" s="3089"/>
      <c r="AN181" s="3089"/>
      <c r="AO181" s="3089"/>
      <c r="AP181" s="3089"/>
      <c r="AQ181" s="3089"/>
      <c r="AR181" s="3090"/>
      <c r="AS181" s="3090"/>
      <c r="AT181" s="3090"/>
      <c r="AU181" s="3091"/>
      <c r="AV181" s="3091"/>
      <c r="AW181" s="3091"/>
      <c r="AX181" s="3091"/>
      <c r="AY181" s="3089"/>
    </row>
    <row r="182" spans="1:51" ht="12.2" customHeight="1" thickBot="1" x14ac:dyDescent="0.25">
      <c r="A182" s="2185"/>
      <c r="B182" s="2099"/>
      <c r="C182" s="2047"/>
      <c r="D182" s="2287"/>
      <c r="E182" s="2101"/>
      <c r="F182" s="2101"/>
      <c r="G182" s="2101"/>
      <c r="H182" s="2101"/>
      <c r="I182" s="2101"/>
      <c r="J182" s="2101"/>
      <c r="K182" s="2101"/>
      <c r="L182" s="2101"/>
      <c r="M182" s="2101"/>
      <c r="N182" s="2101"/>
      <c r="O182" s="2101"/>
      <c r="P182" s="2101"/>
      <c r="Q182" s="2101"/>
      <c r="R182" s="2101"/>
      <c r="S182" s="2101"/>
      <c r="T182" s="2101"/>
      <c r="U182" s="2101"/>
      <c r="V182" s="2288"/>
      <c r="W182" s="2288"/>
      <c r="X182" s="2288"/>
      <c r="Y182" s="2288"/>
      <c r="Z182" s="2288"/>
      <c r="AA182" s="2288"/>
      <c r="AB182" s="2288"/>
      <c r="AC182" s="2288"/>
      <c r="AD182" s="2288"/>
      <c r="AE182" s="2288"/>
      <c r="AF182" s="2101"/>
      <c r="AG182" s="2101"/>
      <c r="AH182" s="2193"/>
      <c r="AI182" s="1921"/>
      <c r="AJ182" s="3097"/>
      <c r="AK182" s="3097"/>
      <c r="AL182" s="3097"/>
      <c r="AM182" s="3097"/>
      <c r="AN182" s="3097"/>
      <c r="AO182" s="3097"/>
      <c r="AP182" s="3089"/>
      <c r="AQ182" s="3090"/>
      <c r="AR182" s="3091"/>
      <c r="AS182" s="3091"/>
      <c r="AT182" s="3091"/>
      <c r="AU182" s="3091"/>
      <c r="AV182" s="3091"/>
      <c r="AW182" s="3091"/>
      <c r="AX182" s="3091"/>
      <c r="AY182" s="3098"/>
    </row>
    <row r="183" spans="1:51" ht="12.2" customHeight="1" x14ac:dyDescent="0.2">
      <c r="A183" s="2185"/>
      <c r="B183" s="2099">
        <f t="shared" ref="B183:B213" si="4">1+B148</f>
        <v>6</v>
      </c>
      <c r="C183" s="4537" t="str">
        <f>"Técnica "&amp;B183</f>
        <v>Técnica 6</v>
      </c>
      <c r="D183" s="4636" t="s">
        <v>8716</v>
      </c>
      <c r="E183" s="4637"/>
      <c r="F183" s="4637"/>
      <c r="G183" s="4637"/>
      <c r="H183" s="4637"/>
      <c r="I183" s="4637"/>
      <c r="J183" s="4637"/>
      <c r="K183" s="4637"/>
      <c r="L183" s="4637"/>
      <c r="M183" s="4637"/>
      <c r="N183" s="4638"/>
      <c r="O183" s="4642" t="s">
        <v>1325</v>
      </c>
      <c r="P183" s="4644">
        <v>1</v>
      </c>
      <c r="Q183" s="4646" t="s">
        <v>8800</v>
      </c>
      <c r="R183" s="4647"/>
      <c r="S183" s="4650" t="s">
        <v>1381</v>
      </c>
      <c r="T183" s="4651" t="s">
        <v>1506</v>
      </c>
      <c r="U183" s="4653">
        <f>MAX(IF(P183=3,60,IF(P183=2,40,20)),MIN(SUM(N187:N194)-10*Y192+AC192+IF(S183="Sí",10*P183,0)+IF(COUNTIF(K187:M191,"Mantenido")&gt;0,P183*10)+MAX(IF(COUNTIF(K187:M191,"Sostenimiento Menor")&gt;0,P183*20)+IF(COUNTIF(K187:M191,"Sostenimiento Mayor")&gt;0,P183*30))))</f>
        <v>20</v>
      </c>
      <c r="V183" s="4646" t="s">
        <v>8801</v>
      </c>
      <c r="W183" s="4651"/>
      <c r="X183" s="4566" t="str">
        <f>IFERROR(LEFT(AK199&amp;AL199&amp;AM199&amp;AN199&amp;AO199&amp;AP199,LEN(AK199&amp;AL199&amp;AM199&amp;AN199&amp;AO199&amp;AP199)-2),"")</f>
        <v/>
      </c>
      <c r="Y183" s="4566"/>
      <c r="Z183" s="4566"/>
      <c r="AA183" s="4566"/>
      <c r="AB183" s="4566"/>
      <c r="AC183" s="4566"/>
      <c r="AD183" s="4566"/>
      <c r="AE183" s="4566"/>
      <c r="AF183" s="4566"/>
      <c r="AG183" s="4567"/>
      <c r="AH183" s="2193"/>
      <c r="AI183" s="4558"/>
      <c r="AJ183" s="3094" t="s">
        <v>9342</v>
      </c>
      <c r="AK183" s="3094"/>
      <c r="AL183" s="3094"/>
      <c r="AM183" s="3094"/>
      <c r="AN183" s="3094"/>
      <c r="AO183" s="3094"/>
      <c r="AP183" s="3094"/>
      <c r="AQ183" s="3094"/>
      <c r="AR183" s="3094"/>
      <c r="AS183" s="3089"/>
      <c r="AT183" s="3089"/>
      <c r="AU183" s="3089"/>
      <c r="AV183" s="3089"/>
      <c r="AW183" s="3091"/>
      <c r="AX183" s="3091"/>
      <c r="AY183" s="3089"/>
    </row>
    <row r="184" spans="1:51" ht="12.2" customHeight="1" x14ac:dyDescent="0.2">
      <c r="A184" s="2185"/>
      <c r="B184" s="2099">
        <f t="shared" si="4"/>
        <v>6</v>
      </c>
      <c r="C184" s="4538"/>
      <c r="D184" s="4639"/>
      <c r="E184" s="4640"/>
      <c r="F184" s="4640"/>
      <c r="G184" s="4640"/>
      <c r="H184" s="4640"/>
      <c r="I184" s="4640"/>
      <c r="J184" s="4640"/>
      <c r="K184" s="4640"/>
      <c r="L184" s="4640"/>
      <c r="M184" s="4640"/>
      <c r="N184" s="4641"/>
      <c r="O184" s="4643"/>
      <c r="P184" s="4645"/>
      <c r="Q184" s="4648"/>
      <c r="R184" s="4649"/>
      <c r="S184" s="4645"/>
      <c r="T184" s="4652"/>
      <c r="U184" s="4654"/>
      <c r="V184" s="4648"/>
      <c r="W184" s="4652"/>
      <c r="X184" s="4568"/>
      <c r="Y184" s="4568"/>
      <c r="Z184" s="4568"/>
      <c r="AA184" s="4568"/>
      <c r="AB184" s="4568"/>
      <c r="AC184" s="4568"/>
      <c r="AD184" s="4568"/>
      <c r="AE184" s="4568"/>
      <c r="AF184" s="4568"/>
      <c r="AG184" s="4569"/>
      <c r="AH184" s="2193"/>
      <c r="AI184" s="4558"/>
      <c r="AJ184" s="3094"/>
      <c r="AK184" s="3094" t="s">
        <v>9343</v>
      </c>
      <c r="AL184" s="3094" t="s">
        <v>10464</v>
      </c>
      <c r="AM184" s="3095"/>
      <c r="AN184" s="3095"/>
      <c r="AO184" s="3095"/>
      <c r="AP184" s="3095"/>
      <c r="AQ184" s="3095"/>
      <c r="AR184" s="3094"/>
      <c r="AS184" s="3089"/>
      <c r="AT184" s="3089"/>
      <c r="AU184" s="3089"/>
      <c r="AV184" s="3089"/>
      <c r="AW184" s="3091"/>
      <c r="AX184" s="4536" t="s">
        <v>9312</v>
      </c>
      <c r="AY184" s="4536"/>
    </row>
    <row r="185" spans="1:51" ht="12.2" customHeight="1" x14ac:dyDescent="0.2">
      <c r="A185" s="2185"/>
      <c r="B185" s="2099">
        <f t="shared" si="4"/>
        <v>6</v>
      </c>
      <c r="C185" s="4538"/>
      <c r="D185" s="4549" t="s">
        <v>2824</v>
      </c>
      <c r="E185" s="4550"/>
      <c r="F185" s="4550"/>
      <c r="G185" s="4550"/>
      <c r="H185" s="4550"/>
      <c r="I185" s="4550"/>
      <c r="J185" s="4550"/>
      <c r="K185" s="4633" t="s">
        <v>9636</v>
      </c>
      <c r="L185" s="4633"/>
      <c r="M185" s="4633"/>
      <c r="N185" s="4550" t="s">
        <v>1500</v>
      </c>
      <c r="O185" s="4633" t="s">
        <v>2822</v>
      </c>
      <c r="P185" s="4633" t="s">
        <v>8802</v>
      </c>
      <c r="Q185" s="4550" t="s">
        <v>1364</v>
      </c>
      <c r="R185" s="4550"/>
      <c r="S185" s="4550"/>
      <c r="T185" s="4550"/>
      <c r="U185" s="4550"/>
      <c r="V185" s="4613" t="s">
        <v>1373</v>
      </c>
      <c r="W185" s="4608"/>
      <c r="X185" s="4613" t="s">
        <v>1498</v>
      </c>
      <c r="Y185" s="4614"/>
      <c r="Z185" s="4608" t="s">
        <v>1378</v>
      </c>
      <c r="AA185" s="4608"/>
      <c r="AB185" s="4613" t="s">
        <v>1383</v>
      </c>
      <c r="AC185" s="4614"/>
      <c r="AD185" s="4608" t="s">
        <v>1391</v>
      </c>
      <c r="AE185" s="4608"/>
      <c r="AF185" s="4613" t="s">
        <v>1392</v>
      </c>
      <c r="AG185" s="4609"/>
      <c r="AH185" s="2193"/>
      <c r="AI185" s="4558"/>
      <c r="AJ185" s="3089"/>
      <c r="AK185" s="3089"/>
      <c r="AL185" s="3089" t="s">
        <v>9614</v>
      </c>
      <c r="AM185" s="3089"/>
      <c r="AN185" s="3089"/>
      <c r="AO185" s="3089"/>
      <c r="AP185" s="3089"/>
      <c r="AQ185" s="3089"/>
      <c r="AR185" s="3091"/>
      <c r="AS185" s="3091" t="s">
        <v>9332</v>
      </c>
      <c r="AT185" s="3091" t="s">
        <v>9333</v>
      </c>
      <c r="AU185" s="3089" t="s">
        <v>9321</v>
      </c>
      <c r="AV185" s="3089" t="s">
        <v>9322</v>
      </c>
      <c r="AW185" s="3091" t="s">
        <v>1500</v>
      </c>
      <c r="AX185" s="3091" t="s">
        <v>8804</v>
      </c>
      <c r="AY185" s="3089" t="s">
        <v>8805</v>
      </c>
    </row>
    <row r="186" spans="1:51" ht="12.2" customHeight="1" x14ac:dyDescent="0.2">
      <c r="A186" s="2185"/>
      <c r="B186" s="2099">
        <f t="shared" si="4"/>
        <v>6</v>
      </c>
      <c r="C186" s="4538"/>
      <c r="D186" s="4581"/>
      <c r="E186" s="4582"/>
      <c r="F186" s="4582"/>
      <c r="G186" s="4582"/>
      <c r="H186" s="4582"/>
      <c r="I186" s="4582"/>
      <c r="J186" s="4582"/>
      <c r="K186" s="4634"/>
      <c r="L186" s="4634"/>
      <c r="M186" s="4634"/>
      <c r="N186" s="4551"/>
      <c r="O186" s="4634"/>
      <c r="P186" s="4635"/>
      <c r="Q186" s="4551"/>
      <c r="R186" s="4551"/>
      <c r="S186" s="4551"/>
      <c r="T186" s="4551"/>
      <c r="U186" s="4551"/>
      <c r="V186" s="2104" t="s">
        <v>9311</v>
      </c>
      <c r="W186" s="2186" t="s">
        <v>2828</v>
      </c>
      <c r="X186" s="2104" t="s">
        <v>9311</v>
      </c>
      <c r="Y186" s="2186" t="s">
        <v>2828</v>
      </c>
      <c r="Z186" s="2104" t="s">
        <v>9311</v>
      </c>
      <c r="AA186" s="2186" t="s">
        <v>2828</v>
      </c>
      <c r="AB186" s="2104" t="s">
        <v>9311</v>
      </c>
      <c r="AC186" s="2186" t="s">
        <v>2828</v>
      </c>
      <c r="AD186" s="2104" t="s">
        <v>9311</v>
      </c>
      <c r="AE186" s="2186" t="s">
        <v>2828</v>
      </c>
      <c r="AF186" s="2104" t="s">
        <v>9311</v>
      </c>
      <c r="AG186" s="1928" t="s">
        <v>2828</v>
      </c>
      <c r="AH186" s="2193"/>
      <c r="AI186" s="4558"/>
      <c r="AJ186" s="3089"/>
      <c r="AK186" s="3089" t="s">
        <v>9313</v>
      </c>
      <c r="AL186" s="3089">
        <v>1</v>
      </c>
      <c r="AM186" s="3089">
        <v>2</v>
      </c>
      <c r="AN186" s="3089">
        <v>3</v>
      </c>
      <c r="AO186" s="3089">
        <v>4</v>
      </c>
      <c r="AP186" s="3089">
        <v>5</v>
      </c>
      <c r="AQ186" s="3089">
        <v>6</v>
      </c>
      <c r="AR186" s="3089">
        <v>7</v>
      </c>
      <c r="AS186" s="3091"/>
      <c r="AT186" s="3089" t="s">
        <v>9344</v>
      </c>
      <c r="AU186" s="3091"/>
      <c r="AV186" s="3091"/>
      <c r="AW186" s="3091" t="s">
        <v>9344</v>
      </c>
      <c r="AX186" s="3091"/>
      <c r="AY186" s="3089"/>
    </row>
    <row r="187" spans="1:51" ht="12.2" customHeight="1" x14ac:dyDescent="0.2">
      <c r="A187" s="2185"/>
      <c r="B187" s="2099">
        <f t="shared" si="4"/>
        <v>6</v>
      </c>
      <c r="C187" s="4538"/>
      <c r="D187" s="4624" t="s">
        <v>8806</v>
      </c>
      <c r="E187" s="4625"/>
      <c r="F187" s="4626"/>
      <c r="G187" s="4627"/>
      <c r="H187" s="4627"/>
      <c r="I187" s="4627"/>
      <c r="J187" s="4628"/>
      <c r="K187" s="4595" t="s">
        <v>1456</v>
      </c>
      <c r="L187" s="4596"/>
      <c r="M187" s="4597"/>
      <c r="N187" s="2105">
        <f>IF(AW187&gt;0,IF(VLOOKUP(F187,'Tablas Técnicas'!$O$9:$X$88,10,0),MAX(5,AW187-5),AW187),0)</f>
        <v>0</v>
      </c>
      <c r="O187" s="2105" t="str">
        <f>AS187&amp;" / "&amp;AT187</f>
        <v>0 / 0</v>
      </c>
      <c r="P187" s="2105" t="str">
        <f t="array" ref="P187">W187+Y187+AA187+AC187+AE187+AG187&amp;" / "&amp;IF(K187&lt;&gt;"Mantenido",0,SUM(IF($AL187:$AR187='Tablas Técnicas'!$L$10:$L$643,'Tablas Técnicas'!$H$10:$H$643,0)))</f>
        <v>0 / 0</v>
      </c>
      <c r="Q187" s="4632" t="str">
        <f>IFERROR(VLOOKUP(F187,'Tablas Técnicas'!$O$9:$T$88,5,FALSE),"")</f>
        <v/>
      </c>
      <c r="R187" s="4632"/>
      <c r="S187" s="4632"/>
      <c r="T187" s="4632"/>
      <c r="U187" s="4632"/>
      <c r="V187" s="2055"/>
      <c r="W187" s="2056"/>
      <c r="X187" s="2055"/>
      <c r="Y187" s="2057"/>
      <c r="Z187" s="2058"/>
      <c r="AA187" s="2056"/>
      <c r="AB187" s="2055"/>
      <c r="AC187" s="2057"/>
      <c r="AD187" s="2058"/>
      <c r="AE187" s="2056"/>
      <c r="AF187" s="2055"/>
      <c r="AG187" s="2059"/>
      <c r="AH187" s="2193"/>
      <c r="AI187" s="4558"/>
      <c r="AJ187" s="3089">
        <v>1</v>
      </c>
      <c r="AK187" s="3089">
        <f>P183</f>
        <v>1</v>
      </c>
      <c r="AL187" s="3089" t="str">
        <f>IF(AND(ISNUMBER(MATCH($F187,'Tablas Técnicas'!$L$10:$L$643,0)),INDEX($D200:$D206,Tablas!A$1)="",COUNTIF(AM187:$AS187,$F187)=0),$F187,IF(INDEX($D200:$D206,Tablas!A$1)="","",$F187&amp;INDEX($D200:$D206,Tablas!A$1)))</f>
        <v/>
      </c>
      <c r="AM187" s="3089" t="str">
        <f>IF(AND(ISNUMBER(MATCH($F187,'Tablas Técnicas'!$L$10:$L$643,0)),INDEX($D200:$D206,Tablas!B$1)="",COUNTIF(AN187:$AS187,$F187)=0),$F187,IF(INDEX($D200:$D206,Tablas!B$1)="","",$F187&amp;INDEX($D200:$D206,Tablas!B$1)))</f>
        <v/>
      </c>
      <c r="AN187" s="3089" t="str">
        <f>IF(AND(ISNUMBER(MATCH($F187,'Tablas Técnicas'!$L$10:$L$643,0)),INDEX($D200:$D206,Tablas!C$1)="",COUNTIF(AO187:$AS187,$F187)=0),$F187,IF(INDEX($D200:$D206,Tablas!C$1)="","",$F187&amp;INDEX($D200:$D206,Tablas!C$1)))</f>
        <v/>
      </c>
      <c r="AO187" s="3089" t="str">
        <f>IF(AND(ISNUMBER(MATCH($F187,'Tablas Técnicas'!$L$10:$L$643,0)),INDEX($D200:$D206,Tablas!D$1)="",COUNTIF(AP187:$AS187,$F187)=0),$F187,IF(INDEX($D200:$D206,Tablas!D$1)="","",$F187&amp;INDEX($D200:$D206,Tablas!D$1)))</f>
        <v/>
      </c>
      <c r="AP187" s="3089" t="str">
        <f>IF(AND(ISNUMBER(MATCH($F187,'Tablas Técnicas'!$L$10:$L$643,0)),INDEX($D200:$D206,Tablas!E$1)="",COUNTIF(AQ187:$AS187,$F187)=0),$F187,IF(INDEX($D200:$D206,Tablas!E$1)="","",$F187&amp;INDEX($D200:$D206,Tablas!E$1)))</f>
        <v/>
      </c>
      <c r="AQ187" s="3089" t="str">
        <f>IF(AND(ISNUMBER(MATCH($F187,'Tablas Técnicas'!$L$10:$L$643,0)),INDEX($D200:$D206,Tablas!F$1)="",COUNTIF(AR187:$AS187,$F187)=0),$F187,IF(INDEX($D200:$D206,Tablas!F$1)="","",$F187&amp;INDEX($D200:$D206,Tablas!F$1)))</f>
        <v/>
      </c>
      <c r="AR187" s="3089" t="str">
        <f>IF(AND(ISNUMBER(MATCH($F187,'Tablas Técnicas'!$L$10:$L$643,0)),INDEX($D200:$D206,Tablas!G$1)="",COUNTIF(AS187:$AS187,$F187)=0),$F187,IF(INDEX($D200:$D206,Tablas!G$1)="","",$F187&amp;INDEX($D200:$D206,Tablas!G$1)))</f>
        <v/>
      </c>
      <c r="AS187" s="3091">
        <f>V187+X187+Z187+AB187+AD187+AF187</f>
        <v>0</v>
      </c>
      <c r="AT187" s="3091">
        <f t="array" ref="AT187">SUM(IF($AL187:$AR187='Tablas Técnicas'!$L$10:$L$643,IF(D187="Primario",'Tablas Técnicas'!$E$10:$E$643,'Tablas Técnicas'!$F$10:$F$643)+IF(K187="Sostenimiento menor",'Tablas Técnicas'!$I$10:$I$643,IF(K187="sostenimiento mayor",'Tablas Técnicas'!$J$10:$J$643,0)),0),0)+VALUE(RIGHT(P187,2))+AU187+AV187</f>
        <v>0</v>
      </c>
      <c r="AU187" s="309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091">
        <f>(COUNTIF(AL187:AR187,"*Estado añadido:*")-1)*COUNTIF(AL187:AR187,"*Estado añadido:*")</f>
        <v>0</v>
      </c>
      <c r="AW187" s="3091">
        <f t="array" ref="AW187">SUM(IF($AL187:$AR187='Tablas Técnicas'!$L$10:$L$643,'Tablas Técnicas'!$G$10:$G$643,0))</f>
        <v>0</v>
      </c>
      <c r="AX187" s="3089"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089" t="str">
        <f>IFERROR(LEFT(AX187,LEN(AX187)-2)&amp;"), ","")</f>
        <v/>
      </c>
    </row>
    <row r="188" spans="1:51" ht="12.2" customHeight="1" x14ac:dyDescent="0.2">
      <c r="A188" s="2185"/>
      <c r="B188" s="2099">
        <f t="shared" si="4"/>
        <v>6</v>
      </c>
      <c r="C188" s="4538"/>
      <c r="D188" s="4583" t="s">
        <v>524</v>
      </c>
      <c r="E188" s="4584"/>
      <c r="F188" s="4615"/>
      <c r="G188" s="4616"/>
      <c r="H188" s="4616"/>
      <c r="I188" s="4616"/>
      <c r="J188" s="4617"/>
      <c r="K188" s="4618" t="s">
        <v>1456</v>
      </c>
      <c r="L188" s="4619"/>
      <c r="M188" s="4620"/>
      <c r="N188" s="1925">
        <f>IF(AW188&gt;0,IF(VLOOKUP(F188,'Tablas Técnicas'!$O$9:$X$88,10,0),MAX(5,AW188-5),AW188),0)</f>
        <v>0</v>
      </c>
      <c r="O188" s="1925" t="str">
        <f>AS188&amp;" / "&amp;AT188</f>
        <v>0 / 0</v>
      </c>
      <c r="P188" s="1925" t="str">
        <f t="array" ref="P188">W188+Y188+AA188+AC188+AE188+AG188&amp;" / "&amp;IF(K188&lt;&gt;"Mantenido",0,SUM(IF($AL188:$AR188='Tablas Técnicas'!$L$10:$L$643,'Tablas Técnicas'!$H$10:$H$643,0)))</f>
        <v>0 / 0</v>
      </c>
      <c r="Q188" s="4585" t="str">
        <f>IFERROR(VLOOKUP(F188,'Tablas Técnicas'!$O$9:$T$88,5,FALSE),"")</f>
        <v/>
      </c>
      <c r="R188" s="4585"/>
      <c r="S188" s="4585"/>
      <c r="T188" s="4585"/>
      <c r="U188" s="4585"/>
      <c r="V188" s="2060"/>
      <c r="W188" s="2061"/>
      <c r="X188" s="2060"/>
      <c r="Y188" s="2062"/>
      <c r="Z188" s="2063"/>
      <c r="AA188" s="2061"/>
      <c r="AB188" s="2060"/>
      <c r="AC188" s="2062"/>
      <c r="AD188" s="2063"/>
      <c r="AE188" s="2061"/>
      <c r="AF188" s="2060"/>
      <c r="AG188" s="2064"/>
      <c r="AH188" s="2193"/>
      <c r="AI188" s="4558"/>
      <c r="AJ188" s="3089">
        <v>2</v>
      </c>
      <c r="AK188" s="3089">
        <f>P183</f>
        <v>1</v>
      </c>
      <c r="AL188" s="3089" t="str">
        <f>IF(AND(ISNUMBER(MATCH($F188,'Tablas Técnicas'!$L$10:$L$643,0)),INDEX($J200:$J206,Tablas!A$1)="",COUNTIF(AM188:$AS188,$F188)=0),$F188,IF(INDEX($J200:$J206,Tablas!A$1)="","",$F188&amp;INDEX($J200:$J206,Tablas!A$1)))</f>
        <v/>
      </c>
      <c r="AM188" s="3089" t="str">
        <f>IF(AND(ISNUMBER(MATCH($F188,'Tablas Técnicas'!$L$10:$L$643,0)),INDEX($J200:$J206,Tablas!B$1)="",COUNTIF(AN188:$AS188,$F188)=0),$F188,IF(INDEX($J200:$J206,Tablas!B$1)="","",$F188&amp;INDEX($J200:$J206,Tablas!B$1)))</f>
        <v/>
      </c>
      <c r="AN188" s="3089" t="str">
        <f>IF(AND(ISNUMBER(MATCH($F188,'Tablas Técnicas'!$L$10:$L$643,0)),INDEX($J200:$J206,Tablas!C$1)="",COUNTIF(AO188:$AS188,$F188)=0),$F188,IF(INDEX($J200:$J206,Tablas!C$1)="","",$F188&amp;INDEX($J200:$J206,Tablas!C$1)))</f>
        <v/>
      </c>
      <c r="AO188" s="3089" t="str">
        <f>IF(AND(ISNUMBER(MATCH($F188,'Tablas Técnicas'!$L$10:$L$643,0)),INDEX($J200:$J206,Tablas!D$1)="",COUNTIF(AP188:$AS188,$F188)=0),$F188,IF(INDEX($J200:$J206,Tablas!D$1)="","",$F188&amp;INDEX($J200:$J206,Tablas!D$1)))</f>
        <v/>
      </c>
      <c r="AP188" s="3089" t="str">
        <f>IF(AND(ISNUMBER(MATCH($F188,'Tablas Técnicas'!$L$10:$L$643,0)),INDEX($J200:$J206,Tablas!E$1)="",COUNTIF(AQ188:$AS188,$F188)=0),$F188,IF(INDEX($J200:$J206,Tablas!E$1)="","",$F188&amp;INDEX($J200:$J206,Tablas!E$1)))</f>
        <v/>
      </c>
      <c r="AQ188" s="3089" t="str">
        <f>IF(AND(ISNUMBER(MATCH($F188,'Tablas Técnicas'!$L$10:$L$643,0)),INDEX($J200:$J206,Tablas!F$1)="",COUNTIF(AR188:$AS188,$F188)=0),$F188,IF(INDEX($J200:$J206,Tablas!F$1)="","",$F188&amp;INDEX($J200:$J206,Tablas!F$1)))</f>
        <v/>
      </c>
      <c r="AR188" s="3089" t="str">
        <f>IF(AND(ISNUMBER(MATCH($F188,'Tablas Técnicas'!$L$10:$L$643,0)),INDEX($J200:$J206,Tablas!G$1)="",COUNTIF(AS188:$AS188,$F188)=0),$F188,IF(INDEX($J200:$J206,Tablas!G$1)="","",$F188&amp;INDEX($J200:$J206,Tablas!G$1)))</f>
        <v/>
      </c>
      <c r="AS188" s="3091">
        <f>V188+X188+Z188+AB188+AD188+AF188</f>
        <v>0</v>
      </c>
      <c r="AT188" s="3091">
        <f t="array" ref="AT188">SUM(IF($AL188:$AR188='Tablas Técnicas'!$L$10:$L$643,IF(D188="Primario",'Tablas Técnicas'!$E$10:$E$643,'Tablas Técnicas'!$F$10:$F$643)+IF(K188="Sostenimiento menor",'Tablas Técnicas'!$I$10:$I$643,IF(K188="sostenimiento mayor",'Tablas Técnicas'!$J$10:$J$643,0)),0),0)+VALUE(RIGHT(P188,2))+AU188+AV188</f>
        <v>0</v>
      </c>
      <c r="AU188" s="309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091">
        <f>(COUNTIF(AL188:AR188,"*Estado añadido:*")-1)*COUNTIF(AL188:AR188,"*Estado añadido:*")</f>
        <v>0</v>
      </c>
      <c r="AW188" s="3091">
        <f t="array" ref="AW188">SUM(IF($AL188:$AR188='Tablas Técnicas'!$L$10:$L$643,'Tablas Técnicas'!$G$10:$G$643,0))</f>
        <v>0</v>
      </c>
      <c r="AX188" s="3089"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089" t="str">
        <f>IFERROR(LEFT(AX188,LEN(AX188)-2)&amp;"), ","")</f>
        <v/>
      </c>
    </row>
    <row r="189" spans="1:51" ht="12.2" customHeight="1" x14ac:dyDescent="0.2">
      <c r="A189" s="2185"/>
      <c r="B189" s="2099">
        <f t="shared" si="4"/>
        <v>6</v>
      </c>
      <c r="C189" s="4538"/>
      <c r="D189" s="4629" t="s">
        <v>524</v>
      </c>
      <c r="E189" s="4630"/>
      <c r="F189" s="4559"/>
      <c r="G189" s="4560"/>
      <c r="H189" s="4560"/>
      <c r="I189" s="4560"/>
      <c r="J189" s="4561"/>
      <c r="K189" s="4621" t="s">
        <v>1456</v>
      </c>
      <c r="L189" s="4622"/>
      <c r="M189" s="4623"/>
      <c r="N189" s="1921">
        <f>IF(AW189&gt;0,IF(VLOOKUP(F189,'Tablas Técnicas'!$O$9:$X$88,10,0),MAX(5,AW189-5),AW189),0)</f>
        <v>0</v>
      </c>
      <c r="O189" s="1921" t="str">
        <f>AS189&amp;" / "&amp;AT189</f>
        <v>0 / 0</v>
      </c>
      <c r="P189" s="1921" t="str">
        <f t="array" ref="P189">W189+Y189+AA189+AC189+AE189+AG189&amp;" / "&amp;IF(K189&lt;&gt;"Mantenido",0,SUM(IF($AL189:$AR189='Tablas Técnicas'!$L$10:$L$643,'Tablas Técnicas'!$H$10:$H$643,0)))</f>
        <v>0 / 0</v>
      </c>
      <c r="Q189" s="4631" t="str">
        <f>IFERROR(VLOOKUP(F189,'Tablas Técnicas'!$O$9:$T$88,5,FALSE),"")</f>
        <v/>
      </c>
      <c r="R189" s="4631"/>
      <c r="S189" s="4631"/>
      <c r="T189" s="4631"/>
      <c r="U189" s="4631"/>
      <c r="V189" s="2065"/>
      <c r="W189" s="2066"/>
      <c r="X189" s="2065"/>
      <c r="Y189" s="2067"/>
      <c r="Z189" s="2068"/>
      <c r="AA189" s="2066"/>
      <c r="AB189" s="2065"/>
      <c r="AC189" s="2067"/>
      <c r="AD189" s="2068"/>
      <c r="AE189" s="2066"/>
      <c r="AF189" s="2065"/>
      <c r="AG189" s="2069"/>
      <c r="AH189" s="2193"/>
      <c r="AI189" s="4558"/>
      <c r="AJ189" s="3089">
        <v>3</v>
      </c>
      <c r="AK189" s="3089">
        <f>P183</f>
        <v>1</v>
      </c>
      <c r="AL189" s="3089" t="str">
        <f>IF(AND(ISNUMBER(MATCH($F189,'Tablas Técnicas'!$L$10:$L$643,0)),INDEX($P200:$P206,Tablas!A$1)="",COUNTIF(AM189:$AS189,$F189)=0),$F189,IF(INDEX($P200:$P206,Tablas!A$1)="","",$F189&amp;INDEX($P200:$P206,Tablas!A$1)))</f>
        <v/>
      </c>
      <c r="AM189" s="3089" t="str">
        <f>IF(AND(ISNUMBER(MATCH($F189,'Tablas Técnicas'!$L$10:$L$643,0)),INDEX($P200:$P206,Tablas!B$1)="",COUNTIF(AN189:$AS189,$F189)=0),$F189,IF(INDEX($P200:$P206,Tablas!B$1)="","",$F189&amp;INDEX($P200:$P206,Tablas!B$1)))</f>
        <v/>
      </c>
      <c r="AN189" s="3089" t="str">
        <f>IF(AND(ISNUMBER(MATCH($F189,'Tablas Técnicas'!$L$10:$L$643,0)),INDEX($P200:$P206,Tablas!C$1)="",COUNTIF(AO189:$AS189,$F189)=0),$F189,IF(INDEX($P200:$P206,Tablas!C$1)="","",$F189&amp;INDEX($P200:$P206,Tablas!C$1)))</f>
        <v/>
      </c>
      <c r="AO189" s="3089" t="str">
        <f>IF(AND(ISNUMBER(MATCH($F189,'Tablas Técnicas'!$L$10:$L$643,0)),INDEX($P200:$P206,Tablas!D$1)="",COUNTIF(AP189:$AS189,$F189)=0),$F189,IF(INDEX($P200:$P206,Tablas!D$1)="","",$F189&amp;INDEX($P200:$P206,Tablas!D$1)))</f>
        <v/>
      </c>
      <c r="AP189" s="3089" t="str">
        <f>IF(AND(ISNUMBER(MATCH($F189,'Tablas Técnicas'!$L$10:$L$643,0)),INDEX($P200:$P206,Tablas!E$1)="",COUNTIF(AQ189:$AS189,$F189)=0),$F189,IF(INDEX($P200:$P206,Tablas!E$1)="","",$F189&amp;INDEX($P200:$P206,Tablas!E$1)))</f>
        <v/>
      </c>
      <c r="AQ189" s="3089" t="str">
        <f>IF(AND(ISNUMBER(MATCH($F189,'Tablas Técnicas'!$L$10:$L$643,0)),INDEX($P200:$P206,Tablas!F$1)="",COUNTIF(AR189:$AS189,$F189)=0),$F189,IF(INDEX($P200:$P206,Tablas!F$1)="","",$F189&amp;INDEX($P200:$P206,Tablas!F$1)))</f>
        <v/>
      </c>
      <c r="AR189" s="3089" t="str">
        <f>IF(AND(ISNUMBER(MATCH($F189,'Tablas Técnicas'!$L$10:$L$643,0)),INDEX($P200:$P206,Tablas!G$1)="",COUNTIF(AS189:$AS189,$F189)=0),$F189,IF(INDEX($P200:$P206,Tablas!G$1)="","",$F189&amp;INDEX($P200:$P206,Tablas!G$1)))</f>
        <v/>
      </c>
      <c r="AS189" s="3091">
        <f>V189+X189+Z189+AB189+AD189+AF189</f>
        <v>0</v>
      </c>
      <c r="AT189" s="3091">
        <f t="array" ref="AT189">SUM(IF($AL189:$AR189='Tablas Técnicas'!$L$10:$L$643,IF(D189="Primario",'Tablas Técnicas'!$E$10:$E$643,'Tablas Técnicas'!$F$10:$F$643)+IF(K189="Sostenimiento menor",'Tablas Técnicas'!$I$10:$I$643,IF(K189="sostenimiento mayor",'Tablas Técnicas'!$J$10:$J$643,0)),0),0)+VALUE(RIGHT(P189,2))+AU189+AV189</f>
        <v>0</v>
      </c>
      <c r="AU189" s="309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091">
        <f>(COUNTIF(AL189:AR189,"*Estado añadido:*")-1)*COUNTIF(AL189:AR189,"*Estado añadido:*")</f>
        <v>0</v>
      </c>
      <c r="AW189" s="3091">
        <f t="array" ref="AW189">SUM(IF($AL189:$AR189='Tablas Técnicas'!$L$10:$L$643,'Tablas Técnicas'!$G$10:$G$643,0))</f>
        <v>0</v>
      </c>
      <c r="AX189" s="3089"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089" t="str">
        <f>IFERROR(LEFT(AX189,LEN(AX189)-2)&amp;"), ","")</f>
        <v/>
      </c>
    </row>
    <row r="190" spans="1:51" ht="12.2" customHeight="1" x14ac:dyDescent="0.2">
      <c r="A190" s="2185"/>
      <c r="B190" s="2099">
        <f t="shared" si="4"/>
        <v>6</v>
      </c>
      <c r="C190" s="4538"/>
      <c r="D190" s="4583" t="s">
        <v>524</v>
      </c>
      <c r="E190" s="4584"/>
      <c r="F190" s="4615"/>
      <c r="G190" s="4616"/>
      <c r="H190" s="4616"/>
      <c r="I190" s="4616"/>
      <c r="J190" s="4617"/>
      <c r="K190" s="4618" t="s">
        <v>1456</v>
      </c>
      <c r="L190" s="4619"/>
      <c r="M190" s="4620"/>
      <c r="N190" s="1925">
        <f>IF(AW190&gt;0,IF(VLOOKUP(F190,'Tablas Técnicas'!$O$9:$X$88,10,0),MAX(5,AW190-5),AW190),0)</f>
        <v>0</v>
      </c>
      <c r="O190" s="1925" t="str">
        <f>AS190&amp;" / "&amp;AT190</f>
        <v>0 / 0</v>
      </c>
      <c r="P190" s="1925" t="str">
        <f t="array" ref="P190">W190+Y190+AA190+AC190+AE190+AG190&amp;" / "&amp;IF(K190&lt;&gt;"Mantenido",0,SUM(IF($AL190:$AR190='Tablas Técnicas'!$L$10:$L$643,'Tablas Técnicas'!$H$10:$H$643,0)))</f>
        <v>0 / 0</v>
      </c>
      <c r="Q190" s="4585" t="str">
        <f>IFERROR(VLOOKUP(F190,'Tablas Técnicas'!$O$9:$T$88,5,FALSE),"")</f>
        <v/>
      </c>
      <c r="R190" s="4585"/>
      <c r="S190" s="4585"/>
      <c r="T190" s="4585"/>
      <c r="U190" s="4585"/>
      <c r="V190" s="2060"/>
      <c r="W190" s="2061"/>
      <c r="X190" s="2060"/>
      <c r="Y190" s="2062"/>
      <c r="Z190" s="2063"/>
      <c r="AA190" s="2061"/>
      <c r="AB190" s="2060"/>
      <c r="AC190" s="2062"/>
      <c r="AD190" s="2063"/>
      <c r="AE190" s="2061"/>
      <c r="AF190" s="2060"/>
      <c r="AG190" s="2064"/>
      <c r="AH190" s="2193"/>
      <c r="AI190" s="4558"/>
      <c r="AJ190" s="3089">
        <v>4</v>
      </c>
      <c r="AK190" s="3089">
        <f>P183</f>
        <v>1</v>
      </c>
      <c r="AL190" s="3089" t="str">
        <f>IF(AND(ISNUMBER(MATCH($F190,'Tablas Técnicas'!$L$10:$L$643,0)),INDEX($V200:$V206,Tablas!A$1)="",COUNTIF(AM190:$AS190,$F190)=0),$F190,IF(INDEX($V200:$V206,Tablas!A$1)="","",$F190&amp;INDEX($V200:$V206,Tablas!A$1)))</f>
        <v/>
      </c>
      <c r="AM190" s="3089" t="str">
        <f>IF(AND(ISNUMBER(MATCH($F190,'Tablas Técnicas'!$L$10:$L$643,0)),INDEX($V200:$V206,Tablas!B$1)="",COUNTIF(AN190:$AS190,$F190)=0),$F190,IF(INDEX($V200:$V206,Tablas!B$1)="","",$F190&amp;INDEX($V200:$V206,Tablas!B$1)))</f>
        <v/>
      </c>
      <c r="AN190" s="3089" t="str">
        <f>IF(AND(ISNUMBER(MATCH($F190,'Tablas Técnicas'!$L$10:$L$643,0)),INDEX($V200:$V206,Tablas!C$1)="",COUNTIF(AO190:$AS190,$F190)=0),$F190,IF(INDEX($V200:$V206,Tablas!C$1)="","",$F190&amp;INDEX($V200:$V206,Tablas!C$1)))</f>
        <v/>
      </c>
      <c r="AO190" s="3089" t="str">
        <f>IF(AND(ISNUMBER(MATCH($F190,'Tablas Técnicas'!$L$10:$L$643,0)),INDEX($V200:$V206,Tablas!D$1)="",COUNTIF(AP190:$AS190,$F190)=0),$F190,IF(INDEX($V200:$V206,Tablas!D$1)="","",$F190&amp;INDEX($V200:$V206,Tablas!D$1)))</f>
        <v/>
      </c>
      <c r="AP190" s="3089" t="str">
        <f>IF(AND(ISNUMBER(MATCH($F190,'Tablas Técnicas'!$L$10:$L$643,0)),INDEX($V200:$V206,Tablas!E$1)="",COUNTIF(AQ190:$AS190,$F190)=0),$F190,IF(INDEX($V200:$V206,Tablas!E$1)="","",$F190&amp;INDEX($V200:$V206,Tablas!E$1)))</f>
        <v/>
      </c>
      <c r="AQ190" s="3089" t="str">
        <f>IF(AND(ISNUMBER(MATCH($F190,'Tablas Técnicas'!$L$10:$L$643,0)),INDEX($V200:$V206,Tablas!F$1)="",COUNTIF(AR190:$AS190,$F190)=0),$F190,IF(INDEX($V200:$V206,Tablas!F$1)="","",$F190&amp;INDEX($V200:$V206,Tablas!F$1)))</f>
        <v/>
      </c>
      <c r="AR190" s="3089" t="str">
        <f>IF(AND(ISNUMBER(MATCH($F190,'Tablas Técnicas'!$L$10:$L$643,0)),INDEX($V200:$V206,Tablas!G$1)="",COUNTIF(AS190:$AS190,$F190)=0),$F190,IF(INDEX($V200:$V206,Tablas!G$1)="","",$F190&amp;INDEX($V200:$V206,Tablas!G$1)))</f>
        <v/>
      </c>
      <c r="AS190" s="3091">
        <f>V190+X190+Z190+AB190+AD190+AF190</f>
        <v>0</v>
      </c>
      <c r="AT190" s="3091">
        <f t="array" ref="AT190">SUM(IF($AL190:$AR190='Tablas Técnicas'!$L$10:$L$643,IF(D190="Primario",'Tablas Técnicas'!$E$10:$E$643,'Tablas Técnicas'!$F$10:$F$643)+IF(K190="Sostenimiento menor",'Tablas Técnicas'!$I$10:$I$643,IF(K190="sostenimiento mayor",'Tablas Técnicas'!$J$10:$J$643,0)),0),0)+VALUE(RIGHT(P190,2))+AU190+AV190</f>
        <v>0</v>
      </c>
      <c r="AU190" s="309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091">
        <f>(COUNTIF(AL190:AR190,"*Estado añadido:*")-1)*COUNTIF(AL190:AR190,"*Estado añadido:*")</f>
        <v>0</v>
      </c>
      <c r="AW190" s="3091">
        <f t="array" ref="AW190">SUM(IF($AL190:$AR190='Tablas Técnicas'!$L$10:$L$643,'Tablas Técnicas'!$G$10:$G$643,0))</f>
        <v>0</v>
      </c>
      <c r="AX190" s="3089"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089" t="str">
        <f>IFERROR(LEFT(AX190,LEN(AX190)-2)&amp;"), ","")</f>
        <v/>
      </c>
    </row>
    <row r="191" spans="1:51" ht="12.2" customHeight="1" thickBot="1" x14ac:dyDescent="0.25">
      <c r="A191" s="2185"/>
      <c r="B191" s="2099">
        <f t="shared" si="4"/>
        <v>6</v>
      </c>
      <c r="C191" s="4538"/>
      <c r="D191" s="4586" t="s">
        <v>524</v>
      </c>
      <c r="E191" s="4587"/>
      <c r="F191" s="4543"/>
      <c r="G191" s="4544"/>
      <c r="H191" s="4544"/>
      <c r="I191" s="4544"/>
      <c r="J191" s="4545"/>
      <c r="K191" s="4546" t="s">
        <v>1456</v>
      </c>
      <c r="L191" s="4547"/>
      <c r="M191" s="4548"/>
      <c r="N191" s="2187">
        <f>IF(AW191&gt;0,IF(VLOOKUP(F191,'Tablas Técnicas'!$O$9:$X$88,10,0),MAX(5,AW191-5),AW191),0)</f>
        <v>0</v>
      </c>
      <c r="O191" s="2187" t="str">
        <f>AS191&amp;" / "&amp;AT191</f>
        <v>0 / 0</v>
      </c>
      <c r="P191" s="2187" t="str">
        <f t="array" ref="P191">W191+Y191+AA191+AC191+AE191+AG191&amp;" / "&amp;IF(K191&lt;&gt;"Mantenido",0,SUM(IF($AL191:$AR191='Tablas Técnicas'!$L$10:$L$643,'Tablas Técnicas'!$H$10:$H$643,0)))</f>
        <v>0 / 0</v>
      </c>
      <c r="Q191" s="4588" t="str">
        <f>IFERROR(VLOOKUP(F191,'Tablas Técnicas'!$O$9:$T$88,5,FALSE),"")</f>
        <v/>
      </c>
      <c r="R191" s="4588"/>
      <c r="S191" s="4588"/>
      <c r="T191" s="4588"/>
      <c r="U191" s="4588"/>
      <c r="V191" s="2070"/>
      <c r="W191" s="2071"/>
      <c r="X191" s="2070"/>
      <c r="Y191" s="2072"/>
      <c r="Z191" s="2073"/>
      <c r="AA191" s="2071"/>
      <c r="AB191" s="2070"/>
      <c r="AC191" s="2072"/>
      <c r="AD191" s="2073"/>
      <c r="AE191" s="2071"/>
      <c r="AF191" s="2070"/>
      <c r="AG191" s="2074"/>
      <c r="AH191" s="2193"/>
      <c r="AI191" s="4558"/>
      <c r="AJ191" s="3089">
        <v>5</v>
      </c>
      <c r="AK191" s="3089">
        <f>P183</f>
        <v>1</v>
      </c>
      <c r="AL191" s="3089" t="str">
        <f>IF(AND(ISNUMBER(MATCH($F191,'Tablas Técnicas'!$L$10:$L$643,0)),INDEX($AB200:$AB206,Tablas!A$1)="",COUNTIF(AM191:$AS191,$F191)=0),$F191,IF(INDEX($AB200:$AB206,Tablas!A$1)="","",$F191&amp;INDEX($AB200:$AB206,Tablas!A$1)))</f>
        <v/>
      </c>
      <c r="AM191" s="3089" t="str">
        <f>IF(AND(ISNUMBER(MATCH($F191,'Tablas Técnicas'!$L$10:$L$643,0)),INDEX($AB200:$AB206,Tablas!B$1)="",COUNTIF(AN191:$AS191,$F191)=0),$F191,IF(INDEX($AB200:$AB206,Tablas!B$1)="","",$F191&amp;INDEX($AB200:$AB206,Tablas!B$1)))</f>
        <v/>
      </c>
      <c r="AN191" s="3089" t="str">
        <f>IF(AND(ISNUMBER(MATCH($F191,'Tablas Técnicas'!$L$10:$L$643,0)),INDEX($AB200:$AB206,Tablas!C$1)="",COUNTIF(AO191:$AS191,$F191)=0),$F191,IF(INDEX($AB200:$AB206,Tablas!C$1)="","",$F191&amp;INDEX($AB200:$AB206,Tablas!C$1)))</f>
        <v/>
      </c>
      <c r="AO191" s="3089" t="str">
        <f>IF(AND(ISNUMBER(MATCH($F191,'Tablas Técnicas'!$L$10:$L$643,0)),INDEX($AB200:$AB206,Tablas!D$1)="",COUNTIF(AP191:$AS191,$F191)=0),$F191,IF(INDEX($AB200:$AB206,Tablas!D$1)="","",$F191&amp;INDEX($AB200:$AB206,Tablas!D$1)))</f>
        <v/>
      </c>
      <c r="AP191" s="3089" t="str">
        <f>IF(AND(ISNUMBER(MATCH($F191,'Tablas Técnicas'!$L$10:$L$643,0)),INDEX($AB200:$AB206,Tablas!E$1)="",COUNTIF(AQ191:$AS191,$F191)=0),$F191,IF(INDEX($AB200:$AB206,Tablas!E$1)="","",$F191&amp;INDEX($AB200:$AB206,Tablas!E$1)))</f>
        <v/>
      </c>
      <c r="AQ191" s="3089" t="str">
        <f>IF(AND(ISNUMBER(MATCH($F191,'Tablas Técnicas'!$L$10:$L$643,0)),INDEX($AB200:$AB206,Tablas!F$1)="",COUNTIF(AR191:$AS191,$F191)=0),$F191,IF(INDEX($AB200:$AB206,Tablas!F$1)="","",$F191&amp;INDEX($AB200:$AB206,Tablas!F$1)))</f>
        <v/>
      </c>
      <c r="AR191" s="3089" t="str">
        <f>IF(AND(ISNUMBER(MATCH($F191,'Tablas Técnicas'!$L$10:$L$643,0)),INDEX($AB200:$AB206,Tablas!G$1)="",COUNTIF(AS191:$AS191,$F191)=0),$F191,IF(INDEX($AB200:$AB206,Tablas!G$1)="","",$F191&amp;INDEX($AB200:$AB206,Tablas!G$1)))</f>
        <v/>
      </c>
      <c r="AS191" s="3091">
        <f>V191+X191+Z191+AB191+AD191+AF191</f>
        <v>0</v>
      </c>
      <c r="AT191" s="3091">
        <f t="array" ref="AT191">SUM(IF($AL191:$AR191='Tablas Técnicas'!$L$10:$L$643,IF(D191="Primario",'Tablas Técnicas'!$E$10:$E$643,'Tablas Técnicas'!$F$10:$F$643)+IF(K191="Sostenimiento menor",'Tablas Técnicas'!$I$10:$I$643,IF(K191="sostenimiento mayor",'Tablas Técnicas'!$J$10:$J$643,0)),0),0)+VALUE(RIGHT(P191,2))+AU191+AV191</f>
        <v>0</v>
      </c>
      <c r="AU191" s="309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091">
        <f>(COUNTIF(AL191:AR191,"*Estado añadido:*")-1)*COUNTIF(AL191:AR191,"*Estado añadido:*")</f>
        <v>0</v>
      </c>
      <c r="AW191" s="3091">
        <f t="array" ref="AW191">SUM(IF($AL191:$AR191='Tablas Técnicas'!$L$10:$L$643,'Tablas Técnicas'!$G$10:$G$643,0))</f>
        <v>0</v>
      </c>
      <c r="AX191" s="3089"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089" t="str">
        <f>IFERROR(LEFT(AX191,LEN(AX191)-2)&amp;"), ","")</f>
        <v/>
      </c>
    </row>
    <row r="192" spans="1:51" ht="12.2" customHeight="1" x14ac:dyDescent="0.2">
      <c r="A192" s="2185"/>
      <c r="B192" s="2099">
        <f t="shared" si="4"/>
        <v>6</v>
      </c>
      <c r="C192" s="4538"/>
      <c r="D192" s="4589" t="s">
        <v>2819</v>
      </c>
      <c r="E192" s="4590"/>
      <c r="F192" s="4610"/>
      <c r="G192" s="4611"/>
      <c r="H192" s="4611"/>
      <c r="I192" s="4611"/>
      <c r="J192" s="4612"/>
      <c r="K192" s="4628"/>
      <c r="L192" s="4657"/>
      <c r="M192" s="4658"/>
      <c r="N192" s="1929" t="str">
        <f>IFERROR(INDEX('Tablas Técnicas'!$Q$200:$Q$301,MATCH(F192&amp;K192,'Tablas Técnicas'!$S$200:$S$301,0)),"")</f>
        <v/>
      </c>
      <c r="O192" s="4659"/>
      <c r="P192" s="4660"/>
      <c r="Q192" s="4661"/>
      <c r="R192" s="4660"/>
      <c r="S192" s="2761" t="str">
        <f>IFERROR("Nivel: "&amp;MAX(1,INDEX('Tablas Técnicas'!$R$200:$R$301,MATCH(F192&amp;K192,'Tablas Técnicas'!$S$200:$S$301,0))),"")</f>
        <v/>
      </c>
      <c r="T192" s="1930"/>
      <c r="U192" s="1931" t="str">
        <f>IFERROR("("&amp;VLOOKUP(F192,'Tablas Técnicas'!$O$165:$Q$192,3,FALSE)&amp;")","")</f>
        <v/>
      </c>
      <c r="V192" s="4598" t="s">
        <v>9625</v>
      </c>
      <c r="W192" s="4599"/>
      <c r="X192" s="4600"/>
      <c r="Y192" s="2311">
        <v>0</v>
      </c>
      <c r="Z192" s="4601" t="s">
        <v>8811</v>
      </c>
      <c r="AA192" s="4602"/>
      <c r="AB192" s="4603"/>
      <c r="AC192" s="2311">
        <v>0</v>
      </c>
      <c r="AD192" s="4604" t="str">
        <f>"Ki sin repartir: "&amp;AL200-AL201&amp;IF(AM200=0,""," ("&amp;AM200-AM201&amp;")")</f>
        <v>Ki sin repartir: 0</v>
      </c>
      <c r="AE192" s="4605"/>
      <c r="AF192" s="4605"/>
      <c r="AG192" s="4606"/>
      <c r="AH192" s="2193"/>
      <c r="AI192" s="4558"/>
      <c r="AJ192" s="3089">
        <v>1</v>
      </c>
      <c r="AK192" s="3089">
        <f>P183</f>
        <v>1</v>
      </c>
      <c r="AL192" s="3089" t="e">
        <f>VLOOKUP(F192,'Tablas Técnicas'!$O$165:$Q$188,2,FALSE)</f>
        <v>#N/A</v>
      </c>
      <c r="AM192" s="3089"/>
      <c r="AN192" s="3090"/>
      <c r="AO192" s="3089"/>
      <c r="AP192" s="3089"/>
      <c r="AQ192" s="3090"/>
      <c r="AR192" s="3089"/>
      <c r="AS192" s="3089"/>
      <c r="AT192" s="3089"/>
      <c r="AU192" s="3089"/>
      <c r="AV192" s="3089"/>
      <c r="AW192" s="3091"/>
      <c r="AX192" s="3091"/>
      <c r="AY192" s="3089" t="str">
        <f>IF(F192="","",F192&amp;IF(K192="",""," ("&amp;IF(F192="Atadura Elemental",O192&amp;IF(Q192="","",", "&amp;Q192),K192)&amp;")")&amp;", ")</f>
        <v/>
      </c>
    </row>
    <row r="193" spans="1:51" ht="12.2" customHeight="1" x14ac:dyDescent="0.2">
      <c r="A193" s="2185"/>
      <c r="B193" s="2099">
        <f t="shared" si="4"/>
        <v>6</v>
      </c>
      <c r="C193" s="4538"/>
      <c r="D193" s="4591"/>
      <c r="E193" s="4592"/>
      <c r="F193" s="4662"/>
      <c r="G193" s="4663"/>
      <c r="H193" s="4663"/>
      <c r="I193" s="4663"/>
      <c r="J193" s="4664"/>
      <c r="K193" s="4617"/>
      <c r="L193" s="4677"/>
      <c r="M193" s="4678"/>
      <c r="N193" s="1932" t="str">
        <f>IFERROR(INDEX('Tablas Técnicas'!$Q$200:$Q$301,MATCH(F193&amp;K193,'Tablas Técnicas'!$S$200:$S$301,0)),"")</f>
        <v/>
      </c>
      <c r="O193" s="4665"/>
      <c r="P193" s="4666"/>
      <c r="Q193" s="4667"/>
      <c r="R193" s="4666"/>
      <c r="S193" s="2763" t="str">
        <f>IFERROR("Nivel: "&amp;MAX(1,INDEX('Tablas Técnicas'!$R$200:$R$301,MATCH(F193&amp;K193,'Tablas Técnicas'!$S$200:$S$301,0))),"")</f>
        <v/>
      </c>
      <c r="T193" s="2543"/>
      <c r="U193" s="2544" t="str">
        <f>IFERROR("("&amp;VLOOKUP(F193,'Tablas Técnicas'!$O$165:$Q$192,3,FALSE)&amp;")","")</f>
        <v/>
      </c>
      <c r="V193" s="4607" t="str">
        <f>"Mod. "&amp;V185</f>
        <v>Mod. AGI</v>
      </c>
      <c r="W193" s="4608"/>
      <c r="X193" s="4607" t="str">
        <f>"Mod. "&amp;X185</f>
        <v>Mod. CON</v>
      </c>
      <c r="Y193" s="4608"/>
      <c r="Z193" s="4607" t="str">
        <f>"Mod. "&amp;Z185</f>
        <v>Mod. DES</v>
      </c>
      <c r="AA193" s="4608"/>
      <c r="AB193" s="4607" t="str">
        <f>"Mod. "&amp;AB185</f>
        <v>Mod. FUE</v>
      </c>
      <c r="AC193" s="4608"/>
      <c r="AD193" s="4607" t="str">
        <f>"Mod. "&amp;AD185</f>
        <v>Mod. POD</v>
      </c>
      <c r="AE193" s="4608"/>
      <c r="AF193" s="4607" t="str">
        <f>"Mod. "&amp;AF185</f>
        <v>Mod. VOL</v>
      </c>
      <c r="AG193" s="4609"/>
      <c r="AH193" s="2193"/>
      <c r="AI193" s="4558"/>
      <c r="AJ193" s="3089">
        <v>2</v>
      </c>
      <c r="AK193" s="3089">
        <f>P183</f>
        <v>1</v>
      </c>
      <c r="AL193" s="3089" t="e">
        <f>VLOOKUP(F193,'Tablas Técnicas'!$O$165:$Q$188,2,FALSE)</f>
        <v>#N/A</v>
      </c>
      <c r="AM193" s="3089"/>
      <c r="AN193" s="3090"/>
      <c r="AO193" s="3089"/>
      <c r="AP193" s="3089"/>
      <c r="AQ193" s="3090"/>
      <c r="AR193" s="3089"/>
      <c r="AS193" s="3089"/>
      <c r="AT193" s="3089"/>
      <c r="AU193" s="3089"/>
      <c r="AV193" s="3089"/>
      <c r="AW193" s="3091"/>
      <c r="AX193" s="3091"/>
      <c r="AY193" s="3089" t="str">
        <f>IF(F193="","",F193&amp;IF(K193="",""," ("&amp;IF(F193="Atadura Elemental",O193&amp;IF(Q193="","",", "&amp;Q193),K193)&amp;")")&amp;", ")</f>
        <v/>
      </c>
    </row>
    <row r="194" spans="1:51" ht="12.2" customHeight="1" thickBot="1" x14ac:dyDescent="0.25">
      <c r="A194" s="2185"/>
      <c r="B194" s="2099">
        <f t="shared" si="4"/>
        <v>6</v>
      </c>
      <c r="C194" s="4538"/>
      <c r="D194" s="4593"/>
      <c r="E194" s="4594"/>
      <c r="F194" s="4668"/>
      <c r="G194" s="4669"/>
      <c r="H194" s="4669"/>
      <c r="I194" s="4669"/>
      <c r="J194" s="4670"/>
      <c r="K194" s="4672"/>
      <c r="L194" s="4673"/>
      <c r="M194" s="4674"/>
      <c r="N194" s="1933" t="str">
        <f>IFERROR(INDEX('Tablas Técnicas'!$Q$200:$Q$301,MATCH(F194&amp;K194,'Tablas Técnicas'!$S$200:$S$301,0)),"")</f>
        <v/>
      </c>
      <c r="O194" s="4655"/>
      <c r="P194" s="4656"/>
      <c r="Q194" s="4671"/>
      <c r="R194" s="4656"/>
      <c r="S194" s="2762" t="str">
        <f>IFERROR("Nivel: "&amp;MAX(1,INDEX('Tablas Técnicas'!$R$200:$R$301,MATCH(F194&amp;K194,'Tablas Técnicas'!$S$200:$S$301,0))),"")</f>
        <v/>
      </c>
      <c r="T194" s="2545"/>
      <c r="U194" s="2546" t="str">
        <f>IFERROR("("&amp;VLOOKUP(F194,'Tablas Técnicas'!$O$165:$Q$192,3,FALSE)&amp;")","")</f>
        <v/>
      </c>
      <c r="V194" s="4564"/>
      <c r="W194" s="4562"/>
      <c r="X194" s="4562"/>
      <c r="Y194" s="4562"/>
      <c r="Z194" s="4562"/>
      <c r="AA194" s="4562"/>
      <c r="AB194" s="4562"/>
      <c r="AC194" s="4562"/>
      <c r="AD194" s="4562"/>
      <c r="AE194" s="4562"/>
      <c r="AF194" s="4562"/>
      <c r="AG194" s="4574"/>
      <c r="AH194" s="2193"/>
      <c r="AI194" s="4558"/>
      <c r="AJ194" s="3089">
        <v>3</v>
      </c>
      <c r="AK194" s="3089">
        <f>P183</f>
        <v>1</v>
      </c>
      <c r="AL194" s="3089" t="e">
        <f>VLOOKUP(F194,'Tablas Técnicas'!$O$165:$Q$188,2,FALSE)</f>
        <v>#N/A</v>
      </c>
      <c r="AM194" s="3089"/>
      <c r="AN194" s="3090"/>
      <c r="AO194" s="3089"/>
      <c r="AP194" s="3089"/>
      <c r="AQ194" s="3090"/>
      <c r="AR194" s="3091"/>
      <c r="AS194" s="3091"/>
      <c r="AT194" s="3091"/>
      <c r="AU194" s="3091"/>
      <c r="AV194" s="3091"/>
      <c r="AW194" s="3091"/>
      <c r="AX194" s="3091"/>
      <c r="AY194" s="3089" t="str">
        <f>IF(F194="","",F194&amp;IF(K194="",""," ("&amp;IF(F194="Atadura Elemental",O194&amp;IF(Q194="","",", "&amp;Q194),K194)&amp;")")&amp;", ")</f>
        <v/>
      </c>
    </row>
    <row r="195" spans="1:51" ht="12.2" customHeight="1" x14ac:dyDescent="0.2">
      <c r="A195" s="2185"/>
      <c r="B195" s="2099">
        <f t="shared" si="4"/>
        <v>6</v>
      </c>
      <c r="C195" s="4538"/>
      <c r="D195" s="4549" t="s">
        <v>9306</v>
      </c>
      <c r="E195" s="4550"/>
      <c r="F195" s="4550"/>
      <c r="G195" s="4550"/>
      <c r="H195" s="4550"/>
      <c r="I195" s="4550"/>
      <c r="J195" s="4550"/>
      <c r="K195" s="4550"/>
      <c r="L195" s="4550"/>
      <c r="M195" s="4550"/>
      <c r="N195" s="4550"/>
      <c r="O195" s="4550"/>
      <c r="P195" s="4550"/>
      <c r="Q195" s="4550"/>
      <c r="R195" s="4550"/>
      <c r="S195" s="4550"/>
      <c r="T195" s="4550"/>
      <c r="U195" s="4550"/>
      <c r="V195" s="4551"/>
      <c r="W195" s="4551"/>
      <c r="X195" s="4551"/>
      <c r="Y195" s="4551"/>
      <c r="Z195" s="4551"/>
      <c r="AA195" s="4551"/>
      <c r="AB195" s="4551"/>
      <c r="AC195" s="4551"/>
      <c r="AD195" s="4551"/>
      <c r="AE195" s="4551"/>
      <c r="AF195" s="4551"/>
      <c r="AG195" s="4552"/>
      <c r="AH195" s="2193"/>
      <c r="AI195" s="4558"/>
      <c r="AJ195" s="3089"/>
      <c r="AK195" s="3089"/>
      <c r="AL195" s="3089"/>
      <c r="AM195" s="3089"/>
      <c r="AN195" s="3090" t="s">
        <v>8812</v>
      </c>
      <c r="AO195" s="3089" t="e">
        <f>LEFT(AY187&amp;AY188&amp;AY189&amp;AY190&amp;AY191,LEN(AY187&amp;AY188&amp;AY189&amp;AY190&amp;AY191)-2)</f>
        <v>#VALUE!</v>
      </c>
      <c r="AP195" s="3089"/>
      <c r="AQ195" s="3090"/>
      <c r="AR195" s="3091"/>
      <c r="AS195" s="3091"/>
      <c r="AT195" s="3091"/>
      <c r="AU195" s="3090"/>
      <c r="AV195" s="3090"/>
      <c r="AW195" s="3091"/>
      <c r="AX195" s="3091"/>
      <c r="AY195" s="3089"/>
    </row>
    <row r="196" spans="1:51" ht="12.2" customHeight="1" x14ac:dyDescent="0.2">
      <c r="A196" s="2185"/>
      <c r="B196" s="2099">
        <f t="shared" si="4"/>
        <v>6</v>
      </c>
      <c r="C196" s="4538"/>
      <c r="D196" s="4553" t="str">
        <f>IF(F187="","",F187)</f>
        <v/>
      </c>
      <c r="E196" s="4554"/>
      <c r="F196" s="4554"/>
      <c r="G196" s="4554"/>
      <c r="H196" s="4554"/>
      <c r="I196" s="4555"/>
      <c r="J196" s="4553" t="str">
        <f>IF(F188="","",F188)</f>
        <v/>
      </c>
      <c r="K196" s="4554"/>
      <c r="L196" s="4554"/>
      <c r="M196" s="4554"/>
      <c r="N196" s="4554"/>
      <c r="O196" s="4555"/>
      <c r="P196" s="4554" t="str">
        <f>IF(F189="","",F189)</f>
        <v/>
      </c>
      <c r="Q196" s="4554"/>
      <c r="R196" s="4554"/>
      <c r="S196" s="4554"/>
      <c r="T196" s="4554"/>
      <c r="U196" s="4555"/>
      <c r="V196" s="4553" t="str">
        <f>IF(F190="","",F190)</f>
        <v/>
      </c>
      <c r="W196" s="4554"/>
      <c r="X196" s="4554"/>
      <c r="Y196" s="4554"/>
      <c r="Z196" s="4554"/>
      <c r="AA196" s="4555"/>
      <c r="AB196" s="4554" t="str">
        <f>IF(F191="","",F191)</f>
        <v/>
      </c>
      <c r="AC196" s="4554"/>
      <c r="AD196" s="4554"/>
      <c r="AE196" s="4554"/>
      <c r="AF196" s="4554"/>
      <c r="AG196" s="4577"/>
      <c r="AH196" s="2193"/>
      <c r="AI196" s="4558"/>
      <c r="AJ196" s="3089"/>
      <c r="AK196" s="3089"/>
      <c r="AL196" s="3089"/>
      <c r="AM196" s="3089"/>
      <c r="AN196" s="3090" t="s">
        <v>8813</v>
      </c>
      <c r="AO196" s="3089" t="e">
        <f>LEFT(AY192&amp;AY193&amp;AY194,LEN(AY192&amp;AY193&amp;AY194)-2)</f>
        <v>#VALUE!</v>
      </c>
      <c r="AP196" s="3089"/>
      <c r="AQ196" s="3090"/>
      <c r="AR196" s="3091"/>
      <c r="AS196" s="3091"/>
      <c r="AT196" s="3091"/>
      <c r="AU196" s="3090"/>
      <c r="AV196" s="3090"/>
      <c r="AW196" s="3091"/>
      <c r="AX196" s="3091"/>
      <c r="AY196" s="3089"/>
    </row>
    <row r="197" spans="1:51" ht="12.2" customHeight="1" x14ac:dyDescent="0.2">
      <c r="A197" s="2185"/>
      <c r="B197" s="2099">
        <f t="shared" si="4"/>
        <v>6</v>
      </c>
      <c r="C197" s="4538"/>
      <c r="D197" s="2044" t="s">
        <v>1836</v>
      </c>
      <c r="E197" s="1921" t="str">
        <f>IFERROR(VLOOKUP(D196,'Tablas Técnicas'!$O$9:$T$88,3,FALSE),"")</f>
        <v/>
      </c>
      <c r="F197" s="2037"/>
      <c r="G197" s="2036"/>
      <c r="H197" s="2036" t="s">
        <v>1363</v>
      </c>
      <c r="I197" s="1921" t="str">
        <f>IFERROR(VLOOKUP(D196,'Tablas Técnicas'!$O$9:$T$88,4,FALSE),"")</f>
        <v/>
      </c>
      <c r="J197" s="2044" t="s">
        <v>1836</v>
      </c>
      <c r="K197" s="1921" t="str">
        <f>IFERROR(VLOOKUP(J196,'Tablas Técnicas'!$O$9:$T$88,3,FALSE),"")</f>
        <v/>
      </c>
      <c r="L197" s="2037"/>
      <c r="M197" s="2036"/>
      <c r="N197" s="2036" t="s">
        <v>1363</v>
      </c>
      <c r="O197" s="1934" t="str">
        <f>IFERROR(VLOOKUP(J196,'Tablas Técnicas'!$O$9:$T$88,4,FALSE),"")</f>
        <v/>
      </c>
      <c r="P197" s="2036" t="s">
        <v>1836</v>
      </c>
      <c r="Q197" s="1921" t="str">
        <f>IFERROR(VLOOKUP(P196,'Tablas Técnicas'!$O$9:$T$88,3,FALSE),"")</f>
        <v/>
      </c>
      <c r="R197" s="2037"/>
      <c r="S197" s="2036"/>
      <c r="T197" s="2036" t="s">
        <v>1363</v>
      </c>
      <c r="U197" s="1921" t="str">
        <f>IFERROR(VLOOKUP(P196,'Tablas Técnicas'!$O$9:$T$88,4,FALSE),"")</f>
        <v/>
      </c>
      <c r="V197" s="2044" t="s">
        <v>1836</v>
      </c>
      <c r="W197" s="1921" t="str">
        <f>IFERROR(VLOOKUP(V196,'Tablas Técnicas'!$O$9:$T$88,3,FALSE),"")</f>
        <v/>
      </c>
      <c r="X197" s="2037"/>
      <c r="Y197" s="2036"/>
      <c r="Z197" s="2036" t="s">
        <v>1363</v>
      </c>
      <c r="AA197" s="1934" t="str">
        <f>IFERROR(VLOOKUP(V196,'Tablas Técnicas'!$O$9:$T$88,4,FALSE),"")</f>
        <v/>
      </c>
      <c r="AB197" s="2036" t="s">
        <v>1836</v>
      </c>
      <c r="AC197" s="1921" t="str">
        <f>IFERROR(VLOOKUP(AB196,'Tablas Técnicas'!$O$9:$T$88,3,FALSE),"")</f>
        <v/>
      </c>
      <c r="AD197" s="2037"/>
      <c r="AE197" s="2036"/>
      <c r="AF197" s="2036" t="s">
        <v>1363</v>
      </c>
      <c r="AG197" s="1935" t="str">
        <f>IFERROR(VLOOKUP(AB196,'Tablas Técnicas'!$O$9:$T$88,4,FALSE),"")</f>
        <v/>
      </c>
      <c r="AH197" s="2193"/>
      <c r="AI197" s="4558"/>
      <c r="AJ197" s="3089"/>
      <c r="AK197" s="3089"/>
      <c r="AL197" s="3089"/>
      <c r="AM197" s="3089"/>
      <c r="AN197" s="3090"/>
      <c r="AO197" s="3089"/>
      <c r="AP197" s="3089"/>
      <c r="AQ197" s="3090"/>
      <c r="AR197" s="3091"/>
      <c r="AS197" s="3091"/>
      <c r="AT197" s="3091"/>
      <c r="AU197" s="3091"/>
      <c r="AV197" s="3091"/>
      <c r="AW197" s="3091"/>
      <c r="AX197" s="3091"/>
      <c r="AY197" s="3089"/>
    </row>
    <row r="198" spans="1:51" ht="12.2" customHeight="1" x14ac:dyDescent="0.2">
      <c r="A198" s="2185"/>
      <c r="B198" s="2099">
        <f t="shared" si="4"/>
        <v>6</v>
      </c>
      <c r="C198" s="4538"/>
      <c r="D198" s="2045" t="s">
        <v>8814</v>
      </c>
      <c r="E198" s="2036"/>
      <c r="F198" s="2037"/>
      <c r="G198" s="2038"/>
      <c r="H198" s="2038"/>
      <c r="I198" s="2035" t="str">
        <f>IFERROR(IF(D196="Ataque Elemental",IF(NOT(ISNA(VLOOKUP(D200,'Tablas Técnicas'!$O$100:$O$105,1,0))),D200,"Variable"),VLOOKUP(D196,'Tablas Técnicas'!$O$9:$W$88,9,FALSE)),"")</f>
        <v/>
      </c>
      <c r="J198" s="1936" t="s">
        <v>8814</v>
      </c>
      <c r="K198" s="2188"/>
      <c r="L198" s="2189"/>
      <c r="M198" s="2190"/>
      <c r="N198" s="2190"/>
      <c r="O198" s="1937" t="str">
        <f>IFERROR(IF(J196="Ataque Elemental",IF(NOT(ISNA(VLOOKUP(J200,'Tablas Técnicas'!$O$100:$O$105,1,0))),J200,"Variable"),VLOOKUP(J196,'Tablas Técnicas'!$O$9:$W$88,9,FALSE)),"")</f>
        <v/>
      </c>
      <c r="P198" s="2191" t="s">
        <v>8814</v>
      </c>
      <c r="Q198" s="2188"/>
      <c r="R198" s="2189"/>
      <c r="S198" s="2190"/>
      <c r="T198" s="2190"/>
      <c r="U198" s="2035" t="str">
        <f>IFERROR(IF(P196="Ataque Elemental",IF(NOT(ISNA(VLOOKUP(P200,'Tablas Técnicas'!$O$100:$O$105,1,0))),P200,"Variable"),VLOOKUP(P196,'Tablas Técnicas'!$O$9:$W$88,9,FALSE)),"")</f>
        <v/>
      </c>
      <c r="V198" s="1936" t="s">
        <v>8814</v>
      </c>
      <c r="W198" s="2188"/>
      <c r="X198" s="2189"/>
      <c r="Y198" s="2190"/>
      <c r="Z198" s="2190"/>
      <c r="AA198" s="1937" t="str">
        <f>IFERROR(IF(V196="Ataque Elemental",IF(NOT(ISNA(VLOOKUP(V200,'Tablas Técnicas'!$O$100:$O$105,1,0))),V200,"Variable"),VLOOKUP(V196,'Tablas Técnicas'!$O$9:$W$88,9,FALSE)),"")</f>
        <v/>
      </c>
      <c r="AB198" s="2191" t="s">
        <v>8814</v>
      </c>
      <c r="AC198" s="2188"/>
      <c r="AD198" s="2189"/>
      <c r="AE198" s="2190"/>
      <c r="AF198" s="2190"/>
      <c r="AG198" s="2050" t="str">
        <f>IFERROR(IF(AB196="Ataque Elemental",IF(NOT(ISNA(VLOOKUP(AB200,'Tablas Técnicas'!$O$100:$O$105,1,0))),AB200,"Variable"),VLOOKUP(AB196,'Tablas Técnicas'!$O$9:$W$88,9,FALSE)),"")</f>
        <v/>
      </c>
      <c r="AH198" s="2193"/>
      <c r="AI198" s="4558"/>
      <c r="AJ198" s="3089"/>
      <c r="AK198" s="3091" t="s">
        <v>1373</v>
      </c>
      <c r="AL198" s="3091" t="s">
        <v>1498</v>
      </c>
      <c r="AM198" s="3091" t="s">
        <v>1378</v>
      </c>
      <c r="AN198" s="3091" t="s">
        <v>1383</v>
      </c>
      <c r="AO198" s="3091" t="s">
        <v>1391</v>
      </c>
      <c r="AP198" s="3091" t="s">
        <v>1392</v>
      </c>
      <c r="AQ198" s="3090"/>
      <c r="AR198" s="3091"/>
      <c r="AS198" s="3091"/>
      <c r="AT198" s="3091"/>
      <c r="AU198" s="3091"/>
      <c r="AV198" s="3091"/>
      <c r="AW198" s="3091"/>
      <c r="AX198" s="3091"/>
      <c r="AY198" s="3089"/>
    </row>
    <row r="199" spans="1:51" ht="12.2" customHeight="1" x14ac:dyDescent="0.2">
      <c r="A199" s="2185"/>
      <c r="B199" s="2099">
        <f t="shared" si="4"/>
        <v>6</v>
      </c>
      <c r="C199" s="4538"/>
      <c r="D199" s="4553" t="s">
        <v>2827</v>
      </c>
      <c r="E199" s="4554"/>
      <c r="F199" s="4554"/>
      <c r="G199" s="4554"/>
      <c r="H199" s="4555"/>
      <c r="I199" s="1938" t="s">
        <v>1403</v>
      </c>
      <c r="J199" s="4553" t="s">
        <v>2827</v>
      </c>
      <c r="K199" s="4554"/>
      <c r="L199" s="4554"/>
      <c r="M199" s="4554"/>
      <c r="N199" s="4555"/>
      <c r="O199" s="1939" t="s">
        <v>1403</v>
      </c>
      <c r="P199" s="4553" t="s">
        <v>2827</v>
      </c>
      <c r="Q199" s="4554"/>
      <c r="R199" s="4554"/>
      <c r="S199" s="4554"/>
      <c r="T199" s="4555"/>
      <c r="U199" s="1939" t="s">
        <v>1403</v>
      </c>
      <c r="V199" s="4553"/>
      <c r="W199" s="4554"/>
      <c r="X199" s="4554"/>
      <c r="Y199" s="4554"/>
      <c r="Z199" s="4555"/>
      <c r="AA199" s="1939" t="s">
        <v>1403</v>
      </c>
      <c r="AB199" s="4553" t="s">
        <v>2827</v>
      </c>
      <c r="AC199" s="4554"/>
      <c r="AD199" s="4554"/>
      <c r="AE199" s="4554"/>
      <c r="AF199" s="4555"/>
      <c r="AG199" s="1940" t="s">
        <v>1403</v>
      </c>
      <c r="AH199" s="2193"/>
      <c r="AI199" s="4558"/>
      <c r="AJ199" s="3094" t="s">
        <v>9343</v>
      </c>
      <c r="AK199" s="3089" t="str">
        <f>IF(V185="","",IF(SUM(V187:V191)=0,"",V185&amp;" "&amp;SUM(V187:V191)+V194&amp;IF(SUM(W187:W191)=0,""," ("&amp;SUM(W187:W191)&amp;")")&amp;", "))</f>
        <v/>
      </c>
      <c r="AL199" s="3089" t="str">
        <f>IF(X185="","",IF(SUM(X187:X191)=0,"",X185&amp;" "&amp;SUM(X187:X191)+X194&amp;IF(SUM(Y187:Y191)=0,""," ("&amp;SUM(Y187:Y191)&amp;")")&amp;", "))</f>
        <v/>
      </c>
      <c r="AM199" s="3089" t="str">
        <f>IF(Z185="","",IF(SUM(Z187:Z191)=0,"",Z185&amp;" "&amp;SUM(Z187:Z191)+Z194&amp;IF(SUM(AA187:AA191)=0,""," ("&amp;SUM(AA187:AA191)&amp;")")&amp;", "))</f>
        <v/>
      </c>
      <c r="AN199" s="3089" t="str">
        <f>IF(AB185="","",IF(SUM(AB187:AB191)=0,"",AB185&amp;" "&amp;SUM(AB187:AB191)+AB194&amp;IF(SUM(AC187:AC191)=0,""," ("&amp;SUM(AC187:AC191)&amp;")")&amp;", "))</f>
        <v/>
      </c>
      <c r="AO199" s="3089" t="str">
        <f>IF(AD185="","",IF(SUM(AD187:AD191)=0,"",AD185&amp;" "&amp;SUM(AD187:AD191)+AD194&amp;IF(SUM(AE187:AE191)=0,""," ("&amp;SUM(AE187:AE191)&amp;")")&amp;", "))</f>
        <v/>
      </c>
      <c r="AP199" s="3089" t="str">
        <f>IF(AF185="","",IF(SUM(AF187:AF191)=0,"",AF185&amp;" "&amp;SUM(AF187:AF191)+AF194&amp;IF(SUM(AG187:AG191)=0,""," ("&amp;SUM(AG187:AG191)&amp;")")&amp;", "))</f>
        <v/>
      </c>
      <c r="AQ199" s="3089"/>
      <c r="AR199" s="3089"/>
      <c r="AS199" s="3089"/>
      <c r="AT199" s="3089"/>
      <c r="AU199" s="3089"/>
      <c r="AV199" s="3089"/>
      <c r="AW199" s="3089"/>
      <c r="AX199" s="3089"/>
      <c r="AY199" s="3089"/>
    </row>
    <row r="200" spans="1:51" ht="12.2" customHeight="1" x14ac:dyDescent="0.2">
      <c r="A200" s="2185"/>
      <c r="B200" s="2099">
        <f t="shared" si="4"/>
        <v>6</v>
      </c>
      <c r="C200" s="4538"/>
      <c r="D200" s="4575"/>
      <c r="E200" s="4573"/>
      <c r="F200" s="4573"/>
      <c r="G200" s="4573"/>
      <c r="H200" s="4573"/>
      <c r="I200" s="1941" t="str">
        <f>IF(OR(D196="",D200=""),"",MAX(1,SUMPRODUCT(--(INDEX('Tablas Técnicas'!$C$10:$L$643,,1)=D196),--(INDEX('Tablas Técnicas'!$C$10:$L$643,,2)=D200),INDEX('Tablas Técnicas'!$C$10:$L$643,,9))))</f>
        <v/>
      </c>
      <c r="J200" s="4572"/>
      <c r="K200" s="4573"/>
      <c r="L200" s="4573"/>
      <c r="M200" s="4573"/>
      <c r="N200" s="4573"/>
      <c r="O200" s="1941" t="str">
        <f>IF(OR(J196="",J200=""),"",MAX(1,SUMPRODUCT(--(INDEX('Tablas Técnicas'!$C$10:$L$643,,1)=J196),--(INDEX('Tablas Técnicas'!$C$10:$L$643,,2)=J200),INDEX('Tablas Técnicas'!$C$10:$L$643,,9))))</f>
        <v/>
      </c>
      <c r="P200" s="4572"/>
      <c r="Q200" s="4573"/>
      <c r="R200" s="4573"/>
      <c r="S200" s="4573"/>
      <c r="T200" s="4573"/>
      <c r="U200" s="1941" t="str">
        <f>IF(OR(P196="",P200=""),"",MAX(1,SUMPRODUCT(--(INDEX('Tablas Técnicas'!$C$10:$L$643,,1)=P196),--(INDEX('Tablas Técnicas'!$C$10:$L$643,,2)=P200),INDEX('Tablas Técnicas'!$C$10:$L$643,,9))))</f>
        <v/>
      </c>
      <c r="V200" s="4572"/>
      <c r="W200" s="4573"/>
      <c r="X200" s="4573"/>
      <c r="Y200" s="4573"/>
      <c r="Z200" s="4573"/>
      <c r="AA200" s="1941" t="str">
        <f>IF(OR(V196="",V200=""),"",MAX(1,SUMPRODUCT(--(INDEX('Tablas Técnicas'!$C$10:$L$643,,1)=V196),--(INDEX('Tablas Técnicas'!$C$10:$L$643,,2)=V200),INDEX('Tablas Técnicas'!$C$10:$L$643,,9))))</f>
        <v/>
      </c>
      <c r="AB200" s="4572"/>
      <c r="AC200" s="4573"/>
      <c r="AD200" s="4573"/>
      <c r="AE200" s="4573"/>
      <c r="AF200" s="4573"/>
      <c r="AG200" s="1942" t="str">
        <f>IF(OR(AB196="",AB200=""),"",MAX(1,SUMPRODUCT(--(INDEX('Tablas Técnicas'!$C$10:$L$643,,1)=AB196),--(INDEX('Tablas Técnicas'!$C$10:$L$643,,2)=AB200),INDEX('Tablas Técnicas'!$C$10:$L$643,,9))))</f>
        <v/>
      </c>
      <c r="AH200" s="2193">
        <f>P183</f>
        <v>1</v>
      </c>
      <c r="AI200" s="4558"/>
      <c r="AJ200" s="3089" t="s">
        <v>9307</v>
      </c>
      <c r="AK200" s="3089"/>
      <c r="AL200" s="3089">
        <f>MAX(0,SUM(AT187:AT191)+ABS($AC192*2/5))+IF(AM209,0,Y192)+IF(S183="Sí",3*P183,0)</f>
        <v>0</v>
      </c>
      <c r="AM200" s="3089">
        <f t="array" ref="AM200">IF(ISNUMBER(SEARCH("Mantenido",K187&amp;K188&amp;K189&amp;K190&amp;K191)),MAX(0,SUM(VALUE(RIGHT($P187:$P191,2)))),0)</f>
        <v>0</v>
      </c>
      <c r="AN200" s="3091"/>
      <c r="AO200" s="3091"/>
      <c r="AP200" s="3096"/>
      <c r="AQ200" s="3096"/>
      <c r="AR200" s="3096"/>
      <c r="AS200" s="3096"/>
      <c r="AT200" s="3096"/>
      <c r="AU200" s="3096"/>
      <c r="AV200" s="3096"/>
      <c r="AW200" s="3096"/>
      <c r="AX200" s="3096"/>
      <c r="AY200" s="3089"/>
    </row>
    <row r="201" spans="1:51" ht="12.2" customHeight="1" x14ac:dyDescent="0.2">
      <c r="A201" s="2185"/>
      <c r="B201" s="2099">
        <f t="shared" si="4"/>
        <v>6</v>
      </c>
      <c r="C201" s="4538"/>
      <c r="D201" s="4556"/>
      <c r="E201" s="4557"/>
      <c r="F201" s="4557"/>
      <c r="G201" s="4557"/>
      <c r="H201" s="4557"/>
      <c r="I201" s="1943" t="str">
        <f>IF(OR(D196="",D201=""),"",MAX(1,SUMPRODUCT(--(INDEX('Tablas Técnicas'!$C$10:$L$643,,1)=D196),--(INDEX('Tablas Técnicas'!$C$10:$L$643,,2)=D201),INDEX('Tablas Técnicas'!$C$10:$L$643,,9))))</f>
        <v/>
      </c>
      <c r="J201" s="4556"/>
      <c r="K201" s="4557"/>
      <c r="L201" s="4557"/>
      <c r="M201" s="4557"/>
      <c r="N201" s="4557"/>
      <c r="O201" s="1943" t="str">
        <f>IF(OR(J196="",J201=""),"",MAX(1,SUMPRODUCT(--(INDEX('Tablas Técnicas'!$C$10:$L$643,,1)=J196),--(INDEX('Tablas Técnicas'!$C$10:$L$643,,2)=J201),INDEX('Tablas Técnicas'!$C$10:$L$643,,9))))</f>
        <v/>
      </c>
      <c r="P201" s="4556"/>
      <c r="Q201" s="4557"/>
      <c r="R201" s="4557"/>
      <c r="S201" s="4557"/>
      <c r="T201" s="4557"/>
      <c r="U201" s="1943" t="str">
        <f>IF(OR(P196="",P201=""),"",MAX(1,SUMPRODUCT(--(INDEX('Tablas Técnicas'!$C$10:$L$643,,1)=P196),--(INDEX('Tablas Técnicas'!$C$10:$L$643,,2)=P201),INDEX('Tablas Técnicas'!$C$10:$L$643,,9))))</f>
        <v/>
      </c>
      <c r="V201" s="4556"/>
      <c r="W201" s="4557"/>
      <c r="X201" s="4557"/>
      <c r="Y201" s="4557"/>
      <c r="Z201" s="4557"/>
      <c r="AA201" s="1943" t="str">
        <f>IF(OR(V196="",V201=""),"",MAX(1,SUMPRODUCT(--(INDEX('Tablas Técnicas'!$C$10:$L$643,,1)=V196),--(INDEX('Tablas Técnicas'!$C$10:$L$643,,2)=V201),INDEX('Tablas Técnicas'!$C$10:$L$643,,9))))</f>
        <v/>
      </c>
      <c r="AB201" s="4556"/>
      <c r="AC201" s="4557"/>
      <c r="AD201" s="4557"/>
      <c r="AE201" s="4557"/>
      <c r="AF201" s="4557"/>
      <c r="AG201" s="1944" t="str">
        <f>IF(OR(AB196="",AB201=""),"",MAX(1,SUMPRODUCT(--(INDEX('Tablas Técnicas'!$C$10:$L$643,,1)=AB196),--(INDEX('Tablas Técnicas'!$C$10:$L$643,,2)=AB201),INDEX('Tablas Técnicas'!$C$10:$L$643,,9))))</f>
        <v/>
      </c>
      <c r="AH201" s="2193">
        <f>P183</f>
        <v>1</v>
      </c>
      <c r="AI201" s="4558"/>
      <c r="AJ201" s="3089" t="s">
        <v>8816</v>
      </c>
      <c r="AK201" s="3089"/>
      <c r="AL201" s="3089">
        <f>SUM(V187:V191,X187:X191,Z187:Z191,AB187:AB191,AD187:AD191,AF187:AF191)+SUM(V194:AG194)</f>
        <v>0</v>
      </c>
      <c r="AM201" s="3089">
        <f>SUM(W187:W191,Y187:Y191,AA187:AA191,AC187:AC191,AE187:AE191,AG187:AG191)</f>
        <v>0</v>
      </c>
      <c r="AN201" s="3089"/>
      <c r="AO201" s="3089"/>
      <c r="AP201" s="3089"/>
      <c r="AQ201" s="3089"/>
      <c r="AR201" s="3089"/>
      <c r="AS201" s="3089"/>
      <c r="AT201" s="3089"/>
      <c r="AU201" s="3089"/>
      <c r="AV201" s="3089"/>
      <c r="AW201" s="3091"/>
      <c r="AX201" s="3089"/>
      <c r="AY201" s="3089"/>
    </row>
    <row r="202" spans="1:51" ht="12.2" customHeight="1" x14ac:dyDescent="0.2">
      <c r="A202" s="2185"/>
      <c r="B202" s="2099">
        <f t="shared" si="4"/>
        <v>6</v>
      </c>
      <c r="C202" s="4538"/>
      <c r="D202" s="4556"/>
      <c r="E202" s="4557"/>
      <c r="F202" s="4557"/>
      <c r="G202" s="4557"/>
      <c r="H202" s="4557"/>
      <c r="I202" s="1943" t="str">
        <f>IF(OR(D196="",D202=""),"",MAX(1,SUMPRODUCT(--(INDEX('Tablas Técnicas'!$C$10:$L$643,,1)=D196),--(INDEX('Tablas Técnicas'!$C$10:$L$643,,2)=D202),INDEX('Tablas Técnicas'!$C$10:$L$643,,9))))</f>
        <v/>
      </c>
      <c r="J202" s="4556"/>
      <c r="K202" s="4557"/>
      <c r="L202" s="4557"/>
      <c r="M202" s="4557"/>
      <c r="N202" s="4557"/>
      <c r="O202" s="1943" t="str">
        <f>IF(OR(J196="",J202=""),"",MAX(1,SUMPRODUCT(--(INDEX('Tablas Técnicas'!$C$10:$L$643,,1)=J196),--(INDEX('Tablas Técnicas'!$C$10:$L$643,,2)=J202),INDEX('Tablas Técnicas'!$C$10:$L$643,,9))))</f>
        <v/>
      </c>
      <c r="P202" s="4556"/>
      <c r="Q202" s="4557"/>
      <c r="R202" s="4557"/>
      <c r="S202" s="4557"/>
      <c r="T202" s="4557"/>
      <c r="U202" s="1943" t="str">
        <f>IF(OR(P196="",P202=""),"",MAX(1,SUMPRODUCT(--(INDEX('Tablas Técnicas'!$C$10:$L$643,,1)=P196),--(INDEX('Tablas Técnicas'!$C$10:$L$643,,2)=P202),INDEX('Tablas Técnicas'!$C$10:$L$643,,9))))</f>
        <v/>
      </c>
      <c r="V202" s="4556"/>
      <c r="W202" s="4557"/>
      <c r="X202" s="4557"/>
      <c r="Y202" s="4557"/>
      <c r="Z202" s="4557"/>
      <c r="AA202" s="1943" t="str">
        <f>IF(OR(V196="",V202=""),"",MAX(1,SUMPRODUCT(--(INDEX('Tablas Técnicas'!$C$10:$L$643,,1)=V196),--(INDEX('Tablas Técnicas'!$C$10:$L$643,,2)=V202),INDEX('Tablas Técnicas'!$C$10:$L$643,,9))))</f>
        <v/>
      </c>
      <c r="AB202" s="4556"/>
      <c r="AC202" s="4557"/>
      <c r="AD202" s="4557"/>
      <c r="AE202" s="4557"/>
      <c r="AF202" s="4557"/>
      <c r="AG202" s="1944" t="str">
        <f>IF(OR(AB196="",AB202=""),"",MAX(1,SUMPRODUCT(--(INDEX('Tablas Técnicas'!$C$10:$L$643,,1)=AB196),--(INDEX('Tablas Técnicas'!$C$10:$L$643,,2)=AB202),INDEX('Tablas Técnicas'!$C$10:$L$643,,9))))</f>
        <v/>
      </c>
      <c r="AH202" s="2193">
        <f>P183</f>
        <v>1</v>
      </c>
      <c r="AI202" s="4558"/>
      <c r="AJ202" s="3089"/>
      <c r="AK202" s="3089"/>
      <c r="AL202" s="3089"/>
      <c r="AM202" s="3089"/>
      <c r="AN202" s="3089"/>
      <c r="AO202" s="3089"/>
      <c r="AP202" s="3089"/>
      <c r="AQ202" s="3089"/>
      <c r="AR202" s="3089"/>
      <c r="AS202" s="3089"/>
      <c r="AT202" s="3089"/>
      <c r="AU202" s="3089"/>
      <c r="AV202" s="3089"/>
      <c r="AW202" s="3091"/>
      <c r="AX202" s="3091"/>
      <c r="AY202" s="3089"/>
    </row>
    <row r="203" spans="1:51" ht="12.2" customHeight="1" x14ac:dyDescent="0.2">
      <c r="A203" s="2185"/>
      <c r="B203" s="2099">
        <f t="shared" si="4"/>
        <v>6</v>
      </c>
      <c r="C203" s="4538"/>
      <c r="D203" s="4556"/>
      <c r="E203" s="4557"/>
      <c r="F203" s="4557"/>
      <c r="G203" s="4557"/>
      <c r="H203" s="4557"/>
      <c r="I203" s="1943" t="str">
        <f>IF(OR(D196="",D203=""),"",MAX(1,SUMPRODUCT(--(INDEX('Tablas Técnicas'!$C$10:$L$643,,1)=D196),--(INDEX('Tablas Técnicas'!$C$10:$L$643,,2)=D203),INDEX('Tablas Técnicas'!$C$10:$L$643,,9))))</f>
        <v/>
      </c>
      <c r="J203" s="4556"/>
      <c r="K203" s="4557"/>
      <c r="L203" s="4557"/>
      <c r="M203" s="4557"/>
      <c r="N203" s="4557"/>
      <c r="O203" s="1943" t="str">
        <f>IF(OR(J196="",J203=""),"",MAX(1,SUMPRODUCT(--(INDEX('Tablas Técnicas'!$C$10:$L$643,,1)=J196),--(INDEX('Tablas Técnicas'!$C$10:$L$643,,2)=J203),INDEX('Tablas Técnicas'!$C$10:$L$643,,9))))</f>
        <v/>
      </c>
      <c r="P203" s="4556"/>
      <c r="Q203" s="4557"/>
      <c r="R203" s="4557"/>
      <c r="S203" s="4557"/>
      <c r="T203" s="4557"/>
      <c r="U203" s="1943" t="str">
        <f>IF(OR(P196="",P203=""),"",MAX(1,SUMPRODUCT(--(INDEX('Tablas Técnicas'!$C$10:$L$643,,1)=P196),--(INDEX('Tablas Técnicas'!$C$10:$L$643,,2)=P203),INDEX('Tablas Técnicas'!$C$10:$L$643,,9))))</f>
        <v/>
      </c>
      <c r="V203" s="4556"/>
      <c r="W203" s="4557"/>
      <c r="X203" s="4557"/>
      <c r="Y203" s="4557"/>
      <c r="Z203" s="4557"/>
      <c r="AA203" s="1943" t="str">
        <f>IF(OR(V196="",V203=""),"",MAX(1,SUMPRODUCT(--(INDEX('Tablas Técnicas'!$C$10:$L$643,,1)=V196),--(INDEX('Tablas Técnicas'!$C$10:$L$643,,2)=V203),INDEX('Tablas Técnicas'!$C$10:$L$643,,9))))</f>
        <v/>
      </c>
      <c r="AB203" s="4556"/>
      <c r="AC203" s="4557"/>
      <c r="AD203" s="4557"/>
      <c r="AE203" s="4557"/>
      <c r="AF203" s="4557"/>
      <c r="AG203" s="1944" t="str">
        <f>IF(OR(AB196="",AB203=""),"",MAX(1,SUMPRODUCT(--(INDEX('Tablas Técnicas'!$C$10:$L$643,,1)=AB196),--(INDEX('Tablas Técnicas'!$C$10:$L$643,,2)=AB203),INDEX('Tablas Técnicas'!$C$10:$L$643,,9))))</f>
        <v/>
      </c>
      <c r="AH203" s="2193">
        <f>P183</f>
        <v>1</v>
      </c>
      <c r="AI203" s="4558"/>
      <c r="AJ203" s="3089" t="s">
        <v>8817</v>
      </c>
      <c r="AK203" s="3089"/>
      <c r="AL203" s="3089"/>
      <c r="AM203" s="3089"/>
      <c r="AN203" s="3089"/>
      <c r="AO203" s="3089"/>
      <c r="AP203" s="3089"/>
      <c r="AQ203" s="3090"/>
      <c r="AR203" s="3091"/>
      <c r="AS203" s="3091"/>
      <c r="AT203" s="3091"/>
      <c r="AU203" s="3091"/>
      <c r="AV203" s="3091"/>
      <c r="AW203" s="3091"/>
      <c r="AX203" s="3091"/>
      <c r="AY203" s="3089"/>
    </row>
    <row r="204" spans="1:51" ht="12.2" customHeight="1" x14ac:dyDescent="0.2">
      <c r="A204" s="2185"/>
      <c r="B204" s="2099">
        <f t="shared" si="4"/>
        <v>6</v>
      </c>
      <c r="C204" s="4538"/>
      <c r="D204" s="4556"/>
      <c r="E204" s="4557"/>
      <c r="F204" s="4557"/>
      <c r="G204" s="4557"/>
      <c r="H204" s="4557"/>
      <c r="I204" s="1943" t="str">
        <f>IF(OR(D196="",D204=""),"",MAX(1,SUMPRODUCT(--(INDEX('Tablas Técnicas'!$C$10:$L$643,,1)=D196),--(INDEX('Tablas Técnicas'!$C$10:$L$643,,2)=D204),INDEX('Tablas Técnicas'!$C$10:$L$643,,9))))</f>
        <v/>
      </c>
      <c r="J204" s="4556"/>
      <c r="K204" s="4557"/>
      <c r="L204" s="4557"/>
      <c r="M204" s="4557"/>
      <c r="N204" s="4557"/>
      <c r="O204" s="1943" t="str">
        <f>IF(OR(J196="",J204=""),"",MAX(1,SUMPRODUCT(--(INDEX('Tablas Técnicas'!$C$10:$L$643,,1)=J196),--(INDEX('Tablas Técnicas'!$C$10:$L$643,,2)=J204),INDEX('Tablas Técnicas'!$C$10:$L$643,,9))))</f>
        <v/>
      </c>
      <c r="P204" s="4556"/>
      <c r="Q204" s="4557"/>
      <c r="R204" s="4557"/>
      <c r="S204" s="4557"/>
      <c r="T204" s="4557"/>
      <c r="U204" s="1943" t="str">
        <f>IF(OR(P196="",P204=""),"",MAX(1,SUMPRODUCT(--(INDEX('Tablas Técnicas'!$C$10:$L$643,,1)=P196),--(INDEX('Tablas Técnicas'!$C$10:$L$643,,2)=P204),INDEX('Tablas Técnicas'!$C$10:$L$643,,9))))</f>
        <v/>
      </c>
      <c r="V204" s="4556"/>
      <c r="W204" s="4557"/>
      <c r="X204" s="4557"/>
      <c r="Y204" s="4557"/>
      <c r="Z204" s="4557"/>
      <c r="AA204" s="1943" t="str">
        <f>IF(OR(V196="",V204=""),"",MAX(1,SUMPRODUCT(--(INDEX('Tablas Técnicas'!$C$10:$L$643,,1)=V196),--(INDEX('Tablas Técnicas'!$C$10:$L$643,,2)=V204),INDEX('Tablas Técnicas'!$C$10:$L$643,,9))))</f>
        <v/>
      </c>
      <c r="AB204" s="4556"/>
      <c r="AC204" s="4557"/>
      <c r="AD204" s="4557"/>
      <c r="AE204" s="4557"/>
      <c r="AF204" s="4557"/>
      <c r="AG204" s="1944" t="str">
        <f>IF(OR(AB196="",AB204=""),"",MAX(1,SUMPRODUCT(--(INDEX('Tablas Técnicas'!$C$10:$L$643,,1)=AB196),--(INDEX('Tablas Técnicas'!$C$10:$L$643,,2)=AB204),INDEX('Tablas Técnicas'!$C$10:$L$643,,9))))</f>
        <v/>
      </c>
      <c r="AH204" s="2193">
        <f>P183</f>
        <v>1</v>
      </c>
      <c r="AI204" s="4558"/>
      <c r="AJ204" s="3089" t="s">
        <v>9971</v>
      </c>
      <c r="AK204" s="3089"/>
      <c r="AL204" s="3089"/>
      <c r="AM204" s="3089" t="b">
        <f>U183&gt;IF(P183=3,200,IF(P183=2,100,50))</f>
        <v>0</v>
      </c>
      <c r="AN204" s="3089"/>
      <c r="AO204" s="3089"/>
      <c r="AP204" s="3089"/>
      <c r="AQ204" s="3089"/>
      <c r="AR204" s="3091"/>
      <c r="AS204" s="3091"/>
      <c r="AT204" s="3091"/>
      <c r="AU204" s="3091"/>
      <c r="AV204" s="3091"/>
      <c r="AW204" s="3091"/>
      <c r="AX204" s="3091"/>
      <c r="AY204" s="3089"/>
    </row>
    <row r="205" spans="1:51" ht="12.2" customHeight="1" x14ac:dyDescent="0.2">
      <c r="A205" s="2185"/>
      <c r="B205" s="2099">
        <f t="shared" si="4"/>
        <v>6</v>
      </c>
      <c r="C205" s="4538"/>
      <c r="D205" s="4556"/>
      <c r="E205" s="4557"/>
      <c r="F205" s="4557"/>
      <c r="G205" s="4557"/>
      <c r="H205" s="4557"/>
      <c r="I205" s="1943" t="str">
        <f>IF(OR(D196="",D205=""),"",MAX(1,SUMPRODUCT(--(INDEX('Tablas Técnicas'!$C$10:$L$643,,1)=D196),--(INDEX('Tablas Técnicas'!$C$10:$L$643,,2)=D205),INDEX('Tablas Técnicas'!$C$10:$L$643,,9))))</f>
        <v/>
      </c>
      <c r="J205" s="4556"/>
      <c r="K205" s="4557"/>
      <c r="L205" s="4557"/>
      <c r="M205" s="4557"/>
      <c r="N205" s="4557"/>
      <c r="O205" s="1943" t="str">
        <f>IF(OR(J196="",J205=""),"",MAX(1,SUMPRODUCT(--(INDEX('Tablas Técnicas'!$C$10:$L$643,,1)=J196),--(INDEX('Tablas Técnicas'!$C$10:$L$643,,2)=J205),INDEX('Tablas Técnicas'!$C$10:$L$643,,9))))</f>
        <v/>
      </c>
      <c r="P205" s="4556"/>
      <c r="Q205" s="4557"/>
      <c r="R205" s="4557"/>
      <c r="S205" s="4557"/>
      <c r="T205" s="4557"/>
      <c r="U205" s="1943" t="str">
        <f>IF(OR(P196="",P205=""),"",MAX(1,SUMPRODUCT(--(INDEX('Tablas Técnicas'!$C$10:$L$643,,1)=P196),--(INDEX('Tablas Técnicas'!$C$10:$L$643,,2)=P205),INDEX('Tablas Técnicas'!$C$10:$L$643,,9))))</f>
        <v/>
      </c>
      <c r="V205" s="4556"/>
      <c r="W205" s="4557"/>
      <c r="X205" s="4557"/>
      <c r="Y205" s="4557"/>
      <c r="Z205" s="4557"/>
      <c r="AA205" s="1943" t="str">
        <f>IF(OR(V196="",V205=""),"",MAX(1,SUMPRODUCT(--(INDEX('Tablas Técnicas'!$C$10:$L$643,,1)=V196),--(INDEX('Tablas Técnicas'!$C$10:$L$643,,2)=V205),INDEX('Tablas Técnicas'!$C$10:$L$643,,9))))</f>
        <v/>
      </c>
      <c r="AB205" s="4556"/>
      <c r="AC205" s="4557"/>
      <c r="AD205" s="4557"/>
      <c r="AE205" s="4557"/>
      <c r="AF205" s="4557"/>
      <c r="AG205" s="1944" t="str">
        <f>IF(OR(AB196="",AB205=""),"",MAX(1,SUMPRODUCT(--(INDEX('Tablas Técnicas'!$C$10:$L$643,,1)=AB196),--(INDEX('Tablas Técnicas'!$C$10:$L$643,,2)=AB205),INDEX('Tablas Técnicas'!$C$10:$L$643,,9))))</f>
        <v/>
      </c>
      <c r="AH205" s="2193">
        <f>P183</f>
        <v>1</v>
      </c>
      <c r="AI205" s="4558"/>
      <c r="AJ205" s="3089" t="s">
        <v>8818</v>
      </c>
      <c r="AK205" s="3089"/>
      <c r="AL205" s="3089"/>
      <c r="AM205" s="3089" t="b">
        <f t="array" ref="AM205">MAX(I200:I206,O200:O206,U200:U206,AA200:AA206,AG200:AG206,RIGHT(S192:S194,1))&gt;P183</f>
        <v>0</v>
      </c>
      <c r="AN205" s="3089"/>
      <c r="AO205" s="3089"/>
      <c r="AP205" s="3089"/>
      <c r="AQ205" s="3090"/>
      <c r="AR205" s="3091"/>
      <c r="AS205" s="3091"/>
      <c r="AT205" s="3091"/>
      <c r="AU205" s="3091"/>
      <c r="AV205" s="3091"/>
      <c r="AW205" s="3091"/>
      <c r="AX205" s="3091"/>
      <c r="AY205" s="3089"/>
    </row>
    <row r="206" spans="1:51" ht="12.2" customHeight="1" x14ac:dyDescent="0.2">
      <c r="A206" s="2185"/>
      <c r="B206" s="2099">
        <f t="shared" si="4"/>
        <v>6</v>
      </c>
      <c r="C206" s="4538"/>
      <c r="D206" s="4570"/>
      <c r="E206" s="4571"/>
      <c r="F206" s="4571"/>
      <c r="G206" s="4571"/>
      <c r="H206" s="4571"/>
      <c r="I206" s="1945" t="str">
        <f>IF(OR(D196="",D206=""),"",MAX(1,SUMPRODUCT(--(INDEX('Tablas Técnicas'!$C$10:$L$643,,1)=D196),--(INDEX('Tablas Técnicas'!$C$10:$L$643,,2)=D206),INDEX('Tablas Técnicas'!$C$10:$L$643,,9))))</f>
        <v/>
      </c>
      <c r="J206" s="4570"/>
      <c r="K206" s="4571"/>
      <c r="L206" s="4571"/>
      <c r="M206" s="4571"/>
      <c r="N206" s="4571"/>
      <c r="O206" s="1945" t="str">
        <f>IF(OR(J196="",J206=""),"",MAX(1,SUMPRODUCT(--(INDEX('Tablas Técnicas'!$C$10:$L$643,,1)=J196),--(INDEX('Tablas Técnicas'!$C$10:$L$643,,2)=J206),INDEX('Tablas Técnicas'!$C$10:$L$643,,9))))</f>
        <v/>
      </c>
      <c r="P206" s="4570"/>
      <c r="Q206" s="4571"/>
      <c r="R206" s="4571"/>
      <c r="S206" s="4571"/>
      <c r="T206" s="4571"/>
      <c r="U206" s="1945" t="str">
        <f>IF(OR(P196="",P206=""),"",MAX(1,SUMPRODUCT(--(INDEX('Tablas Técnicas'!$C$10:$L$643,,1)=P196),--(INDEX('Tablas Técnicas'!$C$10:$L$643,,2)=P206),INDEX('Tablas Técnicas'!$C$10:$L$643,,9))))</f>
        <v/>
      </c>
      <c r="V206" s="4570"/>
      <c r="W206" s="4571"/>
      <c r="X206" s="4571"/>
      <c r="Y206" s="4571"/>
      <c r="Z206" s="4571"/>
      <c r="AA206" s="1945" t="str">
        <f>IF(OR(V196="",V206=""),"",MAX(1,SUMPRODUCT(--(INDEX('Tablas Técnicas'!$C$10:$L$643,,1)=V196),--(INDEX('Tablas Técnicas'!$C$10:$L$643,,2)=V206),INDEX('Tablas Técnicas'!$C$10:$L$643,,9))))</f>
        <v/>
      </c>
      <c r="AB206" s="4570"/>
      <c r="AC206" s="4571"/>
      <c r="AD206" s="4571"/>
      <c r="AE206" s="4571"/>
      <c r="AF206" s="4571"/>
      <c r="AG206" s="1946" t="str">
        <f>IF(OR(AB196="",AB206=""),"",MAX(1,SUMPRODUCT(--(INDEX('Tablas Técnicas'!$C$10:$L$643,,1)=AB196),--(INDEX('Tablas Técnicas'!$C$10:$L$643,,2)=AB206),INDEX('Tablas Técnicas'!$C$10:$L$643,,9))))</f>
        <v/>
      </c>
      <c r="AH206" s="2193">
        <f>P183</f>
        <v>1</v>
      </c>
      <c r="AI206" s="4558"/>
      <c r="AJ206" s="3089" t="s">
        <v>9324</v>
      </c>
      <c r="AK206" s="3089"/>
      <c r="AL206" s="3089"/>
      <c r="AM206" s="3089" t="b">
        <f>AND(COUNTIF(K187:M191,"Mantenido"),OR(COUNTIF(K187:M191,"Sostenimiento Menor"),COUNTIF(K187:M191,"Sostenimiento Mayor")))</f>
        <v>0</v>
      </c>
      <c r="AN206" s="3090"/>
      <c r="AO206" s="3089"/>
      <c r="AP206" s="3089"/>
      <c r="AQ206" s="3089"/>
      <c r="AR206" s="3089"/>
      <c r="AS206" s="3089"/>
      <c r="AT206" s="3089"/>
      <c r="AU206" s="3091"/>
      <c r="AV206" s="3091"/>
      <c r="AW206" s="3091"/>
      <c r="AX206" s="3091"/>
      <c r="AY206" s="3089"/>
    </row>
    <row r="207" spans="1:51" ht="12.2" customHeight="1" x14ac:dyDescent="0.2">
      <c r="A207" s="2185"/>
      <c r="B207" s="2099">
        <f t="shared" si="4"/>
        <v>6</v>
      </c>
      <c r="C207" s="4538"/>
      <c r="D207" s="4549" t="s">
        <v>1549</v>
      </c>
      <c r="E207" s="4550"/>
      <c r="F207" s="4550"/>
      <c r="G207" s="4550"/>
      <c r="H207" s="4550"/>
      <c r="I207" s="4550"/>
      <c r="J207" s="4550"/>
      <c r="K207" s="4550"/>
      <c r="L207" s="4550"/>
      <c r="M207" s="4550"/>
      <c r="N207" s="4550"/>
      <c r="O207" s="4550"/>
      <c r="P207" s="4550"/>
      <c r="Q207" s="4550"/>
      <c r="R207" s="4550"/>
      <c r="S207" s="4550"/>
      <c r="T207" s="4550"/>
      <c r="U207" s="4550"/>
      <c r="V207" s="4550"/>
      <c r="W207" s="4550"/>
      <c r="X207" s="4550"/>
      <c r="Y207" s="4550"/>
      <c r="Z207" s="4550"/>
      <c r="AA207" s="4550"/>
      <c r="AB207" s="4550"/>
      <c r="AC207" s="4550"/>
      <c r="AD207" s="4550"/>
      <c r="AE207" s="4550"/>
      <c r="AF207" s="4550"/>
      <c r="AG207" s="4576"/>
      <c r="AH207" s="2193"/>
      <c r="AI207" s="4558"/>
      <c r="AJ207" s="3089" t="s">
        <v>9323</v>
      </c>
      <c r="AK207" s="3089"/>
      <c r="AL207" s="3089"/>
      <c r="AM207" s="3089"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089"/>
      <c r="AO207" s="3089"/>
      <c r="AP207" s="3089"/>
      <c r="AQ207" s="3090"/>
      <c r="AR207" s="3089"/>
      <c r="AS207" s="3089"/>
      <c r="AT207" s="3089"/>
      <c r="AU207" s="3091"/>
      <c r="AV207" s="3091"/>
      <c r="AW207" s="3091"/>
      <c r="AX207" s="3091"/>
      <c r="AY207" s="3089"/>
    </row>
    <row r="208" spans="1:51" ht="12.2" customHeight="1" x14ac:dyDescent="0.2">
      <c r="A208" s="2185"/>
      <c r="B208" s="2099">
        <f t="shared" si="4"/>
        <v>6</v>
      </c>
      <c r="C208" s="4538"/>
      <c r="D208" s="4578"/>
      <c r="E208" s="4579"/>
      <c r="F208" s="4579"/>
      <c r="G208" s="4579"/>
      <c r="H208" s="4579"/>
      <c r="I208" s="4579"/>
      <c r="J208" s="4579"/>
      <c r="K208" s="4579"/>
      <c r="L208" s="4579"/>
      <c r="M208" s="4579"/>
      <c r="N208" s="4579"/>
      <c r="O208" s="4579"/>
      <c r="P208" s="4579"/>
      <c r="Q208" s="4579"/>
      <c r="R208" s="4579"/>
      <c r="S208" s="4579"/>
      <c r="T208" s="4579"/>
      <c r="U208" s="4579"/>
      <c r="V208" s="4579"/>
      <c r="W208" s="4579"/>
      <c r="X208" s="4579"/>
      <c r="Y208" s="4579"/>
      <c r="Z208" s="4579"/>
      <c r="AA208" s="4579"/>
      <c r="AB208" s="4579"/>
      <c r="AC208" s="4579"/>
      <c r="AD208" s="4579"/>
      <c r="AE208" s="4579"/>
      <c r="AF208" s="4579"/>
      <c r="AG208" s="4580"/>
      <c r="AH208" s="2193"/>
      <c r="AI208" s="4558"/>
      <c r="AJ208" s="3089" t="s">
        <v>9331</v>
      </c>
      <c r="AK208" s="3089"/>
      <c r="AL208" s="3089"/>
      <c r="AM208" s="3089"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089"/>
      <c r="AO208" s="3089"/>
      <c r="AP208" s="3089"/>
      <c r="AQ208" s="3090"/>
      <c r="AR208" s="3089"/>
      <c r="AS208" s="3089"/>
      <c r="AT208" s="3089"/>
      <c r="AU208" s="3091"/>
      <c r="AV208" s="3091"/>
      <c r="AW208" s="3091"/>
      <c r="AX208" s="3091"/>
      <c r="AY208" s="3089"/>
    </row>
    <row r="209" spans="1:51" ht="12.2" customHeight="1" x14ac:dyDescent="0.2">
      <c r="A209" s="2185"/>
      <c r="B209" s="2099">
        <f t="shared" si="4"/>
        <v>6</v>
      </c>
      <c r="C209" s="4538"/>
      <c r="D209" s="4578"/>
      <c r="E209" s="4579"/>
      <c r="F209" s="4579"/>
      <c r="G209" s="4579"/>
      <c r="H209" s="4579"/>
      <c r="I209" s="4579"/>
      <c r="J209" s="4579"/>
      <c r="K209" s="4579"/>
      <c r="L209" s="4579"/>
      <c r="M209" s="4579"/>
      <c r="N209" s="4579"/>
      <c r="O209" s="4579"/>
      <c r="P209" s="4579"/>
      <c r="Q209" s="4579"/>
      <c r="R209" s="4579"/>
      <c r="S209" s="4579"/>
      <c r="T209" s="4579"/>
      <c r="U209" s="4579"/>
      <c r="V209" s="4579"/>
      <c r="W209" s="4579"/>
      <c r="X209" s="4579"/>
      <c r="Y209" s="4579"/>
      <c r="Z209" s="4579"/>
      <c r="AA209" s="4579"/>
      <c r="AB209" s="4579"/>
      <c r="AC209" s="4579"/>
      <c r="AD209" s="4579"/>
      <c r="AE209" s="4579"/>
      <c r="AF209" s="4579"/>
      <c r="AG209" s="4580"/>
      <c r="AH209" s="2193"/>
      <c r="AI209" s="4558"/>
      <c r="AJ209" s="3089" t="s">
        <v>9310</v>
      </c>
      <c r="AK209" s="3089"/>
      <c r="AL209" s="3089"/>
      <c r="AM209" s="3089" t="b">
        <f>AND((IF(SUM(V187:V191)&gt;0,1,0)+IF(SUM(X187:X191)&gt;0,1,0)+IF(SUM(Z187:Z191)&gt;0,1,0)+IF(SUM(AB187:AB191)&gt;0,1,0)+IF(SUM(AD187:AD191,)&gt;0,1,0)+IF(SUM(AF187:AF191)&gt;0,1,0))&lt;3,OR(V194&lt;0,X194&lt;0,Z194&lt;0,AB194&lt;0,AD194&lt;0,AF194&lt;0,Y192&lt;0))</f>
        <v>0</v>
      </c>
      <c r="AN209" s="3089"/>
      <c r="AO209" s="3089"/>
      <c r="AP209" s="3089"/>
      <c r="AQ209" s="3090"/>
      <c r="AR209" s="3089"/>
      <c r="AS209" s="3089"/>
      <c r="AT209" s="3089"/>
      <c r="AU209" s="3091"/>
      <c r="AV209" s="3091"/>
      <c r="AW209" s="3091"/>
      <c r="AX209" s="3091"/>
      <c r="AY209" s="3089"/>
    </row>
    <row r="210" spans="1:51" ht="12.2" customHeight="1" x14ac:dyDescent="0.2">
      <c r="A210" s="2185"/>
      <c r="B210" s="2099">
        <f t="shared" si="4"/>
        <v>6</v>
      </c>
      <c r="C210" s="4538"/>
      <c r="D210" s="4578"/>
      <c r="E210" s="4579"/>
      <c r="F210" s="4579"/>
      <c r="G210" s="4579"/>
      <c r="H210" s="4579"/>
      <c r="I210" s="4579"/>
      <c r="J210" s="4579"/>
      <c r="K210" s="4579"/>
      <c r="L210" s="4579"/>
      <c r="M210" s="4579"/>
      <c r="N210" s="4579"/>
      <c r="O210" s="4579"/>
      <c r="P210" s="4579"/>
      <c r="Q210" s="4579"/>
      <c r="R210" s="4579"/>
      <c r="S210" s="4579"/>
      <c r="T210" s="4579"/>
      <c r="U210" s="4579"/>
      <c r="V210" s="4579"/>
      <c r="W210" s="4579"/>
      <c r="X210" s="4579"/>
      <c r="Y210" s="4579"/>
      <c r="Z210" s="4579"/>
      <c r="AA210" s="4579"/>
      <c r="AB210" s="4579"/>
      <c r="AC210" s="4579"/>
      <c r="AD210" s="4579"/>
      <c r="AE210" s="4579"/>
      <c r="AF210" s="4579"/>
      <c r="AG210" s="4580"/>
      <c r="AH210" s="2193"/>
      <c r="AI210" s="4558"/>
      <c r="AJ210" s="3089" t="s">
        <v>9325</v>
      </c>
      <c r="AK210" s="3089"/>
      <c r="AL210" s="3089"/>
      <c r="AM210" s="3089" t="b">
        <f>OR(-V194&gt;TRUNC(SUM(V187:V191)/2),-X194&gt;TRUNC(SUM(X187:X191)/2),-Z194&gt;TRUNC(SUM(Z187:Z191)/2),-AB194&gt;TRUNC(SUM(AB187:AB191)/2),-AD194&gt;TRUNC(SUM(AD187:AD191)/2),-AF194&gt;TRUNC(SUM(AF187:AF191)/2))</f>
        <v>0</v>
      </c>
      <c r="AN210" s="3089"/>
      <c r="AO210" s="3089"/>
      <c r="AP210" s="3089"/>
      <c r="AQ210" s="3090"/>
      <c r="AR210" s="3089"/>
      <c r="AS210" s="3089"/>
      <c r="AT210" s="3089"/>
      <c r="AU210" s="3091"/>
      <c r="AV210" s="3091"/>
      <c r="AW210" s="3091"/>
      <c r="AX210" s="3091"/>
      <c r="AY210" s="3089"/>
    </row>
    <row r="211" spans="1:51" ht="12.2" customHeight="1" x14ac:dyDescent="0.2">
      <c r="A211" s="2185"/>
      <c r="B211" s="2099">
        <f t="shared" si="4"/>
        <v>6</v>
      </c>
      <c r="C211" s="4538"/>
      <c r="D211" s="4578"/>
      <c r="E211" s="4579"/>
      <c r="F211" s="4579"/>
      <c r="G211" s="4579"/>
      <c r="H211" s="4579"/>
      <c r="I211" s="4579"/>
      <c r="J211" s="4579"/>
      <c r="K211" s="4579"/>
      <c r="L211" s="4579"/>
      <c r="M211" s="4579"/>
      <c r="N211" s="4579"/>
      <c r="O211" s="4579"/>
      <c r="P211" s="4579"/>
      <c r="Q211" s="4579"/>
      <c r="R211" s="4579"/>
      <c r="S211" s="4579"/>
      <c r="T211" s="4579"/>
      <c r="U211" s="4579"/>
      <c r="V211" s="4579"/>
      <c r="W211" s="4579"/>
      <c r="X211" s="4579"/>
      <c r="Y211" s="4579"/>
      <c r="Z211" s="4579"/>
      <c r="AA211" s="4579"/>
      <c r="AB211" s="4579"/>
      <c r="AC211" s="4579"/>
      <c r="AD211" s="4579"/>
      <c r="AE211" s="4579"/>
      <c r="AF211" s="4579"/>
      <c r="AG211" s="4580"/>
      <c r="AH211" s="2193"/>
      <c r="AI211" s="4558"/>
      <c r="AJ211" s="3089" t="s">
        <v>9326</v>
      </c>
      <c r="AK211" s="3089"/>
      <c r="AL211" s="3089"/>
      <c r="AM211" s="3089" t="b">
        <f>COUNTIF(D187:E191,"Primario")&gt;1</f>
        <v>0</v>
      </c>
      <c r="AN211" s="3089"/>
      <c r="AO211" s="3089"/>
      <c r="AP211" s="3089"/>
      <c r="AQ211" s="3090"/>
      <c r="AR211" s="3090"/>
      <c r="AS211" s="3090"/>
      <c r="AT211" s="3090"/>
      <c r="AU211" s="3091"/>
      <c r="AV211" s="3091"/>
      <c r="AW211" s="3091"/>
      <c r="AX211" s="3089"/>
      <c r="AY211" s="3089"/>
    </row>
    <row r="212" spans="1:51" ht="12.2" customHeight="1" x14ac:dyDescent="0.2">
      <c r="A212" s="2185"/>
      <c r="B212" s="2099">
        <f t="shared" si="4"/>
        <v>6</v>
      </c>
      <c r="C212" s="4538"/>
      <c r="D212" s="4578"/>
      <c r="E212" s="4579"/>
      <c r="F212" s="4579"/>
      <c r="G212" s="4579"/>
      <c r="H212" s="4579"/>
      <c r="I212" s="4579"/>
      <c r="J212" s="4579"/>
      <c r="K212" s="4579"/>
      <c r="L212" s="4579"/>
      <c r="M212" s="4579"/>
      <c r="N212" s="4579"/>
      <c r="O212" s="4579"/>
      <c r="P212" s="4579"/>
      <c r="Q212" s="4579"/>
      <c r="R212" s="4579"/>
      <c r="S212" s="4579"/>
      <c r="T212" s="4579"/>
      <c r="U212" s="4579"/>
      <c r="V212" s="4579"/>
      <c r="W212" s="4579"/>
      <c r="X212" s="4579"/>
      <c r="Y212" s="4579"/>
      <c r="Z212" s="4579"/>
      <c r="AA212" s="4579"/>
      <c r="AB212" s="4579"/>
      <c r="AC212" s="4579"/>
      <c r="AD212" s="4579"/>
      <c r="AE212" s="4579"/>
      <c r="AF212" s="4579"/>
      <c r="AG212" s="4580"/>
      <c r="AH212" s="2193"/>
      <c r="AI212" s="4558"/>
      <c r="AJ212" s="3089" t="s">
        <v>9309</v>
      </c>
      <c r="AK212" s="3089"/>
      <c r="AL212" s="3089"/>
      <c r="AM212" s="3089" t="b">
        <f>SUM(V194:AG194)&lt;&gt;Y192+ABS(AC192)*2/5+IF(S183="Sí",3*P183,0)</f>
        <v>0</v>
      </c>
      <c r="AN212" s="3089"/>
      <c r="AO212" s="3089"/>
      <c r="AP212" s="3089"/>
      <c r="AQ212" s="3090"/>
      <c r="AR212" s="3090"/>
      <c r="AS212" s="3090"/>
      <c r="AT212" s="3090"/>
      <c r="AU212" s="3091"/>
      <c r="AV212" s="3091"/>
      <c r="AW212" s="3091"/>
      <c r="AX212" s="3089"/>
      <c r="AY212" s="3089"/>
    </row>
    <row r="213" spans="1:51" ht="12.2" customHeight="1" x14ac:dyDescent="0.2">
      <c r="A213" s="2185"/>
      <c r="B213" s="2099">
        <f t="shared" si="4"/>
        <v>6</v>
      </c>
      <c r="C213" s="4538"/>
      <c r="D213" s="4578"/>
      <c r="E213" s="4579"/>
      <c r="F213" s="4579"/>
      <c r="G213" s="4579"/>
      <c r="H213" s="4579"/>
      <c r="I213" s="4579"/>
      <c r="J213" s="4579"/>
      <c r="K213" s="4579"/>
      <c r="L213" s="4579"/>
      <c r="M213" s="4579"/>
      <c r="N213" s="4579"/>
      <c r="O213" s="4579"/>
      <c r="P213" s="4579"/>
      <c r="Q213" s="4579"/>
      <c r="R213" s="4579"/>
      <c r="S213" s="4579"/>
      <c r="T213" s="4579"/>
      <c r="U213" s="4579"/>
      <c r="V213" s="4579"/>
      <c r="W213" s="4579"/>
      <c r="X213" s="4579"/>
      <c r="Y213" s="4579"/>
      <c r="Z213" s="4579"/>
      <c r="AA213" s="4579"/>
      <c r="AB213" s="4579"/>
      <c r="AC213" s="4579"/>
      <c r="AD213" s="4579"/>
      <c r="AE213" s="4579"/>
      <c r="AF213" s="4579"/>
      <c r="AG213" s="4580"/>
      <c r="AH213" s="2193"/>
      <c r="AI213" s="4558"/>
      <c r="AJ213" s="3089" t="s">
        <v>9308</v>
      </c>
      <c r="AK213" s="3089"/>
      <c r="AL213" s="3089"/>
      <c r="AM213" s="3089" t="b">
        <f>AL200-AL201+AM200-AM201&lt;&gt;0</f>
        <v>0</v>
      </c>
      <c r="AN213" s="3091"/>
      <c r="AO213" s="3091"/>
      <c r="AP213" s="3091"/>
      <c r="AQ213" s="3091"/>
      <c r="AR213" s="3090"/>
      <c r="AS213" s="3090"/>
      <c r="AT213" s="3090"/>
      <c r="AU213" s="3091"/>
      <c r="AV213" s="3091"/>
      <c r="AW213" s="3091"/>
      <c r="AX213" s="3089"/>
      <c r="AY213" s="3089"/>
    </row>
    <row r="214" spans="1:51" ht="12.2" customHeight="1" thickBot="1" x14ac:dyDescent="0.25">
      <c r="A214" s="2185"/>
      <c r="B214" s="2099"/>
      <c r="C214" s="4539"/>
      <c r="D214" s="4540"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41"/>
      <c r="F214" s="4541"/>
      <c r="G214" s="4541"/>
      <c r="H214" s="4541"/>
      <c r="I214" s="4541"/>
      <c r="J214" s="4541"/>
      <c r="K214" s="4541"/>
      <c r="L214" s="4541"/>
      <c r="M214" s="4541"/>
      <c r="N214" s="4541"/>
      <c r="O214" s="4541"/>
      <c r="P214" s="4541"/>
      <c r="Q214" s="4541"/>
      <c r="R214" s="4541"/>
      <c r="S214" s="4541"/>
      <c r="T214" s="4541"/>
      <c r="U214" s="4541"/>
      <c r="V214" s="4541"/>
      <c r="W214" s="4541"/>
      <c r="X214" s="4541"/>
      <c r="Y214" s="4541"/>
      <c r="Z214" s="4541"/>
      <c r="AA214" s="4541"/>
      <c r="AB214" s="4541"/>
      <c r="AC214" s="4541"/>
      <c r="AD214" s="4541"/>
      <c r="AE214" s="4541"/>
      <c r="AF214" s="4541"/>
      <c r="AG214" s="4542"/>
      <c r="AH214" s="2193"/>
      <c r="AI214" s="4558"/>
      <c r="AJ214" s="3089" t="s">
        <v>9345</v>
      </c>
      <c r="AK214" s="3091"/>
      <c r="AL214" s="3091"/>
      <c r="AM214" s="3091" t="b">
        <f>ABS(SUM(N192:N194))&gt;(SUM(N187:N191)-10*Y192+AC192+IF(S183="Sí",10*P183,0)+IF(COUNTIF(K187:M191,"Mantenido")&gt;0,P183*10)+MAX(IF(COUNTIF(K187:M191,"Sostenimiento Menor")&gt;0,P183*20)+IF(COUNTIF(K187:M191,"Sostenimiento Mayor")&gt;0,P183*30)))/2</f>
        <v>0</v>
      </c>
      <c r="AN214" s="3089"/>
      <c r="AO214" s="3089"/>
      <c r="AP214" s="3089"/>
      <c r="AQ214" s="3089"/>
      <c r="AR214" s="3090"/>
      <c r="AS214" s="3090"/>
      <c r="AT214" s="3090"/>
      <c r="AU214" s="3091"/>
      <c r="AV214" s="3091"/>
      <c r="AW214" s="3091"/>
      <c r="AX214" s="3089"/>
      <c r="AY214" s="3089"/>
    </row>
    <row r="215" spans="1:51" ht="12.2" customHeight="1" x14ac:dyDescent="0.2">
      <c r="A215" s="2185"/>
      <c r="B215" s="2099"/>
      <c r="C215" s="4534"/>
      <c r="D215" s="4534" t="str">
        <f>IFERROR(VLOOKUP(D196,'Tablas Técnicas'!$O$9:$T$88,2,FALSE),"")</f>
        <v/>
      </c>
      <c r="E215" s="4534"/>
      <c r="F215" s="4534"/>
      <c r="G215" s="4534"/>
      <c r="H215" s="4534"/>
      <c r="I215" s="4534"/>
      <c r="J215" s="4534" t="str">
        <f>IFERROR(VLOOKUP(J196,'Tablas Técnicas'!$O$9:$T$88,2,FALSE),"")</f>
        <v/>
      </c>
      <c r="K215" s="4534"/>
      <c r="L215" s="4534"/>
      <c r="M215" s="4534"/>
      <c r="N215" s="4534"/>
      <c r="O215" s="4534"/>
      <c r="P215" s="4534" t="str">
        <f>IFERROR(VLOOKUP(P196,'Tablas Técnicas'!$O$9:$T$88,2,FALSE),"")</f>
        <v/>
      </c>
      <c r="Q215" s="4534"/>
      <c r="R215" s="4534"/>
      <c r="S215" s="4534"/>
      <c r="T215" s="4534"/>
      <c r="U215" s="4534"/>
      <c r="V215" s="4534" t="str">
        <f>IFERROR(VLOOKUP(V196,'Tablas Técnicas'!$O$9:$T$88,2,FALSE),"")</f>
        <v/>
      </c>
      <c r="W215" s="4534"/>
      <c r="X215" s="4534"/>
      <c r="Y215" s="4534"/>
      <c r="Z215" s="4534"/>
      <c r="AA215" s="4534"/>
      <c r="AB215" s="4534" t="str">
        <f>IFERROR(VLOOKUP(AB196,'Tablas Técnicas'!$O$9:$T$88,2,FALSE),"")</f>
        <v/>
      </c>
      <c r="AC215" s="4534"/>
      <c r="AD215" s="4534"/>
      <c r="AE215" s="4534"/>
      <c r="AF215" s="4534"/>
      <c r="AG215" s="4534"/>
      <c r="AH215" s="2193"/>
      <c r="AI215" s="1921"/>
      <c r="AJ215" s="3089"/>
      <c r="AK215" s="3089"/>
      <c r="AL215" s="3089"/>
      <c r="AM215" s="3089"/>
      <c r="AN215" s="3089"/>
      <c r="AO215" s="3089"/>
      <c r="AP215" s="3089"/>
      <c r="AQ215" s="3089"/>
      <c r="AR215" s="3090"/>
      <c r="AS215" s="3090"/>
      <c r="AT215" s="3090"/>
      <c r="AU215" s="3091"/>
      <c r="AV215" s="3091"/>
      <c r="AW215" s="3091"/>
      <c r="AX215" s="3091"/>
      <c r="AY215" s="3089"/>
    </row>
    <row r="216" spans="1:51" ht="12.2" customHeight="1" thickBot="1" x14ac:dyDescent="0.25">
      <c r="A216" s="2185"/>
      <c r="B216" s="2099"/>
      <c r="C216" s="4534"/>
      <c r="D216" s="2287"/>
      <c r="E216" s="2101"/>
      <c r="F216" s="2101"/>
      <c r="G216" s="2101"/>
      <c r="H216" s="2101"/>
      <c r="I216" s="2101"/>
      <c r="J216" s="2101"/>
      <c r="K216" s="2101"/>
      <c r="L216" s="2101"/>
      <c r="M216" s="2101"/>
      <c r="N216" s="2101"/>
      <c r="O216" s="2101"/>
      <c r="P216" s="2101"/>
      <c r="Q216" s="2101"/>
      <c r="R216" s="2101"/>
      <c r="S216" s="2101"/>
      <c r="T216" s="2101"/>
      <c r="U216" s="2101"/>
      <c r="V216" s="2288"/>
      <c r="W216" s="2288"/>
      <c r="X216" s="2288"/>
      <c r="Y216" s="2288"/>
      <c r="Z216" s="2288"/>
      <c r="AA216" s="2288"/>
      <c r="AB216" s="2288"/>
      <c r="AC216" s="2288"/>
      <c r="AD216" s="2288"/>
      <c r="AE216" s="2288"/>
      <c r="AF216" s="2101"/>
      <c r="AG216" s="2101"/>
      <c r="AH216" s="2193"/>
      <c r="AI216" s="1921"/>
      <c r="AJ216" s="3097"/>
      <c r="AK216" s="3097"/>
      <c r="AL216" s="3097"/>
      <c r="AM216" s="3097"/>
      <c r="AN216" s="3097"/>
      <c r="AO216" s="3097"/>
      <c r="AP216" s="3089"/>
      <c r="AQ216" s="3090"/>
      <c r="AR216" s="3091"/>
      <c r="AS216" s="3091"/>
      <c r="AT216" s="3091"/>
      <c r="AU216" s="3091"/>
      <c r="AV216" s="3091"/>
      <c r="AW216" s="3091"/>
      <c r="AX216" s="3091"/>
      <c r="AY216" s="3098"/>
    </row>
    <row r="217" spans="1:51" ht="12.2" customHeight="1" x14ac:dyDescent="0.2">
      <c r="A217" s="2185"/>
      <c r="B217" s="2099">
        <f t="shared" ref="B217:B247" si="5">1+B183</f>
        <v>7</v>
      </c>
      <c r="C217" s="4537" t="str">
        <f>"Técnica "&amp;B217</f>
        <v>Técnica 7</v>
      </c>
      <c r="D217" s="4636" t="s">
        <v>8716</v>
      </c>
      <c r="E217" s="4637"/>
      <c r="F217" s="4637"/>
      <c r="G217" s="4637"/>
      <c r="H217" s="4637"/>
      <c r="I217" s="4637"/>
      <c r="J217" s="4637"/>
      <c r="K217" s="4637"/>
      <c r="L217" s="4637"/>
      <c r="M217" s="4637"/>
      <c r="N217" s="4638"/>
      <c r="O217" s="4642" t="s">
        <v>1325</v>
      </c>
      <c r="P217" s="4644">
        <v>1</v>
      </c>
      <c r="Q217" s="4646" t="s">
        <v>8800</v>
      </c>
      <c r="R217" s="4647"/>
      <c r="S217" s="4650" t="s">
        <v>1381</v>
      </c>
      <c r="T217" s="4651" t="s">
        <v>1506</v>
      </c>
      <c r="U217" s="4653">
        <f>MAX(IF(P217=3,60,IF(P217=2,40,20)),MIN(SUM(N221:N228)-10*Y226+AC226+IF(S217="Sí",10*P217,0)+IF(COUNTIF(K221:M225,"Mantenido")&gt;0,P217*10)+MAX(IF(COUNTIF(K221:M225,"Sostenimiento Menor")&gt;0,P217*20)+IF(COUNTIF(K221:M225,"Sostenimiento Mayor")&gt;0,P217*30))))</f>
        <v>20</v>
      </c>
      <c r="V217" s="4646" t="s">
        <v>8801</v>
      </c>
      <c r="W217" s="4651"/>
      <c r="X217" s="4566" t="str">
        <f>IFERROR(LEFT(AK233&amp;AL233&amp;AM233&amp;AN233&amp;AO233&amp;AP233,LEN(AK233&amp;AL233&amp;AM233&amp;AN233&amp;AO233&amp;AP233)-2),"")</f>
        <v/>
      </c>
      <c r="Y217" s="4566"/>
      <c r="Z217" s="4566"/>
      <c r="AA217" s="4566"/>
      <c r="AB217" s="4566"/>
      <c r="AC217" s="4566"/>
      <c r="AD217" s="4566"/>
      <c r="AE217" s="4566"/>
      <c r="AF217" s="4566"/>
      <c r="AG217" s="4567"/>
      <c r="AH217" s="2193"/>
      <c r="AI217" s="4558"/>
      <c r="AJ217" s="3094" t="s">
        <v>9342</v>
      </c>
      <c r="AK217" s="3094"/>
      <c r="AL217" s="3094"/>
      <c r="AM217" s="3094"/>
      <c r="AN217" s="3094"/>
      <c r="AO217" s="3094"/>
      <c r="AP217" s="3094"/>
      <c r="AQ217" s="3094"/>
      <c r="AR217" s="3094"/>
      <c r="AS217" s="3089"/>
      <c r="AT217" s="3089"/>
      <c r="AU217" s="3089"/>
      <c r="AV217" s="3089"/>
      <c r="AW217" s="3091"/>
      <c r="AX217" s="3091"/>
      <c r="AY217" s="3089"/>
    </row>
    <row r="218" spans="1:51" ht="12.2" customHeight="1" x14ac:dyDescent="0.2">
      <c r="A218" s="2185"/>
      <c r="B218" s="2099">
        <f t="shared" si="5"/>
        <v>7</v>
      </c>
      <c r="C218" s="4538"/>
      <c r="D218" s="4639"/>
      <c r="E218" s="4640"/>
      <c r="F218" s="4640"/>
      <c r="G218" s="4640"/>
      <c r="H218" s="4640"/>
      <c r="I218" s="4640"/>
      <c r="J218" s="4640"/>
      <c r="K218" s="4640"/>
      <c r="L218" s="4640"/>
      <c r="M218" s="4640"/>
      <c r="N218" s="4641"/>
      <c r="O218" s="4643"/>
      <c r="P218" s="4645"/>
      <c r="Q218" s="4648"/>
      <c r="R218" s="4649"/>
      <c r="S218" s="4645"/>
      <c r="T218" s="4652"/>
      <c r="U218" s="4654"/>
      <c r="V218" s="4648"/>
      <c r="W218" s="4652"/>
      <c r="X218" s="4568"/>
      <c r="Y218" s="4568"/>
      <c r="Z218" s="4568"/>
      <c r="AA218" s="4568"/>
      <c r="AB218" s="4568"/>
      <c r="AC218" s="4568"/>
      <c r="AD218" s="4568"/>
      <c r="AE218" s="4568"/>
      <c r="AF218" s="4568"/>
      <c r="AG218" s="4569"/>
      <c r="AH218" s="2193"/>
      <c r="AI218" s="4558"/>
      <c r="AJ218" s="3094"/>
      <c r="AK218" s="3094" t="s">
        <v>9343</v>
      </c>
      <c r="AL218" s="3094" t="s">
        <v>10464</v>
      </c>
      <c r="AM218" s="3095"/>
      <c r="AN218" s="3095"/>
      <c r="AO218" s="3095"/>
      <c r="AP218" s="3095"/>
      <c r="AQ218" s="3095"/>
      <c r="AR218" s="3094"/>
      <c r="AS218" s="3089"/>
      <c r="AT218" s="3089"/>
      <c r="AU218" s="3089"/>
      <c r="AV218" s="3089"/>
      <c r="AW218" s="3091"/>
      <c r="AX218" s="4536" t="s">
        <v>9312</v>
      </c>
      <c r="AY218" s="4536"/>
    </row>
    <row r="219" spans="1:51" ht="12.2" customHeight="1" x14ac:dyDescent="0.2">
      <c r="A219" s="2185"/>
      <c r="B219" s="2099">
        <f t="shared" si="5"/>
        <v>7</v>
      </c>
      <c r="C219" s="4538"/>
      <c r="D219" s="4549" t="s">
        <v>2824</v>
      </c>
      <c r="E219" s="4550"/>
      <c r="F219" s="4550"/>
      <c r="G219" s="4550"/>
      <c r="H219" s="4550"/>
      <c r="I219" s="4550"/>
      <c r="J219" s="4550"/>
      <c r="K219" s="4633" t="s">
        <v>9636</v>
      </c>
      <c r="L219" s="4633"/>
      <c r="M219" s="4633"/>
      <c r="N219" s="4550" t="s">
        <v>1500</v>
      </c>
      <c r="O219" s="4633" t="s">
        <v>2822</v>
      </c>
      <c r="P219" s="4633" t="s">
        <v>8802</v>
      </c>
      <c r="Q219" s="4550" t="s">
        <v>1364</v>
      </c>
      <c r="R219" s="4550"/>
      <c r="S219" s="4550"/>
      <c r="T219" s="4550"/>
      <c r="U219" s="4550"/>
      <c r="V219" s="4613" t="s">
        <v>1373</v>
      </c>
      <c r="W219" s="4608"/>
      <c r="X219" s="4613" t="s">
        <v>1498</v>
      </c>
      <c r="Y219" s="4614"/>
      <c r="Z219" s="4608" t="s">
        <v>1378</v>
      </c>
      <c r="AA219" s="4608"/>
      <c r="AB219" s="4613" t="s">
        <v>1383</v>
      </c>
      <c r="AC219" s="4614"/>
      <c r="AD219" s="4608" t="s">
        <v>1391</v>
      </c>
      <c r="AE219" s="4608"/>
      <c r="AF219" s="4613" t="s">
        <v>1392</v>
      </c>
      <c r="AG219" s="4609"/>
      <c r="AH219" s="2193"/>
      <c r="AI219" s="4558"/>
      <c r="AJ219" s="3089"/>
      <c r="AK219" s="3089"/>
      <c r="AL219" s="3089" t="s">
        <v>9614</v>
      </c>
      <c r="AM219" s="3089"/>
      <c r="AN219" s="3089"/>
      <c r="AO219" s="3089"/>
      <c r="AP219" s="3089"/>
      <c r="AQ219" s="3089"/>
      <c r="AR219" s="3091"/>
      <c r="AS219" s="3091" t="s">
        <v>9332</v>
      </c>
      <c r="AT219" s="3091" t="s">
        <v>9333</v>
      </c>
      <c r="AU219" s="3089" t="s">
        <v>9321</v>
      </c>
      <c r="AV219" s="3089" t="s">
        <v>9322</v>
      </c>
      <c r="AW219" s="3091" t="s">
        <v>1500</v>
      </c>
      <c r="AX219" s="3091" t="s">
        <v>8804</v>
      </c>
      <c r="AY219" s="3089" t="s">
        <v>8805</v>
      </c>
    </row>
    <row r="220" spans="1:51" ht="12.2" customHeight="1" x14ac:dyDescent="0.2">
      <c r="A220" s="2185"/>
      <c r="B220" s="2099">
        <f t="shared" si="5"/>
        <v>7</v>
      </c>
      <c r="C220" s="4538"/>
      <c r="D220" s="4581"/>
      <c r="E220" s="4582"/>
      <c r="F220" s="4582"/>
      <c r="G220" s="4582"/>
      <c r="H220" s="4582"/>
      <c r="I220" s="4582"/>
      <c r="J220" s="4582"/>
      <c r="K220" s="4634"/>
      <c r="L220" s="4634"/>
      <c r="M220" s="4634"/>
      <c r="N220" s="4551"/>
      <c r="O220" s="4634"/>
      <c r="P220" s="4635"/>
      <c r="Q220" s="4551"/>
      <c r="R220" s="4551"/>
      <c r="S220" s="4551"/>
      <c r="T220" s="4551"/>
      <c r="U220" s="4551"/>
      <c r="V220" s="2104" t="s">
        <v>9311</v>
      </c>
      <c r="W220" s="2186" t="s">
        <v>2828</v>
      </c>
      <c r="X220" s="2104" t="s">
        <v>9311</v>
      </c>
      <c r="Y220" s="2186" t="s">
        <v>2828</v>
      </c>
      <c r="Z220" s="2104" t="s">
        <v>9311</v>
      </c>
      <c r="AA220" s="2186" t="s">
        <v>2828</v>
      </c>
      <c r="AB220" s="2104" t="s">
        <v>9311</v>
      </c>
      <c r="AC220" s="2186" t="s">
        <v>2828</v>
      </c>
      <c r="AD220" s="2104" t="s">
        <v>9311</v>
      </c>
      <c r="AE220" s="2186" t="s">
        <v>2828</v>
      </c>
      <c r="AF220" s="2104" t="s">
        <v>9311</v>
      </c>
      <c r="AG220" s="1928" t="s">
        <v>2828</v>
      </c>
      <c r="AH220" s="2193"/>
      <c r="AI220" s="4558"/>
      <c r="AJ220" s="3089"/>
      <c r="AK220" s="3089" t="s">
        <v>9313</v>
      </c>
      <c r="AL220" s="3089">
        <v>1</v>
      </c>
      <c r="AM220" s="3089">
        <v>2</v>
      </c>
      <c r="AN220" s="3089">
        <v>3</v>
      </c>
      <c r="AO220" s="3089">
        <v>4</v>
      </c>
      <c r="AP220" s="3089">
        <v>5</v>
      </c>
      <c r="AQ220" s="3089">
        <v>6</v>
      </c>
      <c r="AR220" s="3089">
        <v>7</v>
      </c>
      <c r="AS220" s="3091"/>
      <c r="AT220" s="3089" t="s">
        <v>9344</v>
      </c>
      <c r="AU220" s="3091"/>
      <c r="AV220" s="3091"/>
      <c r="AW220" s="3091" t="s">
        <v>9344</v>
      </c>
      <c r="AX220" s="3091"/>
      <c r="AY220" s="3089"/>
    </row>
    <row r="221" spans="1:51" ht="12.2" customHeight="1" x14ac:dyDescent="0.2">
      <c r="A221" s="2185"/>
      <c r="B221" s="2099">
        <f t="shared" si="5"/>
        <v>7</v>
      </c>
      <c r="C221" s="4538"/>
      <c r="D221" s="4624" t="s">
        <v>8806</v>
      </c>
      <c r="E221" s="4625"/>
      <c r="F221" s="4626"/>
      <c r="G221" s="4627"/>
      <c r="H221" s="4627"/>
      <c r="I221" s="4627"/>
      <c r="J221" s="4628"/>
      <c r="K221" s="4595" t="s">
        <v>1456</v>
      </c>
      <c r="L221" s="4596"/>
      <c r="M221" s="4597"/>
      <c r="N221" s="2105">
        <f>IF(AW221&gt;0,IF(VLOOKUP(F221,'Tablas Técnicas'!$O$9:$X$88,10,0),MAX(5,AW221-5),AW221),0)</f>
        <v>0</v>
      </c>
      <c r="O221" s="2105" t="str">
        <f>AS221&amp;" / "&amp;AT221</f>
        <v>0 / 0</v>
      </c>
      <c r="P221" s="2105" t="str">
        <f t="array" ref="P221">W221+Y221+AA221+AC221+AE221+AG221&amp;" / "&amp;IF(K221&lt;&gt;"Mantenido",0,SUM(IF($AL221:$AR221='Tablas Técnicas'!$L$10:$L$643,'Tablas Técnicas'!$H$10:$H$643,0)))</f>
        <v>0 / 0</v>
      </c>
      <c r="Q221" s="4632" t="str">
        <f>IFERROR(VLOOKUP(F221,'Tablas Técnicas'!$O$9:$T$88,5,FALSE),"")</f>
        <v/>
      </c>
      <c r="R221" s="4632"/>
      <c r="S221" s="4632"/>
      <c r="T221" s="4632"/>
      <c r="U221" s="4632"/>
      <c r="V221" s="2055"/>
      <c r="W221" s="2056"/>
      <c r="X221" s="2055"/>
      <c r="Y221" s="2057"/>
      <c r="Z221" s="2058"/>
      <c r="AA221" s="2056"/>
      <c r="AB221" s="2055"/>
      <c r="AC221" s="2057"/>
      <c r="AD221" s="2058"/>
      <c r="AE221" s="2056"/>
      <c r="AF221" s="2055"/>
      <c r="AG221" s="2059"/>
      <c r="AH221" s="2193"/>
      <c r="AI221" s="4558"/>
      <c r="AJ221" s="3089">
        <v>1</v>
      </c>
      <c r="AK221" s="3089">
        <f>P217</f>
        <v>1</v>
      </c>
      <c r="AL221" s="3089" t="str">
        <f>IF(AND(ISNUMBER(MATCH($F221,'Tablas Técnicas'!$L$10:$L$643,0)),INDEX($D234:$D240,Tablas!A$1)="",COUNTIF(AM221:$AS221,$F221)=0),$F221,IF(INDEX($D234:$D240,Tablas!A$1)="","",$F221&amp;INDEX($D234:$D240,Tablas!A$1)))</f>
        <v/>
      </c>
      <c r="AM221" s="3089" t="str">
        <f>IF(AND(ISNUMBER(MATCH($F221,'Tablas Técnicas'!$L$10:$L$643,0)),INDEX($D234:$D240,Tablas!B$1)="",COUNTIF(AN221:$AS221,$F221)=0),$F221,IF(INDEX($D234:$D240,Tablas!B$1)="","",$F221&amp;INDEX($D234:$D240,Tablas!B$1)))</f>
        <v/>
      </c>
      <c r="AN221" s="3089" t="str">
        <f>IF(AND(ISNUMBER(MATCH($F221,'Tablas Técnicas'!$L$10:$L$643,0)),INDEX($D234:$D240,Tablas!C$1)="",COUNTIF(AO221:$AS221,$F221)=0),$F221,IF(INDEX($D234:$D240,Tablas!C$1)="","",$F221&amp;INDEX($D234:$D240,Tablas!C$1)))</f>
        <v/>
      </c>
      <c r="AO221" s="3089" t="str">
        <f>IF(AND(ISNUMBER(MATCH($F221,'Tablas Técnicas'!$L$10:$L$643,0)),INDEX($D234:$D240,Tablas!D$1)="",COUNTIF(AP221:$AS221,$F221)=0),$F221,IF(INDEX($D234:$D240,Tablas!D$1)="","",$F221&amp;INDEX($D234:$D240,Tablas!D$1)))</f>
        <v/>
      </c>
      <c r="AP221" s="3089" t="str">
        <f>IF(AND(ISNUMBER(MATCH($F221,'Tablas Técnicas'!$L$10:$L$643,0)),INDEX($D234:$D240,Tablas!E$1)="",COUNTIF(AQ221:$AS221,$F221)=0),$F221,IF(INDEX($D234:$D240,Tablas!E$1)="","",$F221&amp;INDEX($D234:$D240,Tablas!E$1)))</f>
        <v/>
      </c>
      <c r="AQ221" s="3089" t="str">
        <f>IF(AND(ISNUMBER(MATCH($F221,'Tablas Técnicas'!$L$10:$L$643,0)),INDEX($D234:$D240,Tablas!F$1)="",COUNTIF(AR221:$AS221,$F221)=0),$F221,IF(INDEX($D234:$D240,Tablas!F$1)="","",$F221&amp;INDEX($D234:$D240,Tablas!F$1)))</f>
        <v/>
      </c>
      <c r="AR221" s="3089" t="str">
        <f>IF(AND(ISNUMBER(MATCH($F221,'Tablas Técnicas'!$L$10:$L$643,0)),INDEX($D234:$D240,Tablas!G$1)="",COUNTIF(AS221:$AS221,$F221)=0),$F221,IF(INDEX($D234:$D240,Tablas!G$1)="","",$F221&amp;INDEX($D234:$D240,Tablas!G$1)))</f>
        <v/>
      </c>
      <c r="AS221" s="3091">
        <f>V221+X221+Z221+AB221+AD221+AF221</f>
        <v>0</v>
      </c>
      <c r="AT221" s="3091">
        <f t="array" ref="AT221">SUM(IF($AL221:$AR221='Tablas Técnicas'!$L$10:$L$643,IF(D221="Primario",'Tablas Técnicas'!$E$10:$E$643,'Tablas Técnicas'!$F$10:$F$643)+IF(K221="Sostenimiento menor",'Tablas Técnicas'!$I$10:$I$643,IF(K221="sostenimiento mayor",'Tablas Técnicas'!$J$10:$J$643,0)),0),0)+VALUE(RIGHT(P221,2))+AU221+AV221</f>
        <v>0</v>
      </c>
      <c r="AU221" s="309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091">
        <f>(COUNTIF(AL221:AR221,"*Estado añadido:*")-1)*COUNTIF(AL221:AR221,"*Estado añadido:*")</f>
        <v>0</v>
      </c>
      <c r="AW221" s="3091">
        <f t="array" ref="AW221">SUM(IF($AL221:$AR221='Tablas Técnicas'!$L$10:$L$643,'Tablas Técnicas'!$G$10:$G$643,0))</f>
        <v>0</v>
      </c>
      <c r="AX221" s="3089"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089" t="str">
        <f>IFERROR(LEFT(AX221,LEN(AX221)-2)&amp;"), ","")</f>
        <v/>
      </c>
    </row>
    <row r="222" spans="1:51" ht="12.2" customHeight="1" x14ac:dyDescent="0.2">
      <c r="A222" s="2185"/>
      <c r="B222" s="2099">
        <f t="shared" si="5"/>
        <v>7</v>
      </c>
      <c r="C222" s="4538"/>
      <c r="D222" s="4583" t="s">
        <v>524</v>
      </c>
      <c r="E222" s="4584"/>
      <c r="F222" s="4615"/>
      <c r="G222" s="4616"/>
      <c r="H222" s="4616"/>
      <c r="I222" s="4616"/>
      <c r="J222" s="4617"/>
      <c r="K222" s="4618" t="s">
        <v>1456</v>
      </c>
      <c r="L222" s="4619"/>
      <c r="M222" s="4620"/>
      <c r="N222" s="1925">
        <f>IF(AW222&gt;0,IF(VLOOKUP(F222,'Tablas Técnicas'!$O$9:$X$88,10,0),MAX(5,AW222-5),AW222),0)</f>
        <v>0</v>
      </c>
      <c r="O222" s="1925" t="str">
        <f>AS222&amp;" / "&amp;AT222</f>
        <v>0 / 0</v>
      </c>
      <c r="P222" s="1925" t="str">
        <f t="array" ref="P222">W222+Y222+AA222+AC222+AE222+AG222&amp;" / "&amp;IF(K222&lt;&gt;"Mantenido",0,SUM(IF($AL222:$AR222='Tablas Técnicas'!$L$10:$L$643,'Tablas Técnicas'!$H$10:$H$643,0)))</f>
        <v>0 / 0</v>
      </c>
      <c r="Q222" s="4585" t="str">
        <f>IFERROR(VLOOKUP(F222,'Tablas Técnicas'!$O$9:$T$88,5,FALSE),"")</f>
        <v/>
      </c>
      <c r="R222" s="4585"/>
      <c r="S222" s="4585"/>
      <c r="T222" s="4585"/>
      <c r="U222" s="4585"/>
      <c r="V222" s="2060"/>
      <c r="W222" s="2061"/>
      <c r="X222" s="2060"/>
      <c r="Y222" s="2062"/>
      <c r="Z222" s="2063"/>
      <c r="AA222" s="2061"/>
      <c r="AB222" s="2060"/>
      <c r="AC222" s="2062"/>
      <c r="AD222" s="2063"/>
      <c r="AE222" s="2061"/>
      <c r="AF222" s="2060"/>
      <c r="AG222" s="2064"/>
      <c r="AH222" s="2193"/>
      <c r="AI222" s="4558"/>
      <c r="AJ222" s="3089">
        <v>2</v>
      </c>
      <c r="AK222" s="3089">
        <f>P217</f>
        <v>1</v>
      </c>
      <c r="AL222" s="3089" t="str">
        <f>IF(AND(ISNUMBER(MATCH($F222,'Tablas Técnicas'!$L$10:$L$643,0)),INDEX($J234:$J240,Tablas!A$1)="",COUNTIF(AM222:$AS222,$F222)=0),$F222,IF(INDEX($J234:$J240,Tablas!A$1)="","",$F222&amp;INDEX($J234:$J240,Tablas!A$1)))</f>
        <v/>
      </c>
      <c r="AM222" s="3089" t="str">
        <f>IF(AND(ISNUMBER(MATCH($F222,'Tablas Técnicas'!$L$10:$L$643,0)),INDEX($J234:$J240,Tablas!B$1)="",COUNTIF(AN222:$AS222,$F222)=0),$F222,IF(INDEX($J234:$J240,Tablas!B$1)="","",$F222&amp;INDEX($J234:$J240,Tablas!B$1)))</f>
        <v/>
      </c>
      <c r="AN222" s="3089" t="str">
        <f>IF(AND(ISNUMBER(MATCH($F222,'Tablas Técnicas'!$L$10:$L$643,0)),INDEX($J234:$J240,Tablas!C$1)="",COUNTIF(AO222:$AS222,$F222)=0),$F222,IF(INDEX($J234:$J240,Tablas!C$1)="","",$F222&amp;INDEX($J234:$J240,Tablas!C$1)))</f>
        <v/>
      </c>
      <c r="AO222" s="3089" t="str">
        <f>IF(AND(ISNUMBER(MATCH($F222,'Tablas Técnicas'!$L$10:$L$643,0)),INDEX($J234:$J240,Tablas!D$1)="",COUNTIF(AP222:$AS222,$F222)=0),$F222,IF(INDEX($J234:$J240,Tablas!D$1)="","",$F222&amp;INDEX($J234:$J240,Tablas!D$1)))</f>
        <v/>
      </c>
      <c r="AP222" s="3089" t="str">
        <f>IF(AND(ISNUMBER(MATCH($F222,'Tablas Técnicas'!$L$10:$L$643,0)),INDEX($J234:$J240,Tablas!E$1)="",COUNTIF(AQ222:$AS222,$F222)=0),$F222,IF(INDEX($J234:$J240,Tablas!E$1)="","",$F222&amp;INDEX($J234:$J240,Tablas!E$1)))</f>
        <v/>
      </c>
      <c r="AQ222" s="3089" t="str">
        <f>IF(AND(ISNUMBER(MATCH($F222,'Tablas Técnicas'!$L$10:$L$643,0)),INDEX($J234:$J240,Tablas!F$1)="",COUNTIF(AR222:$AS222,$F222)=0),$F222,IF(INDEX($J234:$J240,Tablas!F$1)="","",$F222&amp;INDEX($J234:$J240,Tablas!F$1)))</f>
        <v/>
      </c>
      <c r="AR222" s="3089" t="str">
        <f>IF(AND(ISNUMBER(MATCH($F222,'Tablas Técnicas'!$L$10:$L$643,0)),INDEX($J234:$J240,Tablas!G$1)="",COUNTIF(AS222:$AS222,$F222)=0),$F222,IF(INDEX($J234:$J240,Tablas!G$1)="","",$F222&amp;INDEX($J234:$J240,Tablas!G$1)))</f>
        <v/>
      </c>
      <c r="AS222" s="3091">
        <f>V222+X222+Z222+AB222+AD222+AF222</f>
        <v>0</v>
      </c>
      <c r="AT222" s="3091">
        <f t="array" ref="AT222">SUM(IF($AL222:$AR222='Tablas Técnicas'!$L$10:$L$643,IF(D222="Primario",'Tablas Técnicas'!$E$10:$E$643,'Tablas Técnicas'!$F$10:$F$643)+IF(K222="Sostenimiento menor",'Tablas Técnicas'!$I$10:$I$643,IF(K222="sostenimiento mayor",'Tablas Técnicas'!$J$10:$J$643,0)),0),0)+VALUE(RIGHT(P222,2))+AU222+AV222</f>
        <v>0</v>
      </c>
      <c r="AU222" s="309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091">
        <f>(COUNTIF(AL222:AR222,"*Estado añadido:*")-1)*COUNTIF(AL222:AR222,"*Estado añadido:*")</f>
        <v>0</v>
      </c>
      <c r="AW222" s="3091">
        <f t="array" ref="AW222">SUM(IF($AL222:$AR222='Tablas Técnicas'!$L$10:$L$643,'Tablas Técnicas'!$G$10:$G$643,0))</f>
        <v>0</v>
      </c>
      <c r="AX222" s="3089"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089" t="str">
        <f>IFERROR(LEFT(AX222,LEN(AX222)-2)&amp;"), ","")</f>
        <v/>
      </c>
    </row>
    <row r="223" spans="1:51" ht="12.2" customHeight="1" x14ac:dyDescent="0.2">
      <c r="A223" s="2185"/>
      <c r="B223" s="2099">
        <f t="shared" si="5"/>
        <v>7</v>
      </c>
      <c r="C223" s="4538"/>
      <c r="D223" s="4629" t="s">
        <v>524</v>
      </c>
      <c r="E223" s="4630"/>
      <c r="F223" s="4559"/>
      <c r="G223" s="4560"/>
      <c r="H223" s="4560"/>
      <c r="I223" s="4560"/>
      <c r="J223" s="4561"/>
      <c r="K223" s="4621" t="s">
        <v>1456</v>
      </c>
      <c r="L223" s="4622"/>
      <c r="M223" s="4623"/>
      <c r="N223" s="1921">
        <f>IF(AW223&gt;0,IF(VLOOKUP(F223,'Tablas Técnicas'!$O$9:$X$88,10,0),MAX(5,AW223-5),AW223),0)</f>
        <v>0</v>
      </c>
      <c r="O223" s="1921" t="str">
        <f>AS223&amp;" / "&amp;AT223</f>
        <v>0 / 0</v>
      </c>
      <c r="P223" s="1921" t="str">
        <f t="array" ref="P223">W223+Y223+AA223+AC223+AE223+AG223&amp;" / "&amp;IF(K223&lt;&gt;"Mantenido",0,SUM(IF($AL223:$AR223='Tablas Técnicas'!$L$10:$L$643,'Tablas Técnicas'!$H$10:$H$643,0)))</f>
        <v>0 / 0</v>
      </c>
      <c r="Q223" s="4631" t="str">
        <f>IFERROR(VLOOKUP(F223,'Tablas Técnicas'!$O$9:$T$88,5,FALSE),"")</f>
        <v/>
      </c>
      <c r="R223" s="4631"/>
      <c r="S223" s="4631"/>
      <c r="T223" s="4631"/>
      <c r="U223" s="4631"/>
      <c r="V223" s="2065"/>
      <c r="W223" s="2066"/>
      <c r="X223" s="2065"/>
      <c r="Y223" s="2067"/>
      <c r="Z223" s="2068"/>
      <c r="AA223" s="2066"/>
      <c r="AB223" s="2065"/>
      <c r="AC223" s="2067"/>
      <c r="AD223" s="2068"/>
      <c r="AE223" s="2066"/>
      <c r="AF223" s="2065"/>
      <c r="AG223" s="2069"/>
      <c r="AH223" s="2193"/>
      <c r="AI223" s="4558"/>
      <c r="AJ223" s="3089">
        <v>3</v>
      </c>
      <c r="AK223" s="3089">
        <f>P217</f>
        <v>1</v>
      </c>
      <c r="AL223" s="3089" t="str">
        <f>IF(AND(ISNUMBER(MATCH($F223,'Tablas Técnicas'!$L$10:$L$643,0)),INDEX($P234:$P240,Tablas!A$1)="",COUNTIF(AM223:$AS223,$F223)=0),$F223,IF(INDEX($P234:$P240,Tablas!A$1)="","",$F223&amp;INDEX($P234:$P240,Tablas!A$1)))</f>
        <v/>
      </c>
      <c r="AM223" s="3089" t="str">
        <f>IF(AND(ISNUMBER(MATCH($F223,'Tablas Técnicas'!$L$10:$L$643,0)),INDEX($P234:$P240,Tablas!B$1)="",COUNTIF(AN223:$AS223,$F223)=0),$F223,IF(INDEX($P234:$P240,Tablas!B$1)="","",$F223&amp;INDEX($P234:$P240,Tablas!B$1)))</f>
        <v/>
      </c>
      <c r="AN223" s="3089" t="str">
        <f>IF(AND(ISNUMBER(MATCH($F223,'Tablas Técnicas'!$L$10:$L$643,0)),INDEX($P234:$P240,Tablas!C$1)="",COUNTIF(AO223:$AS223,$F223)=0),$F223,IF(INDEX($P234:$P240,Tablas!C$1)="","",$F223&amp;INDEX($P234:$P240,Tablas!C$1)))</f>
        <v/>
      </c>
      <c r="AO223" s="3089" t="str">
        <f>IF(AND(ISNUMBER(MATCH($F223,'Tablas Técnicas'!$L$10:$L$643,0)),INDEX($P234:$P240,Tablas!D$1)="",COUNTIF(AP223:$AS223,$F223)=0),$F223,IF(INDEX($P234:$P240,Tablas!D$1)="","",$F223&amp;INDEX($P234:$P240,Tablas!D$1)))</f>
        <v/>
      </c>
      <c r="AP223" s="3089" t="str">
        <f>IF(AND(ISNUMBER(MATCH($F223,'Tablas Técnicas'!$L$10:$L$643,0)),INDEX($P234:$P240,Tablas!E$1)="",COUNTIF(AQ223:$AS223,$F223)=0),$F223,IF(INDEX($P234:$P240,Tablas!E$1)="","",$F223&amp;INDEX($P234:$P240,Tablas!E$1)))</f>
        <v/>
      </c>
      <c r="AQ223" s="3089" t="str">
        <f>IF(AND(ISNUMBER(MATCH($F223,'Tablas Técnicas'!$L$10:$L$643,0)),INDEX($P234:$P240,Tablas!F$1)="",COUNTIF(AR223:$AS223,$F223)=0),$F223,IF(INDEX($P234:$P240,Tablas!F$1)="","",$F223&amp;INDEX($P234:$P240,Tablas!F$1)))</f>
        <v/>
      </c>
      <c r="AR223" s="3089" t="str">
        <f>IF(AND(ISNUMBER(MATCH($F223,'Tablas Técnicas'!$L$10:$L$643,0)),INDEX($P234:$P240,Tablas!G$1)="",COUNTIF(AS223:$AS223,$F223)=0),$F223,IF(INDEX($P234:$P240,Tablas!G$1)="","",$F223&amp;INDEX($P234:$P240,Tablas!G$1)))</f>
        <v/>
      </c>
      <c r="AS223" s="3091">
        <f>V223+X223+Z223+AB223+AD223+AF223</f>
        <v>0</v>
      </c>
      <c r="AT223" s="3091">
        <f t="array" ref="AT223">SUM(IF($AL223:$AR223='Tablas Técnicas'!$L$10:$L$643,IF(D223="Primario",'Tablas Técnicas'!$E$10:$E$643,'Tablas Técnicas'!$F$10:$F$643)+IF(K223="Sostenimiento menor",'Tablas Técnicas'!$I$10:$I$643,IF(K223="sostenimiento mayor",'Tablas Técnicas'!$J$10:$J$643,0)),0),0)+VALUE(RIGHT(P223,2))+AU223+AV223</f>
        <v>0</v>
      </c>
      <c r="AU223" s="309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091">
        <f>(COUNTIF(AL223:AR223,"*Estado añadido:*")-1)*COUNTIF(AL223:AR223,"*Estado añadido:*")</f>
        <v>0</v>
      </c>
      <c r="AW223" s="3091">
        <f t="array" ref="AW223">SUM(IF($AL223:$AR223='Tablas Técnicas'!$L$10:$L$643,'Tablas Técnicas'!$G$10:$G$643,0))</f>
        <v>0</v>
      </c>
      <c r="AX223" s="3089"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089" t="str">
        <f>IFERROR(LEFT(AX223,LEN(AX223)-2)&amp;"), ","")</f>
        <v/>
      </c>
    </row>
    <row r="224" spans="1:51" ht="12.2" customHeight="1" x14ac:dyDescent="0.2">
      <c r="A224" s="2185"/>
      <c r="B224" s="2099">
        <f t="shared" si="5"/>
        <v>7</v>
      </c>
      <c r="C224" s="4538"/>
      <c r="D224" s="4583" t="s">
        <v>524</v>
      </c>
      <c r="E224" s="4584"/>
      <c r="F224" s="4615"/>
      <c r="G224" s="4616"/>
      <c r="H224" s="4616"/>
      <c r="I224" s="4616"/>
      <c r="J224" s="4617"/>
      <c r="K224" s="4618" t="s">
        <v>1456</v>
      </c>
      <c r="L224" s="4619"/>
      <c r="M224" s="4620"/>
      <c r="N224" s="1925">
        <f>IF(AW224&gt;0,IF(VLOOKUP(F224,'Tablas Técnicas'!$O$9:$X$88,10,0),MAX(5,AW224-5),AW224),0)</f>
        <v>0</v>
      </c>
      <c r="O224" s="1925" t="str">
        <f>AS224&amp;" / "&amp;AT224</f>
        <v>0 / 0</v>
      </c>
      <c r="P224" s="1925" t="str">
        <f t="array" ref="P224">W224+Y224+AA224+AC224+AE224+AG224&amp;" / "&amp;IF(K224&lt;&gt;"Mantenido",0,SUM(IF($AL224:$AR224='Tablas Técnicas'!$L$10:$L$643,'Tablas Técnicas'!$H$10:$H$643,0)))</f>
        <v>0 / 0</v>
      </c>
      <c r="Q224" s="4585" t="str">
        <f>IFERROR(VLOOKUP(F224,'Tablas Técnicas'!$O$9:$T$88,5,FALSE),"")</f>
        <v/>
      </c>
      <c r="R224" s="4585"/>
      <c r="S224" s="4585"/>
      <c r="T224" s="4585"/>
      <c r="U224" s="4585"/>
      <c r="V224" s="2060"/>
      <c r="W224" s="2061"/>
      <c r="X224" s="2060"/>
      <c r="Y224" s="2062"/>
      <c r="Z224" s="2063"/>
      <c r="AA224" s="2061"/>
      <c r="AB224" s="2060"/>
      <c r="AC224" s="2062"/>
      <c r="AD224" s="2063"/>
      <c r="AE224" s="2061"/>
      <c r="AF224" s="2060"/>
      <c r="AG224" s="2064"/>
      <c r="AH224" s="2193"/>
      <c r="AI224" s="4558"/>
      <c r="AJ224" s="3089">
        <v>4</v>
      </c>
      <c r="AK224" s="3089">
        <f>P217</f>
        <v>1</v>
      </c>
      <c r="AL224" s="3089" t="str">
        <f>IF(AND(ISNUMBER(MATCH($F224,'Tablas Técnicas'!$L$10:$L$643,0)),INDEX($V234:$V240,Tablas!A$1)="",COUNTIF(AM224:$AS224,$F224)=0),$F224,IF(INDEX($V234:$V240,Tablas!A$1)="","",$F224&amp;INDEX($V234:$V240,Tablas!A$1)))</f>
        <v/>
      </c>
      <c r="AM224" s="3089" t="str">
        <f>IF(AND(ISNUMBER(MATCH($F224,'Tablas Técnicas'!$L$10:$L$643,0)),INDEX($V234:$V240,Tablas!B$1)="",COUNTIF(AN224:$AS224,$F224)=0),$F224,IF(INDEX($V234:$V240,Tablas!B$1)="","",$F224&amp;INDEX($V234:$V240,Tablas!B$1)))</f>
        <v/>
      </c>
      <c r="AN224" s="3089" t="str">
        <f>IF(AND(ISNUMBER(MATCH($F224,'Tablas Técnicas'!$L$10:$L$643,0)),INDEX($V234:$V240,Tablas!C$1)="",COUNTIF(AO224:$AS224,$F224)=0),$F224,IF(INDEX($V234:$V240,Tablas!C$1)="","",$F224&amp;INDEX($V234:$V240,Tablas!C$1)))</f>
        <v/>
      </c>
      <c r="AO224" s="3089" t="str">
        <f>IF(AND(ISNUMBER(MATCH($F224,'Tablas Técnicas'!$L$10:$L$643,0)),INDEX($V234:$V240,Tablas!D$1)="",COUNTIF(AP224:$AS224,$F224)=0),$F224,IF(INDEX($V234:$V240,Tablas!D$1)="","",$F224&amp;INDEX($V234:$V240,Tablas!D$1)))</f>
        <v/>
      </c>
      <c r="AP224" s="3089" t="str">
        <f>IF(AND(ISNUMBER(MATCH($F224,'Tablas Técnicas'!$L$10:$L$643,0)),INDEX($V234:$V240,Tablas!E$1)="",COUNTIF(AQ224:$AS224,$F224)=0),$F224,IF(INDEX($V234:$V240,Tablas!E$1)="","",$F224&amp;INDEX($V234:$V240,Tablas!E$1)))</f>
        <v/>
      </c>
      <c r="AQ224" s="3089" t="str">
        <f>IF(AND(ISNUMBER(MATCH($F224,'Tablas Técnicas'!$L$10:$L$643,0)),INDEX($V234:$V240,Tablas!F$1)="",COUNTIF(AR224:$AS224,$F224)=0),$F224,IF(INDEX($V234:$V240,Tablas!F$1)="","",$F224&amp;INDEX($V234:$V240,Tablas!F$1)))</f>
        <v/>
      </c>
      <c r="AR224" s="3089" t="str">
        <f>IF(AND(ISNUMBER(MATCH($F224,'Tablas Técnicas'!$L$10:$L$643,0)),INDEX($V234:$V240,Tablas!G$1)="",COUNTIF(AS224:$AS224,$F224)=0),$F224,IF(INDEX($V234:$V240,Tablas!G$1)="","",$F224&amp;INDEX($V234:$V240,Tablas!G$1)))</f>
        <v/>
      </c>
      <c r="AS224" s="3091">
        <f>V224+X224+Z224+AB224+AD224+AF224</f>
        <v>0</v>
      </c>
      <c r="AT224" s="3091">
        <f t="array" ref="AT224">SUM(IF($AL224:$AR224='Tablas Técnicas'!$L$10:$L$643,IF(D224="Primario",'Tablas Técnicas'!$E$10:$E$643,'Tablas Técnicas'!$F$10:$F$643)+IF(K224="Sostenimiento menor",'Tablas Técnicas'!$I$10:$I$643,IF(K224="sostenimiento mayor",'Tablas Técnicas'!$J$10:$J$643,0)),0),0)+VALUE(RIGHT(P224,2))+AU224+AV224</f>
        <v>0</v>
      </c>
      <c r="AU224" s="309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091">
        <f>(COUNTIF(AL224:AR224,"*Estado añadido:*")-1)*COUNTIF(AL224:AR224,"*Estado añadido:*")</f>
        <v>0</v>
      </c>
      <c r="AW224" s="3091">
        <f t="array" ref="AW224">SUM(IF($AL224:$AR224='Tablas Técnicas'!$L$10:$L$643,'Tablas Técnicas'!$G$10:$G$643,0))</f>
        <v>0</v>
      </c>
      <c r="AX224" s="3089"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089" t="str">
        <f>IFERROR(LEFT(AX224,LEN(AX224)-2)&amp;"), ","")</f>
        <v/>
      </c>
    </row>
    <row r="225" spans="1:51" ht="12.2" customHeight="1" thickBot="1" x14ac:dyDescent="0.25">
      <c r="A225" s="2185"/>
      <c r="B225" s="2099">
        <f t="shared" si="5"/>
        <v>7</v>
      </c>
      <c r="C225" s="4538"/>
      <c r="D225" s="4586" t="s">
        <v>524</v>
      </c>
      <c r="E225" s="4587"/>
      <c r="F225" s="4543"/>
      <c r="G225" s="4544"/>
      <c r="H225" s="4544"/>
      <c r="I225" s="4544"/>
      <c r="J225" s="4545"/>
      <c r="K225" s="4546" t="s">
        <v>1456</v>
      </c>
      <c r="L225" s="4547"/>
      <c r="M225" s="4548"/>
      <c r="N225" s="2187">
        <f>IF(AW225&gt;0,IF(VLOOKUP(F225,'Tablas Técnicas'!$O$9:$X$88,10,0),MAX(5,AW225-5),AW225),0)</f>
        <v>0</v>
      </c>
      <c r="O225" s="2187" t="str">
        <f>AS225&amp;" / "&amp;AT225</f>
        <v>0 / 0</v>
      </c>
      <c r="P225" s="2187" t="str">
        <f t="array" ref="P225">W225+Y225+AA225+AC225+AE225+AG225&amp;" / "&amp;IF(K225&lt;&gt;"Mantenido",0,SUM(IF($AL225:$AR225='Tablas Técnicas'!$L$10:$L$643,'Tablas Técnicas'!$H$10:$H$643,0)))</f>
        <v>0 / 0</v>
      </c>
      <c r="Q225" s="4588" t="str">
        <f>IFERROR(VLOOKUP(F225,'Tablas Técnicas'!$O$9:$T$88,5,FALSE),"")</f>
        <v/>
      </c>
      <c r="R225" s="4588"/>
      <c r="S225" s="4588"/>
      <c r="T225" s="4588"/>
      <c r="U225" s="4588"/>
      <c r="V225" s="2070"/>
      <c r="W225" s="2071"/>
      <c r="X225" s="2070"/>
      <c r="Y225" s="2072"/>
      <c r="Z225" s="2073"/>
      <c r="AA225" s="2071"/>
      <c r="AB225" s="2070"/>
      <c r="AC225" s="2072"/>
      <c r="AD225" s="2073"/>
      <c r="AE225" s="2071"/>
      <c r="AF225" s="2070"/>
      <c r="AG225" s="2074"/>
      <c r="AH225" s="2193"/>
      <c r="AI225" s="4558"/>
      <c r="AJ225" s="3089">
        <v>5</v>
      </c>
      <c r="AK225" s="3089">
        <f>P217</f>
        <v>1</v>
      </c>
      <c r="AL225" s="3089" t="str">
        <f>IF(AND(ISNUMBER(MATCH($F225,'Tablas Técnicas'!$L$10:$L$643,0)),INDEX($AB234:$AB240,Tablas!A$1)="",COUNTIF(AM225:$AS225,$F225)=0),$F225,IF(INDEX($AB234:$AB240,Tablas!A$1)="","",$F225&amp;INDEX($AB234:$AB240,Tablas!A$1)))</f>
        <v/>
      </c>
      <c r="AM225" s="3089" t="str">
        <f>IF(AND(ISNUMBER(MATCH($F225,'Tablas Técnicas'!$L$10:$L$643,0)),INDEX($AB234:$AB240,Tablas!B$1)="",COUNTIF(AN225:$AS225,$F225)=0),$F225,IF(INDEX($AB234:$AB240,Tablas!B$1)="","",$F225&amp;INDEX($AB234:$AB240,Tablas!B$1)))</f>
        <v/>
      </c>
      <c r="AN225" s="3089" t="str">
        <f>IF(AND(ISNUMBER(MATCH($F225,'Tablas Técnicas'!$L$10:$L$643,0)),INDEX($AB234:$AB240,Tablas!C$1)="",COUNTIF(AO225:$AS225,$F225)=0),$F225,IF(INDEX($AB234:$AB240,Tablas!C$1)="","",$F225&amp;INDEX($AB234:$AB240,Tablas!C$1)))</f>
        <v/>
      </c>
      <c r="AO225" s="3089" t="str">
        <f>IF(AND(ISNUMBER(MATCH($F225,'Tablas Técnicas'!$L$10:$L$643,0)),INDEX($AB234:$AB240,Tablas!D$1)="",COUNTIF(AP225:$AS225,$F225)=0),$F225,IF(INDEX($AB234:$AB240,Tablas!D$1)="","",$F225&amp;INDEX($AB234:$AB240,Tablas!D$1)))</f>
        <v/>
      </c>
      <c r="AP225" s="3089" t="str">
        <f>IF(AND(ISNUMBER(MATCH($F225,'Tablas Técnicas'!$L$10:$L$643,0)),INDEX($AB234:$AB240,Tablas!E$1)="",COUNTIF(AQ225:$AS225,$F225)=0),$F225,IF(INDEX($AB234:$AB240,Tablas!E$1)="","",$F225&amp;INDEX($AB234:$AB240,Tablas!E$1)))</f>
        <v/>
      </c>
      <c r="AQ225" s="3089" t="str">
        <f>IF(AND(ISNUMBER(MATCH($F225,'Tablas Técnicas'!$L$10:$L$643,0)),INDEX($AB234:$AB240,Tablas!F$1)="",COUNTIF(AR225:$AS225,$F225)=0),$F225,IF(INDEX($AB234:$AB240,Tablas!F$1)="","",$F225&amp;INDEX($AB234:$AB240,Tablas!F$1)))</f>
        <v/>
      </c>
      <c r="AR225" s="3089" t="str">
        <f>IF(AND(ISNUMBER(MATCH($F225,'Tablas Técnicas'!$L$10:$L$643,0)),INDEX($AB234:$AB240,Tablas!G$1)="",COUNTIF(AS225:$AS225,$F225)=0),$F225,IF(INDEX($AB234:$AB240,Tablas!G$1)="","",$F225&amp;INDEX($AB234:$AB240,Tablas!G$1)))</f>
        <v/>
      </c>
      <c r="AS225" s="3091">
        <f>V225+X225+Z225+AB225+AD225+AF225</f>
        <v>0</v>
      </c>
      <c r="AT225" s="3091">
        <f t="array" ref="AT225">SUM(IF($AL225:$AR225='Tablas Técnicas'!$L$10:$L$643,IF(D225="Primario",'Tablas Técnicas'!$E$10:$E$643,'Tablas Técnicas'!$F$10:$F$643)+IF(K225="Sostenimiento menor",'Tablas Técnicas'!$I$10:$I$643,IF(K225="sostenimiento mayor",'Tablas Técnicas'!$J$10:$J$643,0)),0),0)+VALUE(RIGHT(P225,2))+AU225+AV225</f>
        <v>0</v>
      </c>
      <c r="AU225" s="309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091">
        <f>(COUNTIF(AL225:AR225,"*Estado añadido:*")-1)*COUNTIF(AL225:AR225,"*Estado añadido:*")</f>
        <v>0</v>
      </c>
      <c r="AW225" s="3091">
        <f t="array" ref="AW225">SUM(IF($AL225:$AR225='Tablas Técnicas'!$L$10:$L$643,'Tablas Técnicas'!$G$10:$G$643,0))</f>
        <v>0</v>
      </c>
      <c r="AX225" s="3089"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089" t="str">
        <f>IFERROR(LEFT(AX225,LEN(AX225)-2)&amp;"), ","")</f>
        <v/>
      </c>
    </row>
    <row r="226" spans="1:51" ht="12.2" customHeight="1" x14ac:dyDescent="0.2">
      <c r="A226" s="2185"/>
      <c r="B226" s="2099">
        <f t="shared" si="5"/>
        <v>7</v>
      </c>
      <c r="C226" s="4538"/>
      <c r="D226" s="4589" t="s">
        <v>2819</v>
      </c>
      <c r="E226" s="4590"/>
      <c r="F226" s="4610"/>
      <c r="G226" s="4611"/>
      <c r="H226" s="4611"/>
      <c r="I226" s="4611"/>
      <c r="J226" s="4612"/>
      <c r="K226" s="4628"/>
      <c r="L226" s="4657"/>
      <c r="M226" s="4658"/>
      <c r="N226" s="1929" t="str">
        <f>IFERROR(INDEX('Tablas Técnicas'!$Q$200:$Q$301,MATCH(F226&amp;K226,'Tablas Técnicas'!$S$200:$S$301,0)),"")</f>
        <v/>
      </c>
      <c r="O226" s="4659"/>
      <c r="P226" s="4660"/>
      <c r="Q226" s="4661"/>
      <c r="R226" s="4660"/>
      <c r="S226" s="2761" t="str">
        <f>IFERROR("Nivel: "&amp;MAX(1,INDEX('Tablas Técnicas'!$R$200:$R$301,MATCH(F226&amp;K226,'Tablas Técnicas'!$S$200:$S$301,0))),"")</f>
        <v/>
      </c>
      <c r="T226" s="1930"/>
      <c r="U226" s="1931" t="str">
        <f>IFERROR("("&amp;VLOOKUP(F226,'Tablas Técnicas'!$O$165:$Q$192,3,FALSE)&amp;")","")</f>
        <v/>
      </c>
      <c r="V226" s="4598" t="s">
        <v>9625</v>
      </c>
      <c r="W226" s="4599"/>
      <c r="X226" s="4600"/>
      <c r="Y226" s="2311">
        <v>0</v>
      </c>
      <c r="Z226" s="4601" t="s">
        <v>8811</v>
      </c>
      <c r="AA226" s="4602"/>
      <c r="AB226" s="4603"/>
      <c r="AC226" s="2311">
        <v>0</v>
      </c>
      <c r="AD226" s="4604" t="str">
        <f>"Ki sin repartir: "&amp;AL234-AL235&amp;IF(AM234=0,""," ("&amp;AM234-AM235&amp;")")</f>
        <v>Ki sin repartir: 0</v>
      </c>
      <c r="AE226" s="4605"/>
      <c r="AF226" s="4605"/>
      <c r="AG226" s="4606"/>
      <c r="AH226" s="2193"/>
      <c r="AI226" s="4558"/>
      <c r="AJ226" s="3089">
        <v>1</v>
      </c>
      <c r="AK226" s="3089">
        <f>P217</f>
        <v>1</v>
      </c>
      <c r="AL226" s="3089" t="e">
        <f>VLOOKUP(F226,'Tablas Técnicas'!$O$165:$Q$188,2,FALSE)</f>
        <v>#N/A</v>
      </c>
      <c r="AM226" s="3089"/>
      <c r="AN226" s="3090"/>
      <c r="AO226" s="3089"/>
      <c r="AP226" s="3089"/>
      <c r="AQ226" s="3090"/>
      <c r="AR226" s="3089"/>
      <c r="AS226" s="3089"/>
      <c r="AT226" s="3089"/>
      <c r="AU226" s="3089"/>
      <c r="AV226" s="3089"/>
      <c r="AW226" s="3091"/>
      <c r="AX226" s="3091"/>
      <c r="AY226" s="3089" t="str">
        <f>IF(F226="","",F226&amp;IF(K226="",""," ("&amp;IF(F226="Atadura Elemental",O226&amp;IF(Q226="","",", "&amp;Q226),K226)&amp;")")&amp;", ")</f>
        <v/>
      </c>
    </row>
    <row r="227" spans="1:51" ht="12.2" customHeight="1" x14ac:dyDescent="0.2">
      <c r="A227" s="2185"/>
      <c r="B227" s="2099">
        <f t="shared" si="5"/>
        <v>7</v>
      </c>
      <c r="C227" s="4538"/>
      <c r="D227" s="4591"/>
      <c r="E227" s="4592"/>
      <c r="F227" s="4662"/>
      <c r="G227" s="4663"/>
      <c r="H227" s="4663"/>
      <c r="I227" s="4663"/>
      <c r="J227" s="4664"/>
      <c r="K227" s="4617"/>
      <c r="L227" s="4677"/>
      <c r="M227" s="4678"/>
      <c r="N227" s="1932" t="str">
        <f>IFERROR(INDEX('Tablas Técnicas'!$Q$200:$Q$301,MATCH(F227&amp;K227,'Tablas Técnicas'!$S$200:$S$301,0)),"")</f>
        <v/>
      </c>
      <c r="O227" s="4665"/>
      <c r="P227" s="4666"/>
      <c r="Q227" s="4667"/>
      <c r="R227" s="4666"/>
      <c r="S227" s="2763" t="str">
        <f>IFERROR("Nivel: "&amp;MAX(1,INDEX('Tablas Técnicas'!$R$200:$R$301,MATCH(F227&amp;K227,'Tablas Técnicas'!$S$200:$S$301,0))),"")</f>
        <v/>
      </c>
      <c r="T227" s="2543"/>
      <c r="U227" s="2544" t="str">
        <f>IFERROR("("&amp;VLOOKUP(F227,'Tablas Técnicas'!$O$165:$Q$192,3,FALSE)&amp;")","")</f>
        <v/>
      </c>
      <c r="V227" s="4607" t="str">
        <f>"Mod. "&amp;V219</f>
        <v>Mod. AGI</v>
      </c>
      <c r="W227" s="4608"/>
      <c r="X227" s="4607" t="str">
        <f>"Mod. "&amp;X219</f>
        <v>Mod. CON</v>
      </c>
      <c r="Y227" s="4608"/>
      <c r="Z227" s="4607" t="str">
        <f>"Mod. "&amp;Z219</f>
        <v>Mod. DES</v>
      </c>
      <c r="AA227" s="4608"/>
      <c r="AB227" s="4607" t="str">
        <f>"Mod. "&amp;AB219</f>
        <v>Mod. FUE</v>
      </c>
      <c r="AC227" s="4608"/>
      <c r="AD227" s="4607" t="str">
        <f>"Mod. "&amp;AD219</f>
        <v>Mod. POD</v>
      </c>
      <c r="AE227" s="4608"/>
      <c r="AF227" s="4607" t="str">
        <f>"Mod. "&amp;AF219</f>
        <v>Mod. VOL</v>
      </c>
      <c r="AG227" s="4609"/>
      <c r="AH227" s="2193"/>
      <c r="AI227" s="4558"/>
      <c r="AJ227" s="3089">
        <v>2</v>
      </c>
      <c r="AK227" s="3089">
        <f>P217</f>
        <v>1</v>
      </c>
      <c r="AL227" s="3089" t="e">
        <f>VLOOKUP(F227,'Tablas Técnicas'!$O$165:$Q$188,2,FALSE)</f>
        <v>#N/A</v>
      </c>
      <c r="AM227" s="3089"/>
      <c r="AN227" s="3090"/>
      <c r="AO227" s="3089"/>
      <c r="AP227" s="3089"/>
      <c r="AQ227" s="3090"/>
      <c r="AR227" s="3089"/>
      <c r="AS227" s="3089"/>
      <c r="AT227" s="3089"/>
      <c r="AU227" s="3089"/>
      <c r="AV227" s="3089"/>
      <c r="AW227" s="3091"/>
      <c r="AX227" s="3091"/>
      <c r="AY227" s="3089" t="str">
        <f>IF(F227="","",F227&amp;IF(K227="",""," ("&amp;IF(F227="Atadura Elemental",O227&amp;IF(Q227="","",", "&amp;Q227),K227)&amp;")")&amp;", ")</f>
        <v/>
      </c>
    </row>
    <row r="228" spans="1:51" ht="12.2" customHeight="1" thickBot="1" x14ac:dyDescent="0.25">
      <c r="A228" s="2185"/>
      <c r="B228" s="2099">
        <f t="shared" si="5"/>
        <v>7</v>
      </c>
      <c r="C228" s="4538"/>
      <c r="D228" s="4593"/>
      <c r="E228" s="4594"/>
      <c r="F228" s="4668"/>
      <c r="G228" s="4669"/>
      <c r="H228" s="4669"/>
      <c r="I228" s="4669"/>
      <c r="J228" s="4670"/>
      <c r="K228" s="4672"/>
      <c r="L228" s="4673"/>
      <c r="M228" s="4674"/>
      <c r="N228" s="1933" t="str">
        <f>IFERROR(INDEX('Tablas Técnicas'!$Q$200:$Q$301,MATCH(F228&amp;K228,'Tablas Técnicas'!$S$200:$S$301,0)),"")</f>
        <v/>
      </c>
      <c r="O228" s="4655"/>
      <c r="P228" s="4656"/>
      <c r="Q228" s="4671"/>
      <c r="R228" s="4656"/>
      <c r="S228" s="2762" t="str">
        <f>IFERROR("Nivel: "&amp;MAX(1,INDEX('Tablas Técnicas'!$R$200:$R$301,MATCH(F228&amp;K228,'Tablas Técnicas'!$S$200:$S$301,0))),"")</f>
        <v/>
      </c>
      <c r="T228" s="2545"/>
      <c r="U228" s="2546" t="str">
        <f>IFERROR("("&amp;VLOOKUP(F228,'Tablas Técnicas'!$O$165:$Q$192,3,FALSE)&amp;")","")</f>
        <v/>
      </c>
      <c r="V228" s="4564"/>
      <c r="W228" s="4562"/>
      <c r="X228" s="4562"/>
      <c r="Y228" s="4562"/>
      <c r="Z228" s="4562"/>
      <c r="AA228" s="4562"/>
      <c r="AB228" s="4562"/>
      <c r="AC228" s="4562"/>
      <c r="AD228" s="4562"/>
      <c r="AE228" s="4562"/>
      <c r="AF228" s="4562"/>
      <c r="AG228" s="4574"/>
      <c r="AH228" s="2193"/>
      <c r="AI228" s="4558"/>
      <c r="AJ228" s="3089">
        <v>3</v>
      </c>
      <c r="AK228" s="3089">
        <f>P217</f>
        <v>1</v>
      </c>
      <c r="AL228" s="3089" t="e">
        <f>VLOOKUP(F228,'Tablas Técnicas'!$O$165:$Q$188,2,FALSE)</f>
        <v>#N/A</v>
      </c>
      <c r="AM228" s="3089"/>
      <c r="AN228" s="3090"/>
      <c r="AO228" s="3089"/>
      <c r="AP228" s="3089"/>
      <c r="AQ228" s="3090"/>
      <c r="AR228" s="3091"/>
      <c r="AS228" s="3091"/>
      <c r="AT228" s="3091"/>
      <c r="AU228" s="3091"/>
      <c r="AV228" s="3091"/>
      <c r="AW228" s="3091"/>
      <c r="AX228" s="3091"/>
      <c r="AY228" s="3089" t="str">
        <f>IF(F228="","",F228&amp;IF(K228="",""," ("&amp;IF(F228="Atadura Elemental",O228&amp;IF(Q228="","",", "&amp;Q228),K228)&amp;")")&amp;", ")</f>
        <v/>
      </c>
    </row>
    <row r="229" spans="1:51" ht="12.2" customHeight="1" x14ac:dyDescent="0.2">
      <c r="A229" s="2185"/>
      <c r="B229" s="2099">
        <f t="shared" si="5"/>
        <v>7</v>
      </c>
      <c r="C229" s="4538"/>
      <c r="D229" s="4549" t="s">
        <v>9306</v>
      </c>
      <c r="E229" s="4550"/>
      <c r="F229" s="4550"/>
      <c r="G229" s="4550"/>
      <c r="H229" s="4550"/>
      <c r="I229" s="4550"/>
      <c r="J229" s="4550"/>
      <c r="K229" s="4550"/>
      <c r="L229" s="4550"/>
      <c r="M229" s="4550"/>
      <c r="N229" s="4550"/>
      <c r="O229" s="4550"/>
      <c r="P229" s="4550"/>
      <c r="Q229" s="4550"/>
      <c r="R229" s="4550"/>
      <c r="S229" s="4550"/>
      <c r="T229" s="4550"/>
      <c r="U229" s="4550"/>
      <c r="V229" s="4551"/>
      <c r="W229" s="4551"/>
      <c r="X229" s="4551"/>
      <c r="Y229" s="4551"/>
      <c r="Z229" s="4551"/>
      <c r="AA229" s="4551"/>
      <c r="AB229" s="4551"/>
      <c r="AC229" s="4551"/>
      <c r="AD229" s="4551"/>
      <c r="AE229" s="4551"/>
      <c r="AF229" s="4551"/>
      <c r="AG229" s="4552"/>
      <c r="AH229" s="2193"/>
      <c r="AI229" s="4558"/>
      <c r="AJ229" s="3089"/>
      <c r="AK229" s="3089"/>
      <c r="AL229" s="3089"/>
      <c r="AM229" s="3089"/>
      <c r="AN229" s="3090" t="s">
        <v>8812</v>
      </c>
      <c r="AO229" s="3089" t="e">
        <f>LEFT(AY221&amp;AY222&amp;AY223&amp;AY224&amp;AY225,LEN(AY221&amp;AY222&amp;AY223&amp;AY224&amp;AY225)-2)</f>
        <v>#VALUE!</v>
      </c>
      <c r="AP229" s="3089"/>
      <c r="AQ229" s="3090"/>
      <c r="AR229" s="3091"/>
      <c r="AS229" s="3091"/>
      <c r="AT229" s="3091"/>
      <c r="AU229" s="3090"/>
      <c r="AV229" s="3090"/>
      <c r="AW229" s="3091"/>
      <c r="AX229" s="3091"/>
      <c r="AY229" s="3089"/>
    </row>
    <row r="230" spans="1:51" ht="12.2" customHeight="1" x14ac:dyDescent="0.2">
      <c r="A230" s="2185"/>
      <c r="B230" s="2099">
        <f t="shared" si="5"/>
        <v>7</v>
      </c>
      <c r="C230" s="4538"/>
      <c r="D230" s="4553" t="str">
        <f>IF(F221="","",F221)</f>
        <v/>
      </c>
      <c r="E230" s="4554"/>
      <c r="F230" s="4554"/>
      <c r="G230" s="4554"/>
      <c r="H230" s="4554"/>
      <c r="I230" s="4555"/>
      <c r="J230" s="4553" t="str">
        <f>IF(F222="","",F222)</f>
        <v/>
      </c>
      <c r="K230" s="4554"/>
      <c r="L230" s="4554"/>
      <c r="M230" s="4554"/>
      <c r="N230" s="4554"/>
      <c r="O230" s="4555"/>
      <c r="P230" s="4554" t="str">
        <f>IF(F223="","",F223)</f>
        <v/>
      </c>
      <c r="Q230" s="4554"/>
      <c r="R230" s="4554"/>
      <c r="S230" s="4554"/>
      <c r="T230" s="4554"/>
      <c r="U230" s="4555"/>
      <c r="V230" s="4553" t="str">
        <f>IF(F224="","",F224)</f>
        <v/>
      </c>
      <c r="W230" s="4554"/>
      <c r="X230" s="4554"/>
      <c r="Y230" s="4554"/>
      <c r="Z230" s="4554"/>
      <c r="AA230" s="4555"/>
      <c r="AB230" s="4554" t="str">
        <f>IF(F225="","",F225)</f>
        <v/>
      </c>
      <c r="AC230" s="4554"/>
      <c r="AD230" s="4554"/>
      <c r="AE230" s="4554"/>
      <c r="AF230" s="4554"/>
      <c r="AG230" s="4577"/>
      <c r="AH230" s="2193"/>
      <c r="AI230" s="4558"/>
      <c r="AJ230" s="3089"/>
      <c r="AK230" s="3089"/>
      <c r="AL230" s="3089"/>
      <c r="AM230" s="3089"/>
      <c r="AN230" s="3090" t="s">
        <v>8813</v>
      </c>
      <c r="AO230" s="3089" t="e">
        <f>LEFT(AY226&amp;AY227&amp;AY228,LEN(AY226&amp;AY227&amp;AY228)-2)</f>
        <v>#VALUE!</v>
      </c>
      <c r="AP230" s="3089"/>
      <c r="AQ230" s="3090"/>
      <c r="AR230" s="3091"/>
      <c r="AS230" s="3091"/>
      <c r="AT230" s="3091"/>
      <c r="AU230" s="3090"/>
      <c r="AV230" s="3090"/>
      <c r="AW230" s="3091"/>
      <c r="AX230" s="3091"/>
      <c r="AY230" s="3089"/>
    </row>
    <row r="231" spans="1:51" ht="12.2" customHeight="1" x14ac:dyDescent="0.2">
      <c r="A231" s="2185"/>
      <c r="B231" s="2099">
        <f t="shared" si="5"/>
        <v>7</v>
      </c>
      <c r="C231" s="4538"/>
      <c r="D231" s="2044" t="s">
        <v>1836</v>
      </c>
      <c r="E231" s="1921" t="str">
        <f>IFERROR(VLOOKUP(D230,'Tablas Técnicas'!$O$9:$T$88,3,FALSE),"")</f>
        <v/>
      </c>
      <c r="F231" s="2037"/>
      <c r="G231" s="2036"/>
      <c r="H231" s="2036" t="s">
        <v>1363</v>
      </c>
      <c r="I231" s="1921" t="str">
        <f>IFERROR(VLOOKUP(D230,'Tablas Técnicas'!$O$9:$T$88,4,FALSE),"")</f>
        <v/>
      </c>
      <c r="J231" s="2044" t="s">
        <v>1836</v>
      </c>
      <c r="K231" s="1921" t="str">
        <f>IFERROR(VLOOKUP(J230,'Tablas Técnicas'!$O$9:$T$88,3,FALSE),"")</f>
        <v/>
      </c>
      <c r="L231" s="2037"/>
      <c r="M231" s="2036"/>
      <c r="N231" s="2036" t="s">
        <v>1363</v>
      </c>
      <c r="O231" s="1934" t="str">
        <f>IFERROR(VLOOKUP(J230,'Tablas Técnicas'!$O$9:$T$88,4,FALSE),"")</f>
        <v/>
      </c>
      <c r="P231" s="2036" t="s">
        <v>1836</v>
      </c>
      <c r="Q231" s="1921" t="str">
        <f>IFERROR(VLOOKUP(P230,'Tablas Técnicas'!$O$9:$T$88,3,FALSE),"")</f>
        <v/>
      </c>
      <c r="R231" s="2037"/>
      <c r="S231" s="2036"/>
      <c r="T231" s="2036" t="s">
        <v>1363</v>
      </c>
      <c r="U231" s="1921" t="str">
        <f>IFERROR(VLOOKUP(P230,'Tablas Técnicas'!$O$9:$T$88,4,FALSE),"")</f>
        <v/>
      </c>
      <c r="V231" s="2044" t="s">
        <v>1836</v>
      </c>
      <c r="W231" s="1921" t="str">
        <f>IFERROR(VLOOKUP(V230,'Tablas Técnicas'!$O$9:$T$88,3,FALSE),"")</f>
        <v/>
      </c>
      <c r="X231" s="2037"/>
      <c r="Y231" s="2036"/>
      <c r="Z231" s="2036" t="s">
        <v>1363</v>
      </c>
      <c r="AA231" s="1934" t="str">
        <f>IFERROR(VLOOKUP(V230,'Tablas Técnicas'!$O$9:$T$88,4,FALSE),"")</f>
        <v/>
      </c>
      <c r="AB231" s="2036" t="s">
        <v>1836</v>
      </c>
      <c r="AC231" s="1921" t="str">
        <f>IFERROR(VLOOKUP(AB230,'Tablas Técnicas'!$O$9:$T$88,3,FALSE),"")</f>
        <v/>
      </c>
      <c r="AD231" s="2037"/>
      <c r="AE231" s="2036"/>
      <c r="AF231" s="2036" t="s">
        <v>1363</v>
      </c>
      <c r="AG231" s="1935" t="str">
        <f>IFERROR(VLOOKUP(AB230,'Tablas Técnicas'!$O$9:$T$88,4,FALSE),"")</f>
        <v/>
      </c>
      <c r="AH231" s="2193"/>
      <c r="AI231" s="4558"/>
      <c r="AJ231" s="3089"/>
      <c r="AK231" s="3089"/>
      <c r="AL231" s="3089"/>
      <c r="AM231" s="3089"/>
      <c r="AN231" s="3090"/>
      <c r="AO231" s="3089"/>
      <c r="AP231" s="3089"/>
      <c r="AQ231" s="3090"/>
      <c r="AR231" s="3091"/>
      <c r="AS231" s="3091"/>
      <c r="AT231" s="3091"/>
      <c r="AU231" s="3091"/>
      <c r="AV231" s="3091"/>
      <c r="AW231" s="3091"/>
      <c r="AX231" s="3091"/>
      <c r="AY231" s="3089"/>
    </row>
    <row r="232" spans="1:51" ht="12.2" customHeight="1" x14ac:dyDescent="0.2">
      <c r="A232" s="2185"/>
      <c r="B232" s="2099">
        <f t="shared" si="5"/>
        <v>7</v>
      </c>
      <c r="C232" s="4538"/>
      <c r="D232" s="2045" t="s">
        <v>8814</v>
      </c>
      <c r="E232" s="2036"/>
      <c r="F232" s="2037"/>
      <c r="G232" s="2038"/>
      <c r="H232" s="2038"/>
      <c r="I232" s="2035" t="str">
        <f>IFERROR(IF(D230="Ataque Elemental",IF(NOT(ISNA(VLOOKUP(D234,'Tablas Técnicas'!$O$100:$O$105,1,0))),D234,"Variable"),VLOOKUP(D230,'Tablas Técnicas'!$O$9:$W$88,9,FALSE)),"")</f>
        <v/>
      </c>
      <c r="J232" s="1936" t="s">
        <v>8814</v>
      </c>
      <c r="K232" s="2188"/>
      <c r="L232" s="2189"/>
      <c r="M232" s="2190"/>
      <c r="N232" s="2190"/>
      <c r="O232" s="1937" t="str">
        <f>IFERROR(IF(J230="Ataque Elemental",IF(NOT(ISNA(VLOOKUP(J234,'Tablas Técnicas'!$O$100:$O$105,1,0))),J234,"Variable"),VLOOKUP(J230,'Tablas Técnicas'!$O$9:$W$88,9,FALSE)),"")</f>
        <v/>
      </c>
      <c r="P232" s="2191" t="s">
        <v>8814</v>
      </c>
      <c r="Q232" s="2188"/>
      <c r="R232" s="2189"/>
      <c r="S232" s="2190"/>
      <c r="T232" s="2190"/>
      <c r="U232" s="2035" t="str">
        <f>IFERROR(IF(P230="Ataque Elemental",IF(NOT(ISNA(VLOOKUP(P234,'Tablas Técnicas'!$O$100:$O$105,1,0))),P234,"Variable"),VLOOKUP(P230,'Tablas Técnicas'!$O$9:$W$88,9,FALSE)),"")</f>
        <v/>
      </c>
      <c r="V232" s="1936" t="s">
        <v>8814</v>
      </c>
      <c r="W232" s="2188"/>
      <c r="X232" s="2189"/>
      <c r="Y232" s="2190"/>
      <c r="Z232" s="2190"/>
      <c r="AA232" s="1937" t="str">
        <f>IFERROR(IF(V230="Ataque Elemental",IF(NOT(ISNA(VLOOKUP(V234,'Tablas Técnicas'!$O$100:$O$105,1,0))),V234,"Variable"),VLOOKUP(V230,'Tablas Técnicas'!$O$9:$W$88,9,FALSE)),"")</f>
        <v/>
      </c>
      <c r="AB232" s="2191" t="s">
        <v>8814</v>
      </c>
      <c r="AC232" s="2188"/>
      <c r="AD232" s="2189"/>
      <c r="AE232" s="2190"/>
      <c r="AF232" s="2190"/>
      <c r="AG232" s="2050" t="str">
        <f>IFERROR(IF(AB230="Ataque Elemental",IF(NOT(ISNA(VLOOKUP(AB234,'Tablas Técnicas'!$O$100:$O$105,1,0))),AB234,"Variable"),VLOOKUP(AB230,'Tablas Técnicas'!$O$9:$W$88,9,FALSE)),"")</f>
        <v/>
      </c>
      <c r="AH232" s="2193"/>
      <c r="AI232" s="4558"/>
      <c r="AJ232" s="3089"/>
      <c r="AK232" s="3091" t="s">
        <v>1373</v>
      </c>
      <c r="AL232" s="3091" t="s">
        <v>1498</v>
      </c>
      <c r="AM232" s="3091" t="s">
        <v>1378</v>
      </c>
      <c r="AN232" s="3091" t="s">
        <v>1383</v>
      </c>
      <c r="AO232" s="3091" t="s">
        <v>1391</v>
      </c>
      <c r="AP232" s="3091" t="s">
        <v>1392</v>
      </c>
      <c r="AQ232" s="3090"/>
      <c r="AR232" s="3091"/>
      <c r="AS232" s="3091"/>
      <c r="AT232" s="3091"/>
      <c r="AU232" s="3091"/>
      <c r="AV232" s="3091"/>
      <c r="AW232" s="3091"/>
      <c r="AX232" s="3091"/>
      <c r="AY232" s="3089"/>
    </row>
    <row r="233" spans="1:51" ht="12.2" customHeight="1" x14ac:dyDescent="0.2">
      <c r="A233" s="2185"/>
      <c r="B233" s="2099">
        <f t="shared" si="5"/>
        <v>7</v>
      </c>
      <c r="C233" s="4538"/>
      <c r="D233" s="4553" t="s">
        <v>2827</v>
      </c>
      <c r="E233" s="4554"/>
      <c r="F233" s="4554"/>
      <c r="G233" s="4554"/>
      <c r="H233" s="4555"/>
      <c r="I233" s="1938" t="s">
        <v>1403</v>
      </c>
      <c r="J233" s="4553" t="s">
        <v>2827</v>
      </c>
      <c r="K233" s="4554"/>
      <c r="L233" s="4554"/>
      <c r="M233" s="4554"/>
      <c r="N233" s="4555"/>
      <c r="O233" s="1939" t="s">
        <v>1403</v>
      </c>
      <c r="P233" s="4553" t="s">
        <v>2827</v>
      </c>
      <c r="Q233" s="4554"/>
      <c r="R233" s="4554"/>
      <c r="S233" s="4554"/>
      <c r="T233" s="4555"/>
      <c r="U233" s="1939" t="s">
        <v>1403</v>
      </c>
      <c r="V233" s="4553"/>
      <c r="W233" s="4554"/>
      <c r="X233" s="4554"/>
      <c r="Y233" s="4554"/>
      <c r="Z233" s="4555"/>
      <c r="AA233" s="1939" t="s">
        <v>1403</v>
      </c>
      <c r="AB233" s="4553" t="s">
        <v>2827</v>
      </c>
      <c r="AC233" s="4554"/>
      <c r="AD233" s="4554"/>
      <c r="AE233" s="4554"/>
      <c r="AF233" s="4555"/>
      <c r="AG233" s="1940" t="s">
        <v>1403</v>
      </c>
      <c r="AH233" s="2193"/>
      <c r="AI233" s="4558"/>
      <c r="AJ233" s="3094" t="s">
        <v>9343</v>
      </c>
      <c r="AK233" s="3089" t="str">
        <f>IF(V219="","",IF(SUM(V221:V225)=0,"",V219&amp;" "&amp;SUM(V221:V225)+V228&amp;IF(SUM(W221:W225)=0,""," ("&amp;SUM(W221:W225)&amp;")")&amp;", "))</f>
        <v/>
      </c>
      <c r="AL233" s="3089" t="str">
        <f>IF(X219="","",IF(SUM(X221:X225)=0,"",X219&amp;" "&amp;SUM(X221:X225)+X228&amp;IF(SUM(Y221:Y225)=0,""," ("&amp;SUM(Y221:Y225)&amp;")")&amp;", "))</f>
        <v/>
      </c>
      <c r="AM233" s="3089" t="str">
        <f>IF(Z219="","",IF(SUM(Z221:Z225)=0,"",Z219&amp;" "&amp;SUM(Z221:Z225)+Z228&amp;IF(SUM(AA221:AA225)=0,""," ("&amp;SUM(AA221:AA225)&amp;")")&amp;", "))</f>
        <v/>
      </c>
      <c r="AN233" s="3089" t="str">
        <f>IF(AB219="","",IF(SUM(AB221:AB225)=0,"",AB219&amp;" "&amp;SUM(AB221:AB225)+AB228&amp;IF(SUM(AC221:AC225)=0,""," ("&amp;SUM(AC221:AC225)&amp;")")&amp;", "))</f>
        <v/>
      </c>
      <c r="AO233" s="3089" t="str">
        <f>IF(AD219="","",IF(SUM(AD221:AD225)=0,"",AD219&amp;" "&amp;SUM(AD221:AD225)+AD228&amp;IF(SUM(AE221:AE225)=0,""," ("&amp;SUM(AE221:AE225)&amp;")")&amp;", "))</f>
        <v/>
      </c>
      <c r="AP233" s="3089" t="str">
        <f>IF(AF219="","",IF(SUM(AF221:AF225)=0,"",AF219&amp;" "&amp;SUM(AF221:AF225)+AF228&amp;IF(SUM(AG221:AG225)=0,""," ("&amp;SUM(AG221:AG225)&amp;")")&amp;", "))</f>
        <v/>
      </c>
      <c r="AQ233" s="3089"/>
      <c r="AR233" s="3089"/>
      <c r="AS233" s="3089"/>
      <c r="AT233" s="3089"/>
      <c r="AU233" s="3089"/>
      <c r="AV233" s="3089"/>
      <c r="AW233" s="3089"/>
      <c r="AX233" s="3089"/>
      <c r="AY233" s="3089"/>
    </row>
    <row r="234" spans="1:51" ht="12.2" customHeight="1" x14ac:dyDescent="0.2">
      <c r="A234" s="2185"/>
      <c r="B234" s="2099">
        <f t="shared" si="5"/>
        <v>7</v>
      </c>
      <c r="C234" s="4538"/>
      <c r="D234" s="4575"/>
      <c r="E234" s="4573"/>
      <c r="F234" s="4573"/>
      <c r="G234" s="4573"/>
      <c r="H234" s="4573"/>
      <c r="I234" s="1941" t="str">
        <f>IF(OR(D230="",D234=""),"",MAX(1,SUMPRODUCT(--(INDEX('Tablas Técnicas'!$C$10:$L$643,,1)=D230),--(INDEX('Tablas Técnicas'!$C$10:$L$643,,2)=D234),INDEX('Tablas Técnicas'!$C$10:$L$643,,9))))</f>
        <v/>
      </c>
      <c r="J234" s="4572"/>
      <c r="K234" s="4573"/>
      <c r="L234" s="4573"/>
      <c r="M234" s="4573"/>
      <c r="N234" s="4573"/>
      <c r="O234" s="1941" t="str">
        <f>IF(OR(J230="",J234=""),"",MAX(1,SUMPRODUCT(--(INDEX('Tablas Técnicas'!$C$10:$L$643,,1)=J230),--(INDEX('Tablas Técnicas'!$C$10:$L$643,,2)=J234),INDEX('Tablas Técnicas'!$C$10:$L$643,,9))))</f>
        <v/>
      </c>
      <c r="P234" s="4572"/>
      <c r="Q234" s="4573"/>
      <c r="R234" s="4573"/>
      <c r="S234" s="4573"/>
      <c r="T234" s="4573"/>
      <c r="U234" s="1941" t="str">
        <f>IF(OR(P230="",P234=""),"",MAX(1,SUMPRODUCT(--(INDEX('Tablas Técnicas'!$C$10:$L$643,,1)=P230),--(INDEX('Tablas Técnicas'!$C$10:$L$643,,2)=P234),INDEX('Tablas Técnicas'!$C$10:$L$643,,9))))</f>
        <v/>
      </c>
      <c r="V234" s="4572"/>
      <c r="W234" s="4573"/>
      <c r="X234" s="4573"/>
      <c r="Y234" s="4573"/>
      <c r="Z234" s="4573"/>
      <c r="AA234" s="1941" t="str">
        <f>IF(OR(V230="",V234=""),"",MAX(1,SUMPRODUCT(--(INDEX('Tablas Técnicas'!$C$10:$L$643,,1)=V230),--(INDEX('Tablas Técnicas'!$C$10:$L$643,,2)=V234),INDEX('Tablas Técnicas'!$C$10:$L$643,,9))))</f>
        <v/>
      </c>
      <c r="AB234" s="4572"/>
      <c r="AC234" s="4573"/>
      <c r="AD234" s="4573"/>
      <c r="AE234" s="4573"/>
      <c r="AF234" s="4573"/>
      <c r="AG234" s="1942" t="str">
        <f>IF(OR(AB230="",AB234=""),"",MAX(1,SUMPRODUCT(--(INDEX('Tablas Técnicas'!$C$10:$L$643,,1)=AB230),--(INDEX('Tablas Técnicas'!$C$10:$L$643,,2)=AB234),INDEX('Tablas Técnicas'!$C$10:$L$643,,9))))</f>
        <v/>
      </c>
      <c r="AH234" s="2193">
        <f>P217</f>
        <v>1</v>
      </c>
      <c r="AI234" s="4558"/>
      <c r="AJ234" s="3089" t="s">
        <v>9307</v>
      </c>
      <c r="AK234" s="3089"/>
      <c r="AL234" s="3089">
        <f>MAX(0,SUM(AT221:AT225)+ABS($AC226*2/5))+IF(AM243,0,Y226)+IF(S217="Sí",3*P217,0)</f>
        <v>0</v>
      </c>
      <c r="AM234" s="3089">
        <f t="array" ref="AM234">IF(ISNUMBER(SEARCH("Mantenido",K221&amp;K222&amp;K223&amp;K224&amp;K225)),MAX(0,SUM(VALUE(RIGHT($P221:$P225,2)))),0)</f>
        <v>0</v>
      </c>
      <c r="AN234" s="3091"/>
      <c r="AO234" s="3091"/>
      <c r="AP234" s="3096"/>
      <c r="AQ234" s="3096"/>
      <c r="AR234" s="3096"/>
      <c r="AS234" s="3096"/>
      <c r="AT234" s="3096"/>
      <c r="AU234" s="3096"/>
      <c r="AV234" s="3096"/>
      <c r="AW234" s="3096"/>
      <c r="AX234" s="3096"/>
      <c r="AY234" s="3089"/>
    </row>
    <row r="235" spans="1:51" ht="12.2" customHeight="1" x14ac:dyDescent="0.2">
      <c r="A235" s="2185"/>
      <c r="B235" s="2099">
        <f t="shared" si="5"/>
        <v>7</v>
      </c>
      <c r="C235" s="4538"/>
      <c r="D235" s="4556"/>
      <c r="E235" s="4557"/>
      <c r="F235" s="4557"/>
      <c r="G235" s="4557"/>
      <c r="H235" s="4557"/>
      <c r="I235" s="1943" t="str">
        <f>IF(OR(D230="",D235=""),"",MAX(1,SUMPRODUCT(--(INDEX('Tablas Técnicas'!$C$10:$L$643,,1)=D230),--(INDEX('Tablas Técnicas'!$C$10:$L$643,,2)=D235),INDEX('Tablas Técnicas'!$C$10:$L$643,,9))))</f>
        <v/>
      </c>
      <c r="J235" s="4556"/>
      <c r="K235" s="4557"/>
      <c r="L235" s="4557"/>
      <c r="M235" s="4557"/>
      <c r="N235" s="4557"/>
      <c r="O235" s="1943" t="str">
        <f>IF(OR(J230="",J235=""),"",MAX(1,SUMPRODUCT(--(INDEX('Tablas Técnicas'!$C$10:$L$643,,1)=J230),--(INDEX('Tablas Técnicas'!$C$10:$L$643,,2)=J235),INDEX('Tablas Técnicas'!$C$10:$L$643,,9))))</f>
        <v/>
      </c>
      <c r="P235" s="4556"/>
      <c r="Q235" s="4557"/>
      <c r="R235" s="4557"/>
      <c r="S235" s="4557"/>
      <c r="T235" s="4557"/>
      <c r="U235" s="1943" t="str">
        <f>IF(OR(P230="",P235=""),"",MAX(1,SUMPRODUCT(--(INDEX('Tablas Técnicas'!$C$10:$L$643,,1)=P230),--(INDEX('Tablas Técnicas'!$C$10:$L$643,,2)=P235),INDEX('Tablas Técnicas'!$C$10:$L$643,,9))))</f>
        <v/>
      </c>
      <c r="V235" s="4556"/>
      <c r="W235" s="4557"/>
      <c r="X235" s="4557"/>
      <c r="Y235" s="4557"/>
      <c r="Z235" s="4557"/>
      <c r="AA235" s="1943" t="str">
        <f>IF(OR(V230="",V235=""),"",MAX(1,SUMPRODUCT(--(INDEX('Tablas Técnicas'!$C$10:$L$643,,1)=V230),--(INDEX('Tablas Técnicas'!$C$10:$L$643,,2)=V235),INDEX('Tablas Técnicas'!$C$10:$L$643,,9))))</f>
        <v/>
      </c>
      <c r="AB235" s="4556"/>
      <c r="AC235" s="4557"/>
      <c r="AD235" s="4557"/>
      <c r="AE235" s="4557"/>
      <c r="AF235" s="4557"/>
      <c r="AG235" s="1944" t="str">
        <f>IF(OR(AB230="",AB235=""),"",MAX(1,SUMPRODUCT(--(INDEX('Tablas Técnicas'!$C$10:$L$643,,1)=AB230),--(INDEX('Tablas Técnicas'!$C$10:$L$643,,2)=AB235),INDEX('Tablas Técnicas'!$C$10:$L$643,,9))))</f>
        <v/>
      </c>
      <c r="AH235" s="2193">
        <f>P217</f>
        <v>1</v>
      </c>
      <c r="AI235" s="4558"/>
      <c r="AJ235" s="3089" t="s">
        <v>8816</v>
      </c>
      <c r="AK235" s="3089"/>
      <c r="AL235" s="3089">
        <f>SUM(V221:V225,X221:X225,Z221:Z225,AB221:AB225,AD221:AD225,AF221:AF225)+SUM(V228:AG228)</f>
        <v>0</v>
      </c>
      <c r="AM235" s="3089">
        <f>SUM(W221:W225,Y221:Y225,AA221:AA225,AC221:AC225,AE221:AE225,AG221:AG225)</f>
        <v>0</v>
      </c>
      <c r="AN235" s="3089"/>
      <c r="AO235" s="3089"/>
      <c r="AP235" s="3089"/>
      <c r="AQ235" s="3089"/>
      <c r="AR235" s="3089"/>
      <c r="AS235" s="3089"/>
      <c r="AT235" s="3089"/>
      <c r="AU235" s="3089"/>
      <c r="AV235" s="3089"/>
      <c r="AW235" s="3091"/>
      <c r="AX235" s="3089"/>
      <c r="AY235" s="3089"/>
    </row>
    <row r="236" spans="1:51" ht="12.2" customHeight="1" x14ac:dyDescent="0.2">
      <c r="A236" s="2185"/>
      <c r="B236" s="2099">
        <f t="shared" si="5"/>
        <v>7</v>
      </c>
      <c r="C236" s="4538"/>
      <c r="D236" s="4556"/>
      <c r="E236" s="4557"/>
      <c r="F236" s="4557"/>
      <c r="G236" s="4557"/>
      <c r="H236" s="4557"/>
      <c r="I236" s="1943" t="str">
        <f>IF(OR(D230="",D236=""),"",MAX(1,SUMPRODUCT(--(INDEX('Tablas Técnicas'!$C$10:$L$643,,1)=D230),--(INDEX('Tablas Técnicas'!$C$10:$L$643,,2)=D236),INDEX('Tablas Técnicas'!$C$10:$L$643,,9))))</f>
        <v/>
      </c>
      <c r="J236" s="4556"/>
      <c r="K236" s="4557"/>
      <c r="L236" s="4557"/>
      <c r="M236" s="4557"/>
      <c r="N236" s="4557"/>
      <c r="O236" s="1943" t="str">
        <f>IF(OR(J230="",J236=""),"",MAX(1,SUMPRODUCT(--(INDEX('Tablas Técnicas'!$C$10:$L$643,,1)=J230),--(INDEX('Tablas Técnicas'!$C$10:$L$643,,2)=J236),INDEX('Tablas Técnicas'!$C$10:$L$643,,9))))</f>
        <v/>
      </c>
      <c r="P236" s="4556"/>
      <c r="Q236" s="4557"/>
      <c r="R236" s="4557"/>
      <c r="S236" s="4557"/>
      <c r="T236" s="4557"/>
      <c r="U236" s="1943" t="str">
        <f>IF(OR(P230="",P236=""),"",MAX(1,SUMPRODUCT(--(INDEX('Tablas Técnicas'!$C$10:$L$643,,1)=P230),--(INDEX('Tablas Técnicas'!$C$10:$L$643,,2)=P236),INDEX('Tablas Técnicas'!$C$10:$L$643,,9))))</f>
        <v/>
      </c>
      <c r="V236" s="4556"/>
      <c r="W236" s="4557"/>
      <c r="X236" s="4557"/>
      <c r="Y236" s="4557"/>
      <c r="Z236" s="4557"/>
      <c r="AA236" s="1943" t="str">
        <f>IF(OR(V230="",V236=""),"",MAX(1,SUMPRODUCT(--(INDEX('Tablas Técnicas'!$C$10:$L$643,,1)=V230),--(INDEX('Tablas Técnicas'!$C$10:$L$643,,2)=V236),INDEX('Tablas Técnicas'!$C$10:$L$643,,9))))</f>
        <v/>
      </c>
      <c r="AB236" s="4556"/>
      <c r="AC236" s="4557"/>
      <c r="AD236" s="4557"/>
      <c r="AE236" s="4557"/>
      <c r="AF236" s="4557"/>
      <c r="AG236" s="1944" t="str">
        <f>IF(OR(AB230="",AB236=""),"",MAX(1,SUMPRODUCT(--(INDEX('Tablas Técnicas'!$C$10:$L$643,,1)=AB230),--(INDEX('Tablas Técnicas'!$C$10:$L$643,,2)=AB236),INDEX('Tablas Técnicas'!$C$10:$L$643,,9))))</f>
        <v/>
      </c>
      <c r="AH236" s="2193">
        <f>P217</f>
        <v>1</v>
      </c>
      <c r="AI236" s="4558"/>
      <c r="AJ236" s="3089"/>
      <c r="AK236" s="3089"/>
      <c r="AL236" s="3089"/>
      <c r="AM236" s="3089"/>
      <c r="AN236" s="3089"/>
      <c r="AO236" s="3089"/>
      <c r="AP236" s="3089"/>
      <c r="AQ236" s="3089"/>
      <c r="AR236" s="3089"/>
      <c r="AS236" s="3089"/>
      <c r="AT236" s="3089"/>
      <c r="AU236" s="3089"/>
      <c r="AV236" s="3089"/>
      <c r="AW236" s="3091"/>
      <c r="AX236" s="3091"/>
      <c r="AY236" s="3089"/>
    </row>
    <row r="237" spans="1:51" ht="12.2" customHeight="1" x14ac:dyDescent="0.2">
      <c r="A237" s="2185"/>
      <c r="B237" s="2099">
        <f t="shared" si="5"/>
        <v>7</v>
      </c>
      <c r="C237" s="4538"/>
      <c r="D237" s="4556"/>
      <c r="E237" s="4557"/>
      <c r="F237" s="4557"/>
      <c r="G237" s="4557"/>
      <c r="H237" s="4557"/>
      <c r="I237" s="1943" t="str">
        <f>IF(OR(D230="",D237=""),"",MAX(1,SUMPRODUCT(--(INDEX('Tablas Técnicas'!$C$10:$L$643,,1)=D230),--(INDEX('Tablas Técnicas'!$C$10:$L$643,,2)=D237),INDEX('Tablas Técnicas'!$C$10:$L$643,,9))))</f>
        <v/>
      </c>
      <c r="J237" s="4556"/>
      <c r="K237" s="4557"/>
      <c r="L237" s="4557"/>
      <c r="M237" s="4557"/>
      <c r="N237" s="4557"/>
      <c r="O237" s="1943" t="str">
        <f>IF(OR(J230="",J237=""),"",MAX(1,SUMPRODUCT(--(INDEX('Tablas Técnicas'!$C$10:$L$643,,1)=J230),--(INDEX('Tablas Técnicas'!$C$10:$L$643,,2)=J237),INDEX('Tablas Técnicas'!$C$10:$L$643,,9))))</f>
        <v/>
      </c>
      <c r="P237" s="4556"/>
      <c r="Q237" s="4557"/>
      <c r="R237" s="4557"/>
      <c r="S237" s="4557"/>
      <c r="T237" s="4557"/>
      <c r="U237" s="1943" t="str">
        <f>IF(OR(P230="",P237=""),"",MAX(1,SUMPRODUCT(--(INDEX('Tablas Técnicas'!$C$10:$L$643,,1)=P230),--(INDEX('Tablas Técnicas'!$C$10:$L$643,,2)=P237),INDEX('Tablas Técnicas'!$C$10:$L$643,,9))))</f>
        <v/>
      </c>
      <c r="V237" s="4556"/>
      <c r="W237" s="4557"/>
      <c r="X237" s="4557"/>
      <c r="Y237" s="4557"/>
      <c r="Z237" s="4557"/>
      <c r="AA237" s="1943" t="str">
        <f>IF(OR(V230="",V237=""),"",MAX(1,SUMPRODUCT(--(INDEX('Tablas Técnicas'!$C$10:$L$643,,1)=V230),--(INDEX('Tablas Técnicas'!$C$10:$L$643,,2)=V237),INDEX('Tablas Técnicas'!$C$10:$L$643,,9))))</f>
        <v/>
      </c>
      <c r="AB237" s="4556"/>
      <c r="AC237" s="4557"/>
      <c r="AD237" s="4557"/>
      <c r="AE237" s="4557"/>
      <c r="AF237" s="4557"/>
      <c r="AG237" s="1944" t="str">
        <f>IF(OR(AB230="",AB237=""),"",MAX(1,SUMPRODUCT(--(INDEX('Tablas Técnicas'!$C$10:$L$643,,1)=AB230),--(INDEX('Tablas Técnicas'!$C$10:$L$643,,2)=AB237),INDEX('Tablas Técnicas'!$C$10:$L$643,,9))))</f>
        <v/>
      </c>
      <c r="AH237" s="2193">
        <f>P217</f>
        <v>1</v>
      </c>
      <c r="AI237" s="4558"/>
      <c r="AJ237" s="3089" t="s">
        <v>8817</v>
      </c>
      <c r="AK237" s="3089"/>
      <c r="AL237" s="3089"/>
      <c r="AM237" s="3089"/>
      <c r="AN237" s="3089"/>
      <c r="AO237" s="3089"/>
      <c r="AP237" s="3089"/>
      <c r="AQ237" s="3090"/>
      <c r="AR237" s="3091"/>
      <c r="AS237" s="3091"/>
      <c r="AT237" s="3091"/>
      <c r="AU237" s="3091"/>
      <c r="AV237" s="3091"/>
      <c r="AW237" s="3091"/>
      <c r="AX237" s="3091"/>
      <c r="AY237" s="3089"/>
    </row>
    <row r="238" spans="1:51" ht="12.2" customHeight="1" x14ac:dyDescent="0.2">
      <c r="A238" s="2185"/>
      <c r="B238" s="2099">
        <f t="shared" si="5"/>
        <v>7</v>
      </c>
      <c r="C238" s="4538"/>
      <c r="D238" s="4556"/>
      <c r="E238" s="4557"/>
      <c r="F238" s="4557"/>
      <c r="G238" s="4557"/>
      <c r="H238" s="4557"/>
      <c r="I238" s="1943" t="str">
        <f>IF(OR(D230="",D238=""),"",MAX(1,SUMPRODUCT(--(INDEX('Tablas Técnicas'!$C$10:$L$643,,1)=D230),--(INDEX('Tablas Técnicas'!$C$10:$L$643,,2)=D238),INDEX('Tablas Técnicas'!$C$10:$L$643,,9))))</f>
        <v/>
      </c>
      <c r="J238" s="4556"/>
      <c r="K238" s="4557"/>
      <c r="L238" s="4557"/>
      <c r="M238" s="4557"/>
      <c r="N238" s="4557"/>
      <c r="O238" s="1943" t="str">
        <f>IF(OR(J230="",J238=""),"",MAX(1,SUMPRODUCT(--(INDEX('Tablas Técnicas'!$C$10:$L$643,,1)=J230),--(INDEX('Tablas Técnicas'!$C$10:$L$643,,2)=J238),INDEX('Tablas Técnicas'!$C$10:$L$643,,9))))</f>
        <v/>
      </c>
      <c r="P238" s="4556"/>
      <c r="Q238" s="4557"/>
      <c r="R238" s="4557"/>
      <c r="S238" s="4557"/>
      <c r="T238" s="4557"/>
      <c r="U238" s="1943" t="str">
        <f>IF(OR(P230="",P238=""),"",MAX(1,SUMPRODUCT(--(INDEX('Tablas Técnicas'!$C$10:$L$643,,1)=P230),--(INDEX('Tablas Técnicas'!$C$10:$L$643,,2)=P238),INDEX('Tablas Técnicas'!$C$10:$L$643,,9))))</f>
        <v/>
      </c>
      <c r="V238" s="4556"/>
      <c r="W238" s="4557"/>
      <c r="X238" s="4557"/>
      <c r="Y238" s="4557"/>
      <c r="Z238" s="4557"/>
      <c r="AA238" s="1943" t="str">
        <f>IF(OR(V230="",V238=""),"",MAX(1,SUMPRODUCT(--(INDEX('Tablas Técnicas'!$C$10:$L$643,,1)=V230),--(INDEX('Tablas Técnicas'!$C$10:$L$643,,2)=V238),INDEX('Tablas Técnicas'!$C$10:$L$643,,9))))</f>
        <v/>
      </c>
      <c r="AB238" s="4556"/>
      <c r="AC238" s="4557"/>
      <c r="AD238" s="4557"/>
      <c r="AE238" s="4557"/>
      <c r="AF238" s="4557"/>
      <c r="AG238" s="1944" t="str">
        <f>IF(OR(AB230="",AB238=""),"",MAX(1,SUMPRODUCT(--(INDEX('Tablas Técnicas'!$C$10:$L$643,,1)=AB230),--(INDEX('Tablas Técnicas'!$C$10:$L$643,,2)=AB238),INDEX('Tablas Técnicas'!$C$10:$L$643,,9))))</f>
        <v/>
      </c>
      <c r="AH238" s="2193">
        <f>P217</f>
        <v>1</v>
      </c>
      <c r="AI238" s="4558"/>
      <c r="AJ238" s="3089" t="s">
        <v>9971</v>
      </c>
      <c r="AK238" s="3089"/>
      <c r="AL238" s="3089"/>
      <c r="AM238" s="3089" t="b">
        <f>U217&gt;IF(P217=3,200,IF(P217=2,100,50))</f>
        <v>0</v>
      </c>
      <c r="AN238" s="3089"/>
      <c r="AO238" s="3089"/>
      <c r="AP238" s="3089"/>
      <c r="AQ238" s="3089"/>
      <c r="AR238" s="3091"/>
      <c r="AS238" s="3091"/>
      <c r="AT238" s="3091"/>
      <c r="AU238" s="3091"/>
      <c r="AV238" s="3091"/>
      <c r="AW238" s="3091"/>
      <c r="AX238" s="3091"/>
      <c r="AY238" s="3089"/>
    </row>
    <row r="239" spans="1:51" ht="12.2" customHeight="1" x14ac:dyDescent="0.2">
      <c r="A239" s="2185"/>
      <c r="B239" s="2099">
        <f t="shared" si="5"/>
        <v>7</v>
      </c>
      <c r="C239" s="4538"/>
      <c r="D239" s="4556"/>
      <c r="E239" s="4557"/>
      <c r="F239" s="4557"/>
      <c r="G239" s="4557"/>
      <c r="H239" s="4557"/>
      <c r="I239" s="1943" t="str">
        <f>IF(OR(D230="",D239=""),"",MAX(1,SUMPRODUCT(--(INDEX('Tablas Técnicas'!$C$10:$L$643,,1)=D230),--(INDEX('Tablas Técnicas'!$C$10:$L$643,,2)=D239),INDEX('Tablas Técnicas'!$C$10:$L$643,,9))))</f>
        <v/>
      </c>
      <c r="J239" s="4556"/>
      <c r="K239" s="4557"/>
      <c r="L239" s="4557"/>
      <c r="M239" s="4557"/>
      <c r="N239" s="4557"/>
      <c r="O239" s="1943" t="str">
        <f>IF(OR(J230="",J239=""),"",MAX(1,SUMPRODUCT(--(INDEX('Tablas Técnicas'!$C$10:$L$643,,1)=J230),--(INDEX('Tablas Técnicas'!$C$10:$L$643,,2)=J239),INDEX('Tablas Técnicas'!$C$10:$L$643,,9))))</f>
        <v/>
      </c>
      <c r="P239" s="4556"/>
      <c r="Q239" s="4557"/>
      <c r="R239" s="4557"/>
      <c r="S239" s="4557"/>
      <c r="T239" s="4557"/>
      <c r="U239" s="1943" t="str">
        <f>IF(OR(P230="",P239=""),"",MAX(1,SUMPRODUCT(--(INDEX('Tablas Técnicas'!$C$10:$L$643,,1)=P230),--(INDEX('Tablas Técnicas'!$C$10:$L$643,,2)=P239),INDEX('Tablas Técnicas'!$C$10:$L$643,,9))))</f>
        <v/>
      </c>
      <c r="V239" s="4556"/>
      <c r="W239" s="4557"/>
      <c r="X239" s="4557"/>
      <c r="Y239" s="4557"/>
      <c r="Z239" s="4557"/>
      <c r="AA239" s="1943" t="str">
        <f>IF(OR(V230="",V239=""),"",MAX(1,SUMPRODUCT(--(INDEX('Tablas Técnicas'!$C$10:$L$643,,1)=V230),--(INDEX('Tablas Técnicas'!$C$10:$L$643,,2)=V239),INDEX('Tablas Técnicas'!$C$10:$L$643,,9))))</f>
        <v/>
      </c>
      <c r="AB239" s="4556"/>
      <c r="AC239" s="4557"/>
      <c r="AD239" s="4557"/>
      <c r="AE239" s="4557"/>
      <c r="AF239" s="4557"/>
      <c r="AG239" s="1944" t="str">
        <f>IF(OR(AB230="",AB239=""),"",MAX(1,SUMPRODUCT(--(INDEX('Tablas Técnicas'!$C$10:$L$643,,1)=AB230),--(INDEX('Tablas Técnicas'!$C$10:$L$643,,2)=AB239),INDEX('Tablas Técnicas'!$C$10:$L$643,,9))))</f>
        <v/>
      </c>
      <c r="AH239" s="2193">
        <f>P217</f>
        <v>1</v>
      </c>
      <c r="AI239" s="4558"/>
      <c r="AJ239" s="3089" t="s">
        <v>8818</v>
      </c>
      <c r="AK239" s="3089"/>
      <c r="AL239" s="3089"/>
      <c r="AM239" s="3089" t="b">
        <f t="array" ref="AM239">MAX(I234:I240,O234:O240,U234:U240,AA234:AA240,AG234:AG240,RIGHT(S226:S228,1))&gt;P217</f>
        <v>0</v>
      </c>
      <c r="AN239" s="3089"/>
      <c r="AO239" s="3089"/>
      <c r="AP239" s="3089"/>
      <c r="AQ239" s="3090"/>
      <c r="AR239" s="3091"/>
      <c r="AS239" s="3091"/>
      <c r="AT239" s="3091"/>
      <c r="AU239" s="3091"/>
      <c r="AV239" s="3091"/>
      <c r="AW239" s="3091"/>
      <c r="AX239" s="3091"/>
      <c r="AY239" s="3089"/>
    </row>
    <row r="240" spans="1:51" ht="12.2" customHeight="1" x14ac:dyDescent="0.2">
      <c r="A240" s="2185"/>
      <c r="B240" s="2099">
        <f t="shared" si="5"/>
        <v>7</v>
      </c>
      <c r="C240" s="4538"/>
      <c r="D240" s="4570"/>
      <c r="E240" s="4571"/>
      <c r="F240" s="4571"/>
      <c r="G240" s="4571"/>
      <c r="H240" s="4571"/>
      <c r="I240" s="1945" t="str">
        <f>IF(OR(D230="",D240=""),"",MAX(1,SUMPRODUCT(--(INDEX('Tablas Técnicas'!$C$10:$L$643,,1)=D230),--(INDEX('Tablas Técnicas'!$C$10:$L$643,,2)=D240),INDEX('Tablas Técnicas'!$C$10:$L$643,,9))))</f>
        <v/>
      </c>
      <c r="J240" s="4570"/>
      <c r="K240" s="4571"/>
      <c r="L240" s="4571"/>
      <c r="M240" s="4571"/>
      <c r="N240" s="4571"/>
      <c r="O240" s="1945" t="str">
        <f>IF(OR(J230="",J240=""),"",MAX(1,SUMPRODUCT(--(INDEX('Tablas Técnicas'!$C$10:$L$643,,1)=J230),--(INDEX('Tablas Técnicas'!$C$10:$L$643,,2)=J240),INDEX('Tablas Técnicas'!$C$10:$L$643,,9))))</f>
        <v/>
      </c>
      <c r="P240" s="4570"/>
      <c r="Q240" s="4571"/>
      <c r="R240" s="4571"/>
      <c r="S240" s="4571"/>
      <c r="T240" s="4571"/>
      <c r="U240" s="1945" t="str">
        <f>IF(OR(P230="",P240=""),"",MAX(1,SUMPRODUCT(--(INDEX('Tablas Técnicas'!$C$10:$L$643,,1)=P230),--(INDEX('Tablas Técnicas'!$C$10:$L$643,,2)=P240),INDEX('Tablas Técnicas'!$C$10:$L$643,,9))))</f>
        <v/>
      </c>
      <c r="V240" s="4570"/>
      <c r="W240" s="4571"/>
      <c r="X240" s="4571"/>
      <c r="Y240" s="4571"/>
      <c r="Z240" s="4571"/>
      <c r="AA240" s="1945" t="str">
        <f>IF(OR(V230="",V240=""),"",MAX(1,SUMPRODUCT(--(INDEX('Tablas Técnicas'!$C$10:$L$643,,1)=V230),--(INDEX('Tablas Técnicas'!$C$10:$L$643,,2)=V240),INDEX('Tablas Técnicas'!$C$10:$L$643,,9))))</f>
        <v/>
      </c>
      <c r="AB240" s="4570"/>
      <c r="AC240" s="4571"/>
      <c r="AD240" s="4571"/>
      <c r="AE240" s="4571"/>
      <c r="AF240" s="4571"/>
      <c r="AG240" s="1946" t="str">
        <f>IF(OR(AB230="",AB240=""),"",MAX(1,SUMPRODUCT(--(INDEX('Tablas Técnicas'!$C$10:$L$643,,1)=AB230),--(INDEX('Tablas Técnicas'!$C$10:$L$643,,2)=AB240),INDEX('Tablas Técnicas'!$C$10:$L$643,,9))))</f>
        <v/>
      </c>
      <c r="AH240" s="2193">
        <f>P217</f>
        <v>1</v>
      </c>
      <c r="AI240" s="4558"/>
      <c r="AJ240" s="3089" t="s">
        <v>9324</v>
      </c>
      <c r="AK240" s="3089"/>
      <c r="AL240" s="3089"/>
      <c r="AM240" s="3089" t="b">
        <f>AND(COUNTIF(K221:M225,"Mantenido"),OR(COUNTIF(K221:M225,"Sostenimiento Menor"),COUNTIF(K221:M225,"Sostenimiento Mayor")))</f>
        <v>0</v>
      </c>
      <c r="AN240" s="3090"/>
      <c r="AO240" s="3089"/>
      <c r="AP240" s="3089"/>
      <c r="AQ240" s="3089"/>
      <c r="AR240" s="3089"/>
      <c r="AS240" s="3089"/>
      <c r="AT240" s="3089"/>
      <c r="AU240" s="3091"/>
      <c r="AV240" s="3091"/>
      <c r="AW240" s="3091"/>
      <c r="AX240" s="3091"/>
      <c r="AY240" s="3089"/>
    </row>
    <row r="241" spans="1:51" ht="12.2" customHeight="1" x14ac:dyDescent="0.2">
      <c r="A241" s="2185"/>
      <c r="B241" s="2099">
        <f t="shared" si="5"/>
        <v>7</v>
      </c>
      <c r="C241" s="4538"/>
      <c r="D241" s="4549" t="s">
        <v>1549</v>
      </c>
      <c r="E241" s="4550"/>
      <c r="F241" s="4550"/>
      <c r="G241" s="4550"/>
      <c r="H241" s="4550"/>
      <c r="I241" s="4550"/>
      <c r="J241" s="4550"/>
      <c r="K241" s="4550"/>
      <c r="L241" s="4550"/>
      <c r="M241" s="4550"/>
      <c r="N241" s="4550"/>
      <c r="O241" s="4550"/>
      <c r="P241" s="4550"/>
      <c r="Q241" s="4550"/>
      <c r="R241" s="4550"/>
      <c r="S241" s="4550"/>
      <c r="T241" s="4550"/>
      <c r="U241" s="4550"/>
      <c r="V241" s="4550"/>
      <c r="W241" s="4550"/>
      <c r="X241" s="4550"/>
      <c r="Y241" s="4550"/>
      <c r="Z241" s="4550"/>
      <c r="AA241" s="4550"/>
      <c r="AB241" s="4550"/>
      <c r="AC241" s="4550"/>
      <c r="AD241" s="4550"/>
      <c r="AE241" s="4550"/>
      <c r="AF241" s="4550"/>
      <c r="AG241" s="4576"/>
      <c r="AH241" s="2193"/>
      <c r="AI241" s="4558"/>
      <c r="AJ241" s="3089" t="s">
        <v>9323</v>
      </c>
      <c r="AK241" s="3089"/>
      <c r="AL241" s="3089"/>
      <c r="AM241" s="3089"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089"/>
      <c r="AO241" s="3089"/>
      <c r="AP241" s="3089"/>
      <c r="AQ241" s="3090"/>
      <c r="AR241" s="3089"/>
      <c r="AS241" s="3089"/>
      <c r="AT241" s="3089"/>
      <c r="AU241" s="3091"/>
      <c r="AV241" s="3091"/>
      <c r="AW241" s="3091"/>
      <c r="AX241" s="3091"/>
      <c r="AY241" s="3089"/>
    </row>
    <row r="242" spans="1:51" ht="12.2" customHeight="1" x14ac:dyDescent="0.2">
      <c r="A242" s="2185"/>
      <c r="B242" s="2099">
        <f t="shared" si="5"/>
        <v>7</v>
      </c>
      <c r="C242" s="4538"/>
      <c r="D242" s="4578"/>
      <c r="E242" s="4579"/>
      <c r="F242" s="4579"/>
      <c r="G242" s="4579"/>
      <c r="H242" s="4579"/>
      <c r="I242" s="4579"/>
      <c r="J242" s="4579"/>
      <c r="K242" s="4579"/>
      <c r="L242" s="4579"/>
      <c r="M242" s="4579"/>
      <c r="N242" s="4579"/>
      <c r="O242" s="4579"/>
      <c r="P242" s="4579"/>
      <c r="Q242" s="4579"/>
      <c r="R242" s="4579"/>
      <c r="S242" s="4579"/>
      <c r="T242" s="4579"/>
      <c r="U242" s="4579"/>
      <c r="V242" s="4579"/>
      <c r="W242" s="4579"/>
      <c r="X242" s="4579"/>
      <c r="Y242" s="4579"/>
      <c r="Z242" s="4579"/>
      <c r="AA242" s="4579"/>
      <c r="AB242" s="4579"/>
      <c r="AC242" s="4579"/>
      <c r="AD242" s="4579"/>
      <c r="AE242" s="4579"/>
      <c r="AF242" s="4579"/>
      <c r="AG242" s="4580"/>
      <c r="AH242" s="2193"/>
      <c r="AI242" s="4558"/>
      <c r="AJ242" s="3089" t="s">
        <v>9331</v>
      </c>
      <c r="AK242" s="3089"/>
      <c r="AL242" s="3089"/>
      <c r="AM242" s="3089"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089"/>
      <c r="AO242" s="3089"/>
      <c r="AP242" s="3089"/>
      <c r="AQ242" s="3090"/>
      <c r="AR242" s="3089"/>
      <c r="AS242" s="3089"/>
      <c r="AT242" s="3089"/>
      <c r="AU242" s="3091"/>
      <c r="AV242" s="3091"/>
      <c r="AW242" s="3091"/>
      <c r="AX242" s="3091"/>
      <c r="AY242" s="3089"/>
    </row>
    <row r="243" spans="1:51" ht="12.2" customHeight="1" x14ac:dyDescent="0.2">
      <c r="A243" s="2185"/>
      <c r="B243" s="2099">
        <f t="shared" si="5"/>
        <v>7</v>
      </c>
      <c r="C243" s="4538"/>
      <c r="D243" s="4578"/>
      <c r="E243" s="4579"/>
      <c r="F243" s="4579"/>
      <c r="G243" s="4579"/>
      <c r="H243" s="4579"/>
      <c r="I243" s="4579"/>
      <c r="J243" s="4579"/>
      <c r="K243" s="4579"/>
      <c r="L243" s="4579"/>
      <c r="M243" s="4579"/>
      <c r="N243" s="4579"/>
      <c r="O243" s="4579"/>
      <c r="P243" s="4579"/>
      <c r="Q243" s="4579"/>
      <c r="R243" s="4579"/>
      <c r="S243" s="4579"/>
      <c r="T243" s="4579"/>
      <c r="U243" s="4579"/>
      <c r="V243" s="4579"/>
      <c r="W243" s="4579"/>
      <c r="X243" s="4579"/>
      <c r="Y243" s="4579"/>
      <c r="Z243" s="4579"/>
      <c r="AA243" s="4579"/>
      <c r="AB243" s="4579"/>
      <c r="AC243" s="4579"/>
      <c r="AD243" s="4579"/>
      <c r="AE243" s="4579"/>
      <c r="AF243" s="4579"/>
      <c r="AG243" s="4580"/>
      <c r="AH243" s="2193"/>
      <c r="AI243" s="4558"/>
      <c r="AJ243" s="3089" t="s">
        <v>9310</v>
      </c>
      <c r="AK243" s="3089"/>
      <c r="AL243" s="3089"/>
      <c r="AM243" s="3089" t="b">
        <f>AND((IF(SUM(V221:V225)&gt;0,1,0)+IF(SUM(X221:X225)&gt;0,1,0)+IF(SUM(Z221:Z225)&gt;0,1,0)+IF(SUM(AB221:AB225)&gt;0,1,0)+IF(SUM(AD221:AD225,)&gt;0,1,0)+IF(SUM(AF221:AF225)&gt;0,1,0))&lt;3,OR(V228&lt;0,X228&lt;0,Z228&lt;0,AB228&lt;0,AD228&lt;0,AF228&lt;0,Y226&lt;0))</f>
        <v>0</v>
      </c>
      <c r="AN243" s="3089"/>
      <c r="AO243" s="3089"/>
      <c r="AP243" s="3089"/>
      <c r="AQ243" s="3090"/>
      <c r="AR243" s="3089"/>
      <c r="AS243" s="3089"/>
      <c r="AT243" s="3089"/>
      <c r="AU243" s="3091"/>
      <c r="AV243" s="3091"/>
      <c r="AW243" s="3091"/>
      <c r="AX243" s="3091"/>
      <c r="AY243" s="3089"/>
    </row>
    <row r="244" spans="1:51" ht="12.2" customHeight="1" x14ac:dyDescent="0.2">
      <c r="A244" s="2185"/>
      <c r="B244" s="2099">
        <f t="shared" si="5"/>
        <v>7</v>
      </c>
      <c r="C244" s="4538"/>
      <c r="D244" s="4578"/>
      <c r="E244" s="4579"/>
      <c r="F244" s="4579"/>
      <c r="G244" s="4579"/>
      <c r="H244" s="4579"/>
      <c r="I244" s="4579"/>
      <c r="J244" s="4579"/>
      <c r="K244" s="4579"/>
      <c r="L244" s="4579"/>
      <c r="M244" s="4579"/>
      <c r="N244" s="4579"/>
      <c r="O244" s="4579"/>
      <c r="P244" s="4579"/>
      <c r="Q244" s="4579"/>
      <c r="R244" s="4579"/>
      <c r="S244" s="4579"/>
      <c r="T244" s="4579"/>
      <c r="U244" s="4579"/>
      <c r="V244" s="4579"/>
      <c r="W244" s="4579"/>
      <c r="X244" s="4579"/>
      <c r="Y244" s="4579"/>
      <c r="Z244" s="4579"/>
      <c r="AA244" s="4579"/>
      <c r="AB244" s="4579"/>
      <c r="AC244" s="4579"/>
      <c r="AD244" s="4579"/>
      <c r="AE244" s="4579"/>
      <c r="AF244" s="4579"/>
      <c r="AG244" s="4580"/>
      <c r="AH244" s="2193"/>
      <c r="AI244" s="4558"/>
      <c r="AJ244" s="3089" t="s">
        <v>9325</v>
      </c>
      <c r="AK244" s="3089"/>
      <c r="AL244" s="3089"/>
      <c r="AM244" s="3089" t="b">
        <f>OR(-V228&gt;TRUNC(SUM(V221:V225)/2),-X228&gt;TRUNC(SUM(X221:X225)/2),-Z228&gt;TRUNC(SUM(Z221:Z225)/2),-AB228&gt;TRUNC(SUM(AB221:AB225)/2),-AD228&gt;TRUNC(SUM(AD221:AD225)/2),-AF228&gt;TRUNC(SUM(AF221:AF225)/2))</f>
        <v>0</v>
      </c>
      <c r="AN244" s="3089"/>
      <c r="AO244" s="3089"/>
      <c r="AP244" s="3089"/>
      <c r="AQ244" s="3090"/>
      <c r="AR244" s="3089"/>
      <c r="AS244" s="3089"/>
      <c r="AT244" s="3089"/>
      <c r="AU244" s="3091"/>
      <c r="AV244" s="3091"/>
      <c r="AW244" s="3091"/>
      <c r="AX244" s="3091"/>
      <c r="AY244" s="3089"/>
    </row>
    <row r="245" spans="1:51" ht="12.2" customHeight="1" x14ac:dyDescent="0.2">
      <c r="A245" s="2185"/>
      <c r="B245" s="2099">
        <f t="shared" si="5"/>
        <v>7</v>
      </c>
      <c r="C245" s="4538"/>
      <c r="D245" s="4578"/>
      <c r="E245" s="4579"/>
      <c r="F245" s="4579"/>
      <c r="G245" s="4579"/>
      <c r="H245" s="4579"/>
      <c r="I245" s="4579"/>
      <c r="J245" s="4579"/>
      <c r="K245" s="4579"/>
      <c r="L245" s="4579"/>
      <c r="M245" s="4579"/>
      <c r="N245" s="4579"/>
      <c r="O245" s="4579"/>
      <c r="P245" s="4579"/>
      <c r="Q245" s="4579"/>
      <c r="R245" s="4579"/>
      <c r="S245" s="4579"/>
      <c r="T245" s="4579"/>
      <c r="U245" s="4579"/>
      <c r="V245" s="4579"/>
      <c r="W245" s="4579"/>
      <c r="X245" s="4579"/>
      <c r="Y245" s="4579"/>
      <c r="Z245" s="4579"/>
      <c r="AA245" s="4579"/>
      <c r="AB245" s="4579"/>
      <c r="AC245" s="4579"/>
      <c r="AD245" s="4579"/>
      <c r="AE245" s="4579"/>
      <c r="AF245" s="4579"/>
      <c r="AG245" s="4580"/>
      <c r="AH245" s="2193"/>
      <c r="AI245" s="4558"/>
      <c r="AJ245" s="3089" t="s">
        <v>9326</v>
      </c>
      <c r="AK245" s="3089"/>
      <c r="AL245" s="3089"/>
      <c r="AM245" s="3089" t="b">
        <f>COUNTIF(D221:E225,"Primario")&gt;1</f>
        <v>0</v>
      </c>
      <c r="AN245" s="3089"/>
      <c r="AO245" s="3089"/>
      <c r="AP245" s="3089"/>
      <c r="AQ245" s="3090"/>
      <c r="AR245" s="3090"/>
      <c r="AS245" s="3090"/>
      <c r="AT245" s="3090"/>
      <c r="AU245" s="3091"/>
      <c r="AV245" s="3091"/>
      <c r="AW245" s="3091"/>
      <c r="AX245" s="3089"/>
      <c r="AY245" s="3089"/>
    </row>
    <row r="246" spans="1:51" ht="12.2" customHeight="1" x14ac:dyDescent="0.2">
      <c r="A246" s="2185"/>
      <c r="B246" s="2099">
        <f t="shared" si="5"/>
        <v>7</v>
      </c>
      <c r="C246" s="4538"/>
      <c r="D246" s="4578"/>
      <c r="E246" s="4579"/>
      <c r="F246" s="4579"/>
      <c r="G246" s="4579"/>
      <c r="H246" s="4579"/>
      <c r="I246" s="4579"/>
      <c r="J246" s="4579"/>
      <c r="K246" s="4579"/>
      <c r="L246" s="4579"/>
      <c r="M246" s="4579"/>
      <c r="N246" s="4579"/>
      <c r="O246" s="4579"/>
      <c r="P246" s="4579"/>
      <c r="Q246" s="4579"/>
      <c r="R246" s="4579"/>
      <c r="S246" s="4579"/>
      <c r="T246" s="4579"/>
      <c r="U246" s="4579"/>
      <c r="V246" s="4579"/>
      <c r="W246" s="4579"/>
      <c r="X246" s="4579"/>
      <c r="Y246" s="4579"/>
      <c r="Z246" s="4579"/>
      <c r="AA246" s="4579"/>
      <c r="AB246" s="4579"/>
      <c r="AC246" s="4579"/>
      <c r="AD246" s="4579"/>
      <c r="AE246" s="4579"/>
      <c r="AF246" s="4579"/>
      <c r="AG246" s="4580"/>
      <c r="AH246" s="2193"/>
      <c r="AI246" s="4558"/>
      <c r="AJ246" s="3089" t="s">
        <v>9309</v>
      </c>
      <c r="AK246" s="3089"/>
      <c r="AL246" s="3089"/>
      <c r="AM246" s="3089" t="b">
        <f>SUM(V228:AG228)&lt;&gt;Y226+ABS(AC226)*2/5+IF(S217="Sí",3*P217,0)</f>
        <v>0</v>
      </c>
      <c r="AN246" s="3089"/>
      <c r="AO246" s="3089"/>
      <c r="AP246" s="3089"/>
      <c r="AQ246" s="3090"/>
      <c r="AR246" s="3090"/>
      <c r="AS246" s="3090"/>
      <c r="AT246" s="3090"/>
      <c r="AU246" s="3091"/>
      <c r="AV246" s="3091"/>
      <c r="AW246" s="3091"/>
      <c r="AX246" s="3089"/>
      <c r="AY246" s="3089"/>
    </row>
    <row r="247" spans="1:51" ht="12.2" customHeight="1" x14ac:dyDescent="0.2">
      <c r="A247" s="2185"/>
      <c r="B247" s="2099">
        <f t="shared" si="5"/>
        <v>7</v>
      </c>
      <c r="C247" s="4538"/>
      <c r="D247" s="4578"/>
      <c r="E247" s="4579"/>
      <c r="F247" s="4579"/>
      <c r="G247" s="4579"/>
      <c r="H247" s="4579"/>
      <c r="I247" s="4579"/>
      <c r="J247" s="4579"/>
      <c r="K247" s="4579"/>
      <c r="L247" s="4579"/>
      <c r="M247" s="4579"/>
      <c r="N247" s="4579"/>
      <c r="O247" s="4579"/>
      <c r="P247" s="4579"/>
      <c r="Q247" s="4579"/>
      <c r="R247" s="4579"/>
      <c r="S247" s="4579"/>
      <c r="T247" s="4579"/>
      <c r="U247" s="4579"/>
      <c r="V247" s="4579"/>
      <c r="W247" s="4579"/>
      <c r="X247" s="4579"/>
      <c r="Y247" s="4579"/>
      <c r="Z247" s="4579"/>
      <c r="AA247" s="4579"/>
      <c r="AB247" s="4579"/>
      <c r="AC247" s="4579"/>
      <c r="AD247" s="4579"/>
      <c r="AE247" s="4579"/>
      <c r="AF247" s="4579"/>
      <c r="AG247" s="4580"/>
      <c r="AH247" s="2193"/>
      <c r="AI247" s="4558"/>
      <c r="AJ247" s="3089" t="s">
        <v>9308</v>
      </c>
      <c r="AK247" s="3089"/>
      <c r="AL247" s="3089"/>
      <c r="AM247" s="3089" t="b">
        <f>AL234-AL235+AM234-AM235&lt;&gt;0</f>
        <v>0</v>
      </c>
      <c r="AN247" s="3091"/>
      <c r="AO247" s="3091"/>
      <c r="AP247" s="3091"/>
      <c r="AQ247" s="3091"/>
      <c r="AR247" s="3090"/>
      <c r="AS247" s="3090"/>
      <c r="AT247" s="3090"/>
      <c r="AU247" s="3091"/>
      <c r="AV247" s="3091"/>
      <c r="AW247" s="3091"/>
      <c r="AX247" s="3089"/>
      <c r="AY247" s="3089"/>
    </row>
    <row r="248" spans="1:51" ht="12.2" customHeight="1" thickBot="1" x14ac:dyDescent="0.25">
      <c r="A248" s="2185"/>
      <c r="B248" s="2099"/>
      <c r="C248" s="4539"/>
      <c r="D248" s="4540"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41"/>
      <c r="F248" s="4541"/>
      <c r="G248" s="4541"/>
      <c r="H248" s="4541"/>
      <c r="I248" s="4541"/>
      <c r="J248" s="4541"/>
      <c r="K248" s="4541"/>
      <c r="L248" s="4541"/>
      <c r="M248" s="4541"/>
      <c r="N248" s="4541"/>
      <c r="O248" s="4541"/>
      <c r="P248" s="4541"/>
      <c r="Q248" s="4541"/>
      <c r="R248" s="4541"/>
      <c r="S248" s="4541"/>
      <c r="T248" s="4541"/>
      <c r="U248" s="4541"/>
      <c r="V248" s="4541"/>
      <c r="W248" s="4541"/>
      <c r="X248" s="4541"/>
      <c r="Y248" s="4541"/>
      <c r="Z248" s="4541"/>
      <c r="AA248" s="4541"/>
      <c r="AB248" s="4541"/>
      <c r="AC248" s="4541"/>
      <c r="AD248" s="4541"/>
      <c r="AE248" s="4541"/>
      <c r="AF248" s="4541"/>
      <c r="AG248" s="4542"/>
      <c r="AH248" s="2193"/>
      <c r="AI248" s="4558"/>
      <c r="AJ248" s="3089" t="s">
        <v>9345</v>
      </c>
      <c r="AK248" s="3091"/>
      <c r="AL248" s="3091"/>
      <c r="AM248" s="3091" t="b">
        <f>ABS(SUM(N226:N228))&gt;(SUM(N221:N225)-10*Y226+AC226+IF(S217="Sí",10*P217,0)+IF(COUNTIF(K221:M225,"Mantenido")&gt;0,P217*10)+MAX(IF(COUNTIF(K221:M225,"Sostenimiento Menor")&gt;0,P217*20)+IF(COUNTIF(K221:M225,"Sostenimiento Mayor")&gt;0,P217*30)))/2</f>
        <v>0</v>
      </c>
      <c r="AN248" s="3089"/>
      <c r="AO248" s="3089"/>
      <c r="AP248" s="3089"/>
      <c r="AQ248" s="3089"/>
      <c r="AR248" s="3090"/>
      <c r="AS248" s="3090"/>
      <c r="AT248" s="3090"/>
      <c r="AU248" s="3091"/>
      <c r="AV248" s="3091"/>
      <c r="AW248" s="3091"/>
      <c r="AX248" s="3089"/>
      <c r="AY248" s="3089"/>
    </row>
    <row r="249" spans="1:51" ht="12.2" customHeight="1" x14ac:dyDescent="0.2">
      <c r="A249" s="2185"/>
      <c r="B249" s="2099"/>
      <c r="C249" s="4534"/>
      <c r="D249" s="4534" t="str">
        <f>IFERROR(VLOOKUP(D230,'Tablas Técnicas'!$O$9:$T$88,2,FALSE),"")</f>
        <v/>
      </c>
      <c r="E249" s="4534"/>
      <c r="F249" s="4534"/>
      <c r="G249" s="4534"/>
      <c r="H249" s="4534"/>
      <c r="I249" s="4534"/>
      <c r="J249" s="4534" t="str">
        <f>IFERROR(VLOOKUP(J230,'Tablas Técnicas'!$O$9:$T$88,2,FALSE),"")</f>
        <v/>
      </c>
      <c r="K249" s="4534"/>
      <c r="L249" s="4534"/>
      <c r="M249" s="4534"/>
      <c r="N249" s="4534"/>
      <c r="O249" s="4534"/>
      <c r="P249" s="4534" t="str">
        <f>IFERROR(VLOOKUP(P230,'Tablas Técnicas'!$O$9:$T$88,2,FALSE),"")</f>
        <v/>
      </c>
      <c r="Q249" s="4534"/>
      <c r="R249" s="4534"/>
      <c r="S249" s="4534"/>
      <c r="T249" s="4534"/>
      <c r="U249" s="4534"/>
      <c r="V249" s="4534" t="str">
        <f>IFERROR(VLOOKUP(V230,'Tablas Técnicas'!$O$9:$T$88,2,FALSE),"")</f>
        <v/>
      </c>
      <c r="W249" s="4534"/>
      <c r="X249" s="4534"/>
      <c r="Y249" s="4534"/>
      <c r="Z249" s="4534"/>
      <c r="AA249" s="4534"/>
      <c r="AB249" s="4534" t="str">
        <f>IFERROR(VLOOKUP(AB230,'Tablas Técnicas'!$O$9:$T$88,2,FALSE),"")</f>
        <v/>
      </c>
      <c r="AC249" s="4534"/>
      <c r="AD249" s="4534"/>
      <c r="AE249" s="4534"/>
      <c r="AF249" s="4534"/>
      <c r="AG249" s="4534"/>
      <c r="AH249" s="2193"/>
      <c r="AI249" s="1921"/>
      <c r="AJ249" s="3089"/>
      <c r="AK249" s="3089"/>
      <c r="AL249" s="3089"/>
      <c r="AM249" s="3089"/>
      <c r="AN249" s="3089"/>
      <c r="AO249" s="3089"/>
      <c r="AP249" s="3089"/>
      <c r="AQ249" s="3089"/>
      <c r="AR249" s="3090"/>
      <c r="AS249" s="3090"/>
      <c r="AT249" s="3090"/>
      <c r="AU249" s="3091"/>
      <c r="AV249" s="3091"/>
      <c r="AW249" s="3091"/>
      <c r="AX249" s="3091"/>
      <c r="AY249" s="3089"/>
    </row>
    <row r="250" spans="1:51" ht="12.2" customHeight="1" thickBot="1" x14ac:dyDescent="0.25">
      <c r="A250" s="2185"/>
      <c r="B250" s="2099"/>
      <c r="C250" s="4534"/>
      <c r="D250" s="2287"/>
      <c r="E250" s="2101"/>
      <c r="F250" s="2101"/>
      <c r="G250" s="2101"/>
      <c r="H250" s="2101"/>
      <c r="I250" s="2101"/>
      <c r="J250" s="2101"/>
      <c r="K250" s="2101"/>
      <c r="L250" s="2101"/>
      <c r="M250" s="2101"/>
      <c r="N250" s="2101"/>
      <c r="O250" s="2101"/>
      <c r="P250" s="2101"/>
      <c r="Q250" s="2101"/>
      <c r="R250" s="2101"/>
      <c r="S250" s="2101"/>
      <c r="T250" s="2101"/>
      <c r="U250" s="2101"/>
      <c r="V250" s="2288"/>
      <c r="W250" s="2288"/>
      <c r="X250" s="2288"/>
      <c r="Y250" s="2288"/>
      <c r="Z250" s="2288"/>
      <c r="AA250" s="2288"/>
      <c r="AB250" s="2288"/>
      <c r="AC250" s="2288"/>
      <c r="AD250" s="2288"/>
      <c r="AE250" s="2288"/>
      <c r="AF250" s="2101"/>
      <c r="AG250" s="2101"/>
      <c r="AH250" s="2193"/>
      <c r="AI250" s="1921"/>
      <c r="AJ250" s="3097"/>
      <c r="AK250" s="3097"/>
      <c r="AL250" s="3097"/>
      <c r="AM250" s="3097"/>
      <c r="AN250" s="3097"/>
      <c r="AO250" s="3097"/>
      <c r="AP250" s="3089"/>
      <c r="AQ250" s="3090"/>
      <c r="AR250" s="3091"/>
      <c r="AS250" s="3091"/>
      <c r="AT250" s="3091"/>
      <c r="AU250" s="3091"/>
      <c r="AV250" s="3091"/>
      <c r="AW250" s="3091"/>
      <c r="AX250" s="3091"/>
      <c r="AY250" s="3098"/>
    </row>
    <row r="251" spans="1:51" ht="12.2" customHeight="1" x14ac:dyDescent="0.2">
      <c r="A251" s="2185"/>
      <c r="B251" s="2099">
        <f t="shared" ref="B251:B281" si="6">1+B217</f>
        <v>8</v>
      </c>
      <c r="C251" s="4537" t="str">
        <f>"Técnica "&amp;B251</f>
        <v>Técnica 8</v>
      </c>
      <c r="D251" s="4636" t="s">
        <v>8716</v>
      </c>
      <c r="E251" s="4637"/>
      <c r="F251" s="4637"/>
      <c r="G251" s="4637"/>
      <c r="H251" s="4637"/>
      <c r="I251" s="4637"/>
      <c r="J251" s="4637"/>
      <c r="K251" s="4637"/>
      <c r="L251" s="4637"/>
      <c r="M251" s="4637"/>
      <c r="N251" s="4638"/>
      <c r="O251" s="4642" t="s">
        <v>1325</v>
      </c>
      <c r="P251" s="4644">
        <v>1</v>
      </c>
      <c r="Q251" s="4646" t="s">
        <v>8800</v>
      </c>
      <c r="R251" s="4647"/>
      <c r="S251" s="4650" t="s">
        <v>1381</v>
      </c>
      <c r="T251" s="4651" t="s">
        <v>1506</v>
      </c>
      <c r="U251" s="4653">
        <f>MAX(IF(P251=3,60,IF(P251=2,40,20)),MIN(SUM(N255:N262)-10*Y260+AC260+IF(S251="Sí",10*P251,0)+IF(COUNTIF(K255:M259,"Mantenido")&gt;0,P251*10)+MAX(IF(COUNTIF(K255:M259,"Sostenimiento Menor")&gt;0,P251*20)+IF(COUNTIF(K255:M259,"Sostenimiento Mayor")&gt;0,P251*30))))</f>
        <v>20</v>
      </c>
      <c r="V251" s="4646" t="s">
        <v>8801</v>
      </c>
      <c r="W251" s="4651"/>
      <c r="X251" s="4566" t="str">
        <f>IFERROR(LEFT(AK267&amp;AL267&amp;AM267&amp;AN267&amp;AO267&amp;AP267,LEN(AK267&amp;AL267&amp;AM267&amp;AN267&amp;AO267&amp;AP267)-2),"")</f>
        <v/>
      </c>
      <c r="Y251" s="4566"/>
      <c r="Z251" s="4566"/>
      <c r="AA251" s="4566"/>
      <c r="AB251" s="4566"/>
      <c r="AC251" s="4566"/>
      <c r="AD251" s="4566"/>
      <c r="AE251" s="4566"/>
      <c r="AF251" s="4566"/>
      <c r="AG251" s="4567"/>
      <c r="AH251" s="2193"/>
      <c r="AI251" s="4558"/>
      <c r="AJ251" s="3094" t="s">
        <v>9342</v>
      </c>
      <c r="AK251" s="3094"/>
      <c r="AL251" s="3094"/>
      <c r="AM251" s="3094"/>
      <c r="AN251" s="3094"/>
      <c r="AO251" s="3094"/>
      <c r="AP251" s="3094"/>
      <c r="AQ251" s="3094"/>
      <c r="AR251" s="3094"/>
      <c r="AS251" s="3089"/>
      <c r="AT251" s="3089"/>
      <c r="AU251" s="3089"/>
      <c r="AV251" s="3089"/>
      <c r="AW251" s="3091"/>
      <c r="AX251" s="3091"/>
      <c r="AY251" s="3089"/>
    </row>
    <row r="252" spans="1:51" ht="12.2" customHeight="1" x14ac:dyDescent="0.2">
      <c r="A252" s="2185"/>
      <c r="B252" s="2099">
        <f t="shared" si="6"/>
        <v>8</v>
      </c>
      <c r="C252" s="4538"/>
      <c r="D252" s="4639"/>
      <c r="E252" s="4640"/>
      <c r="F252" s="4640"/>
      <c r="G252" s="4640"/>
      <c r="H252" s="4640"/>
      <c r="I252" s="4640"/>
      <c r="J252" s="4640"/>
      <c r="K252" s="4640"/>
      <c r="L252" s="4640"/>
      <c r="M252" s="4640"/>
      <c r="N252" s="4641"/>
      <c r="O252" s="4643"/>
      <c r="P252" s="4645"/>
      <c r="Q252" s="4648"/>
      <c r="R252" s="4649"/>
      <c r="S252" s="4645"/>
      <c r="T252" s="4652"/>
      <c r="U252" s="4654"/>
      <c r="V252" s="4648"/>
      <c r="W252" s="4652"/>
      <c r="X252" s="4568"/>
      <c r="Y252" s="4568"/>
      <c r="Z252" s="4568"/>
      <c r="AA252" s="4568"/>
      <c r="AB252" s="4568"/>
      <c r="AC252" s="4568"/>
      <c r="AD252" s="4568"/>
      <c r="AE252" s="4568"/>
      <c r="AF252" s="4568"/>
      <c r="AG252" s="4569"/>
      <c r="AH252" s="2193"/>
      <c r="AI252" s="4558"/>
      <c r="AJ252" s="3094"/>
      <c r="AK252" s="3094" t="s">
        <v>9343</v>
      </c>
      <c r="AL252" s="3094" t="s">
        <v>10464</v>
      </c>
      <c r="AM252" s="3095"/>
      <c r="AN252" s="3095"/>
      <c r="AO252" s="3095"/>
      <c r="AP252" s="3095"/>
      <c r="AQ252" s="3095"/>
      <c r="AR252" s="3094"/>
      <c r="AS252" s="3089"/>
      <c r="AT252" s="3089"/>
      <c r="AU252" s="3089"/>
      <c r="AV252" s="3089"/>
      <c r="AW252" s="3091"/>
      <c r="AX252" s="4536" t="s">
        <v>9312</v>
      </c>
      <c r="AY252" s="4536"/>
    </row>
    <row r="253" spans="1:51" ht="12.2" customHeight="1" x14ac:dyDescent="0.2">
      <c r="A253" s="2185"/>
      <c r="B253" s="2099">
        <f t="shared" si="6"/>
        <v>8</v>
      </c>
      <c r="C253" s="4538"/>
      <c r="D253" s="4549" t="s">
        <v>2824</v>
      </c>
      <c r="E253" s="4550"/>
      <c r="F253" s="4550"/>
      <c r="G253" s="4550"/>
      <c r="H253" s="4550"/>
      <c r="I253" s="4550"/>
      <c r="J253" s="4550"/>
      <c r="K253" s="4633" t="s">
        <v>9636</v>
      </c>
      <c r="L253" s="4633"/>
      <c r="M253" s="4633"/>
      <c r="N253" s="4550" t="s">
        <v>1500</v>
      </c>
      <c r="O253" s="4633" t="s">
        <v>2822</v>
      </c>
      <c r="P253" s="4633" t="s">
        <v>8802</v>
      </c>
      <c r="Q253" s="4550" t="s">
        <v>1364</v>
      </c>
      <c r="R253" s="4550"/>
      <c r="S253" s="4550"/>
      <c r="T253" s="4550"/>
      <c r="U253" s="4550"/>
      <c r="V253" s="4613" t="s">
        <v>1373</v>
      </c>
      <c r="W253" s="4608"/>
      <c r="X253" s="4613" t="s">
        <v>1498</v>
      </c>
      <c r="Y253" s="4614"/>
      <c r="Z253" s="4608" t="s">
        <v>1378</v>
      </c>
      <c r="AA253" s="4608"/>
      <c r="AB253" s="4613" t="s">
        <v>1383</v>
      </c>
      <c r="AC253" s="4614"/>
      <c r="AD253" s="4608" t="s">
        <v>1391</v>
      </c>
      <c r="AE253" s="4608"/>
      <c r="AF253" s="4613" t="s">
        <v>1392</v>
      </c>
      <c r="AG253" s="4609"/>
      <c r="AH253" s="2193"/>
      <c r="AI253" s="4558"/>
      <c r="AJ253" s="3089"/>
      <c r="AK253" s="3089"/>
      <c r="AL253" s="3089" t="s">
        <v>9614</v>
      </c>
      <c r="AM253" s="3089"/>
      <c r="AN253" s="3089"/>
      <c r="AO253" s="3089"/>
      <c r="AP253" s="3089"/>
      <c r="AQ253" s="3089"/>
      <c r="AR253" s="3091"/>
      <c r="AS253" s="3091" t="s">
        <v>9332</v>
      </c>
      <c r="AT253" s="3091" t="s">
        <v>9333</v>
      </c>
      <c r="AU253" s="3089" t="s">
        <v>9321</v>
      </c>
      <c r="AV253" s="3089" t="s">
        <v>9322</v>
      </c>
      <c r="AW253" s="3091" t="s">
        <v>1500</v>
      </c>
      <c r="AX253" s="3091" t="s">
        <v>8804</v>
      </c>
      <c r="AY253" s="3089" t="s">
        <v>8805</v>
      </c>
    </row>
    <row r="254" spans="1:51" ht="12.2" customHeight="1" x14ac:dyDescent="0.2">
      <c r="A254" s="2185"/>
      <c r="B254" s="2099">
        <f t="shared" si="6"/>
        <v>8</v>
      </c>
      <c r="C254" s="4538"/>
      <c r="D254" s="4581"/>
      <c r="E254" s="4582"/>
      <c r="F254" s="4582"/>
      <c r="G254" s="4582"/>
      <c r="H254" s="4582"/>
      <c r="I254" s="4582"/>
      <c r="J254" s="4582"/>
      <c r="K254" s="4634"/>
      <c r="L254" s="4634"/>
      <c r="M254" s="4634"/>
      <c r="N254" s="4551"/>
      <c r="O254" s="4634"/>
      <c r="P254" s="4635"/>
      <c r="Q254" s="4551"/>
      <c r="R254" s="4551"/>
      <c r="S254" s="4551"/>
      <c r="T254" s="4551"/>
      <c r="U254" s="4551"/>
      <c r="V254" s="2104" t="s">
        <v>9311</v>
      </c>
      <c r="W254" s="2186" t="s">
        <v>2828</v>
      </c>
      <c r="X254" s="2104" t="s">
        <v>9311</v>
      </c>
      <c r="Y254" s="2186" t="s">
        <v>2828</v>
      </c>
      <c r="Z254" s="2104" t="s">
        <v>9311</v>
      </c>
      <c r="AA254" s="2186" t="s">
        <v>2828</v>
      </c>
      <c r="AB254" s="2104" t="s">
        <v>9311</v>
      </c>
      <c r="AC254" s="2186" t="s">
        <v>2828</v>
      </c>
      <c r="AD254" s="2104" t="s">
        <v>9311</v>
      </c>
      <c r="AE254" s="2186" t="s">
        <v>2828</v>
      </c>
      <c r="AF254" s="2104" t="s">
        <v>9311</v>
      </c>
      <c r="AG254" s="1928" t="s">
        <v>2828</v>
      </c>
      <c r="AH254" s="2193"/>
      <c r="AI254" s="4558"/>
      <c r="AJ254" s="3089"/>
      <c r="AK254" s="3089" t="s">
        <v>9313</v>
      </c>
      <c r="AL254" s="3089">
        <v>1</v>
      </c>
      <c r="AM254" s="3089">
        <v>2</v>
      </c>
      <c r="AN254" s="3089">
        <v>3</v>
      </c>
      <c r="AO254" s="3089">
        <v>4</v>
      </c>
      <c r="AP254" s="3089">
        <v>5</v>
      </c>
      <c r="AQ254" s="3089">
        <v>6</v>
      </c>
      <c r="AR254" s="3089">
        <v>7</v>
      </c>
      <c r="AS254" s="3091"/>
      <c r="AT254" s="3089" t="s">
        <v>9344</v>
      </c>
      <c r="AU254" s="3091"/>
      <c r="AV254" s="3091"/>
      <c r="AW254" s="3091" t="s">
        <v>9344</v>
      </c>
      <c r="AX254" s="3091"/>
      <c r="AY254" s="3089"/>
    </row>
    <row r="255" spans="1:51" ht="12.2" customHeight="1" x14ac:dyDescent="0.2">
      <c r="A255" s="2185"/>
      <c r="B255" s="2099">
        <f t="shared" si="6"/>
        <v>8</v>
      </c>
      <c r="C255" s="4538"/>
      <c r="D255" s="4624" t="s">
        <v>8806</v>
      </c>
      <c r="E255" s="4625"/>
      <c r="F255" s="4626"/>
      <c r="G255" s="4627"/>
      <c r="H255" s="4627"/>
      <c r="I255" s="4627"/>
      <c r="J255" s="4628"/>
      <c r="K255" s="4595" t="s">
        <v>1456</v>
      </c>
      <c r="L255" s="4596"/>
      <c r="M255" s="4597"/>
      <c r="N255" s="2105">
        <f>IF(AW255&gt;0,IF(VLOOKUP(F255,'Tablas Técnicas'!$O$9:$X$88,10,0),MAX(5,AW255-5),AW255),0)</f>
        <v>0</v>
      </c>
      <c r="O255" s="2105" t="str">
        <f>AS255&amp;" / "&amp;AT255</f>
        <v>0 / 0</v>
      </c>
      <c r="P255" s="2105" t="str">
        <f t="array" ref="P255">W255+Y255+AA255+AC255+AE255+AG255&amp;" / "&amp;IF(K255&lt;&gt;"Mantenido",0,SUM(IF($AL255:$AR255='Tablas Técnicas'!$L$10:$L$643,'Tablas Técnicas'!$H$10:$H$643,0)))</f>
        <v>0 / 0</v>
      </c>
      <c r="Q255" s="4632" t="str">
        <f>IFERROR(VLOOKUP(F255,'Tablas Técnicas'!$O$9:$T$88,5,FALSE),"")</f>
        <v/>
      </c>
      <c r="R255" s="4632"/>
      <c r="S255" s="4632"/>
      <c r="T255" s="4632"/>
      <c r="U255" s="4632"/>
      <c r="V255" s="2055"/>
      <c r="W255" s="2056"/>
      <c r="X255" s="2055"/>
      <c r="Y255" s="2057"/>
      <c r="Z255" s="2058"/>
      <c r="AA255" s="2056"/>
      <c r="AB255" s="2055"/>
      <c r="AC255" s="2057"/>
      <c r="AD255" s="2058"/>
      <c r="AE255" s="2056"/>
      <c r="AF255" s="2055"/>
      <c r="AG255" s="2059"/>
      <c r="AH255" s="2193"/>
      <c r="AI255" s="4558"/>
      <c r="AJ255" s="3089">
        <v>1</v>
      </c>
      <c r="AK255" s="3089">
        <f>P251</f>
        <v>1</v>
      </c>
      <c r="AL255" s="3089" t="str">
        <f>IF(AND(ISNUMBER(MATCH($F255,'Tablas Técnicas'!$L$10:$L$643,0)),INDEX($D268:$D274,Tablas!A$1)="",COUNTIF(AM255:$AS255,$F255)=0),$F255,IF(INDEX($D268:$D274,Tablas!A$1)="","",$F255&amp;INDEX($D268:$D274,Tablas!A$1)))</f>
        <v/>
      </c>
      <c r="AM255" s="3089" t="str">
        <f>IF(AND(ISNUMBER(MATCH($F255,'Tablas Técnicas'!$L$10:$L$643,0)),INDEX($D268:$D274,Tablas!B$1)="",COUNTIF(AN255:$AS255,$F255)=0),$F255,IF(INDEX($D268:$D274,Tablas!B$1)="","",$F255&amp;INDEX($D268:$D274,Tablas!B$1)))</f>
        <v/>
      </c>
      <c r="AN255" s="3089" t="str">
        <f>IF(AND(ISNUMBER(MATCH($F255,'Tablas Técnicas'!$L$10:$L$643,0)),INDEX($D268:$D274,Tablas!C$1)="",COUNTIF(AO255:$AS255,$F255)=0),$F255,IF(INDEX($D268:$D274,Tablas!C$1)="","",$F255&amp;INDEX($D268:$D274,Tablas!C$1)))</f>
        <v/>
      </c>
      <c r="AO255" s="3089" t="str">
        <f>IF(AND(ISNUMBER(MATCH($F255,'Tablas Técnicas'!$L$10:$L$643,0)),INDEX($D268:$D274,Tablas!D$1)="",COUNTIF(AP255:$AS255,$F255)=0),$F255,IF(INDEX($D268:$D274,Tablas!D$1)="","",$F255&amp;INDEX($D268:$D274,Tablas!D$1)))</f>
        <v/>
      </c>
      <c r="AP255" s="3089" t="str">
        <f>IF(AND(ISNUMBER(MATCH($F255,'Tablas Técnicas'!$L$10:$L$643,0)),INDEX($D268:$D274,Tablas!E$1)="",COUNTIF(AQ255:$AS255,$F255)=0),$F255,IF(INDEX($D268:$D274,Tablas!E$1)="","",$F255&amp;INDEX($D268:$D274,Tablas!E$1)))</f>
        <v/>
      </c>
      <c r="AQ255" s="3089" t="str">
        <f>IF(AND(ISNUMBER(MATCH($F255,'Tablas Técnicas'!$L$10:$L$643,0)),INDEX($D268:$D274,Tablas!F$1)="",COUNTIF(AR255:$AS255,$F255)=0),$F255,IF(INDEX($D268:$D274,Tablas!F$1)="","",$F255&amp;INDEX($D268:$D274,Tablas!F$1)))</f>
        <v/>
      </c>
      <c r="AR255" s="3089" t="str">
        <f>IF(AND(ISNUMBER(MATCH($F255,'Tablas Técnicas'!$L$10:$L$643,0)),INDEX($D268:$D274,Tablas!G$1)="",COUNTIF(AS255:$AS255,$F255)=0),$F255,IF(INDEX($D268:$D274,Tablas!G$1)="","",$F255&amp;INDEX($D268:$D274,Tablas!G$1)))</f>
        <v/>
      </c>
      <c r="AS255" s="3091">
        <f>V255+X255+Z255+AB255+AD255+AF255</f>
        <v>0</v>
      </c>
      <c r="AT255" s="3091">
        <f t="array" ref="AT255">SUM(IF($AL255:$AR255='Tablas Técnicas'!$L$10:$L$643,IF(D255="Primario",'Tablas Técnicas'!$E$10:$E$643,'Tablas Técnicas'!$F$10:$F$643)+IF(K255="Sostenimiento menor",'Tablas Técnicas'!$I$10:$I$643,IF(K255="sostenimiento mayor",'Tablas Técnicas'!$J$10:$J$643,0)),0),0)+VALUE(RIGHT(P255,2))+AU255+AV255</f>
        <v>0</v>
      </c>
      <c r="AU255" s="309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091">
        <f>(COUNTIF(AL255:AR255,"*Estado añadido:*")-1)*COUNTIF(AL255:AR255,"*Estado añadido:*")</f>
        <v>0</v>
      </c>
      <c r="AW255" s="3091">
        <f t="array" ref="AW255">SUM(IF($AL255:$AR255='Tablas Técnicas'!$L$10:$L$643,'Tablas Técnicas'!$G$10:$G$643,0))</f>
        <v>0</v>
      </c>
      <c r="AX255" s="3089"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089" t="str">
        <f>IFERROR(LEFT(AX255,LEN(AX255)-2)&amp;"), ","")</f>
        <v/>
      </c>
    </row>
    <row r="256" spans="1:51" ht="12.2" customHeight="1" x14ac:dyDescent="0.2">
      <c r="A256" s="2185"/>
      <c r="B256" s="2099">
        <f t="shared" si="6"/>
        <v>8</v>
      </c>
      <c r="C256" s="4538"/>
      <c r="D256" s="4583" t="s">
        <v>524</v>
      </c>
      <c r="E256" s="4584"/>
      <c r="F256" s="4615"/>
      <c r="G256" s="4616"/>
      <c r="H256" s="4616"/>
      <c r="I256" s="4616"/>
      <c r="J256" s="4617"/>
      <c r="K256" s="4618" t="s">
        <v>1456</v>
      </c>
      <c r="L256" s="4619"/>
      <c r="M256" s="4620"/>
      <c r="N256" s="1925">
        <f>IF(AW256&gt;0,IF(VLOOKUP(F256,'Tablas Técnicas'!$O$9:$X$88,10,0),MAX(5,AW256-5),AW256),0)</f>
        <v>0</v>
      </c>
      <c r="O256" s="1925" t="str">
        <f>AS256&amp;" / "&amp;AT256</f>
        <v>0 / 0</v>
      </c>
      <c r="P256" s="1925" t="str">
        <f t="array" ref="P256">W256+Y256+AA256+AC256+AE256+AG256&amp;" / "&amp;IF(K256&lt;&gt;"Mantenido",0,SUM(IF($AL256:$AR256='Tablas Técnicas'!$L$10:$L$643,'Tablas Técnicas'!$H$10:$H$643,0)))</f>
        <v>0 / 0</v>
      </c>
      <c r="Q256" s="4585" t="str">
        <f>IFERROR(VLOOKUP(F256,'Tablas Técnicas'!$O$9:$T$88,5,FALSE),"")</f>
        <v/>
      </c>
      <c r="R256" s="4585"/>
      <c r="S256" s="4585"/>
      <c r="T256" s="4585"/>
      <c r="U256" s="4585"/>
      <c r="V256" s="2060"/>
      <c r="W256" s="2061"/>
      <c r="X256" s="2060"/>
      <c r="Y256" s="2062"/>
      <c r="Z256" s="2063"/>
      <c r="AA256" s="2061"/>
      <c r="AB256" s="2060"/>
      <c r="AC256" s="2062"/>
      <c r="AD256" s="2063"/>
      <c r="AE256" s="2061"/>
      <c r="AF256" s="2060"/>
      <c r="AG256" s="2064"/>
      <c r="AH256" s="2193"/>
      <c r="AI256" s="4558"/>
      <c r="AJ256" s="3089">
        <v>2</v>
      </c>
      <c r="AK256" s="3089">
        <f>P251</f>
        <v>1</v>
      </c>
      <c r="AL256" s="3089" t="str">
        <f>IF(AND(ISNUMBER(MATCH($F256,'Tablas Técnicas'!$L$10:$L$643,0)),INDEX($J268:$J274,Tablas!A$1)="",COUNTIF(AM256:$AS256,$F256)=0),$F256,IF(INDEX($J268:$J274,Tablas!A$1)="","",$F256&amp;INDEX($J268:$J274,Tablas!A$1)))</f>
        <v/>
      </c>
      <c r="AM256" s="3089" t="str">
        <f>IF(AND(ISNUMBER(MATCH($F256,'Tablas Técnicas'!$L$10:$L$643,0)),INDEX($J268:$J274,Tablas!B$1)="",COUNTIF(AN256:$AS256,$F256)=0),$F256,IF(INDEX($J268:$J274,Tablas!B$1)="","",$F256&amp;INDEX($J268:$J274,Tablas!B$1)))</f>
        <v/>
      </c>
      <c r="AN256" s="3089" t="str">
        <f>IF(AND(ISNUMBER(MATCH($F256,'Tablas Técnicas'!$L$10:$L$643,0)),INDEX($J268:$J274,Tablas!C$1)="",COUNTIF(AO256:$AS256,$F256)=0),$F256,IF(INDEX($J268:$J274,Tablas!C$1)="","",$F256&amp;INDEX($J268:$J274,Tablas!C$1)))</f>
        <v/>
      </c>
      <c r="AO256" s="3089" t="str">
        <f>IF(AND(ISNUMBER(MATCH($F256,'Tablas Técnicas'!$L$10:$L$643,0)),INDEX($J268:$J274,Tablas!D$1)="",COUNTIF(AP256:$AS256,$F256)=0),$F256,IF(INDEX($J268:$J274,Tablas!D$1)="","",$F256&amp;INDEX($J268:$J274,Tablas!D$1)))</f>
        <v/>
      </c>
      <c r="AP256" s="3089" t="str">
        <f>IF(AND(ISNUMBER(MATCH($F256,'Tablas Técnicas'!$L$10:$L$643,0)),INDEX($J268:$J274,Tablas!E$1)="",COUNTIF(AQ256:$AS256,$F256)=0),$F256,IF(INDEX($J268:$J274,Tablas!E$1)="","",$F256&amp;INDEX($J268:$J274,Tablas!E$1)))</f>
        <v/>
      </c>
      <c r="AQ256" s="3089" t="str">
        <f>IF(AND(ISNUMBER(MATCH($F256,'Tablas Técnicas'!$L$10:$L$643,0)),INDEX($J268:$J274,Tablas!F$1)="",COUNTIF(AR256:$AS256,$F256)=0),$F256,IF(INDEX($J268:$J274,Tablas!F$1)="","",$F256&amp;INDEX($J268:$J274,Tablas!F$1)))</f>
        <v/>
      </c>
      <c r="AR256" s="3089" t="str">
        <f>IF(AND(ISNUMBER(MATCH($F256,'Tablas Técnicas'!$L$10:$L$643,0)),INDEX($J268:$J274,Tablas!G$1)="",COUNTIF(AS256:$AS256,$F256)=0),$F256,IF(INDEX($J268:$J274,Tablas!G$1)="","",$F256&amp;INDEX($J268:$J274,Tablas!G$1)))</f>
        <v/>
      </c>
      <c r="AS256" s="3091">
        <f>V256+X256+Z256+AB256+AD256+AF256</f>
        <v>0</v>
      </c>
      <c r="AT256" s="3091">
        <f t="array" ref="AT256">SUM(IF($AL256:$AR256='Tablas Técnicas'!$L$10:$L$643,IF(D256="Primario",'Tablas Técnicas'!$E$10:$E$643,'Tablas Técnicas'!$F$10:$F$643)+IF(K256="Sostenimiento menor",'Tablas Técnicas'!$I$10:$I$643,IF(K256="sostenimiento mayor",'Tablas Técnicas'!$J$10:$J$643,0)),0),0)+VALUE(RIGHT(P256,2))+AU256+AV256</f>
        <v>0</v>
      </c>
      <c r="AU256" s="309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091">
        <f>(COUNTIF(AL256:AR256,"*Estado añadido:*")-1)*COUNTIF(AL256:AR256,"*Estado añadido:*")</f>
        <v>0</v>
      </c>
      <c r="AW256" s="3091">
        <f t="array" ref="AW256">SUM(IF($AL256:$AR256='Tablas Técnicas'!$L$10:$L$643,'Tablas Técnicas'!$G$10:$G$643,0))</f>
        <v>0</v>
      </c>
      <c r="AX256" s="3089"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089" t="str">
        <f>IFERROR(LEFT(AX256,LEN(AX256)-2)&amp;"), ","")</f>
        <v/>
      </c>
    </row>
    <row r="257" spans="1:51" ht="12.2" customHeight="1" x14ac:dyDescent="0.2">
      <c r="A257" s="2185"/>
      <c r="B257" s="2099">
        <f t="shared" si="6"/>
        <v>8</v>
      </c>
      <c r="C257" s="4538"/>
      <c r="D257" s="4629" t="s">
        <v>524</v>
      </c>
      <c r="E257" s="4630"/>
      <c r="F257" s="4559"/>
      <c r="G257" s="4560"/>
      <c r="H257" s="4560"/>
      <c r="I257" s="4560"/>
      <c r="J257" s="4561"/>
      <c r="K257" s="4621" t="s">
        <v>1456</v>
      </c>
      <c r="L257" s="4622"/>
      <c r="M257" s="4623"/>
      <c r="N257" s="1921">
        <f>IF(AW257&gt;0,IF(VLOOKUP(F257,'Tablas Técnicas'!$O$9:$X$88,10,0),MAX(5,AW257-5),AW257),0)</f>
        <v>0</v>
      </c>
      <c r="O257" s="1921" t="str">
        <f>AS257&amp;" / "&amp;AT257</f>
        <v>0 / 0</v>
      </c>
      <c r="P257" s="1921" t="str">
        <f t="array" ref="P257">W257+Y257+AA257+AC257+AE257+AG257&amp;" / "&amp;IF(K257&lt;&gt;"Mantenido",0,SUM(IF($AL257:$AR257='Tablas Técnicas'!$L$10:$L$643,'Tablas Técnicas'!$H$10:$H$643,0)))</f>
        <v>0 / 0</v>
      </c>
      <c r="Q257" s="4631" t="str">
        <f>IFERROR(VLOOKUP(F257,'Tablas Técnicas'!$O$9:$T$88,5,FALSE),"")</f>
        <v/>
      </c>
      <c r="R257" s="4631"/>
      <c r="S257" s="4631"/>
      <c r="T257" s="4631"/>
      <c r="U257" s="4631"/>
      <c r="V257" s="2065"/>
      <c r="W257" s="2066"/>
      <c r="X257" s="2065"/>
      <c r="Y257" s="2067"/>
      <c r="Z257" s="2068"/>
      <c r="AA257" s="2066"/>
      <c r="AB257" s="2065"/>
      <c r="AC257" s="2067"/>
      <c r="AD257" s="2068"/>
      <c r="AE257" s="2066"/>
      <c r="AF257" s="2065"/>
      <c r="AG257" s="2069"/>
      <c r="AH257" s="2193"/>
      <c r="AI257" s="4558"/>
      <c r="AJ257" s="3089">
        <v>3</v>
      </c>
      <c r="AK257" s="3089">
        <f>P251</f>
        <v>1</v>
      </c>
      <c r="AL257" s="3089" t="str">
        <f>IF(AND(ISNUMBER(MATCH($F257,'Tablas Técnicas'!$L$10:$L$643,0)),INDEX($P268:$P274,Tablas!A$1)="",COUNTIF(AM257:$AS257,$F257)=0),$F257,IF(INDEX($P268:$P274,Tablas!A$1)="","",$F257&amp;INDEX($P268:$P274,Tablas!A$1)))</f>
        <v/>
      </c>
      <c r="AM257" s="3089" t="str">
        <f>IF(AND(ISNUMBER(MATCH($F257,'Tablas Técnicas'!$L$10:$L$643,0)),INDEX($P268:$P274,Tablas!B$1)="",COUNTIF(AN257:$AS257,$F257)=0),$F257,IF(INDEX($P268:$P274,Tablas!B$1)="","",$F257&amp;INDEX($P268:$P274,Tablas!B$1)))</f>
        <v/>
      </c>
      <c r="AN257" s="3089" t="str">
        <f>IF(AND(ISNUMBER(MATCH($F257,'Tablas Técnicas'!$L$10:$L$643,0)),INDEX($P268:$P274,Tablas!C$1)="",COUNTIF(AO257:$AS257,$F257)=0),$F257,IF(INDEX($P268:$P274,Tablas!C$1)="","",$F257&amp;INDEX($P268:$P274,Tablas!C$1)))</f>
        <v/>
      </c>
      <c r="AO257" s="3089" t="str">
        <f>IF(AND(ISNUMBER(MATCH($F257,'Tablas Técnicas'!$L$10:$L$643,0)),INDEX($P268:$P274,Tablas!D$1)="",COUNTIF(AP257:$AS257,$F257)=0),$F257,IF(INDEX($P268:$P274,Tablas!D$1)="","",$F257&amp;INDEX($P268:$P274,Tablas!D$1)))</f>
        <v/>
      </c>
      <c r="AP257" s="3089" t="str">
        <f>IF(AND(ISNUMBER(MATCH($F257,'Tablas Técnicas'!$L$10:$L$643,0)),INDEX($P268:$P274,Tablas!E$1)="",COUNTIF(AQ257:$AS257,$F257)=0),$F257,IF(INDEX($P268:$P274,Tablas!E$1)="","",$F257&amp;INDEX($P268:$P274,Tablas!E$1)))</f>
        <v/>
      </c>
      <c r="AQ257" s="3089" t="str">
        <f>IF(AND(ISNUMBER(MATCH($F257,'Tablas Técnicas'!$L$10:$L$643,0)),INDEX($P268:$P274,Tablas!F$1)="",COUNTIF(AR257:$AS257,$F257)=0),$F257,IF(INDEX($P268:$P274,Tablas!F$1)="","",$F257&amp;INDEX($P268:$P274,Tablas!F$1)))</f>
        <v/>
      </c>
      <c r="AR257" s="3089" t="str">
        <f>IF(AND(ISNUMBER(MATCH($F257,'Tablas Técnicas'!$L$10:$L$643,0)),INDEX($P268:$P274,Tablas!G$1)="",COUNTIF(AS257:$AS257,$F257)=0),$F257,IF(INDEX($P268:$P274,Tablas!G$1)="","",$F257&amp;INDEX($P268:$P274,Tablas!G$1)))</f>
        <v/>
      </c>
      <c r="AS257" s="3091">
        <f>V257+X257+Z257+AB257+AD257+AF257</f>
        <v>0</v>
      </c>
      <c r="AT257" s="3091">
        <f t="array" ref="AT257">SUM(IF($AL257:$AR257='Tablas Técnicas'!$L$10:$L$643,IF(D257="Primario",'Tablas Técnicas'!$E$10:$E$643,'Tablas Técnicas'!$F$10:$F$643)+IF(K257="Sostenimiento menor",'Tablas Técnicas'!$I$10:$I$643,IF(K257="sostenimiento mayor",'Tablas Técnicas'!$J$10:$J$643,0)),0),0)+VALUE(RIGHT(P257,2))+AU257+AV257</f>
        <v>0</v>
      </c>
      <c r="AU257" s="309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091">
        <f>(COUNTIF(AL257:AR257,"*Estado añadido:*")-1)*COUNTIF(AL257:AR257,"*Estado añadido:*")</f>
        <v>0</v>
      </c>
      <c r="AW257" s="3091">
        <f t="array" ref="AW257">SUM(IF($AL257:$AR257='Tablas Técnicas'!$L$10:$L$643,'Tablas Técnicas'!$G$10:$G$643,0))</f>
        <v>0</v>
      </c>
      <c r="AX257" s="3089"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089" t="str">
        <f>IFERROR(LEFT(AX257,LEN(AX257)-2)&amp;"), ","")</f>
        <v/>
      </c>
    </row>
    <row r="258" spans="1:51" ht="12.2" customHeight="1" x14ac:dyDescent="0.2">
      <c r="A258" s="2185"/>
      <c r="B258" s="2099">
        <f t="shared" si="6"/>
        <v>8</v>
      </c>
      <c r="C258" s="4538"/>
      <c r="D258" s="4583" t="s">
        <v>524</v>
      </c>
      <c r="E258" s="4584"/>
      <c r="F258" s="4615"/>
      <c r="G258" s="4616"/>
      <c r="H258" s="4616"/>
      <c r="I258" s="4616"/>
      <c r="J258" s="4617"/>
      <c r="K258" s="4618" t="s">
        <v>1456</v>
      </c>
      <c r="L258" s="4619"/>
      <c r="M258" s="4620"/>
      <c r="N258" s="1925">
        <f>IF(AW258&gt;0,IF(VLOOKUP(F258,'Tablas Técnicas'!$O$9:$X$88,10,0),MAX(5,AW258-5),AW258),0)</f>
        <v>0</v>
      </c>
      <c r="O258" s="1925" t="str">
        <f>AS258&amp;" / "&amp;AT258</f>
        <v>0 / 0</v>
      </c>
      <c r="P258" s="1925" t="str">
        <f t="array" ref="P258">W258+Y258+AA258+AC258+AE258+AG258&amp;" / "&amp;IF(K258&lt;&gt;"Mantenido",0,SUM(IF($AL258:$AR258='Tablas Técnicas'!$L$10:$L$643,'Tablas Técnicas'!$H$10:$H$643,0)))</f>
        <v>0 / 0</v>
      </c>
      <c r="Q258" s="4585" t="str">
        <f>IFERROR(VLOOKUP(F258,'Tablas Técnicas'!$O$9:$T$88,5,FALSE),"")</f>
        <v/>
      </c>
      <c r="R258" s="4585"/>
      <c r="S258" s="4585"/>
      <c r="T258" s="4585"/>
      <c r="U258" s="4585"/>
      <c r="V258" s="2060"/>
      <c r="W258" s="2061"/>
      <c r="X258" s="2060"/>
      <c r="Y258" s="2062"/>
      <c r="Z258" s="2063"/>
      <c r="AA258" s="2061"/>
      <c r="AB258" s="2060"/>
      <c r="AC258" s="2062"/>
      <c r="AD258" s="2063"/>
      <c r="AE258" s="2061"/>
      <c r="AF258" s="2060"/>
      <c r="AG258" s="2064"/>
      <c r="AH258" s="2193"/>
      <c r="AI258" s="4558"/>
      <c r="AJ258" s="3089">
        <v>4</v>
      </c>
      <c r="AK258" s="3089">
        <f>P251</f>
        <v>1</v>
      </c>
      <c r="AL258" s="3089" t="str">
        <f>IF(AND(ISNUMBER(MATCH($F258,'Tablas Técnicas'!$L$10:$L$643,0)),INDEX($V268:$V274,Tablas!A$1)="",COUNTIF(AM258:$AS258,$F258)=0),$F258,IF(INDEX($V268:$V274,Tablas!A$1)="","",$F258&amp;INDEX($V268:$V274,Tablas!A$1)))</f>
        <v/>
      </c>
      <c r="AM258" s="3089" t="str">
        <f>IF(AND(ISNUMBER(MATCH($F258,'Tablas Técnicas'!$L$10:$L$643,0)),INDEX($V268:$V274,Tablas!B$1)="",COUNTIF(AN258:$AS258,$F258)=0),$F258,IF(INDEX($V268:$V274,Tablas!B$1)="","",$F258&amp;INDEX($V268:$V274,Tablas!B$1)))</f>
        <v/>
      </c>
      <c r="AN258" s="3089" t="str">
        <f>IF(AND(ISNUMBER(MATCH($F258,'Tablas Técnicas'!$L$10:$L$643,0)),INDEX($V268:$V274,Tablas!C$1)="",COUNTIF(AO258:$AS258,$F258)=0),$F258,IF(INDEX($V268:$V274,Tablas!C$1)="","",$F258&amp;INDEX($V268:$V274,Tablas!C$1)))</f>
        <v/>
      </c>
      <c r="AO258" s="3089" t="str">
        <f>IF(AND(ISNUMBER(MATCH($F258,'Tablas Técnicas'!$L$10:$L$643,0)),INDEX($V268:$V274,Tablas!D$1)="",COUNTIF(AP258:$AS258,$F258)=0),$F258,IF(INDEX($V268:$V274,Tablas!D$1)="","",$F258&amp;INDEX($V268:$V274,Tablas!D$1)))</f>
        <v/>
      </c>
      <c r="AP258" s="3089" t="str">
        <f>IF(AND(ISNUMBER(MATCH($F258,'Tablas Técnicas'!$L$10:$L$643,0)),INDEX($V268:$V274,Tablas!E$1)="",COUNTIF(AQ258:$AS258,$F258)=0),$F258,IF(INDEX($V268:$V274,Tablas!E$1)="","",$F258&amp;INDEX($V268:$V274,Tablas!E$1)))</f>
        <v/>
      </c>
      <c r="AQ258" s="3089" t="str">
        <f>IF(AND(ISNUMBER(MATCH($F258,'Tablas Técnicas'!$L$10:$L$643,0)),INDEX($V268:$V274,Tablas!F$1)="",COUNTIF(AR258:$AS258,$F258)=0),$F258,IF(INDEX($V268:$V274,Tablas!F$1)="","",$F258&amp;INDEX($V268:$V274,Tablas!F$1)))</f>
        <v/>
      </c>
      <c r="AR258" s="3089" t="str">
        <f>IF(AND(ISNUMBER(MATCH($F258,'Tablas Técnicas'!$L$10:$L$643,0)),INDEX($V268:$V274,Tablas!G$1)="",COUNTIF(AS258:$AS258,$F258)=0),$F258,IF(INDEX($V268:$V274,Tablas!G$1)="","",$F258&amp;INDEX($V268:$V274,Tablas!G$1)))</f>
        <v/>
      </c>
      <c r="AS258" s="3091">
        <f>V258+X258+Z258+AB258+AD258+AF258</f>
        <v>0</v>
      </c>
      <c r="AT258" s="3091">
        <f t="array" ref="AT258">SUM(IF($AL258:$AR258='Tablas Técnicas'!$L$10:$L$643,IF(D258="Primario",'Tablas Técnicas'!$E$10:$E$643,'Tablas Técnicas'!$F$10:$F$643)+IF(K258="Sostenimiento menor",'Tablas Técnicas'!$I$10:$I$643,IF(K258="sostenimiento mayor",'Tablas Técnicas'!$J$10:$J$643,0)),0),0)+VALUE(RIGHT(P258,2))+AU258+AV258</f>
        <v>0</v>
      </c>
      <c r="AU258" s="309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091">
        <f>(COUNTIF(AL258:AR258,"*Estado añadido:*")-1)*COUNTIF(AL258:AR258,"*Estado añadido:*")</f>
        <v>0</v>
      </c>
      <c r="AW258" s="3091">
        <f t="array" ref="AW258">SUM(IF($AL258:$AR258='Tablas Técnicas'!$L$10:$L$643,'Tablas Técnicas'!$G$10:$G$643,0))</f>
        <v>0</v>
      </c>
      <c r="AX258" s="3089"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089" t="str">
        <f>IFERROR(LEFT(AX258,LEN(AX258)-2)&amp;"), ","")</f>
        <v/>
      </c>
    </row>
    <row r="259" spans="1:51" ht="12.2" customHeight="1" thickBot="1" x14ac:dyDescent="0.25">
      <c r="A259" s="2185"/>
      <c r="B259" s="2099">
        <f t="shared" si="6"/>
        <v>8</v>
      </c>
      <c r="C259" s="4538"/>
      <c r="D259" s="4586" t="s">
        <v>524</v>
      </c>
      <c r="E259" s="4587"/>
      <c r="F259" s="4543"/>
      <c r="G259" s="4544"/>
      <c r="H259" s="4544"/>
      <c r="I259" s="4544"/>
      <c r="J259" s="4545"/>
      <c r="K259" s="4546" t="s">
        <v>1456</v>
      </c>
      <c r="L259" s="4547"/>
      <c r="M259" s="4548"/>
      <c r="N259" s="2187">
        <f>IF(AW259&gt;0,IF(VLOOKUP(F259,'Tablas Técnicas'!$O$9:$X$88,10,0),MAX(5,AW259-5),AW259),0)</f>
        <v>0</v>
      </c>
      <c r="O259" s="2187" t="str">
        <f>AS259&amp;" / "&amp;AT259</f>
        <v>0 / 0</v>
      </c>
      <c r="P259" s="2187" t="str">
        <f t="array" ref="P259">W259+Y259+AA259+AC259+AE259+AG259&amp;" / "&amp;IF(K259&lt;&gt;"Mantenido",0,SUM(IF($AL259:$AR259='Tablas Técnicas'!$L$10:$L$643,'Tablas Técnicas'!$H$10:$H$643,0)))</f>
        <v>0 / 0</v>
      </c>
      <c r="Q259" s="4588" t="str">
        <f>IFERROR(VLOOKUP(F259,'Tablas Técnicas'!$O$9:$T$88,5,FALSE),"")</f>
        <v/>
      </c>
      <c r="R259" s="4588"/>
      <c r="S259" s="4588"/>
      <c r="T259" s="4588"/>
      <c r="U259" s="4588"/>
      <c r="V259" s="2070"/>
      <c r="W259" s="2071"/>
      <c r="X259" s="2070"/>
      <c r="Y259" s="2072"/>
      <c r="Z259" s="2073"/>
      <c r="AA259" s="2071"/>
      <c r="AB259" s="2070"/>
      <c r="AC259" s="2072"/>
      <c r="AD259" s="2073"/>
      <c r="AE259" s="2071"/>
      <c r="AF259" s="2070"/>
      <c r="AG259" s="2074"/>
      <c r="AH259" s="2193"/>
      <c r="AI259" s="4558"/>
      <c r="AJ259" s="3089">
        <v>5</v>
      </c>
      <c r="AK259" s="3089">
        <f>P251</f>
        <v>1</v>
      </c>
      <c r="AL259" s="3089" t="str">
        <f>IF(AND(ISNUMBER(MATCH($F259,'Tablas Técnicas'!$L$10:$L$643,0)),INDEX($AB268:$AB274,Tablas!A$1)="",COUNTIF(AM259:$AS259,$F259)=0),$F259,IF(INDEX($AB268:$AB274,Tablas!A$1)="","",$F259&amp;INDEX($AB268:$AB274,Tablas!A$1)))</f>
        <v/>
      </c>
      <c r="AM259" s="3089" t="str">
        <f>IF(AND(ISNUMBER(MATCH($F259,'Tablas Técnicas'!$L$10:$L$643,0)),INDEX($AB268:$AB274,Tablas!B$1)="",COUNTIF(AN259:$AS259,$F259)=0),$F259,IF(INDEX($AB268:$AB274,Tablas!B$1)="","",$F259&amp;INDEX($AB268:$AB274,Tablas!B$1)))</f>
        <v/>
      </c>
      <c r="AN259" s="3089" t="str">
        <f>IF(AND(ISNUMBER(MATCH($F259,'Tablas Técnicas'!$L$10:$L$643,0)),INDEX($AB268:$AB274,Tablas!C$1)="",COUNTIF(AO259:$AS259,$F259)=0),$F259,IF(INDEX($AB268:$AB274,Tablas!C$1)="","",$F259&amp;INDEX($AB268:$AB274,Tablas!C$1)))</f>
        <v/>
      </c>
      <c r="AO259" s="3089" t="str">
        <f>IF(AND(ISNUMBER(MATCH($F259,'Tablas Técnicas'!$L$10:$L$643,0)),INDEX($AB268:$AB274,Tablas!D$1)="",COUNTIF(AP259:$AS259,$F259)=0),$F259,IF(INDEX($AB268:$AB274,Tablas!D$1)="","",$F259&amp;INDEX($AB268:$AB274,Tablas!D$1)))</f>
        <v/>
      </c>
      <c r="AP259" s="3089" t="str">
        <f>IF(AND(ISNUMBER(MATCH($F259,'Tablas Técnicas'!$L$10:$L$643,0)),INDEX($AB268:$AB274,Tablas!E$1)="",COUNTIF(AQ259:$AS259,$F259)=0),$F259,IF(INDEX($AB268:$AB274,Tablas!E$1)="","",$F259&amp;INDEX($AB268:$AB274,Tablas!E$1)))</f>
        <v/>
      </c>
      <c r="AQ259" s="3089" t="str">
        <f>IF(AND(ISNUMBER(MATCH($F259,'Tablas Técnicas'!$L$10:$L$643,0)),INDEX($AB268:$AB274,Tablas!F$1)="",COUNTIF(AR259:$AS259,$F259)=0),$F259,IF(INDEX($AB268:$AB274,Tablas!F$1)="","",$F259&amp;INDEX($AB268:$AB274,Tablas!F$1)))</f>
        <v/>
      </c>
      <c r="AR259" s="3089" t="str">
        <f>IF(AND(ISNUMBER(MATCH($F259,'Tablas Técnicas'!$L$10:$L$643,0)),INDEX($AB268:$AB274,Tablas!G$1)="",COUNTIF(AS259:$AS259,$F259)=0),$F259,IF(INDEX($AB268:$AB274,Tablas!G$1)="","",$F259&amp;INDEX($AB268:$AB274,Tablas!G$1)))</f>
        <v/>
      </c>
      <c r="AS259" s="3091">
        <f>V259+X259+Z259+AB259+AD259+AF259</f>
        <v>0</v>
      </c>
      <c r="AT259" s="3091">
        <f t="array" ref="AT259">SUM(IF($AL259:$AR259='Tablas Técnicas'!$L$10:$L$643,IF(D259="Primario",'Tablas Técnicas'!$E$10:$E$643,'Tablas Técnicas'!$F$10:$F$643)+IF(K259="Sostenimiento menor",'Tablas Técnicas'!$I$10:$I$643,IF(K259="sostenimiento mayor",'Tablas Técnicas'!$J$10:$J$643,0)),0),0)+VALUE(RIGHT(P259,2))+AU259+AV259</f>
        <v>0</v>
      </c>
      <c r="AU259" s="309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091">
        <f>(COUNTIF(AL259:AR259,"*Estado añadido:*")-1)*COUNTIF(AL259:AR259,"*Estado añadido:*")</f>
        <v>0</v>
      </c>
      <c r="AW259" s="3091">
        <f t="array" ref="AW259">SUM(IF($AL259:$AR259='Tablas Técnicas'!$L$10:$L$643,'Tablas Técnicas'!$G$10:$G$643,0))</f>
        <v>0</v>
      </c>
      <c r="AX259" s="3089"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089" t="str">
        <f>IFERROR(LEFT(AX259,LEN(AX259)-2)&amp;"), ","")</f>
        <v/>
      </c>
    </row>
    <row r="260" spans="1:51" ht="12.2" customHeight="1" x14ac:dyDescent="0.2">
      <c r="A260" s="2185"/>
      <c r="B260" s="2099">
        <f t="shared" si="6"/>
        <v>8</v>
      </c>
      <c r="C260" s="4538"/>
      <c r="D260" s="4589" t="s">
        <v>2819</v>
      </c>
      <c r="E260" s="4590"/>
      <c r="F260" s="4610"/>
      <c r="G260" s="4611"/>
      <c r="H260" s="4611"/>
      <c r="I260" s="4611"/>
      <c r="J260" s="4612"/>
      <c r="K260" s="4628"/>
      <c r="L260" s="4657"/>
      <c r="M260" s="4658"/>
      <c r="N260" s="1929" t="str">
        <f>IFERROR(INDEX('Tablas Técnicas'!$Q$200:$Q$301,MATCH(F260&amp;K260,'Tablas Técnicas'!$S$200:$S$301,0)),"")</f>
        <v/>
      </c>
      <c r="O260" s="4659"/>
      <c r="P260" s="4660"/>
      <c r="Q260" s="4661"/>
      <c r="R260" s="4660"/>
      <c r="S260" s="2761" t="str">
        <f>IFERROR("Nivel: "&amp;MAX(1,INDEX('Tablas Técnicas'!$R$200:$R$301,MATCH(F260&amp;K260,'Tablas Técnicas'!$S$200:$S$301,0))),"")</f>
        <v/>
      </c>
      <c r="T260" s="1930"/>
      <c r="U260" s="1931" t="str">
        <f>IFERROR("("&amp;VLOOKUP(F260,'Tablas Técnicas'!$O$165:$Q$192,3,FALSE)&amp;")","")</f>
        <v/>
      </c>
      <c r="V260" s="4598" t="s">
        <v>9625</v>
      </c>
      <c r="W260" s="4599"/>
      <c r="X260" s="4600"/>
      <c r="Y260" s="2311">
        <v>0</v>
      </c>
      <c r="Z260" s="4601" t="s">
        <v>8811</v>
      </c>
      <c r="AA260" s="4602"/>
      <c r="AB260" s="4603"/>
      <c r="AC260" s="2311">
        <v>0</v>
      </c>
      <c r="AD260" s="4604" t="str">
        <f>"Ki sin repartir: "&amp;AL268-AL269&amp;IF(AM268=0,""," ("&amp;AM268-AM269&amp;")")</f>
        <v>Ki sin repartir: 0</v>
      </c>
      <c r="AE260" s="4605"/>
      <c r="AF260" s="4605"/>
      <c r="AG260" s="4606"/>
      <c r="AH260" s="2193"/>
      <c r="AI260" s="4558"/>
      <c r="AJ260" s="3089">
        <v>1</v>
      </c>
      <c r="AK260" s="3089">
        <f>P251</f>
        <v>1</v>
      </c>
      <c r="AL260" s="3089" t="e">
        <f>VLOOKUP(F260,'Tablas Técnicas'!$O$165:$Q$188,2,FALSE)</f>
        <v>#N/A</v>
      </c>
      <c r="AM260" s="3089"/>
      <c r="AN260" s="3090"/>
      <c r="AO260" s="3089"/>
      <c r="AP260" s="3089"/>
      <c r="AQ260" s="3090"/>
      <c r="AR260" s="3089"/>
      <c r="AS260" s="3089"/>
      <c r="AT260" s="3089"/>
      <c r="AU260" s="3089"/>
      <c r="AV260" s="3089"/>
      <c r="AW260" s="3091"/>
      <c r="AX260" s="3091"/>
      <c r="AY260" s="3089" t="str">
        <f>IF(F260="","",F260&amp;IF(K260="",""," ("&amp;IF(F260="Atadura Elemental",O260&amp;IF(Q260="","",", "&amp;Q260),K260)&amp;")")&amp;", ")</f>
        <v/>
      </c>
    </row>
    <row r="261" spans="1:51" ht="12.2" customHeight="1" x14ac:dyDescent="0.2">
      <c r="A261" s="2185"/>
      <c r="B261" s="2099">
        <f t="shared" si="6"/>
        <v>8</v>
      </c>
      <c r="C261" s="4538"/>
      <c r="D261" s="4591"/>
      <c r="E261" s="4592"/>
      <c r="F261" s="4662"/>
      <c r="G261" s="4663"/>
      <c r="H261" s="4663"/>
      <c r="I261" s="4663"/>
      <c r="J261" s="4664"/>
      <c r="K261" s="4617"/>
      <c r="L261" s="4677"/>
      <c r="M261" s="4678"/>
      <c r="N261" s="1932" t="str">
        <f>IFERROR(INDEX('Tablas Técnicas'!$Q$200:$Q$301,MATCH(F261&amp;K261,'Tablas Técnicas'!$S$200:$S$301,0)),"")</f>
        <v/>
      </c>
      <c r="O261" s="4665"/>
      <c r="P261" s="4666"/>
      <c r="Q261" s="4667"/>
      <c r="R261" s="4666"/>
      <c r="S261" s="2763" t="str">
        <f>IFERROR("Nivel: "&amp;MAX(1,INDEX('Tablas Técnicas'!$R$200:$R$301,MATCH(F261&amp;K261,'Tablas Técnicas'!$S$200:$S$301,0))),"")</f>
        <v/>
      </c>
      <c r="T261" s="2543"/>
      <c r="U261" s="2544" t="str">
        <f>IFERROR("("&amp;VLOOKUP(F261,'Tablas Técnicas'!$O$165:$Q$192,3,FALSE)&amp;")","")</f>
        <v/>
      </c>
      <c r="V261" s="4607" t="str">
        <f>"Mod. "&amp;V253</f>
        <v>Mod. AGI</v>
      </c>
      <c r="W261" s="4608"/>
      <c r="X261" s="4607" t="str">
        <f>"Mod. "&amp;X253</f>
        <v>Mod. CON</v>
      </c>
      <c r="Y261" s="4608"/>
      <c r="Z261" s="4607" t="str">
        <f>"Mod. "&amp;Z253</f>
        <v>Mod. DES</v>
      </c>
      <c r="AA261" s="4608"/>
      <c r="AB261" s="4607" t="str">
        <f>"Mod. "&amp;AB253</f>
        <v>Mod. FUE</v>
      </c>
      <c r="AC261" s="4608"/>
      <c r="AD261" s="4607" t="str">
        <f>"Mod. "&amp;AD253</f>
        <v>Mod. POD</v>
      </c>
      <c r="AE261" s="4608"/>
      <c r="AF261" s="4607" t="str">
        <f>"Mod. "&amp;AF253</f>
        <v>Mod. VOL</v>
      </c>
      <c r="AG261" s="4609"/>
      <c r="AH261" s="2193"/>
      <c r="AI261" s="4558"/>
      <c r="AJ261" s="3089">
        <v>2</v>
      </c>
      <c r="AK261" s="3089">
        <f>P251</f>
        <v>1</v>
      </c>
      <c r="AL261" s="3089" t="e">
        <f>VLOOKUP(F261,'Tablas Técnicas'!$O$165:$Q$188,2,FALSE)</f>
        <v>#N/A</v>
      </c>
      <c r="AM261" s="3089"/>
      <c r="AN261" s="3090"/>
      <c r="AO261" s="3089"/>
      <c r="AP261" s="3089"/>
      <c r="AQ261" s="3090"/>
      <c r="AR261" s="3089"/>
      <c r="AS261" s="3089"/>
      <c r="AT261" s="3089"/>
      <c r="AU261" s="3089"/>
      <c r="AV261" s="3089"/>
      <c r="AW261" s="3091"/>
      <c r="AX261" s="3091"/>
      <c r="AY261" s="3089" t="str">
        <f>IF(F261="","",F261&amp;IF(K261="",""," ("&amp;IF(F261="Atadura Elemental",O261&amp;IF(Q261="","",", "&amp;Q261),K261)&amp;")")&amp;", ")</f>
        <v/>
      </c>
    </row>
    <row r="262" spans="1:51" ht="12.2" customHeight="1" thickBot="1" x14ac:dyDescent="0.25">
      <c r="A262" s="2185"/>
      <c r="B262" s="2099">
        <f t="shared" si="6"/>
        <v>8</v>
      </c>
      <c r="C262" s="4538"/>
      <c r="D262" s="4593"/>
      <c r="E262" s="4594"/>
      <c r="F262" s="4668"/>
      <c r="G262" s="4669"/>
      <c r="H262" s="4669"/>
      <c r="I262" s="4669"/>
      <c r="J262" s="4670"/>
      <c r="K262" s="4672"/>
      <c r="L262" s="4673"/>
      <c r="M262" s="4674"/>
      <c r="N262" s="1933" t="str">
        <f>IFERROR(INDEX('Tablas Técnicas'!$Q$200:$Q$301,MATCH(F262&amp;K262,'Tablas Técnicas'!$S$200:$S$301,0)),"")</f>
        <v/>
      </c>
      <c r="O262" s="4655"/>
      <c r="P262" s="4656"/>
      <c r="Q262" s="4671"/>
      <c r="R262" s="4656"/>
      <c r="S262" s="2762" t="str">
        <f>IFERROR("Nivel: "&amp;MAX(1,INDEX('Tablas Técnicas'!$R$200:$R$301,MATCH(F262&amp;K262,'Tablas Técnicas'!$S$200:$S$301,0))),"")</f>
        <v/>
      </c>
      <c r="T262" s="2545"/>
      <c r="U262" s="2546" t="str">
        <f>IFERROR("("&amp;VLOOKUP(F262,'Tablas Técnicas'!$O$165:$Q$192,3,FALSE)&amp;")","")</f>
        <v/>
      </c>
      <c r="V262" s="4564"/>
      <c r="W262" s="4562"/>
      <c r="X262" s="4562"/>
      <c r="Y262" s="4562"/>
      <c r="Z262" s="4562"/>
      <c r="AA262" s="4562"/>
      <c r="AB262" s="4562"/>
      <c r="AC262" s="4562"/>
      <c r="AD262" s="4562"/>
      <c r="AE262" s="4562"/>
      <c r="AF262" s="4562"/>
      <c r="AG262" s="4574"/>
      <c r="AH262" s="2193"/>
      <c r="AI262" s="4558"/>
      <c r="AJ262" s="3089">
        <v>3</v>
      </c>
      <c r="AK262" s="3089">
        <f>P251</f>
        <v>1</v>
      </c>
      <c r="AL262" s="3089" t="e">
        <f>VLOOKUP(F262,'Tablas Técnicas'!$O$165:$Q$188,2,FALSE)</f>
        <v>#N/A</v>
      </c>
      <c r="AM262" s="3089"/>
      <c r="AN262" s="3090"/>
      <c r="AO262" s="3089"/>
      <c r="AP262" s="3089"/>
      <c r="AQ262" s="3090"/>
      <c r="AR262" s="3091"/>
      <c r="AS262" s="3091"/>
      <c r="AT262" s="3091"/>
      <c r="AU262" s="3091"/>
      <c r="AV262" s="3091"/>
      <c r="AW262" s="3091"/>
      <c r="AX262" s="3091"/>
      <c r="AY262" s="3089" t="str">
        <f>IF(F262="","",F262&amp;IF(K262="",""," ("&amp;IF(F262="Atadura Elemental",O262&amp;IF(Q262="","",", "&amp;Q262),K262)&amp;")")&amp;", ")</f>
        <v/>
      </c>
    </row>
    <row r="263" spans="1:51" ht="12.2" customHeight="1" x14ac:dyDescent="0.2">
      <c r="A263" s="2185"/>
      <c r="B263" s="2099">
        <f t="shared" si="6"/>
        <v>8</v>
      </c>
      <c r="C263" s="4538"/>
      <c r="D263" s="4549" t="s">
        <v>9306</v>
      </c>
      <c r="E263" s="4550"/>
      <c r="F263" s="4550"/>
      <c r="G263" s="4550"/>
      <c r="H263" s="4550"/>
      <c r="I263" s="4550"/>
      <c r="J263" s="4550"/>
      <c r="K263" s="4550"/>
      <c r="L263" s="4550"/>
      <c r="M263" s="4550"/>
      <c r="N263" s="4550"/>
      <c r="O263" s="4550"/>
      <c r="P263" s="4550"/>
      <c r="Q263" s="4550"/>
      <c r="R263" s="4550"/>
      <c r="S263" s="4550"/>
      <c r="T263" s="4550"/>
      <c r="U263" s="4550"/>
      <c r="V263" s="4551"/>
      <c r="W263" s="4551"/>
      <c r="X263" s="4551"/>
      <c r="Y263" s="4551"/>
      <c r="Z263" s="4551"/>
      <c r="AA263" s="4551"/>
      <c r="AB263" s="4551"/>
      <c r="AC263" s="4551"/>
      <c r="AD263" s="4551"/>
      <c r="AE263" s="4551"/>
      <c r="AF263" s="4551"/>
      <c r="AG263" s="4552"/>
      <c r="AH263" s="2193"/>
      <c r="AI263" s="4558"/>
      <c r="AJ263" s="3089"/>
      <c r="AK263" s="3089"/>
      <c r="AL263" s="3089"/>
      <c r="AM263" s="3089"/>
      <c r="AN263" s="3090" t="s">
        <v>8812</v>
      </c>
      <c r="AO263" s="3089" t="e">
        <f>LEFT(AY255&amp;AY256&amp;AY257&amp;AY258&amp;AY259,LEN(AY255&amp;AY256&amp;AY257&amp;AY258&amp;AY259)-2)</f>
        <v>#VALUE!</v>
      </c>
      <c r="AP263" s="3089"/>
      <c r="AQ263" s="3090"/>
      <c r="AR263" s="3091"/>
      <c r="AS263" s="3091"/>
      <c r="AT263" s="3091"/>
      <c r="AU263" s="3090"/>
      <c r="AV263" s="3090"/>
      <c r="AW263" s="3091"/>
      <c r="AX263" s="3091"/>
      <c r="AY263" s="3089"/>
    </row>
    <row r="264" spans="1:51" ht="12.2" customHeight="1" x14ac:dyDescent="0.2">
      <c r="A264" s="2185"/>
      <c r="B264" s="2099">
        <f t="shared" si="6"/>
        <v>8</v>
      </c>
      <c r="C264" s="4538"/>
      <c r="D264" s="4553" t="str">
        <f>IF(F255="","",F255)</f>
        <v/>
      </c>
      <c r="E264" s="4554"/>
      <c r="F264" s="4554"/>
      <c r="G264" s="4554"/>
      <c r="H264" s="4554"/>
      <c r="I264" s="4555"/>
      <c r="J264" s="4553" t="str">
        <f>IF(F256="","",F256)</f>
        <v/>
      </c>
      <c r="K264" s="4554"/>
      <c r="L264" s="4554"/>
      <c r="M264" s="4554"/>
      <c r="N264" s="4554"/>
      <c r="O264" s="4555"/>
      <c r="P264" s="4554" t="str">
        <f>IF(F257="","",F257)</f>
        <v/>
      </c>
      <c r="Q264" s="4554"/>
      <c r="R264" s="4554"/>
      <c r="S264" s="4554"/>
      <c r="T264" s="4554"/>
      <c r="U264" s="4555"/>
      <c r="V264" s="4553" t="str">
        <f>IF(F258="","",F258)</f>
        <v/>
      </c>
      <c r="W264" s="4554"/>
      <c r="X264" s="4554"/>
      <c r="Y264" s="4554"/>
      <c r="Z264" s="4554"/>
      <c r="AA264" s="4555"/>
      <c r="AB264" s="4554" t="str">
        <f>IF(F259="","",F259)</f>
        <v/>
      </c>
      <c r="AC264" s="4554"/>
      <c r="AD264" s="4554"/>
      <c r="AE264" s="4554"/>
      <c r="AF264" s="4554"/>
      <c r="AG264" s="4577"/>
      <c r="AH264" s="2193"/>
      <c r="AI264" s="4558"/>
      <c r="AJ264" s="3089"/>
      <c r="AK264" s="3089"/>
      <c r="AL264" s="3089"/>
      <c r="AM264" s="3089"/>
      <c r="AN264" s="3090" t="s">
        <v>8813</v>
      </c>
      <c r="AO264" s="3089" t="e">
        <f>LEFT(AY260&amp;AY261&amp;AY262,LEN(AY260&amp;AY261&amp;AY262)-2)</f>
        <v>#VALUE!</v>
      </c>
      <c r="AP264" s="3089"/>
      <c r="AQ264" s="3090"/>
      <c r="AR264" s="3091"/>
      <c r="AS264" s="3091"/>
      <c r="AT264" s="3091"/>
      <c r="AU264" s="3090"/>
      <c r="AV264" s="3090"/>
      <c r="AW264" s="3091"/>
      <c r="AX264" s="3091"/>
      <c r="AY264" s="3089"/>
    </row>
    <row r="265" spans="1:51" ht="12.2" customHeight="1" x14ac:dyDescent="0.2">
      <c r="A265" s="2185"/>
      <c r="B265" s="2099">
        <f t="shared" si="6"/>
        <v>8</v>
      </c>
      <c r="C265" s="4538"/>
      <c r="D265" s="2044" t="s">
        <v>1836</v>
      </c>
      <c r="E265" s="1921" t="str">
        <f>IFERROR(VLOOKUP(D264,'Tablas Técnicas'!$O$9:$T$88,3,FALSE),"")</f>
        <v/>
      </c>
      <c r="F265" s="2037"/>
      <c r="G265" s="2036"/>
      <c r="H265" s="2036" t="s">
        <v>1363</v>
      </c>
      <c r="I265" s="1921" t="str">
        <f>IFERROR(VLOOKUP(D264,'Tablas Técnicas'!$O$9:$T$88,4,FALSE),"")</f>
        <v/>
      </c>
      <c r="J265" s="2044" t="s">
        <v>1836</v>
      </c>
      <c r="K265" s="1921" t="str">
        <f>IFERROR(VLOOKUP(J264,'Tablas Técnicas'!$O$9:$T$88,3,FALSE),"")</f>
        <v/>
      </c>
      <c r="L265" s="2037"/>
      <c r="M265" s="2036"/>
      <c r="N265" s="2036" t="s">
        <v>1363</v>
      </c>
      <c r="O265" s="1934" t="str">
        <f>IFERROR(VLOOKUP(J264,'Tablas Técnicas'!$O$9:$T$88,4,FALSE),"")</f>
        <v/>
      </c>
      <c r="P265" s="2036" t="s">
        <v>1836</v>
      </c>
      <c r="Q265" s="1921" t="str">
        <f>IFERROR(VLOOKUP(P264,'Tablas Técnicas'!$O$9:$T$88,3,FALSE),"")</f>
        <v/>
      </c>
      <c r="R265" s="2037"/>
      <c r="S265" s="2036"/>
      <c r="T265" s="2036" t="s">
        <v>1363</v>
      </c>
      <c r="U265" s="1921" t="str">
        <f>IFERROR(VLOOKUP(P264,'Tablas Técnicas'!$O$9:$T$88,4,FALSE),"")</f>
        <v/>
      </c>
      <c r="V265" s="2044" t="s">
        <v>1836</v>
      </c>
      <c r="W265" s="1921" t="str">
        <f>IFERROR(VLOOKUP(V264,'Tablas Técnicas'!$O$9:$T$88,3,FALSE),"")</f>
        <v/>
      </c>
      <c r="X265" s="2037"/>
      <c r="Y265" s="2036"/>
      <c r="Z265" s="2036" t="s">
        <v>1363</v>
      </c>
      <c r="AA265" s="1934" t="str">
        <f>IFERROR(VLOOKUP(V264,'Tablas Técnicas'!$O$9:$T$88,4,FALSE),"")</f>
        <v/>
      </c>
      <c r="AB265" s="2036" t="s">
        <v>1836</v>
      </c>
      <c r="AC265" s="1921" t="str">
        <f>IFERROR(VLOOKUP(AB264,'Tablas Técnicas'!$O$9:$T$88,3,FALSE),"")</f>
        <v/>
      </c>
      <c r="AD265" s="2037"/>
      <c r="AE265" s="2036"/>
      <c r="AF265" s="2036" t="s">
        <v>1363</v>
      </c>
      <c r="AG265" s="1935" t="str">
        <f>IFERROR(VLOOKUP(AB264,'Tablas Técnicas'!$O$9:$T$88,4,FALSE),"")</f>
        <v/>
      </c>
      <c r="AH265" s="2193"/>
      <c r="AI265" s="4558"/>
      <c r="AJ265" s="3089"/>
      <c r="AK265" s="3089"/>
      <c r="AL265" s="3089"/>
      <c r="AM265" s="3089"/>
      <c r="AN265" s="3090"/>
      <c r="AO265" s="3089"/>
      <c r="AP265" s="3089"/>
      <c r="AQ265" s="3090"/>
      <c r="AR265" s="3091"/>
      <c r="AS265" s="3091"/>
      <c r="AT265" s="3091"/>
      <c r="AU265" s="3091"/>
      <c r="AV265" s="3091"/>
      <c r="AW265" s="3091"/>
      <c r="AX265" s="3091"/>
      <c r="AY265" s="3089"/>
    </row>
    <row r="266" spans="1:51" ht="12.2" customHeight="1" x14ac:dyDescent="0.2">
      <c r="A266" s="2185"/>
      <c r="B266" s="2099">
        <f t="shared" si="6"/>
        <v>8</v>
      </c>
      <c r="C266" s="4538"/>
      <c r="D266" s="2045" t="s">
        <v>8814</v>
      </c>
      <c r="E266" s="2036"/>
      <c r="F266" s="2037"/>
      <c r="G266" s="2038"/>
      <c r="H266" s="2038"/>
      <c r="I266" s="2035" t="str">
        <f>IFERROR(IF(D264="Ataque Elemental",IF(NOT(ISNA(VLOOKUP(D268,'Tablas Técnicas'!$O$100:$O$105,1,0))),D268,"Variable"),VLOOKUP(D264,'Tablas Técnicas'!$O$9:$W$88,9,FALSE)),"")</f>
        <v/>
      </c>
      <c r="J266" s="1936" t="s">
        <v>8814</v>
      </c>
      <c r="K266" s="2188"/>
      <c r="L266" s="2189"/>
      <c r="M266" s="2190"/>
      <c r="N266" s="2190"/>
      <c r="O266" s="1937" t="str">
        <f>IFERROR(IF(J264="Ataque Elemental",IF(NOT(ISNA(VLOOKUP(J268,'Tablas Técnicas'!$O$100:$O$105,1,0))),J268,"Variable"),VLOOKUP(J264,'Tablas Técnicas'!$O$9:$W$88,9,FALSE)),"")</f>
        <v/>
      </c>
      <c r="P266" s="2191" t="s">
        <v>8814</v>
      </c>
      <c r="Q266" s="2188"/>
      <c r="R266" s="2189"/>
      <c r="S266" s="2190"/>
      <c r="T266" s="2190"/>
      <c r="U266" s="2035" t="str">
        <f>IFERROR(IF(P264="Ataque Elemental",IF(NOT(ISNA(VLOOKUP(P268,'Tablas Técnicas'!$O$100:$O$105,1,0))),P268,"Variable"),VLOOKUP(P264,'Tablas Técnicas'!$O$9:$W$88,9,FALSE)),"")</f>
        <v/>
      </c>
      <c r="V266" s="1936" t="s">
        <v>8814</v>
      </c>
      <c r="W266" s="2188"/>
      <c r="X266" s="2189"/>
      <c r="Y266" s="2190"/>
      <c r="Z266" s="2190"/>
      <c r="AA266" s="1937" t="str">
        <f>IFERROR(IF(V264="Ataque Elemental",IF(NOT(ISNA(VLOOKUP(V268,'Tablas Técnicas'!$O$100:$O$105,1,0))),V268,"Variable"),VLOOKUP(V264,'Tablas Técnicas'!$O$9:$W$88,9,FALSE)),"")</f>
        <v/>
      </c>
      <c r="AB266" s="2191" t="s">
        <v>8814</v>
      </c>
      <c r="AC266" s="2188"/>
      <c r="AD266" s="2189"/>
      <c r="AE266" s="2190"/>
      <c r="AF266" s="2190"/>
      <c r="AG266" s="2050" t="str">
        <f>IFERROR(IF(AB264="Ataque Elemental",IF(NOT(ISNA(VLOOKUP(AB268,'Tablas Técnicas'!$O$100:$O$105,1,0))),AB268,"Variable"),VLOOKUP(AB264,'Tablas Técnicas'!$O$9:$W$88,9,FALSE)),"")</f>
        <v/>
      </c>
      <c r="AH266" s="2193"/>
      <c r="AI266" s="4558"/>
      <c r="AJ266" s="3089"/>
      <c r="AK266" s="3091" t="s">
        <v>1373</v>
      </c>
      <c r="AL266" s="3091" t="s">
        <v>1498</v>
      </c>
      <c r="AM266" s="3091" t="s">
        <v>1378</v>
      </c>
      <c r="AN266" s="3091" t="s">
        <v>1383</v>
      </c>
      <c r="AO266" s="3091" t="s">
        <v>1391</v>
      </c>
      <c r="AP266" s="3091" t="s">
        <v>1392</v>
      </c>
      <c r="AQ266" s="3090"/>
      <c r="AR266" s="3091"/>
      <c r="AS266" s="3091"/>
      <c r="AT266" s="3091"/>
      <c r="AU266" s="3091"/>
      <c r="AV266" s="3091"/>
      <c r="AW266" s="3091"/>
      <c r="AX266" s="3091"/>
      <c r="AY266" s="3089"/>
    </row>
    <row r="267" spans="1:51" ht="12.2" customHeight="1" x14ac:dyDescent="0.2">
      <c r="A267" s="2185"/>
      <c r="B267" s="2099">
        <f t="shared" si="6"/>
        <v>8</v>
      </c>
      <c r="C267" s="4538"/>
      <c r="D267" s="4553" t="s">
        <v>2827</v>
      </c>
      <c r="E267" s="4554"/>
      <c r="F267" s="4554"/>
      <c r="G267" s="4554"/>
      <c r="H267" s="4555"/>
      <c r="I267" s="1938" t="s">
        <v>1403</v>
      </c>
      <c r="J267" s="4553" t="s">
        <v>2827</v>
      </c>
      <c r="K267" s="4554"/>
      <c r="L267" s="4554"/>
      <c r="M267" s="4554"/>
      <c r="N267" s="4555"/>
      <c r="O267" s="1939" t="s">
        <v>1403</v>
      </c>
      <c r="P267" s="4553" t="s">
        <v>2827</v>
      </c>
      <c r="Q267" s="4554"/>
      <c r="R267" s="4554"/>
      <c r="S267" s="4554"/>
      <c r="T267" s="4555"/>
      <c r="U267" s="1939" t="s">
        <v>1403</v>
      </c>
      <c r="V267" s="4553"/>
      <c r="W267" s="4554"/>
      <c r="X267" s="4554"/>
      <c r="Y267" s="4554"/>
      <c r="Z267" s="4555"/>
      <c r="AA267" s="1939" t="s">
        <v>1403</v>
      </c>
      <c r="AB267" s="4553" t="s">
        <v>2827</v>
      </c>
      <c r="AC267" s="4554"/>
      <c r="AD267" s="4554"/>
      <c r="AE267" s="4554"/>
      <c r="AF267" s="4555"/>
      <c r="AG267" s="1940" t="s">
        <v>1403</v>
      </c>
      <c r="AH267" s="2193"/>
      <c r="AI267" s="4558"/>
      <c r="AJ267" s="3094" t="s">
        <v>9343</v>
      </c>
      <c r="AK267" s="3089" t="str">
        <f>IF(V253="","",IF(SUM(V255:V259)=0,"",V253&amp;" "&amp;SUM(V255:V259)+V262&amp;IF(SUM(W255:W259)=0,""," ("&amp;SUM(W255:W259)&amp;")")&amp;", "))</f>
        <v/>
      </c>
      <c r="AL267" s="3089" t="str">
        <f>IF(X253="","",IF(SUM(X255:X259)=0,"",X253&amp;" "&amp;SUM(X255:X259)+X262&amp;IF(SUM(Y255:Y259)=0,""," ("&amp;SUM(Y255:Y259)&amp;")")&amp;", "))</f>
        <v/>
      </c>
      <c r="AM267" s="3089" t="str">
        <f>IF(Z253="","",IF(SUM(Z255:Z259)=0,"",Z253&amp;" "&amp;SUM(Z255:Z259)+Z262&amp;IF(SUM(AA255:AA259)=0,""," ("&amp;SUM(AA255:AA259)&amp;")")&amp;", "))</f>
        <v/>
      </c>
      <c r="AN267" s="3089" t="str">
        <f>IF(AB253="","",IF(SUM(AB255:AB259)=0,"",AB253&amp;" "&amp;SUM(AB255:AB259)+AB262&amp;IF(SUM(AC255:AC259)=0,""," ("&amp;SUM(AC255:AC259)&amp;")")&amp;", "))</f>
        <v/>
      </c>
      <c r="AO267" s="3089" t="str">
        <f>IF(AD253="","",IF(SUM(AD255:AD259)=0,"",AD253&amp;" "&amp;SUM(AD255:AD259)+AD262&amp;IF(SUM(AE255:AE259)=0,""," ("&amp;SUM(AE255:AE259)&amp;")")&amp;", "))</f>
        <v/>
      </c>
      <c r="AP267" s="3089" t="str">
        <f>IF(AF253="","",IF(SUM(AF255:AF259)=0,"",AF253&amp;" "&amp;SUM(AF255:AF259)+AF262&amp;IF(SUM(AG255:AG259)=0,""," ("&amp;SUM(AG255:AG259)&amp;")")&amp;", "))</f>
        <v/>
      </c>
      <c r="AQ267" s="3089"/>
      <c r="AR267" s="3089"/>
      <c r="AS267" s="3089"/>
      <c r="AT267" s="3089"/>
      <c r="AU267" s="3089"/>
      <c r="AV267" s="3089"/>
      <c r="AW267" s="3089"/>
      <c r="AX267" s="3089"/>
      <c r="AY267" s="3089"/>
    </row>
    <row r="268" spans="1:51" ht="12.2" customHeight="1" x14ac:dyDescent="0.2">
      <c r="A268" s="2185"/>
      <c r="B268" s="2099">
        <f t="shared" si="6"/>
        <v>8</v>
      </c>
      <c r="C268" s="4538"/>
      <c r="D268" s="4575"/>
      <c r="E268" s="4573"/>
      <c r="F268" s="4573"/>
      <c r="G268" s="4573"/>
      <c r="H268" s="4573"/>
      <c r="I268" s="1941" t="str">
        <f>IF(OR(D264="",D268=""),"",MAX(1,SUMPRODUCT(--(INDEX('Tablas Técnicas'!$C$10:$L$643,,1)=D264),--(INDEX('Tablas Técnicas'!$C$10:$L$643,,2)=D268),INDEX('Tablas Técnicas'!$C$10:$L$643,,9))))</f>
        <v/>
      </c>
      <c r="J268" s="4572"/>
      <c r="K268" s="4573"/>
      <c r="L268" s="4573"/>
      <c r="M268" s="4573"/>
      <c r="N268" s="4573"/>
      <c r="O268" s="1941" t="str">
        <f>IF(OR(J264="",J268=""),"",MAX(1,SUMPRODUCT(--(INDEX('Tablas Técnicas'!$C$10:$L$643,,1)=J264),--(INDEX('Tablas Técnicas'!$C$10:$L$643,,2)=J268),INDEX('Tablas Técnicas'!$C$10:$L$643,,9))))</f>
        <v/>
      </c>
      <c r="P268" s="4572"/>
      <c r="Q268" s="4573"/>
      <c r="R268" s="4573"/>
      <c r="S268" s="4573"/>
      <c r="T268" s="4573"/>
      <c r="U268" s="1941" t="str">
        <f>IF(OR(P264="",P268=""),"",MAX(1,SUMPRODUCT(--(INDEX('Tablas Técnicas'!$C$10:$L$643,,1)=P264),--(INDEX('Tablas Técnicas'!$C$10:$L$643,,2)=P268),INDEX('Tablas Técnicas'!$C$10:$L$643,,9))))</f>
        <v/>
      </c>
      <c r="V268" s="4572"/>
      <c r="W268" s="4573"/>
      <c r="X268" s="4573"/>
      <c r="Y268" s="4573"/>
      <c r="Z268" s="4573"/>
      <c r="AA268" s="1941" t="str">
        <f>IF(OR(V264="",V268=""),"",MAX(1,SUMPRODUCT(--(INDEX('Tablas Técnicas'!$C$10:$L$643,,1)=V264),--(INDEX('Tablas Técnicas'!$C$10:$L$643,,2)=V268),INDEX('Tablas Técnicas'!$C$10:$L$643,,9))))</f>
        <v/>
      </c>
      <c r="AB268" s="4572"/>
      <c r="AC268" s="4573"/>
      <c r="AD268" s="4573"/>
      <c r="AE268" s="4573"/>
      <c r="AF268" s="4573"/>
      <c r="AG268" s="1942" t="str">
        <f>IF(OR(AB264="",AB268=""),"",MAX(1,SUMPRODUCT(--(INDEX('Tablas Técnicas'!$C$10:$L$643,,1)=AB264),--(INDEX('Tablas Técnicas'!$C$10:$L$643,,2)=AB268),INDEX('Tablas Técnicas'!$C$10:$L$643,,9))))</f>
        <v/>
      </c>
      <c r="AH268" s="2193">
        <f>P251</f>
        <v>1</v>
      </c>
      <c r="AI268" s="4558"/>
      <c r="AJ268" s="3089" t="s">
        <v>9307</v>
      </c>
      <c r="AK268" s="3089"/>
      <c r="AL268" s="3089">
        <f>MAX(0,SUM(AT255:AT259)+ABS($AC260*2/5))+IF(AM277,0,Y260)+IF(S251="Sí",3*P251,0)</f>
        <v>0</v>
      </c>
      <c r="AM268" s="3089">
        <f t="array" ref="AM268">IF(ISNUMBER(SEARCH("Mantenido",K255&amp;K256&amp;K257&amp;K258&amp;K259)),MAX(0,SUM(VALUE(RIGHT($P255:$P259,2)))),0)</f>
        <v>0</v>
      </c>
      <c r="AN268" s="3091"/>
      <c r="AO268" s="3091"/>
      <c r="AP268" s="3096"/>
      <c r="AQ268" s="3096"/>
      <c r="AR268" s="3096"/>
      <c r="AS268" s="3096"/>
      <c r="AT268" s="3096"/>
      <c r="AU268" s="3096"/>
      <c r="AV268" s="3096"/>
      <c r="AW268" s="3096"/>
      <c r="AX268" s="3096"/>
      <c r="AY268" s="3089"/>
    </row>
    <row r="269" spans="1:51" ht="12.2" customHeight="1" x14ac:dyDescent="0.2">
      <c r="A269" s="2185"/>
      <c r="B269" s="2099">
        <f t="shared" si="6"/>
        <v>8</v>
      </c>
      <c r="C269" s="4538"/>
      <c r="D269" s="4556"/>
      <c r="E269" s="4557"/>
      <c r="F269" s="4557"/>
      <c r="G269" s="4557"/>
      <c r="H269" s="4557"/>
      <c r="I269" s="1943" t="str">
        <f>IF(OR(D264="",D269=""),"",MAX(1,SUMPRODUCT(--(INDEX('Tablas Técnicas'!$C$10:$L$643,,1)=D264),--(INDEX('Tablas Técnicas'!$C$10:$L$643,,2)=D269),INDEX('Tablas Técnicas'!$C$10:$L$643,,9))))</f>
        <v/>
      </c>
      <c r="J269" s="4556"/>
      <c r="K269" s="4557"/>
      <c r="L269" s="4557"/>
      <c r="M269" s="4557"/>
      <c r="N269" s="4557"/>
      <c r="O269" s="1943" t="str">
        <f>IF(OR(J264="",J269=""),"",MAX(1,SUMPRODUCT(--(INDEX('Tablas Técnicas'!$C$10:$L$643,,1)=J264),--(INDEX('Tablas Técnicas'!$C$10:$L$643,,2)=J269),INDEX('Tablas Técnicas'!$C$10:$L$643,,9))))</f>
        <v/>
      </c>
      <c r="P269" s="4556"/>
      <c r="Q269" s="4557"/>
      <c r="R269" s="4557"/>
      <c r="S269" s="4557"/>
      <c r="T269" s="4557"/>
      <c r="U269" s="1943" t="str">
        <f>IF(OR(P264="",P269=""),"",MAX(1,SUMPRODUCT(--(INDEX('Tablas Técnicas'!$C$10:$L$643,,1)=P264),--(INDEX('Tablas Técnicas'!$C$10:$L$643,,2)=P269),INDEX('Tablas Técnicas'!$C$10:$L$643,,9))))</f>
        <v/>
      </c>
      <c r="V269" s="4556"/>
      <c r="W269" s="4557"/>
      <c r="X269" s="4557"/>
      <c r="Y269" s="4557"/>
      <c r="Z269" s="4557"/>
      <c r="AA269" s="1943" t="str">
        <f>IF(OR(V264="",V269=""),"",MAX(1,SUMPRODUCT(--(INDEX('Tablas Técnicas'!$C$10:$L$643,,1)=V264),--(INDEX('Tablas Técnicas'!$C$10:$L$643,,2)=V269),INDEX('Tablas Técnicas'!$C$10:$L$643,,9))))</f>
        <v/>
      </c>
      <c r="AB269" s="4556"/>
      <c r="AC269" s="4557"/>
      <c r="AD269" s="4557"/>
      <c r="AE269" s="4557"/>
      <c r="AF269" s="4557"/>
      <c r="AG269" s="1944" t="str">
        <f>IF(OR(AB264="",AB269=""),"",MAX(1,SUMPRODUCT(--(INDEX('Tablas Técnicas'!$C$10:$L$643,,1)=AB264),--(INDEX('Tablas Técnicas'!$C$10:$L$643,,2)=AB269),INDEX('Tablas Técnicas'!$C$10:$L$643,,9))))</f>
        <v/>
      </c>
      <c r="AH269" s="2193">
        <f>P251</f>
        <v>1</v>
      </c>
      <c r="AI269" s="4558"/>
      <c r="AJ269" s="3089" t="s">
        <v>8816</v>
      </c>
      <c r="AK269" s="3089"/>
      <c r="AL269" s="3089">
        <f>SUM(V255:V259,X255:X259,Z255:Z259,AB255:AB259,AD255:AD259,AF255:AF259)+SUM(V262:AG262)</f>
        <v>0</v>
      </c>
      <c r="AM269" s="3089">
        <f>SUM(W255:W259,Y255:Y259,AA255:AA259,AC255:AC259,AE255:AE259,AG255:AG259)</f>
        <v>0</v>
      </c>
      <c r="AN269" s="3089"/>
      <c r="AO269" s="3089"/>
      <c r="AP269" s="3089"/>
      <c r="AQ269" s="3089"/>
      <c r="AR269" s="3089"/>
      <c r="AS269" s="3089"/>
      <c r="AT269" s="3089"/>
      <c r="AU269" s="3089"/>
      <c r="AV269" s="3089"/>
      <c r="AW269" s="3091"/>
      <c r="AX269" s="3089"/>
      <c r="AY269" s="3089"/>
    </row>
    <row r="270" spans="1:51" ht="12.2" customHeight="1" x14ac:dyDescent="0.2">
      <c r="A270" s="2185"/>
      <c r="B270" s="2099">
        <f t="shared" si="6"/>
        <v>8</v>
      </c>
      <c r="C270" s="4538"/>
      <c r="D270" s="4556"/>
      <c r="E270" s="4557"/>
      <c r="F270" s="4557"/>
      <c r="G270" s="4557"/>
      <c r="H270" s="4557"/>
      <c r="I270" s="1943" t="str">
        <f>IF(OR(D264="",D270=""),"",MAX(1,SUMPRODUCT(--(INDEX('Tablas Técnicas'!$C$10:$L$643,,1)=D264),--(INDEX('Tablas Técnicas'!$C$10:$L$643,,2)=D270),INDEX('Tablas Técnicas'!$C$10:$L$643,,9))))</f>
        <v/>
      </c>
      <c r="J270" s="4556"/>
      <c r="K270" s="4557"/>
      <c r="L270" s="4557"/>
      <c r="M270" s="4557"/>
      <c r="N270" s="4557"/>
      <c r="O270" s="1943" t="str">
        <f>IF(OR(J264="",J270=""),"",MAX(1,SUMPRODUCT(--(INDEX('Tablas Técnicas'!$C$10:$L$643,,1)=J264),--(INDEX('Tablas Técnicas'!$C$10:$L$643,,2)=J270),INDEX('Tablas Técnicas'!$C$10:$L$643,,9))))</f>
        <v/>
      </c>
      <c r="P270" s="4556"/>
      <c r="Q270" s="4557"/>
      <c r="R270" s="4557"/>
      <c r="S270" s="4557"/>
      <c r="T270" s="4557"/>
      <c r="U270" s="1943" t="str">
        <f>IF(OR(P264="",P270=""),"",MAX(1,SUMPRODUCT(--(INDEX('Tablas Técnicas'!$C$10:$L$643,,1)=P264),--(INDEX('Tablas Técnicas'!$C$10:$L$643,,2)=P270),INDEX('Tablas Técnicas'!$C$10:$L$643,,9))))</f>
        <v/>
      </c>
      <c r="V270" s="4556"/>
      <c r="W270" s="4557"/>
      <c r="X270" s="4557"/>
      <c r="Y270" s="4557"/>
      <c r="Z270" s="4557"/>
      <c r="AA270" s="1943" t="str">
        <f>IF(OR(V264="",V270=""),"",MAX(1,SUMPRODUCT(--(INDEX('Tablas Técnicas'!$C$10:$L$643,,1)=V264),--(INDEX('Tablas Técnicas'!$C$10:$L$643,,2)=V270),INDEX('Tablas Técnicas'!$C$10:$L$643,,9))))</f>
        <v/>
      </c>
      <c r="AB270" s="4556"/>
      <c r="AC270" s="4557"/>
      <c r="AD270" s="4557"/>
      <c r="AE270" s="4557"/>
      <c r="AF270" s="4557"/>
      <c r="AG270" s="1944" t="str">
        <f>IF(OR(AB264="",AB270=""),"",MAX(1,SUMPRODUCT(--(INDEX('Tablas Técnicas'!$C$10:$L$643,,1)=AB264),--(INDEX('Tablas Técnicas'!$C$10:$L$643,,2)=AB270),INDEX('Tablas Técnicas'!$C$10:$L$643,,9))))</f>
        <v/>
      </c>
      <c r="AH270" s="2193">
        <f>P251</f>
        <v>1</v>
      </c>
      <c r="AI270" s="4558"/>
      <c r="AJ270" s="3089"/>
      <c r="AK270" s="3089"/>
      <c r="AL270" s="3089"/>
      <c r="AM270" s="3089"/>
      <c r="AN270" s="3089"/>
      <c r="AO270" s="3089"/>
      <c r="AP270" s="3089"/>
      <c r="AQ270" s="3089"/>
      <c r="AR270" s="3089"/>
      <c r="AS270" s="3089"/>
      <c r="AT270" s="3089"/>
      <c r="AU270" s="3089"/>
      <c r="AV270" s="3089"/>
      <c r="AW270" s="3091"/>
      <c r="AX270" s="3091"/>
      <c r="AY270" s="3089"/>
    </row>
    <row r="271" spans="1:51" ht="12.2" customHeight="1" x14ac:dyDescent="0.2">
      <c r="A271" s="2185"/>
      <c r="B271" s="2099">
        <f t="shared" si="6"/>
        <v>8</v>
      </c>
      <c r="C271" s="4538"/>
      <c r="D271" s="4556"/>
      <c r="E271" s="4557"/>
      <c r="F271" s="4557"/>
      <c r="G271" s="4557"/>
      <c r="H271" s="4557"/>
      <c r="I271" s="1943" t="str">
        <f>IF(OR(D264="",D271=""),"",MAX(1,SUMPRODUCT(--(INDEX('Tablas Técnicas'!$C$10:$L$643,,1)=D264),--(INDEX('Tablas Técnicas'!$C$10:$L$643,,2)=D271),INDEX('Tablas Técnicas'!$C$10:$L$643,,9))))</f>
        <v/>
      </c>
      <c r="J271" s="4556"/>
      <c r="K271" s="4557"/>
      <c r="L271" s="4557"/>
      <c r="M271" s="4557"/>
      <c r="N271" s="4557"/>
      <c r="O271" s="1943" t="str">
        <f>IF(OR(J264="",J271=""),"",MAX(1,SUMPRODUCT(--(INDEX('Tablas Técnicas'!$C$10:$L$643,,1)=J264),--(INDEX('Tablas Técnicas'!$C$10:$L$643,,2)=J271),INDEX('Tablas Técnicas'!$C$10:$L$643,,9))))</f>
        <v/>
      </c>
      <c r="P271" s="4556"/>
      <c r="Q271" s="4557"/>
      <c r="R271" s="4557"/>
      <c r="S271" s="4557"/>
      <c r="T271" s="4557"/>
      <c r="U271" s="1943" t="str">
        <f>IF(OR(P264="",P271=""),"",MAX(1,SUMPRODUCT(--(INDEX('Tablas Técnicas'!$C$10:$L$643,,1)=P264),--(INDEX('Tablas Técnicas'!$C$10:$L$643,,2)=P271),INDEX('Tablas Técnicas'!$C$10:$L$643,,9))))</f>
        <v/>
      </c>
      <c r="V271" s="4556"/>
      <c r="W271" s="4557"/>
      <c r="X271" s="4557"/>
      <c r="Y271" s="4557"/>
      <c r="Z271" s="4557"/>
      <c r="AA271" s="1943" t="str">
        <f>IF(OR(V264="",V271=""),"",MAX(1,SUMPRODUCT(--(INDEX('Tablas Técnicas'!$C$10:$L$643,,1)=V264),--(INDEX('Tablas Técnicas'!$C$10:$L$643,,2)=V271),INDEX('Tablas Técnicas'!$C$10:$L$643,,9))))</f>
        <v/>
      </c>
      <c r="AB271" s="4556"/>
      <c r="AC271" s="4557"/>
      <c r="AD271" s="4557"/>
      <c r="AE271" s="4557"/>
      <c r="AF271" s="4557"/>
      <c r="AG271" s="1944" t="str">
        <f>IF(OR(AB264="",AB271=""),"",MAX(1,SUMPRODUCT(--(INDEX('Tablas Técnicas'!$C$10:$L$643,,1)=AB264),--(INDEX('Tablas Técnicas'!$C$10:$L$643,,2)=AB271),INDEX('Tablas Técnicas'!$C$10:$L$643,,9))))</f>
        <v/>
      </c>
      <c r="AH271" s="2193">
        <f>P251</f>
        <v>1</v>
      </c>
      <c r="AI271" s="4558"/>
      <c r="AJ271" s="3089" t="s">
        <v>8817</v>
      </c>
      <c r="AK271" s="3089"/>
      <c r="AL271" s="3089"/>
      <c r="AM271" s="3089"/>
      <c r="AN271" s="3089"/>
      <c r="AO271" s="3089"/>
      <c r="AP271" s="3089"/>
      <c r="AQ271" s="3090"/>
      <c r="AR271" s="3091"/>
      <c r="AS271" s="3091"/>
      <c r="AT271" s="3091"/>
      <c r="AU271" s="3091"/>
      <c r="AV271" s="3091"/>
      <c r="AW271" s="3091"/>
      <c r="AX271" s="3091"/>
      <c r="AY271" s="3089"/>
    </row>
    <row r="272" spans="1:51" ht="12.2" customHeight="1" x14ac:dyDescent="0.2">
      <c r="A272" s="2185"/>
      <c r="B272" s="2099">
        <f t="shared" si="6"/>
        <v>8</v>
      </c>
      <c r="C272" s="4538"/>
      <c r="D272" s="4556"/>
      <c r="E272" s="4557"/>
      <c r="F272" s="4557"/>
      <c r="G272" s="4557"/>
      <c r="H272" s="4557"/>
      <c r="I272" s="1943" t="str">
        <f>IF(OR(D264="",D272=""),"",MAX(1,SUMPRODUCT(--(INDEX('Tablas Técnicas'!$C$10:$L$643,,1)=D264),--(INDEX('Tablas Técnicas'!$C$10:$L$643,,2)=D272),INDEX('Tablas Técnicas'!$C$10:$L$643,,9))))</f>
        <v/>
      </c>
      <c r="J272" s="4556"/>
      <c r="K272" s="4557"/>
      <c r="L272" s="4557"/>
      <c r="M272" s="4557"/>
      <c r="N272" s="4557"/>
      <c r="O272" s="1943" t="str">
        <f>IF(OR(J264="",J272=""),"",MAX(1,SUMPRODUCT(--(INDEX('Tablas Técnicas'!$C$10:$L$643,,1)=J264),--(INDEX('Tablas Técnicas'!$C$10:$L$643,,2)=J272),INDEX('Tablas Técnicas'!$C$10:$L$643,,9))))</f>
        <v/>
      </c>
      <c r="P272" s="4556"/>
      <c r="Q272" s="4557"/>
      <c r="R272" s="4557"/>
      <c r="S272" s="4557"/>
      <c r="T272" s="4557"/>
      <c r="U272" s="1943" t="str">
        <f>IF(OR(P264="",P272=""),"",MAX(1,SUMPRODUCT(--(INDEX('Tablas Técnicas'!$C$10:$L$643,,1)=P264),--(INDEX('Tablas Técnicas'!$C$10:$L$643,,2)=P272),INDEX('Tablas Técnicas'!$C$10:$L$643,,9))))</f>
        <v/>
      </c>
      <c r="V272" s="4556"/>
      <c r="W272" s="4557"/>
      <c r="X272" s="4557"/>
      <c r="Y272" s="4557"/>
      <c r="Z272" s="4557"/>
      <c r="AA272" s="1943" t="str">
        <f>IF(OR(V264="",V272=""),"",MAX(1,SUMPRODUCT(--(INDEX('Tablas Técnicas'!$C$10:$L$643,,1)=V264),--(INDEX('Tablas Técnicas'!$C$10:$L$643,,2)=V272),INDEX('Tablas Técnicas'!$C$10:$L$643,,9))))</f>
        <v/>
      </c>
      <c r="AB272" s="4556"/>
      <c r="AC272" s="4557"/>
      <c r="AD272" s="4557"/>
      <c r="AE272" s="4557"/>
      <c r="AF272" s="4557"/>
      <c r="AG272" s="1944" t="str">
        <f>IF(OR(AB264="",AB272=""),"",MAX(1,SUMPRODUCT(--(INDEX('Tablas Técnicas'!$C$10:$L$643,,1)=AB264),--(INDEX('Tablas Técnicas'!$C$10:$L$643,,2)=AB272),INDEX('Tablas Técnicas'!$C$10:$L$643,,9))))</f>
        <v/>
      </c>
      <c r="AH272" s="2193">
        <f>P251</f>
        <v>1</v>
      </c>
      <c r="AI272" s="4558"/>
      <c r="AJ272" s="3089" t="s">
        <v>9971</v>
      </c>
      <c r="AK272" s="3089"/>
      <c r="AL272" s="3089"/>
      <c r="AM272" s="3089" t="b">
        <f>U251&gt;IF(P251=3,200,IF(P251=2,100,50))</f>
        <v>0</v>
      </c>
      <c r="AN272" s="3089"/>
      <c r="AO272" s="3089"/>
      <c r="AP272" s="3089"/>
      <c r="AQ272" s="3089"/>
      <c r="AR272" s="3091"/>
      <c r="AS272" s="3091"/>
      <c r="AT272" s="3091"/>
      <c r="AU272" s="3091"/>
      <c r="AV272" s="3091"/>
      <c r="AW272" s="3091"/>
      <c r="AX272" s="3091"/>
      <c r="AY272" s="3089"/>
    </row>
    <row r="273" spans="1:51" ht="12.2" customHeight="1" x14ac:dyDescent="0.2">
      <c r="A273" s="2185"/>
      <c r="B273" s="2099">
        <f t="shared" si="6"/>
        <v>8</v>
      </c>
      <c r="C273" s="4538"/>
      <c r="D273" s="4556"/>
      <c r="E273" s="4557"/>
      <c r="F273" s="4557"/>
      <c r="G273" s="4557"/>
      <c r="H273" s="4557"/>
      <c r="I273" s="1943" t="str">
        <f>IF(OR(D264="",D273=""),"",MAX(1,SUMPRODUCT(--(INDEX('Tablas Técnicas'!$C$10:$L$643,,1)=D264),--(INDEX('Tablas Técnicas'!$C$10:$L$643,,2)=D273),INDEX('Tablas Técnicas'!$C$10:$L$643,,9))))</f>
        <v/>
      </c>
      <c r="J273" s="4556"/>
      <c r="K273" s="4557"/>
      <c r="L273" s="4557"/>
      <c r="M273" s="4557"/>
      <c r="N273" s="4557"/>
      <c r="O273" s="1943" t="str">
        <f>IF(OR(J264="",J273=""),"",MAX(1,SUMPRODUCT(--(INDEX('Tablas Técnicas'!$C$10:$L$643,,1)=J264),--(INDEX('Tablas Técnicas'!$C$10:$L$643,,2)=J273),INDEX('Tablas Técnicas'!$C$10:$L$643,,9))))</f>
        <v/>
      </c>
      <c r="P273" s="4556"/>
      <c r="Q273" s="4557"/>
      <c r="R273" s="4557"/>
      <c r="S273" s="4557"/>
      <c r="T273" s="4557"/>
      <c r="U273" s="1943" t="str">
        <f>IF(OR(P264="",P273=""),"",MAX(1,SUMPRODUCT(--(INDEX('Tablas Técnicas'!$C$10:$L$643,,1)=P264),--(INDEX('Tablas Técnicas'!$C$10:$L$643,,2)=P273),INDEX('Tablas Técnicas'!$C$10:$L$643,,9))))</f>
        <v/>
      </c>
      <c r="V273" s="4556"/>
      <c r="W273" s="4557"/>
      <c r="X273" s="4557"/>
      <c r="Y273" s="4557"/>
      <c r="Z273" s="4557"/>
      <c r="AA273" s="1943" t="str">
        <f>IF(OR(V264="",V273=""),"",MAX(1,SUMPRODUCT(--(INDEX('Tablas Técnicas'!$C$10:$L$643,,1)=V264),--(INDEX('Tablas Técnicas'!$C$10:$L$643,,2)=V273),INDEX('Tablas Técnicas'!$C$10:$L$643,,9))))</f>
        <v/>
      </c>
      <c r="AB273" s="4556"/>
      <c r="AC273" s="4557"/>
      <c r="AD273" s="4557"/>
      <c r="AE273" s="4557"/>
      <c r="AF273" s="4557"/>
      <c r="AG273" s="1944" t="str">
        <f>IF(OR(AB264="",AB273=""),"",MAX(1,SUMPRODUCT(--(INDEX('Tablas Técnicas'!$C$10:$L$643,,1)=AB264),--(INDEX('Tablas Técnicas'!$C$10:$L$643,,2)=AB273),INDEX('Tablas Técnicas'!$C$10:$L$643,,9))))</f>
        <v/>
      </c>
      <c r="AH273" s="2193">
        <f>P251</f>
        <v>1</v>
      </c>
      <c r="AI273" s="4558"/>
      <c r="AJ273" s="3089" t="s">
        <v>8818</v>
      </c>
      <c r="AK273" s="3089"/>
      <c r="AL273" s="3089"/>
      <c r="AM273" s="3089" t="b">
        <f t="array" ref="AM273">MAX(I268:I274,O268:O274,U268:U274,AA268:AA274,AG268:AG274,RIGHT(S260:S262,1))&gt;P251</f>
        <v>0</v>
      </c>
      <c r="AN273" s="3089"/>
      <c r="AO273" s="3089"/>
      <c r="AP273" s="3089"/>
      <c r="AQ273" s="3090"/>
      <c r="AR273" s="3091"/>
      <c r="AS273" s="3091"/>
      <c r="AT273" s="3091"/>
      <c r="AU273" s="3091"/>
      <c r="AV273" s="3091"/>
      <c r="AW273" s="3091"/>
      <c r="AX273" s="3091"/>
      <c r="AY273" s="3089"/>
    </row>
    <row r="274" spans="1:51" ht="12.2" customHeight="1" x14ac:dyDescent="0.2">
      <c r="A274" s="2185"/>
      <c r="B274" s="2099">
        <f t="shared" si="6"/>
        <v>8</v>
      </c>
      <c r="C274" s="4538"/>
      <c r="D274" s="4570"/>
      <c r="E274" s="4571"/>
      <c r="F274" s="4571"/>
      <c r="G274" s="4571"/>
      <c r="H274" s="4571"/>
      <c r="I274" s="1945" t="str">
        <f>IF(OR(D264="",D274=""),"",MAX(1,SUMPRODUCT(--(INDEX('Tablas Técnicas'!$C$10:$L$643,,1)=D264),--(INDEX('Tablas Técnicas'!$C$10:$L$643,,2)=D274),INDEX('Tablas Técnicas'!$C$10:$L$643,,9))))</f>
        <v/>
      </c>
      <c r="J274" s="4570"/>
      <c r="K274" s="4571"/>
      <c r="L274" s="4571"/>
      <c r="M274" s="4571"/>
      <c r="N274" s="4571"/>
      <c r="O274" s="1945" t="str">
        <f>IF(OR(J264="",J274=""),"",MAX(1,SUMPRODUCT(--(INDEX('Tablas Técnicas'!$C$10:$L$643,,1)=J264),--(INDEX('Tablas Técnicas'!$C$10:$L$643,,2)=J274),INDEX('Tablas Técnicas'!$C$10:$L$643,,9))))</f>
        <v/>
      </c>
      <c r="P274" s="4570"/>
      <c r="Q274" s="4571"/>
      <c r="R274" s="4571"/>
      <c r="S274" s="4571"/>
      <c r="T274" s="4571"/>
      <c r="U274" s="1945" t="str">
        <f>IF(OR(P264="",P274=""),"",MAX(1,SUMPRODUCT(--(INDEX('Tablas Técnicas'!$C$10:$L$643,,1)=P264),--(INDEX('Tablas Técnicas'!$C$10:$L$643,,2)=P274),INDEX('Tablas Técnicas'!$C$10:$L$643,,9))))</f>
        <v/>
      </c>
      <c r="V274" s="4570"/>
      <c r="W274" s="4571"/>
      <c r="X274" s="4571"/>
      <c r="Y274" s="4571"/>
      <c r="Z274" s="4571"/>
      <c r="AA274" s="1945" t="str">
        <f>IF(OR(V264="",V274=""),"",MAX(1,SUMPRODUCT(--(INDEX('Tablas Técnicas'!$C$10:$L$643,,1)=V264),--(INDEX('Tablas Técnicas'!$C$10:$L$643,,2)=V274),INDEX('Tablas Técnicas'!$C$10:$L$643,,9))))</f>
        <v/>
      </c>
      <c r="AB274" s="4570"/>
      <c r="AC274" s="4571"/>
      <c r="AD274" s="4571"/>
      <c r="AE274" s="4571"/>
      <c r="AF274" s="4571"/>
      <c r="AG274" s="1946" t="str">
        <f>IF(OR(AB264="",AB274=""),"",MAX(1,SUMPRODUCT(--(INDEX('Tablas Técnicas'!$C$10:$L$643,,1)=AB264),--(INDEX('Tablas Técnicas'!$C$10:$L$643,,2)=AB274),INDEX('Tablas Técnicas'!$C$10:$L$643,,9))))</f>
        <v/>
      </c>
      <c r="AH274" s="2193">
        <f>P251</f>
        <v>1</v>
      </c>
      <c r="AI274" s="4558"/>
      <c r="AJ274" s="3089" t="s">
        <v>9324</v>
      </c>
      <c r="AK274" s="3089"/>
      <c r="AL274" s="3089"/>
      <c r="AM274" s="3089" t="b">
        <f>AND(COUNTIF(K255:M259,"Mantenido"),OR(COUNTIF(K255:M259,"Sostenimiento Menor"),COUNTIF(K255:M259,"Sostenimiento Mayor")))</f>
        <v>0</v>
      </c>
      <c r="AN274" s="3090"/>
      <c r="AO274" s="3089"/>
      <c r="AP274" s="3089"/>
      <c r="AQ274" s="3089"/>
      <c r="AR274" s="3089"/>
      <c r="AS274" s="3089"/>
      <c r="AT274" s="3089"/>
      <c r="AU274" s="3091"/>
      <c r="AV274" s="3091"/>
      <c r="AW274" s="3091"/>
      <c r="AX274" s="3091"/>
      <c r="AY274" s="3089"/>
    </row>
    <row r="275" spans="1:51" ht="12.2" customHeight="1" x14ac:dyDescent="0.2">
      <c r="A275" s="2185"/>
      <c r="B275" s="2099">
        <f t="shared" si="6"/>
        <v>8</v>
      </c>
      <c r="C275" s="4538"/>
      <c r="D275" s="4549" t="s">
        <v>1549</v>
      </c>
      <c r="E275" s="4550"/>
      <c r="F275" s="4550"/>
      <c r="G275" s="4550"/>
      <c r="H275" s="4550"/>
      <c r="I275" s="4550"/>
      <c r="J275" s="4550"/>
      <c r="K275" s="4550"/>
      <c r="L275" s="4550"/>
      <c r="M275" s="4550"/>
      <c r="N275" s="4550"/>
      <c r="O275" s="4550"/>
      <c r="P275" s="4550"/>
      <c r="Q275" s="4550"/>
      <c r="R275" s="4550"/>
      <c r="S275" s="4550"/>
      <c r="T275" s="4550"/>
      <c r="U275" s="4550"/>
      <c r="V275" s="4550"/>
      <c r="W275" s="4550"/>
      <c r="X275" s="4550"/>
      <c r="Y275" s="4550"/>
      <c r="Z275" s="4550"/>
      <c r="AA275" s="4550"/>
      <c r="AB275" s="4550"/>
      <c r="AC275" s="4550"/>
      <c r="AD275" s="4550"/>
      <c r="AE275" s="4550"/>
      <c r="AF275" s="4550"/>
      <c r="AG275" s="4576"/>
      <c r="AH275" s="2193"/>
      <c r="AI275" s="4558"/>
      <c r="AJ275" s="3089" t="s">
        <v>9323</v>
      </c>
      <c r="AK275" s="3089"/>
      <c r="AL275" s="3089"/>
      <c r="AM275" s="3089"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089"/>
      <c r="AO275" s="3089"/>
      <c r="AP275" s="3089"/>
      <c r="AQ275" s="3090"/>
      <c r="AR275" s="3089"/>
      <c r="AS275" s="3089"/>
      <c r="AT275" s="3089"/>
      <c r="AU275" s="3091"/>
      <c r="AV275" s="3091"/>
      <c r="AW275" s="3091"/>
      <c r="AX275" s="3091"/>
      <c r="AY275" s="3089"/>
    </row>
    <row r="276" spans="1:51" ht="12.2" customHeight="1" x14ac:dyDescent="0.2">
      <c r="A276" s="2185"/>
      <c r="B276" s="2099">
        <f t="shared" si="6"/>
        <v>8</v>
      </c>
      <c r="C276" s="4538"/>
      <c r="D276" s="4578"/>
      <c r="E276" s="4579"/>
      <c r="F276" s="4579"/>
      <c r="G276" s="4579"/>
      <c r="H276" s="4579"/>
      <c r="I276" s="4579"/>
      <c r="J276" s="4579"/>
      <c r="K276" s="4579"/>
      <c r="L276" s="4579"/>
      <c r="M276" s="4579"/>
      <c r="N276" s="4579"/>
      <c r="O276" s="4579"/>
      <c r="P276" s="4579"/>
      <c r="Q276" s="4579"/>
      <c r="R276" s="4579"/>
      <c r="S276" s="4579"/>
      <c r="T276" s="4579"/>
      <c r="U276" s="4579"/>
      <c r="V276" s="4579"/>
      <c r="W276" s="4579"/>
      <c r="X276" s="4579"/>
      <c r="Y276" s="4579"/>
      <c r="Z276" s="4579"/>
      <c r="AA276" s="4579"/>
      <c r="AB276" s="4579"/>
      <c r="AC276" s="4579"/>
      <c r="AD276" s="4579"/>
      <c r="AE276" s="4579"/>
      <c r="AF276" s="4579"/>
      <c r="AG276" s="4580"/>
      <c r="AH276" s="2193"/>
      <c r="AI276" s="4558"/>
      <c r="AJ276" s="3089" t="s">
        <v>9331</v>
      </c>
      <c r="AK276" s="3089"/>
      <c r="AL276" s="3089"/>
      <c r="AM276" s="3089"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089"/>
      <c r="AO276" s="3089"/>
      <c r="AP276" s="3089"/>
      <c r="AQ276" s="3090"/>
      <c r="AR276" s="3089"/>
      <c r="AS276" s="3089"/>
      <c r="AT276" s="3089"/>
      <c r="AU276" s="3091"/>
      <c r="AV276" s="3091"/>
      <c r="AW276" s="3091"/>
      <c r="AX276" s="3091"/>
      <c r="AY276" s="3089"/>
    </row>
    <row r="277" spans="1:51" ht="12.2" customHeight="1" x14ac:dyDescent="0.2">
      <c r="A277" s="2185"/>
      <c r="B277" s="2099">
        <f t="shared" si="6"/>
        <v>8</v>
      </c>
      <c r="C277" s="4538"/>
      <c r="D277" s="4578"/>
      <c r="E277" s="4579"/>
      <c r="F277" s="4579"/>
      <c r="G277" s="4579"/>
      <c r="H277" s="4579"/>
      <c r="I277" s="4579"/>
      <c r="J277" s="4579"/>
      <c r="K277" s="4579"/>
      <c r="L277" s="4579"/>
      <c r="M277" s="4579"/>
      <c r="N277" s="4579"/>
      <c r="O277" s="4579"/>
      <c r="P277" s="4579"/>
      <c r="Q277" s="4579"/>
      <c r="R277" s="4579"/>
      <c r="S277" s="4579"/>
      <c r="T277" s="4579"/>
      <c r="U277" s="4579"/>
      <c r="V277" s="4579"/>
      <c r="W277" s="4579"/>
      <c r="X277" s="4579"/>
      <c r="Y277" s="4579"/>
      <c r="Z277" s="4579"/>
      <c r="AA277" s="4579"/>
      <c r="AB277" s="4579"/>
      <c r="AC277" s="4579"/>
      <c r="AD277" s="4579"/>
      <c r="AE277" s="4579"/>
      <c r="AF277" s="4579"/>
      <c r="AG277" s="4580"/>
      <c r="AH277" s="2193"/>
      <c r="AI277" s="4558"/>
      <c r="AJ277" s="3089" t="s">
        <v>9310</v>
      </c>
      <c r="AK277" s="3089"/>
      <c r="AL277" s="3089"/>
      <c r="AM277" s="3089" t="b">
        <f>AND((IF(SUM(V255:V259)&gt;0,1,0)+IF(SUM(X255:X259)&gt;0,1,0)+IF(SUM(Z255:Z259)&gt;0,1,0)+IF(SUM(AB255:AB259)&gt;0,1,0)+IF(SUM(AD255:AD259,)&gt;0,1,0)+IF(SUM(AF255:AF259)&gt;0,1,0))&lt;3,OR(V262&lt;0,X262&lt;0,Z262&lt;0,AB262&lt;0,AD262&lt;0,AF262&lt;0,Y260&lt;0))</f>
        <v>0</v>
      </c>
      <c r="AN277" s="3089"/>
      <c r="AO277" s="3089"/>
      <c r="AP277" s="3089"/>
      <c r="AQ277" s="3090"/>
      <c r="AR277" s="3089"/>
      <c r="AS277" s="3089"/>
      <c r="AT277" s="3089"/>
      <c r="AU277" s="3091"/>
      <c r="AV277" s="3091"/>
      <c r="AW277" s="3091"/>
      <c r="AX277" s="3091"/>
      <c r="AY277" s="3089"/>
    </row>
    <row r="278" spans="1:51" ht="12.2" customHeight="1" x14ac:dyDescent="0.2">
      <c r="A278" s="2185"/>
      <c r="B278" s="2099">
        <f t="shared" si="6"/>
        <v>8</v>
      </c>
      <c r="C278" s="4538"/>
      <c r="D278" s="4578"/>
      <c r="E278" s="4579"/>
      <c r="F278" s="4579"/>
      <c r="G278" s="4579"/>
      <c r="H278" s="4579"/>
      <c r="I278" s="4579"/>
      <c r="J278" s="4579"/>
      <c r="K278" s="4579"/>
      <c r="L278" s="4579"/>
      <c r="M278" s="4579"/>
      <c r="N278" s="4579"/>
      <c r="O278" s="4579"/>
      <c r="P278" s="4579"/>
      <c r="Q278" s="4579"/>
      <c r="R278" s="4579"/>
      <c r="S278" s="4579"/>
      <c r="T278" s="4579"/>
      <c r="U278" s="4579"/>
      <c r="V278" s="4579"/>
      <c r="W278" s="4579"/>
      <c r="X278" s="4579"/>
      <c r="Y278" s="4579"/>
      <c r="Z278" s="4579"/>
      <c r="AA278" s="4579"/>
      <c r="AB278" s="4579"/>
      <c r="AC278" s="4579"/>
      <c r="AD278" s="4579"/>
      <c r="AE278" s="4579"/>
      <c r="AF278" s="4579"/>
      <c r="AG278" s="4580"/>
      <c r="AH278" s="2193"/>
      <c r="AI278" s="4558"/>
      <c r="AJ278" s="3089" t="s">
        <v>9325</v>
      </c>
      <c r="AK278" s="3089"/>
      <c r="AL278" s="3089"/>
      <c r="AM278" s="3089" t="b">
        <f>OR(-V262&gt;TRUNC(SUM(V255:V259)/2),-X262&gt;TRUNC(SUM(X255:X259)/2),-Z262&gt;TRUNC(SUM(Z255:Z259)/2),-AB262&gt;TRUNC(SUM(AB255:AB259)/2),-AD262&gt;TRUNC(SUM(AD255:AD259)/2),-AF262&gt;TRUNC(SUM(AF255:AF259)/2))</f>
        <v>0</v>
      </c>
      <c r="AN278" s="3089"/>
      <c r="AO278" s="3089"/>
      <c r="AP278" s="3089"/>
      <c r="AQ278" s="3090"/>
      <c r="AR278" s="3089"/>
      <c r="AS278" s="3089"/>
      <c r="AT278" s="3089"/>
      <c r="AU278" s="3091"/>
      <c r="AV278" s="3091"/>
      <c r="AW278" s="3091"/>
      <c r="AX278" s="3091"/>
      <c r="AY278" s="3089"/>
    </row>
    <row r="279" spans="1:51" ht="12.2" customHeight="1" x14ac:dyDescent="0.2">
      <c r="A279" s="2185"/>
      <c r="B279" s="2099">
        <f t="shared" si="6"/>
        <v>8</v>
      </c>
      <c r="C279" s="4538"/>
      <c r="D279" s="4578"/>
      <c r="E279" s="4579"/>
      <c r="F279" s="4579"/>
      <c r="G279" s="4579"/>
      <c r="H279" s="4579"/>
      <c r="I279" s="4579"/>
      <c r="J279" s="4579"/>
      <c r="K279" s="4579"/>
      <c r="L279" s="4579"/>
      <c r="M279" s="4579"/>
      <c r="N279" s="4579"/>
      <c r="O279" s="4579"/>
      <c r="P279" s="4579"/>
      <c r="Q279" s="4579"/>
      <c r="R279" s="4579"/>
      <c r="S279" s="4579"/>
      <c r="T279" s="4579"/>
      <c r="U279" s="4579"/>
      <c r="V279" s="4579"/>
      <c r="W279" s="4579"/>
      <c r="X279" s="4579"/>
      <c r="Y279" s="4579"/>
      <c r="Z279" s="4579"/>
      <c r="AA279" s="4579"/>
      <c r="AB279" s="4579"/>
      <c r="AC279" s="4579"/>
      <c r="AD279" s="4579"/>
      <c r="AE279" s="4579"/>
      <c r="AF279" s="4579"/>
      <c r="AG279" s="4580"/>
      <c r="AH279" s="2193"/>
      <c r="AI279" s="4558"/>
      <c r="AJ279" s="3089" t="s">
        <v>9326</v>
      </c>
      <c r="AK279" s="3089"/>
      <c r="AL279" s="3089"/>
      <c r="AM279" s="3089" t="b">
        <f>COUNTIF(D255:E259,"Primario")&gt;1</f>
        <v>0</v>
      </c>
      <c r="AN279" s="3089"/>
      <c r="AO279" s="3089"/>
      <c r="AP279" s="3089"/>
      <c r="AQ279" s="3090"/>
      <c r="AR279" s="3090"/>
      <c r="AS279" s="3090"/>
      <c r="AT279" s="3090"/>
      <c r="AU279" s="3091"/>
      <c r="AV279" s="3091"/>
      <c r="AW279" s="3091"/>
      <c r="AX279" s="3089"/>
      <c r="AY279" s="3089"/>
    </row>
    <row r="280" spans="1:51" ht="12.2" customHeight="1" x14ac:dyDescent="0.2">
      <c r="A280" s="2185"/>
      <c r="B280" s="2099">
        <f t="shared" si="6"/>
        <v>8</v>
      </c>
      <c r="C280" s="4538"/>
      <c r="D280" s="4578"/>
      <c r="E280" s="4579"/>
      <c r="F280" s="4579"/>
      <c r="G280" s="4579"/>
      <c r="H280" s="4579"/>
      <c r="I280" s="4579"/>
      <c r="J280" s="4579"/>
      <c r="K280" s="4579"/>
      <c r="L280" s="4579"/>
      <c r="M280" s="4579"/>
      <c r="N280" s="4579"/>
      <c r="O280" s="4579"/>
      <c r="P280" s="4579"/>
      <c r="Q280" s="4579"/>
      <c r="R280" s="4579"/>
      <c r="S280" s="4579"/>
      <c r="T280" s="4579"/>
      <c r="U280" s="4579"/>
      <c r="V280" s="4579"/>
      <c r="W280" s="4579"/>
      <c r="X280" s="4579"/>
      <c r="Y280" s="4579"/>
      <c r="Z280" s="4579"/>
      <c r="AA280" s="4579"/>
      <c r="AB280" s="4579"/>
      <c r="AC280" s="4579"/>
      <c r="AD280" s="4579"/>
      <c r="AE280" s="4579"/>
      <c r="AF280" s="4579"/>
      <c r="AG280" s="4580"/>
      <c r="AH280" s="2193"/>
      <c r="AI280" s="4558"/>
      <c r="AJ280" s="3089" t="s">
        <v>9309</v>
      </c>
      <c r="AK280" s="3089"/>
      <c r="AL280" s="3089"/>
      <c r="AM280" s="3089" t="b">
        <f>SUM(V262:AG262)&lt;&gt;Y260+ABS(AC260)*2/5+IF(S251="Sí",3*P251,0)</f>
        <v>0</v>
      </c>
      <c r="AN280" s="3089"/>
      <c r="AO280" s="3089"/>
      <c r="AP280" s="3089"/>
      <c r="AQ280" s="3090"/>
      <c r="AR280" s="3090"/>
      <c r="AS280" s="3090"/>
      <c r="AT280" s="3090"/>
      <c r="AU280" s="3091"/>
      <c r="AV280" s="3091"/>
      <c r="AW280" s="3091"/>
      <c r="AX280" s="3089"/>
      <c r="AY280" s="3089"/>
    </row>
    <row r="281" spans="1:51" ht="12.2" customHeight="1" x14ac:dyDescent="0.2">
      <c r="A281" s="2185"/>
      <c r="B281" s="2099">
        <f t="shared" si="6"/>
        <v>8</v>
      </c>
      <c r="C281" s="4538"/>
      <c r="D281" s="4578"/>
      <c r="E281" s="4579"/>
      <c r="F281" s="4579"/>
      <c r="G281" s="4579"/>
      <c r="H281" s="4579"/>
      <c r="I281" s="4579"/>
      <c r="J281" s="4579"/>
      <c r="K281" s="4579"/>
      <c r="L281" s="4579"/>
      <c r="M281" s="4579"/>
      <c r="N281" s="4579"/>
      <c r="O281" s="4579"/>
      <c r="P281" s="4579"/>
      <c r="Q281" s="4579"/>
      <c r="R281" s="4579"/>
      <c r="S281" s="4579"/>
      <c r="T281" s="4579"/>
      <c r="U281" s="4579"/>
      <c r="V281" s="4579"/>
      <c r="W281" s="4579"/>
      <c r="X281" s="4579"/>
      <c r="Y281" s="4579"/>
      <c r="Z281" s="4579"/>
      <c r="AA281" s="4579"/>
      <c r="AB281" s="4579"/>
      <c r="AC281" s="4579"/>
      <c r="AD281" s="4579"/>
      <c r="AE281" s="4579"/>
      <c r="AF281" s="4579"/>
      <c r="AG281" s="4580"/>
      <c r="AH281" s="2193"/>
      <c r="AI281" s="4558"/>
      <c r="AJ281" s="3089" t="s">
        <v>9308</v>
      </c>
      <c r="AK281" s="3089"/>
      <c r="AL281" s="3089"/>
      <c r="AM281" s="3089" t="b">
        <f>AL268-AL269+AM268-AM269&lt;&gt;0</f>
        <v>0</v>
      </c>
      <c r="AN281" s="3091"/>
      <c r="AO281" s="3091"/>
      <c r="AP281" s="3091"/>
      <c r="AQ281" s="3091"/>
      <c r="AR281" s="3090"/>
      <c r="AS281" s="3090"/>
      <c r="AT281" s="3090"/>
      <c r="AU281" s="3091"/>
      <c r="AV281" s="3091"/>
      <c r="AW281" s="3091"/>
      <c r="AX281" s="3089"/>
      <c r="AY281" s="3089"/>
    </row>
    <row r="282" spans="1:51" ht="12.2" customHeight="1" thickBot="1" x14ac:dyDescent="0.25">
      <c r="A282" s="2185"/>
      <c r="B282" s="2099"/>
      <c r="C282" s="4539"/>
      <c r="D282" s="4540"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41"/>
      <c r="F282" s="4541"/>
      <c r="G282" s="4541"/>
      <c r="H282" s="4541"/>
      <c r="I282" s="4541"/>
      <c r="J282" s="4541"/>
      <c r="K282" s="4541"/>
      <c r="L282" s="4541"/>
      <c r="M282" s="4541"/>
      <c r="N282" s="4541"/>
      <c r="O282" s="4541"/>
      <c r="P282" s="4541"/>
      <c r="Q282" s="4541"/>
      <c r="R282" s="4541"/>
      <c r="S282" s="4541"/>
      <c r="T282" s="4541"/>
      <c r="U282" s="4541"/>
      <c r="V282" s="4541"/>
      <c r="W282" s="4541"/>
      <c r="X282" s="4541"/>
      <c r="Y282" s="4541"/>
      <c r="Z282" s="4541"/>
      <c r="AA282" s="4541"/>
      <c r="AB282" s="4541"/>
      <c r="AC282" s="4541"/>
      <c r="AD282" s="4541"/>
      <c r="AE282" s="4541"/>
      <c r="AF282" s="4541"/>
      <c r="AG282" s="4542"/>
      <c r="AH282" s="2193"/>
      <c r="AI282" s="4558"/>
      <c r="AJ282" s="3089" t="s">
        <v>9345</v>
      </c>
      <c r="AK282" s="3091"/>
      <c r="AL282" s="3091"/>
      <c r="AM282" s="3091" t="b">
        <f>ABS(SUM(N260:N262))&gt;(SUM(N255:N259)-10*Y260+AC260+IF(S251="Sí",10*P251,0)+IF(COUNTIF(K255:M259,"Mantenido")&gt;0,P251*10)+MAX(IF(COUNTIF(K255:M259,"Sostenimiento Menor")&gt;0,P251*20)+IF(COUNTIF(K255:M259,"Sostenimiento Mayor")&gt;0,P251*30)))/2</f>
        <v>0</v>
      </c>
      <c r="AN282" s="3089"/>
      <c r="AO282" s="3089"/>
      <c r="AP282" s="3089"/>
      <c r="AQ282" s="3089"/>
      <c r="AR282" s="3090"/>
      <c r="AS282" s="3090"/>
      <c r="AT282" s="3090"/>
      <c r="AU282" s="3091"/>
      <c r="AV282" s="3091"/>
      <c r="AW282" s="3091"/>
      <c r="AX282" s="3089"/>
      <c r="AY282" s="3089"/>
    </row>
    <row r="283" spans="1:51" ht="12.2" customHeight="1" x14ac:dyDescent="0.2">
      <c r="A283" s="2185"/>
      <c r="B283" s="2099"/>
      <c r="C283" s="4534"/>
      <c r="D283" s="4534" t="str">
        <f>IFERROR(VLOOKUP(D264,'Tablas Técnicas'!$O$9:$T$88,2,FALSE),"")</f>
        <v/>
      </c>
      <c r="E283" s="4534"/>
      <c r="F283" s="4534"/>
      <c r="G283" s="4534"/>
      <c r="H283" s="4534"/>
      <c r="I283" s="4534"/>
      <c r="J283" s="4534" t="str">
        <f>IFERROR(VLOOKUP(J264,'Tablas Técnicas'!$O$9:$T$88,2,FALSE),"")</f>
        <v/>
      </c>
      <c r="K283" s="4534"/>
      <c r="L283" s="4534"/>
      <c r="M283" s="4534"/>
      <c r="N283" s="4534"/>
      <c r="O283" s="4534"/>
      <c r="P283" s="4534" t="str">
        <f>IFERROR(VLOOKUP(P264,'Tablas Técnicas'!$O$9:$T$88,2,FALSE),"")</f>
        <v/>
      </c>
      <c r="Q283" s="4534"/>
      <c r="R283" s="4534"/>
      <c r="S283" s="4534"/>
      <c r="T283" s="4534"/>
      <c r="U283" s="4534"/>
      <c r="V283" s="4534" t="str">
        <f>IFERROR(VLOOKUP(V264,'Tablas Técnicas'!$O$9:$T$88,2,FALSE),"")</f>
        <v/>
      </c>
      <c r="W283" s="4534"/>
      <c r="X283" s="4534"/>
      <c r="Y283" s="4534"/>
      <c r="Z283" s="4534"/>
      <c r="AA283" s="4534"/>
      <c r="AB283" s="4534" t="str">
        <f>IFERROR(VLOOKUP(AB264,'Tablas Técnicas'!$O$9:$T$88,2,FALSE),"")</f>
        <v/>
      </c>
      <c r="AC283" s="4534"/>
      <c r="AD283" s="4534"/>
      <c r="AE283" s="4534"/>
      <c r="AF283" s="4534"/>
      <c r="AG283" s="4534"/>
      <c r="AH283" s="2193"/>
      <c r="AI283" s="1921"/>
      <c r="AJ283" s="3089"/>
      <c r="AK283" s="3089"/>
      <c r="AL283" s="3089"/>
      <c r="AM283" s="3089"/>
      <c r="AN283" s="3089"/>
      <c r="AO283" s="3089"/>
      <c r="AP283" s="3089"/>
      <c r="AQ283" s="3089"/>
      <c r="AR283" s="3090"/>
      <c r="AS283" s="3090"/>
      <c r="AT283" s="3090"/>
      <c r="AU283" s="3091"/>
      <c r="AV283" s="3091"/>
      <c r="AW283" s="3091"/>
      <c r="AX283" s="3091"/>
      <c r="AY283" s="3089"/>
    </row>
    <row r="284" spans="1:51" ht="12.2" customHeight="1" thickBot="1" x14ac:dyDescent="0.25">
      <c r="A284" s="2185"/>
      <c r="B284" s="2099"/>
      <c r="C284" s="4534"/>
      <c r="D284" s="2287"/>
      <c r="E284" s="2101"/>
      <c r="F284" s="2101"/>
      <c r="G284" s="2101"/>
      <c r="H284" s="2101"/>
      <c r="I284" s="2101"/>
      <c r="J284" s="2101"/>
      <c r="K284" s="2101"/>
      <c r="L284" s="2101"/>
      <c r="M284" s="2101"/>
      <c r="N284" s="2101"/>
      <c r="O284" s="2101"/>
      <c r="P284" s="2101"/>
      <c r="Q284" s="2101"/>
      <c r="R284" s="2101"/>
      <c r="S284" s="2101"/>
      <c r="T284" s="2101"/>
      <c r="U284" s="2101"/>
      <c r="V284" s="2288"/>
      <c r="W284" s="2288"/>
      <c r="X284" s="2288"/>
      <c r="Y284" s="2288"/>
      <c r="Z284" s="2288"/>
      <c r="AA284" s="2288"/>
      <c r="AB284" s="2288"/>
      <c r="AC284" s="2288"/>
      <c r="AD284" s="2288"/>
      <c r="AE284" s="2288"/>
      <c r="AF284" s="2101"/>
      <c r="AG284" s="2101"/>
      <c r="AH284" s="2193"/>
      <c r="AI284" s="1921"/>
      <c r="AJ284" s="3097"/>
      <c r="AK284" s="3097"/>
      <c r="AL284" s="3097"/>
      <c r="AM284" s="3097"/>
      <c r="AN284" s="3097"/>
      <c r="AO284" s="3097"/>
      <c r="AP284" s="3089"/>
      <c r="AQ284" s="3090"/>
      <c r="AR284" s="3091"/>
      <c r="AS284" s="3091"/>
      <c r="AT284" s="3091"/>
      <c r="AU284" s="3091"/>
      <c r="AV284" s="3091"/>
      <c r="AW284" s="3091"/>
      <c r="AX284" s="3091"/>
      <c r="AY284" s="3098"/>
    </row>
    <row r="285" spans="1:51" ht="12.2" customHeight="1" x14ac:dyDescent="0.2">
      <c r="A285" s="2185"/>
      <c r="B285" s="2099">
        <f t="shared" ref="B285:B315" si="7">1+B251</f>
        <v>9</v>
      </c>
      <c r="C285" s="4537" t="str">
        <f>"Técnica "&amp;B285</f>
        <v>Técnica 9</v>
      </c>
      <c r="D285" s="4636" t="s">
        <v>8716</v>
      </c>
      <c r="E285" s="4637"/>
      <c r="F285" s="4637"/>
      <c r="G285" s="4637"/>
      <c r="H285" s="4637"/>
      <c r="I285" s="4637"/>
      <c r="J285" s="4637"/>
      <c r="K285" s="4637"/>
      <c r="L285" s="4637"/>
      <c r="M285" s="4637"/>
      <c r="N285" s="4638"/>
      <c r="O285" s="4642" t="s">
        <v>1325</v>
      </c>
      <c r="P285" s="4644">
        <v>1</v>
      </c>
      <c r="Q285" s="4646" t="s">
        <v>8800</v>
      </c>
      <c r="R285" s="4647"/>
      <c r="S285" s="4650" t="s">
        <v>1381</v>
      </c>
      <c r="T285" s="4651" t="s">
        <v>1506</v>
      </c>
      <c r="U285" s="4653">
        <f>MAX(IF(P285=3,60,IF(P285=2,40,20)),MIN(SUM(N289:N296)-10*Y294+AC294+IF(S285="Sí",10*P285,0)+IF(COUNTIF(K289:M293,"Mantenido")&gt;0,P285*10)+MAX(IF(COUNTIF(K289:M293,"Sostenimiento Menor")&gt;0,P285*20)+IF(COUNTIF(K289:M293,"Sostenimiento Mayor")&gt;0,P285*30))))</f>
        <v>20</v>
      </c>
      <c r="V285" s="4646" t="s">
        <v>8801</v>
      </c>
      <c r="W285" s="4651"/>
      <c r="X285" s="4566" t="str">
        <f>IFERROR(LEFT(AK301&amp;AL301&amp;AM301&amp;AN301&amp;AO301&amp;AP301,LEN(AK301&amp;AL301&amp;AM301&amp;AN301&amp;AO301&amp;AP301)-2),"")</f>
        <v/>
      </c>
      <c r="Y285" s="4566"/>
      <c r="Z285" s="4566"/>
      <c r="AA285" s="4566"/>
      <c r="AB285" s="4566"/>
      <c r="AC285" s="4566"/>
      <c r="AD285" s="4566"/>
      <c r="AE285" s="4566"/>
      <c r="AF285" s="4566"/>
      <c r="AG285" s="4567"/>
      <c r="AH285" s="2193"/>
      <c r="AI285" s="4558"/>
      <c r="AJ285" s="3094" t="s">
        <v>9342</v>
      </c>
      <c r="AK285" s="3094"/>
      <c r="AL285" s="3094"/>
      <c r="AM285" s="3094"/>
      <c r="AN285" s="3094"/>
      <c r="AO285" s="3094"/>
      <c r="AP285" s="3094"/>
      <c r="AQ285" s="3094"/>
      <c r="AR285" s="3094"/>
      <c r="AS285" s="3089"/>
      <c r="AT285" s="3089"/>
      <c r="AU285" s="3089"/>
      <c r="AV285" s="3089"/>
      <c r="AW285" s="3091"/>
      <c r="AX285" s="3091"/>
      <c r="AY285" s="3089"/>
    </row>
    <row r="286" spans="1:51" ht="12.2" customHeight="1" x14ac:dyDescent="0.2">
      <c r="A286" s="2185"/>
      <c r="B286" s="2099">
        <f t="shared" si="7"/>
        <v>9</v>
      </c>
      <c r="C286" s="4538"/>
      <c r="D286" s="4639"/>
      <c r="E286" s="4640"/>
      <c r="F286" s="4640"/>
      <c r="G286" s="4640"/>
      <c r="H286" s="4640"/>
      <c r="I286" s="4640"/>
      <c r="J286" s="4640"/>
      <c r="K286" s="4640"/>
      <c r="L286" s="4640"/>
      <c r="M286" s="4640"/>
      <c r="N286" s="4641"/>
      <c r="O286" s="4643"/>
      <c r="P286" s="4645"/>
      <c r="Q286" s="4648"/>
      <c r="R286" s="4649"/>
      <c r="S286" s="4645"/>
      <c r="T286" s="4652"/>
      <c r="U286" s="4654"/>
      <c r="V286" s="4648"/>
      <c r="W286" s="4652"/>
      <c r="X286" s="4568"/>
      <c r="Y286" s="4568"/>
      <c r="Z286" s="4568"/>
      <c r="AA286" s="4568"/>
      <c r="AB286" s="4568"/>
      <c r="AC286" s="4568"/>
      <c r="AD286" s="4568"/>
      <c r="AE286" s="4568"/>
      <c r="AF286" s="4568"/>
      <c r="AG286" s="4569"/>
      <c r="AH286" s="2193"/>
      <c r="AI286" s="4558"/>
      <c r="AJ286" s="3094"/>
      <c r="AK286" s="3094" t="s">
        <v>9343</v>
      </c>
      <c r="AL286" s="3094" t="s">
        <v>10464</v>
      </c>
      <c r="AM286" s="3095"/>
      <c r="AN286" s="3095"/>
      <c r="AO286" s="3095"/>
      <c r="AP286" s="3095"/>
      <c r="AQ286" s="3095"/>
      <c r="AR286" s="3094"/>
      <c r="AS286" s="3089"/>
      <c r="AT286" s="3089"/>
      <c r="AU286" s="3089"/>
      <c r="AV286" s="3089"/>
      <c r="AW286" s="3091"/>
      <c r="AX286" s="4536" t="s">
        <v>9312</v>
      </c>
      <c r="AY286" s="4536"/>
    </row>
    <row r="287" spans="1:51" ht="12.2" customHeight="1" x14ac:dyDescent="0.2">
      <c r="A287" s="2185"/>
      <c r="B287" s="2099">
        <f t="shared" si="7"/>
        <v>9</v>
      </c>
      <c r="C287" s="4538"/>
      <c r="D287" s="4549" t="s">
        <v>2824</v>
      </c>
      <c r="E287" s="4550"/>
      <c r="F287" s="4550"/>
      <c r="G287" s="4550"/>
      <c r="H287" s="4550"/>
      <c r="I287" s="4550"/>
      <c r="J287" s="4550"/>
      <c r="K287" s="4633" t="s">
        <v>9636</v>
      </c>
      <c r="L287" s="4633"/>
      <c r="M287" s="4633"/>
      <c r="N287" s="4550" t="s">
        <v>1500</v>
      </c>
      <c r="O287" s="4633" t="s">
        <v>2822</v>
      </c>
      <c r="P287" s="4633" t="s">
        <v>8802</v>
      </c>
      <c r="Q287" s="4550" t="s">
        <v>1364</v>
      </c>
      <c r="R287" s="4550"/>
      <c r="S287" s="4550"/>
      <c r="T287" s="4550"/>
      <c r="U287" s="4550"/>
      <c r="V287" s="4613" t="s">
        <v>1373</v>
      </c>
      <c r="W287" s="4608"/>
      <c r="X287" s="4613" t="s">
        <v>1498</v>
      </c>
      <c r="Y287" s="4614"/>
      <c r="Z287" s="4608" t="s">
        <v>1378</v>
      </c>
      <c r="AA287" s="4608"/>
      <c r="AB287" s="4613" t="s">
        <v>1383</v>
      </c>
      <c r="AC287" s="4614"/>
      <c r="AD287" s="4608" t="s">
        <v>1391</v>
      </c>
      <c r="AE287" s="4608"/>
      <c r="AF287" s="4613" t="s">
        <v>1392</v>
      </c>
      <c r="AG287" s="4609"/>
      <c r="AH287" s="2193"/>
      <c r="AI287" s="4558"/>
      <c r="AJ287" s="3089"/>
      <c r="AK287" s="3089"/>
      <c r="AL287" s="3089" t="s">
        <v>9614</v>
      </c>
      <c r="AM287" s="3089"/>
      <c r="AN287" s="3089"/>
      <c r="AO287" s="3089"/>
      <c r="AP287" s="3089"/>
      <c r="AQ287" s="3089"/>
      <c r="AR287" s="3091"/>
      <c r="AS287" s="3091" t="s">
        <v>9332</v>
      </c>
      <c r="AT287" s="3091" t="s">
        <v>9333</v>
      </c>
      <c r="AU287" s="3089" t="s">
        <v>9321</v>
      </c>
      <c r="AV287" s="3089" t="s">
        <v>9322</v>
      </c>
      <c r="AW287" s="3091" t="s">
        <v>1500</v>
      </c>
      <c r="AX287" s="3091" t="s">
        <v>8804</v>
      </c>
      <c r="AY287" s="3089" t="s">
        <v>8805</v>
      </c>
    </row>
    <row r="288" spans="1:51" ht="12.2" customHeight="1" x14ac:dyDescent="0.2">
      <c r="A288" s="2185"/>
      <c r="B288" s="2099">
        <f t="shared" si="7"/>
        <v>9</v>
      </c>
      <c r="C288" s="4538"/>
      <c r="D288" s="4581"/>
      <c r="E288" s="4582"/>
      <c r="F288" s="4582"/>
      <c r="G288" s="4582"/>
      <c r="H288" s="4582"/>
      <c r="I288" s="4582"/>
      <c r="J288" s="4582"/>
      <c r="K288" s="4634"/>
      <c r="L288" s="4634"/>
      <c r="M288" s="4634"/>
      <c r="N288" s="4551"/>
      <c r="O288" s="4634"/>
      <c r="P288" s="4635"/>
      <c r="Q288" s="4551"/>
      <c r="R288" s="4551"/>
      <c r="S288" s="4551"/>
      <c r="T288" s="4551"/>
      <c r="U288" s="4551"/>
      <c r="V288" s="2104" t="s">
        <v>9311</v>
      </c>
      <c r="W288" s="2186" t="s">
        <v>2828</v>
      </c>
      <c r="X288" s="2104" t="s">
        <v>9311</v>
      </c>
      <c r="Y288" s="2186" t="s">
        <v>2828</v>
      </c>
      <c r="Z288" s="2104" t="s">
        <v>9311</v>
      </c>
      <c r="AA288" s="2186" t="s">
        <v>2828</v>
      </c>
      <c r="AB288" s="2104" t="s">
        <v>9311</v>
      </c>
      <c r="AC288" s="2186" t="s">
        <v>2828</v>
      </c>
      <c r="AD288" s="2104" t="s">
        <v>9311</v>
      </c>
      <c r="AE288" s="2186" t="s">
        <v>2828</v>
      </c>
      <c r="AF288" s="2104" t="s">
        <v>9311</v>
      </c>
      <c r="AG288" s="1928" t="s">
        <v>2828</v>
      </c>
      <c r="AH288" s="2193"/>
      <c r="AI288" s="4558"/>
      <c r="AJ288" s="3089"/>
      <c r="AK288" s="3089" t="s">
        <v>9313</v>
      </c>
      <c r="AL288" s="3089">
        <v>1</v>
      </c>
      <c r="AM288" s="3089">
        <v>2</v>
      </c>
      <c r="AN288" s="3089">
        <v>3</v>
      </c>
      <c r="AO288" s="3089">
        <v>4</v>
      </c>
      <c r="AP288" s="3089">
        <v>5</v>
      </c>
      <c r="AQ288" s="3089">
        <v>6</v>
      </c>
      <c r="AR288" s="3089">
        <v>7</v>
      </c>
      <c r="AS288" s="3091"/>
      <c r="AT288" s="3089" t="s">
        <v>9344</v>
      </c>
      <c r="AU288" s="3091"/>
      <c r="AV288" s="3091"/>
      <c r="AW288" s="3091" t="s">
        <v>9344</v>
      </c>
      <c r="AX288" s="3091"/>
      <c r="AY288" s="3089"/>
    </row>
    <row r="289" spans="1:51" ht="12.2" customHeight="1" x14ac:dyDescent="0.2">
      <c r="A289" s="2185"/>
      <c r="B289" s="2099">
        <f t="shared" si="7"/>
        <v>9</v>
      </c>
      <c r="C289" s="4538"/>
      <c r="D289" s="4624" t="s">
        <v>8806</v>
      </c>
      <c r="E289" s="4625"/>
      <c r="F289" s="4626"/>
      <c r="G289" s="4627"/>
      <c r="H289" s="4627"/>
      <c r="I289" s="4627"/>
      <c r="J289" s="4628"/>
      <c r="K289" s="4595" t="s">
        <v>1456</v>
      </c>
      <c r="L289" s="4596"/>
      <c r="M289" s="4597"/>
      <c r="N289" s="2105">
        <f>IF(AW289&gt;0,IF(VLOOKUP(F289,'Tablas Técnicas'!$O$9:$X$88,10,0),MAX(5,AW289-5),AW289),0)</f>
        <v>0</v>
      </c>
      <c r="O289" s="2105" t="str">
        <f>AS289&amp;" / "&amp;AT289</f>
        <v>0 / 0</v>
      </c>
      <c r="P289" s="2105" t="str">
        <f t="array" ref="P289">W289+Y289+AA289+AC289+AE289+AG289&amp;" / "&amp;IF(K289&lt;&gt;"Mantenido",0,SUM(IF($AL289:$AR289='Tablas Técnicas'!$L$10:$L$643,'Tablas Técnicas'!$H$10:$H$643,0)))</f>
        <v>0 / 0</v>
      </c>
      <c r="Q289" s="4632" t="str">
        <f>IFERROR(VLOOKUP(F289,'Tablas Técnicas'!$O$9:$T$88,5,FALSE),"")</f>
        <v/>
      </c>
      <c r="R289" s="4632"/>
      <c r="S289" s="4632"/>
      <c r="T289" s="4632"/>
      <c r="U289" s="4632"/>
      <c r="V289" s="2055"/>
      <c r="W289" s="2056"/>
      <c r="X289" s="2055"/>
      <c r="Y289" s="2057"/>
      <c r="Z289" s="2058"/>
      <c r="AA289" s="2056"/>
      <c r="AB289" s="2055"/>
      <c r="AC289" s="2057"/>
      <c r="AD289" s="2058"/>
      <c r="AE289" s="2056"/>
      <c r="AF289" s="2055"/>
      <c r="AG289" s="2059"/>
      <c r="AH289" s="2193"/>
      <c r="AI289" s="4558"/>
      <c r="AJ289" s="3089">
        <v>1</v>
      </c>
      <c r="AK289" s="3089">
        <f>P285</f>
        <v>1</v>
      </c>
      <c r="AL289" s="3089" t="str">
        <f>IF(AND(ISNUMBER(MATCH($F289,'Tablas Técnicas'!$L$10:$L$643,0)),INDEX($D302:$D308,Tablas!A$1)="",COUNTIF(AM289:$AS289,$F289)=0),$F289,IF(INDEX($D302:$D308,Tablas!A$1)="","",$F289&amp;INDEX($D302:$D308,Tablas!A$1)))</f>
        <v/>
      </c>
      <c r="AM289" s="3089" t="str">
        <f>IF(AND(ISNUMBER(MATCH($F289,'Tablas Técnicas'!$L$10:$L$643,0)),INDEX($D302:$D308,Tablas!B$1)="",COUNTIF(AN289:$AS289,$F289)=0),$F289,IF(INDEX($D302:$D308,Tablas!B$1)="","",$F289&amp;INDEX($D302:$D308,Tablas!B$1)))</f>
        <v/>
      </c>
      <c r="AN289" s="3089" t="str">
        <f>IF(AND(ISNUMBER(MATCH($F289,'Tablas Técnicas'!$L$10:$L$643,0)),INDEX($D302:$D308,Tablas!C$1)="",COUNTIF(AO289:$AS289,$F289)=0),$F289,IF(INDEX($D302:$D308,Tablas!C$1)="","",$F289&amp;INDEX($D302:$D308,Tablas!C$1)))</f>
        <v/>
      </c>
      <c r="AO289" s="3089" t="str">
        <f>IF(AND(ISNUMBER(MATCH($F289,'Tablas Técnicas'!$L$10:$L$643,0)),INDEX($D302:$D308,Tablas!D$1)="",COUNTIF(AP289:$AS289,$F289)=0),$F289,IF(INDEX($D302:$D308,Tablas!D$1)="","",$F289&amp;INDEX($D302:$D308,Tablas!D$1)))</f>
        <v/>
      </c>
      <c r="AP289" s="3089" t="str">
        <f>IF(AND(ISNUMBER(MATCH($F289,'Tablas Técnicas'!$L$10:$L$643,0)),INDEX($D302:$D308,Tablas!E$1)="",COUNTIF(AQ289:$AS289,$F289)=0),$F289,IF(INDEX($D302:$D308,Tablas!E$1)="","",$F289&amp;INDEX($D302:$D308,Tablas!E$1)))</f>
        <v/>
      </c>
      <c r="AQ289" s="3089" t="str">
        <f>IF(AND(ISNUMBER(MATCH($F289,'Tablas Técnicas'!$L$10:$L$643,0)),INDEX($D302:$D308,Tablas!F$1)="",COUNTIF(AR289:$AS289,$F289)=0),$F289,IF(INDEX($D302:$D308,Tablas!F$1)="","",$F289&amp;INDEX($D302:$D308,Tablas!F$1)))</f>
        <v/>
      </c>
      <c r="AR289" s="3089" t="str">
        <f>IF(AND(ISNUMBER(MATCH($F289,'Tablas Técnicas'!$L$10:$L$643,0)),INDEX($D302:$D308,Tablas!G$1)="",COUNTIF(AS289:$AS289,$F289)=0),$F289,IF(INDEX($D302:$D308,Tablas!G$1)="","",$F289&amp;INDEX($D302:$D308,Tablas!G$1)))</f>
        <v/>
      </c>
      <c r="AS289" s="3091">
        <f>V289+X289+Z289+AB289+AD289+AF289</f>
        <v>0</v>
      </c>
      <c r="AT289" s="3091">
        <f t="array" ref="AT289">SUM(IF($AL289:$AR289='Tablas Técnicas'!$L$10:$L$643,IF(D289="Primario",'Tablas Técnicas'!$E$10:$E$643,'Tablas Técnicas'!$F$10:$F$643)+IF(K289="Sostenimiento menor",'Tablas Técnicas'!$I$10:$I$643,IF(K289="sostenimiento mayor",'Tablas Técnicas'!$J$10:$J$643,0)),0),0)+VALUE(RIGHT(P289,2))+AU289+AV289</f>
        <v>0</v>
      </c>
      <c r="AU289" s="309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091">
        <f>(COUNTIF(AL289:AR289,"*Estado añadido:*")-1)*COUNTIF(AL289:AR289,"*Estado añadido:*")</f>
        <v>0</v>
      </c>
      <c r="AW289" s="3091">
        <f t="array" ref="AW289">SUM(IF($AL289:$AR289='Tablas Técnicas'!$L$10:$L$643,'Tablas Técnicas'!$G$10:$G$643,0))</f>
        <v>0</v>
      </c>
      <c r="AX289" s="3089"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089" t="str">
        <f>IFERROR(LEFT(AX289,LEN(AX289)-2)&amp;"), ","")</f>
        <v/>
      </c>
    </row>
    <row r="290" spans="1:51" ht="12.2" customHeight="1" x14ac:dyDescent="0.2">
      <c r="A290" s="2185"/>
      <c r="B290" s="2099">
        <f t="shared" si="7"/>
        <v>9</v>
      </c>
      <c r="C290" s="4538"/>
      <c r="D290" s="4583" t="s">
        <v>524</v>
      </c>
      <c r="E290" s="4584"/>
      <c r="F290" s="4615"/>
      <c r="G290" s="4616"/>
      <c r="H290" s="4616"/>
      <c r="I290" s="4616"/>
      <c r="J290" s="4617"/>
      <c r="K290" s="4618" t="s">
        <v>1456</v>
      </c>
      <c r="L290" s="4619"/>
      <c r="M290" s="4620"/>
      <c r="N290" s="1925">
        <f>IF(AW290&gt;0,IF(VLOOKUP(F290,'Tablas Técnicas'!$O$9:$X$88,10,0),MAX(5,AW290-5),AW290),0)</f>
        <v>0</v>
      </c>
      <c r="O290" s="1925" t="str">
        <f>AS290&amp;" / "&amp;AT290</f>
        <v>0 / 0</v>
      </c>
      <c r="P290" s="1925" t="str">
        <f t="array" ref="P290">W290+Y290+AA290+AC290+AE290+AG290&amp;" / "&amp;IF(K290&lt;&gt;"Mantenido",0,SUM(IF($AL290:$AR290='Tablas Técnicas'!$L$10:$L$643,'Tablas Técnicas'!$H$10:$H$643,0)))</f>
        <v>0 / 0</v>
      </c>
      <c r="Q290" s="4585" t="str">
        <f>IFERROR(VLOOKUP(F290,'Tablas Técnicas'!$O$9:$T$88,5,FALSE),"")</f>
        <v/>
      </c>
      <c r="R290" s="4585"/>
      <c r="S290" s="4585"/>
      <c r="T290" s="4585"/>
      <c r="U290" s="4585"/>
      <c r="V290" s="2060"/>
      <c r="W290" s="2061"/>
      <c r="X290" s="2060"/>
      <c r="Y290" s="2062"/>
      <c r="Z290" s="2063"/>
      <c r="AA290" s="2061"/>
      <c r="AB290" s="2060"/>
      <c r="AC290" s="2062"/>
      <c r="AD290" s="2063"/>
      <c r="AE290" s="2061"/>
      <c r="AF290" s="2060"/>
      <c r="AG290" s="2064"/>
      <c r="AH290" s="2193"/>
      <c r="AI290" s="4558"/>
      <c r="AJ290" s="3089">
        <v>2</v>
      </c>
      <c r="AK290" s="3089">
        <f>P285</f>
        <v>1</v>
      </c>
      <c r="AL290" s="3089" t="str">
        <f>IF(AND(ISNUMBER(MATCH($F290,'Tablas Técnicas'!$L$10:$L$643,0)),INDEX($J302:$J308,Tablas!A$1)="",COUNTIF(AM290:$AS290,$F290)=0),$F290,IF(INDEX($J302:$J308,Tablas!A$1)="","",$F290&amp;INDEX($J302:$J308,Tablas!A$1)))</f>
        <v/>
      </c>
      <c r="AM290" s="3089" t="str">
        <f>IF(AND(ISNUMBER(MATCH($F290,'Tablas Técnicas'!$L$10:$L$643,0)),INDEX($J302:$J308,Tablas!B$1)="",COUNTIF(AN290:$AS290,$F290)=0),$F290,IF(INDEX($J302:$J308,Tablas!B$1)="","",$F290&amp;INDEX($J302:$J308,Tablas!B$1)))</f>
        <v/>
      </c>
      <c r="AN290" s="3089" t="str">
        <f>IF(AND(ISNUMBER(MATCH($F290,'Tablas Técnicas'!$L$10:$L$643,0)),INDEX($J302:$J308,Tablas!C$1)="",COUNTIF(AO290:$AS290,$F290)=0),$F290,IF(INDEX($J302:$J308,Tablas!C$1)="","",$F290&amp;INDEX($J302:$J308,Tablas!C$1)))</f>
        <v/>
      </c>
      <c r="AO290" s="3089" t="str">
        <f>IF(AND(ISNUMBER(MATCH($F290,'Tablas Técnicas'!$L$10:$L$643,0)),INDEX($J302:$J308,Tablas!D$1)="",COUNTIF(AP290:$AS290,$F290)=0),$F290,IF(INDEX($J302:$J308,Tablas!D$1)="","",$F290&amp;INDEX($J302:$J308,Tablas!D$1)))</f>
        <v/>
      </c>
      <c r="AP290" s="3089" t="str">
        <f>IF(AND(ISNUMBER(MATCH($F290,'Tablas Técnicas'!$L$10:$L$643,0)),INDEX($J302:$J308,Tablas!E$1)="",COUNTIF(AQ290:$AS290,$F290)=0),$F290,IF(INDEX($J302:$J308,Tablas!E$1)="","",$F290&amp;INDEX($J302:$J308,Tablas!E$1)))</f>
        <v/>
      </c>
      <c r="AQ290" s="3089" t="str">
        <f>IF(AND(ISNUMBER(MATCH($F290,'Tablas Técnicas'!$L$10:$L$643,0)),INDEX($J302:$J308,Tablas!F$1)="",COUNTIF(AR290:$AS290,$F290)=0),$F290,IF(INDEX($J302:$J308,Tablas!F$1)="","",$F290&amp;INDEX($J302:$J308,Tablas!F$1)))</f>
        <v/>
      </c>
      <c r="AR290" s="3089" t="str">
        <f>IF(AND(ISNUMBER(MATCH($F290,'Tablas Técnicas'!$L$10:$L$643,0)),INDEX($J302:$J308,Tablas!G$1)="",COUNTIF(AS290:$AS290,$F290)=0),$F290,IF(INDEX($J302:$J308,Tablas!G$1)="","",$F290&amp;INDEX($J302:$J308,Tablas!G$1)))</f>
        <v/>
      </c>
      <c r="AS290" s="3091">
        <f>V290+X290+Z290+AB290+AD290+AF290</f>
        <v>0</v>
      </c>
      <c r="AT290" s="3091">
        <f t="array" ref="AT290">SUM(IF($AL290:$AR290='Tablas Técnicas'!$L$10:$L$643,IF(D290="Primario",'Tablas Técnicas'!$E$10:$E$643,'Tablas Técnicas'!$F$10:$F$643)+IF(K290="Sostenimiento menor",'Tablas Técnicas'!$I$10:$I$643,IF(K290="sostenimiento mayor",'Tablas Técnicas'!$J$10:$J$643,0)),0),0)+VALUE(RIGHT(P290,2))+AU290+AV290</f>
        <v>0</v>
      </c>
      <c r="AU290" s="309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091">
        <f>(COUNTIF(AL290:AR290,"*Estado añadido:*")-1)*COUNTIF(AL290:AR290,"*Estado añadido:*")</f>
        <v>0</v>
      </c>
      <c r="AW290" s="3091">
        <f t="array" ref="AW290">SUM(IF($AL290:$AR290='Tablas Técnicas'!$L$10:$L$643,'Tablas Técnicas'!$G$10:$G$643,0))</f>
        <v>0</v>
      </c>
      <c r="AX290" s="3089"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089" t="str">
        <f>IFERROR(LEFT(AX290,LEN(AX290)-2)&amp;"), ","")</f>
        <v/>
      </c>
    </row>
    <row r="291" spans="1:51" ht="12.2" customHeight="1" x14ac:dyDescent="0.2">
      <c r="A291" s="2185"/>
      <c r="B291" s="2099">
        <f t="shared" si="7"/>
        <v>9</v>
      </c>
      <c r="C291" s="4538"/>
      <c r="D291" s="4629" t="s">
        <v>524</v>
      </c>
      <c r="E291" s="4630"/>
      <c r="F291" s="4559"/>
      <c r="G291" s="4560"/>
      <c r="H291" s="4560"/>
      <c r="I291" s="4560"/>
      <c r="J291" s="4561"/>
      <c r="K291" s="4621" t="s">
        <v>1456</v>
      </c>
      <c r="L291" s="4622"/>
      <c r="M291" s="4623"/>
      <c r="N291" s="1921">
        <f>IF(AW291&gt;0,IF(VLOOKUP(F291,'Tablas Técnicas'!$O$9:$X$88,10,0),MAX(5,AW291-5),AW291),0)</f>
        <v>0</v>
      </c>
      <c r="O291" s="1921" t="str">
        <f>AS291&amp;" / "&amp;AT291</f>
        <v>0 / 0</v>
      </c>
      <c r="P291" s="1921" t="str">
        <f t="array" ref="P291">W291+Y291+AA291+AC291+AE291+AG291&amp;" / "&amp;IF(K291&lt;&gt;"Mantenido",0,SUM(IF($AL291:$AR291='Tablas Técnicas'!$L$10:$L$643,'Tablas Técnicas'!$H$10:$H$643,0)))</f>
        <v>0 / 0</v>
      </c>
      <c r="Q291" s="4631" t="str">
        <f>IFERROR(VLOOKUP(F291,'Tablas Técnicas'!$O$9:$T$88,5,FALSE),"")</f>
        <v/>
      </c>
      <c r="R291" s="4631"/>
      <c r="S291" s="4631"/>
      <c r="T291" s="4631"/>
      <c r="U291" s="4631"/>
      <c r="V291" s="2065"/>
      <c r="W291" s="2066"/>
      <c r="X291" s="2065"/>
      <c r="Y291" s="2067"/>
      <c r="Z291" s="2068"/>
      <c r="AA291" s="2066"/>
      <c r="AB291" s="2065"/>
      <c r="AC291" s="2067"/>
      <c r="AD291" s="2068"/>
      <c r="AE291" s="2066"/>
      <c r="AF291" s="2065"/>
      <c r="AG291" s="2069"/>
      <c r="AH291" s="2193"/>
      <c r="AI291" s="4558"/>
      <c r="AJ291" s="3089">
        <v>3</v>
      </c>
      <c r="AK291" s="3089">
        <f>P285</f>
        <v>1</v>
      </c>
      <c r="AL291" s="3089" t="str">
        <f>IF(AND(ISNUMBER(MATCH($F291,'Tablas Técnicas'!$L$10:$L$643,0)),INDEX($P302:$P308,Tablas!A$1)="",COUNTIF(AM291:$AS291,$F291)=0),$F291,IF(INDEX($P302:$P308,Tablas!A$1)="","",$F291&amp;INDEX($P302:$P308,Tablas!A$1)))</f>
        <v/>
      </c>
      <c r="AM291" s="3089" t="str">
        <f>IF(AND(ISNUMBER(MATCH($F291,'Tablas Técnicas'!$L$10:$L$643,0)),INDEX($P302:$P308,Tablas!B$1)="",COUNTIF(AN291:$AS291,$F291)=0),$F291,IF(INDEX($P302:$P308,Tablas!B$1)="","",$F291&amp;INDEX($P302:$P308,Tablas!B$1)))</f>
        <v/>
      </c>
      <c r="AN291" s="3089" t="str">
        <f>IF(AND(ISNUMBER(MATCH($F291,'Tablas Técnicas'!$L$10:$L$643,0)),INDEX($P302:$P308,Tablas!C$1)="",COUNTIF(AO291:$AS291,$F291)=0),$F291,IF(INDEX($P302:$P308,Tablas!C$1)="","",$F291&amp;INDEX($P302:$P308,Tablas!C$1)))</f>
        <v/>
      </c>
      <c r="AO291" s="3089" t="str">
        <f>IF(AND(ISNUMBER(MATCH($F291,'Tablas Técnicas'!$L$10:$L$643,0)),INDEX($P302:$P308,Tablas!D$1)="",COUNTIF(AP291:$AS291,$F291)=0),$F291,IF(INDEX($P302:$P308,Tablas!D$1)="","",$F291&amp;INDEX($P302:$P308,Tablas!D$1)))</f>
        <v/>
      </c>
      <c r="AP291" s="3089" t="str">
        <f>IF(AND(ISNUMBER(MATCH($F291,'Tablas Técnicas'!$L$10:$L$643,0)),INDEX($P302:$P308,Tablas!E$1)="",COUNTIF(AQ291:$AS291,$F291)=0),$F291,IF(INDEX($P302:$P308,Tablas!E$1)="","",$F291&amp;INDEX($P302:$P308,Tablas!E$1)))</f>
        <v/>
      </c>
      <c r="AQ291" s="3089" t="str">
        <f>IF(AND(ISNUMBER(MATCH($F291,'Tablas Técnicas'!$L$10:$L$643,0)),INDEX($P302:$P308,Tablas!F$1)="",COUNTIF(AR291:$AS291,$F291)=0),$F291,IF(INDEX($P302:$P308,Tablas!F$1)="","",$F291&amp;INDEX($P302:$P308,Tablas!F$1)))</f>
        <v/>
      </c>
      <c r="AR291" s="3089" t="str">
        <f>IF(AND(ISNUMBER(MATCH($F291,'Tablas Técnicas'!$L$10:$L$643,0)),INDEX($P302:$P308,Tablas!G$1)="",COUNTIF(AS291:$AS291,$F291)=0),$F291,IF(INDEX($P302:$P308,Tablas!G$1)="","",$F291&amp;INDEX($P302:$P308,Tablas!G$1)))</f>
        <v/>
      </c>
      <c r="AS291" s="3091">
        <f>V291+X291+Z291+AB291+AD291+AF291</f>
        <v>0</v>
      </c>
      <c r="AT291" s="3091">
        <f t="array" ref="AT291">SUM(IF($AL291:$AR291='Tablas Técnicas'!$L$10:$L$643,IF(D291="Primario",'Tablas Técnicas'!$E$10:$E$643,'Tablas Técnicas'!$F$10:$F$643)+IF(K291="Sostenimiento menor",'Tablas Técnicas'!$I$10:$I$643,IF(K291="sostenimiento mayor",'Tablas Técnicas'!$J$10:$J$643,0)),0),0)+VALUE(RIGHT(P291,2))+AU291+AV291</f>
        <v>0</v>
      </c>
      <c r="AU291" s="309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091">
        <f>(COUNTIF(AL291:AR291,"*Estado añadido:*")-1)*COUNTIF(AL291:AR291,"*Estado añadido:*")</f>
        <v>0</v>
      </c>
      <c r="AW291" s="3091">
        <f t="array" ref="AW291">SUM(IF($AL291:$AR291='Tablas Técnicas'!$L$10:$L$643,'Tablas Técnicas'!$G$10:$G$643,0))</f>
        <v>0</v>
      </c>
      <c r="AX291" s="3089"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089" t="str">
        <f>IFERROR(LEFT(AX291,LEN(AX291)-2)&amp;"), ","")</f>
        <v/>
      </c>
    </row>
    <row r="292" spans="1:51" ht="12.2" customHeight="1" x14ac:dyDescent="0.2">
      <c r="A292" s="2185"/>
      <c r="B292" s="2099">
        <f t="shared" si="7"/>
        <v>9</v>
      </c>
      <c r="C292" s="4538"/>
      <c r="D292" s="4583" t="s">
        <v>524</v>
      </c>
      <c r="E292" s="4584"/>
      <c r="F292" s="4615"/>
      <c r="G292" s="4616"/>
      <c r="H292" s="4616"/>
      <c r="I292" s="4616"/>
      <c r="J292" s="4617"/>
      <c r="K292" s="4618" t="s">
        <v>1456</v>
      </c>
      <c r="L292" s="4619"/>
      <c r="M292" s="4620"/>
      <c r="N292" s="1925">
        <f>IF(AW292&gt;0,IF(VLOOKUP(F292,'Tablas Técnicas'!$O$9:$X$88,10,0),MAX(5,AW292-5),AW292),0)</f>
        <v>0</v>
      </c>
      <c r="O292" s="1925" t="str">
        <f>AS292&amp;" / "&amp;AT292</f>
        <v>0 / 0</v>
      </c>
      <c r="P292" s="1925" t="str">
        <f t="array" ref="P292">W292+Y292+AA292+AC292+AE292+AG292&amp;" / "&amp;IF(K292&lt;&gt;"Mantenido",0,SUM(IF($AL292:$AR292='Tablas Técnicas'!$L$10:$L$643,'Tablas Técnicas'!$H$10:$H$643,0)))</f>
        <v>0 / 0</v>
      </c>
      <c r="Q292" s="4585" t="str">
        <f>IFERROR(VLOOKUP(F292,'Tablas Técnicas'!$O$9:$T$88,5,FALSE),"")</f>
        <v/>
      </c>
      <c r="R292" s="4585"/>
      <c r="S292" s="4585"/>
      <c r="T292" s="4585"/>
      <c r="U292" s="4585"/>
      <c r="V292" s="2060"/>
      <c r="W292" s="2061"/>
      <c r="X292" s="2060"/>
      <c r="Y292" s="2062"/>
      <c r="Z292" s="2063"/>
      <c r="AA292" s="2061"/>
      <c r="AB292" s="2060"/>
      <c r="AC292" s="2062"/>
      <c r="AD292" s="2063"/>
      <c r="AE292" s="2061"/>
      <c r="AF292" s="2060"/>
      <c r="AG292" s="2064"/>
      <c r="AH292" s="2193"/>
      <c r="AI292" s="4558"/>
      <c r="AJ292" s="3089">
        <v>4</v>
      </c>
      <c r="AK292" s="3089">
        <f>P285</f>
        <v>1</v>
      </c>
      <c r="AL292" s="3089" t="str">
        <f>IF(AND(ISNUMBER(MATCH($F292,'Tablas Técnicas'!$L$10:$L$643,0)),INDEX($V302:$V308,Tablas!A$1)="",COUNTIF(AM292:$AS292,$F292)=0),$F292,IF(INDEX($V302:$V308,Tablas!A$1)="","",$F292&amp;INDEX($V302:$V308,Tablas!A$1)))</f>
        <v/>
      </c>
      <c r="AM292" s="3089" t="str">
        <f>IF(AND(ISNUMBER(MATCH($F292,'Tablas Técnicas'!$L$10:$L$643,0)),INDEX($V302:$V308,Tablas!B$1)="",COUNTIF(AN292:$AS292,$F292)=0),$F292,IF(INDEX($V302:$V308,Tablas!B$1)="","",$F292&amp;INDEX($V302:$V308,Tablas!B$1)))</f>
        <v/>
      </c>
      <c r="AN292" s="3089" t="str">
        <f>IF(AND(ISNUMBER(MATCH($F292,'Tablas Técnicas'!$L$10:$L$643,0)),INDEX($V302:$V308,Tablas!C$1)="",COUNTIF(AO292:$AS292,$F292)=0),$F292,IF(INDEX($V302:$V308,Tablas!C$1)="","",$F292&amp;INDEX($V302:$V308,Tablas!C$1)))</f>
        <v/>
      </c>
      <c r="AO292" s="3089" t="str">
        <f>IF(AND(ISNUMBER(MATCH($F292,'Tablas Técnicas'!$L$10:$L$643,0)),INDEX($V302:$V308,Tablas!D$1)="",COUNTIF(AP292:$AS292,$F292)=0),$F292,IF(INDEX($V302:$V308,Tablas!D$1)="","",$F292&amp;INDEX($V302:$V308,Tablas!D$1)))</f>
        <v/>
      </c>
      <c r="AP292" s="3089" t="str">
        <f>IF(AND(ISNUMBER(MATCH($F292,'Tablas Técnicas'!$L$10:$L$643,0)),INDEX($V302:$V308,Tablas!E$1)="",COUNTIF(AQ292:$AS292,$F292)=0),$F292,IF(INDEX($V302:$V308,Tablas!E$1)="","",$F292&amp;INDEX($V302:$V308,Tablas!E$1)))</f>
        <v/>
      </c>
      <c r="AQ292" s="3089" t="str">
        <f>IF(AND(ISNUMBER(MATCH($F292,'Tablas Técnicas'!$L$10:$L$643,0)),INDEX($V302:$V308,Tablas!F$1)="",COUNTIF(AR292:$AS292,$F292)=0),$F292,IF(INDEX($V302:$V308,Tablas!F$1)="","",$F292&amp;INDEX($V302:$V308,Tablas!F$1)))</f>
        <v/>
      </c>
      <c r="AR292" s="3089" t="str">
        <f>IF(AND(ISNUMBER(MATCH($F292,'Tablas Técnicas'!$L$10:$L$643,0)),INDEX($V302:$V308,Tablas!G$1)="",COUNTIF(AS292:$AS292,$F292)=0),$F292,IF(INDEX($V302:$V308,Tablas!G$1)="","",$F292&amp;INDEX($V302:$V308,Tablas!G$1)))</f>
        <v/>
      </c>
      <c r="AS292" s="3091">
        <f>V292+X292+Z292+AB292+AD292+AF292</f>
        <v>0</v>
      </c>
      <c r="AT292" s="3091">
        <f t="array" ref="AT292">SUM(IF($AL292:$AR292='Tablas Técnicas'!$L$10:$L$643,IF(D292="Primario",'Tablas Técnicas'!$E$10:$E$643,'Tablas Técnicas'!$F$10:$F$643)+IF(K292="Sostenimiento menor",'Tablas Técnicas'!$I$10:$I$643,IF(K292="sostenimiento mayor",'Tablas Técnicas'!$J$10:$J$643,0)),0),0)+VALUE(RIGHT(P292,2))+AU292+AV292</f>
        <v>0</v>
      </c>
      <c r="AU292" s="309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091">
        <f>(COUNTIF(AL292:AR292,"*Estado añadido:*")-1)*COUNTIF(AL292:AR292,"*Estado añadido:*")</f>
        <v>0</v>
      </c>
      <c r="AW292" s="3091">
        <f t="array" ref="AW292">SUM(IF($AL292:$AR292='Tablas Técnicas'!$L$10:$L$643,'Tablas Técnicas'!$G$10:$G$643,0))</f>
        <v>0</v>
      </c>
      <c r="AX292" s="3089"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089" t="str">
        <f>IFERROR(LEFT(AX292,LEN(AX292)-2)&amp;"), ","")</f>
        <v/>
      </c>
    </row>
    <row r="293" spans="1:51" ht="12.2" customHeight="1" thickBot="1" x14ac:dyDescent="0.25">
      <c r="A293" s="2185"/>
      <c r="B293" s="2099">
        <f t="shared" si="7"/>
        <v>9</v>
      </c>
      <c r="C293" s="4538"/>
      <c r="D293" s="4586" t="s">
        <v>524</v>
      </c>
      <c r="E293" s="4587"/>
      <c r="F293" s="4543"/>
      <c r="G293" s="4544"/>
      <c r="H293" s="4544"/>
      <c r="I293" s="4544"/>
      <c r="J293" s="4545"/>
      <c r="K293" s="4546" t="s">
        <v>1456</v>
      </c>
      <c r="L293" s="4547"/>
      <c r="M293" s="4548"/>
      <c r="N293" s="2187">
        <f>IF(AW293&gt;0,IF(VLOOKUP(F293,'Tablas Técnicas'!$O$9:$X$88,10,0),MAX(5,AW293-5),AW293),0)</f>
        <v>0</v>
      </c>
      <c r="O293" s="2187" t="str">
        <f>AS293&amp;" / "&amp;AT293</f>
        <v>0 / 0</v>
      </c>
      <c r="P293" s="2187" t="str">
        <f t="array" ref="P293">W293+Y293+AA293+AC293+AE293+AG293&amp;" / "&amp;IF(K293&lt;&gt;"Mantenido",0,SUM(IF($AL293:$AR293='Tablas Técnicas'!$L$10:$L$643,'Tablas Técnicas'!$H$10:$H$643,0)))</f>
        <v>0 / 0</v>
      </c>
      <c r="Q293" s="4588" t="str">
        <f>IFERROR(VLOOKUP(F293,'Tablas Técnicas'!$O$9:$T$88,5,FALSE),"")</f>
        <v/>
      </c>
      <c r="R293" s="4588"/>
      <c r="S293" s="4588"/>
      <c r="T293" s="4588"/>
      <c r="U293" s="4588"/>
      <c r="V293" s="2070"/>
      <c r="W293" s="2071"/>
      <c r="X293" s="2070"/>
      <c r="Y293" s="2072"/>
      <c r="Z293" s="2073"/>
      <c r="AA293" s="2071"/>
      <c r="AB293" s="2070"/>
      <c r="AC293" s="2072"/>
      <c r="AD293" s="2073"/>
      <c r="AE293" s="2071"/>
      <c r="AF293" s="2070"/>
      <c r="AG293" s="2074"/>
      <c r="AH293" s="2193"/>
      <c r="AI293" s="4558"/>
      <c r="AJ293" s="3089">
        <v>5</v>
      </c>
      <c r="AK293" s="3089">
        <f>P285</f>
        <v>1</v>
      </c>
      <c r="AL293" s="3089" t="str">
        <f>IF(AND(ISNUMBER(MATCH($F293,'Tablas Técnicas'!$L$10:$L$643,0)),INDEX($AB302:$AB308,Tablas!A$1)="",COUNTIF(AM293:$AS293,$F293)=0),$F293,IF(INDEX($AB302:$AB308,Tablas!A$1)="","",$F293&amp;INDEX($AB302:$AB308,Tablas!A$1)))</f>
        <v/>
      </c>
      <c r="AM293" s="3089" t="str">
        <f>IF(AND(ISNUMBER(MATCH($F293,'Tablas Técnicas'!$L$10:$L$643,0)),INDEX($AB302:$AB308,Tablas!B$1)="",COUNTIF(AN293:$AS293,$F293)=0),$F293,IF(INDEX($AB302:$AB308,Tablas!B$1)="","",$F293&amp;INDEX($AB302:$AB308,Tablas!B$1)))</f>
        <v/>
      </c>
      <c r="AN293" s="3089" t="str">
        <f>IF(AND(ISNUMBER(MATCH($F293,'Tablas Técnicas'!$L$10:$L$643,0)),INDEX($AB302:$AB308,Tablas!C$1)="",COUNTIF(AO293:$AS293,$F293)=0),$F293,IF(INDEX($AB302:$AB308,Tablas!C$1)="","",$F293&amp;INDEX($AB302:$AB308,Tablas!C$1)))</f>
        <v/>
      </c>
      <c r="AO293" s="3089" t="str">
        <f>IF(AND(ISNUMBER(MATCH($F293,'Tablas Técnicas'!$L$10:$L$643,0)),INDEX($AB302:$AB308,Tablas!D$1)="",COUNTIF(AP293:$AS293,$F293)=0),$F293,IF(INDEX($AB302:$AB308,Tablas!D$1)="","",$F293&amp;INDEX($AB302:$AB308,Tablas!D$1)))</f>
        <v/>
      </c>
      <c r="AP293" s="3089" t="str">
        <f>IF(AND(ISNUMBER(MATCH($F293,'Tablas Técnicas'!$L$10:$L$643,0)),INDEX($AB302:$AB308,Tablas!E$1)="",COUNTIF(AQ293:$AS293,$F293)=0),$F293,IF(INDEX($AB302:$AB308,Tablas!E$1)="","",$F293&amp;INDEX($AB302:$AB308,Tablas!E$1)))</f>
        <v/>
      </c>
      <c r="AQ293" s="3089" t="str">
        <f>IF(AND(ISNUMBER(MATCH($F293,'Tablas Técnicas'!$L$10:$L$643,0)),INDEX($AB302:$AB308,Tablas!F$1)="",COUNTIF(AR293:$AS293,$F293)=0),$F293,IF(INDEX($AB302:$AB308,Tablas!F$1)="","",$F293&amp;INDEX($AB302:$AB308,Tablas!F$1)))</f>
        <v/>
      </c>
      <c r="AR293" s="3089" t="str">
        <f>IF(AND(ISNUMBER(MATCH($F293,'Tablas Técnicas'!$L$10:$L$643,0)),INDEX($AB302:$AB308,Tablas!G$1)="",COUNTIF(AS293:$AS293,$F293)=0),$F293,IF(INDEX($AB302:$AB308,Tablas!G$1)="","",$F293&amp;INDEX($AB302:$AB308,Tablas!G$1)))</f>
        <v/>
      </c>
      <c r="AS293" s="3091">
        <f>V293+X293+Z293+AB293+AD293+AF293</f>
        <v>0</v>
      </c>
      <c r="AT293" s="3091">
        <f t="array" ref="AT293">SUM(IF($AL293:$AR293='Tablas Técnicas'!$L$10:$L$643,IF(D293="Primario",'Tablas Técnicas'!$E$10:$E$643,'Tablas Técnicas'!$F$10:$F$643)+IF(K293="Sostenimiento menor",'Tablas Técnicas'!$I$10:$I$643,IF(K293="sostenimiento mayor",'Tablas Técnicas'!$J$10:$J$643,0)),0),0)+VALUE(RIGHT(P293,2))+AU293+AV293</f>
        <v>0</v>
      </c>
      <c r="AU293" s="309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091">
        <f>(COUNTIF(AL293:AR293,"*Estado añadido:*")-1)*COUNTIF(AL293:AR293,"*Estado añadido:*")</f>
        <v>0</v>
      </c>
      <c r="AW293" s="3091">
        <f t="array" ref="AW293">SUM(IF($AL293:$AR293='Tablas Técnicas'!$L$10:$L$643,'Tablas Técnicas'!$G$10:$G$643,0))</f>
        <v>0</v>
      </c>
      <c r="AX293" s="3089"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089" t="str">
        <f>IFERROR(LEFT(AX293,LEN(AX293)-2)&amp;"), ","")</f>
        <v/>
      </c>
    </row>
    <row r="294" spans="1:51" ht="12.2" customHeight="1" x14ac:dyDescent="0.2">
      <c r="A294" s="2185"/>
      <c r="B294" s="2099">
        <f t="shared" si="7"/>
        <v>9</v>
      </c>
      <c r="C294" s="4538"/>
      <c r="D294" s="4589" t="s">
        <v>2819</v>
      </c>
      <c r="E294" s="4590"/>
      <c r="F294" s="4610"/>
      <c r="G294" s="4611"/>
      <c r="H294" s="4611"/>
      <c r="I294" s="4611"/>
      <c r="J294" s="4612"/>
      <c r="K294" s="4628"/>
      <c r="L294" s="4657"/>
      <c r="M294" s="4658"/>
      <c r="N294" s="1929" t="str">
        <f>IFERROR(INDEX('Tablas Técnicas'!$Q$200:$Q$301,MATCH(F294&amp;K294,'Tablas Técnicas'!$S$200:$S$301,0)),"")</f>
        <v/>
      </c>
      <c r="O294" s="4659"/>
      <c r="P294" s="4660"/>
      <c r="Q294" s="4661"/>
      <c r="R294" s="4660"/>
      <c r="S294" s="2761" t="str">
        <f>IFERROR("Nivel: "&amp;MAX(1,INDEX('Tablas Técnicas'!$R$200:$R$301,MATCH(F294&amp;K294,'Tablas Técnicas'!$S$200:$S$301,0))),"")</f>
        <v/>
      </c>
      <c r="T294" s="1930"/>
      <c r="U294" s="1931" t="str">
        <f>IFERROR("("&amp;VLOOKUP(F294,'Tablas Técnicas'!$O$165:$Q$192,3,FALSE)&amp;")","")</f>
        <v/>
      </c>
      <c r="V294" s="4598" t="s">
        <v>9625</v>
      </c>
      <c r="W294" s="4599"/>
      <c r="X294" s="4600"/>
      <c r="Y294" s="2311">
        <v>0</v>
      </c>
      <c r="Z294" s="4601" t="s">
        <v>8811</v>
      </c>
      <c r="AA294" s="4602"/>
      <c r="AB294" s="4603"/>
      <c r="AC294" s="2311">
        <v>0</v>
      </c>
      <c r="AD294" s="4604" t="str">
        <f>"Ki sin repartir: "&amp;AL302-AL303&amp;IF(AM302=0,""," ("&amp;AM302-AM303&amp;")")</f>
        <v>Ki sin repartir: 0</v>
      </c>
      <c r="AE294" s="4605"/>
      <c r="AF294" s="4605"/>
      <c r="AG294" s="4606"/>
      <c r="AH294" s="2193"/>
      <c r="AI294" s="4558"/>
      <c r="AJ294" s="3089">
        <v>1</v>
      </c>
      <c r="AK294" s="3089">
        <f>P285</f>
        <v>1</v>
      </c>
      <c r="AL294" s="3089" t="e">
        <f>VLOOKUP(F294,'Tablas Técnicas'!$O$165:$Q$188,2,FALSE)</f>
        <v>#N/A</v>
      </c>
      <c r="AM294" s="3089"/>
      <c r="AN294" s="3090"/>
      <c r="AO294" s="3089"/>
      <c r="AP294" s="3089"/>
      <c r="AQ294" s="3090"/>
      <c r="AR294" s="3089"/>
      <c r="AS294" s="3089"/>
      <c r="AT294" s="3089"/>
      <c r="AU294" s="3089"/>
      <c r="AV294" s="3089"/>
      <c r="AW294" s="3091"/>
      <c r="AX294" s="3091"/>
      <c r="AY294" s="3089" t="str">
        <f>IF(F294="","",F294&amp;IF(K294="",""," ("&amp;IF(F294="Atadura Elemental",O294&amp;IF(Q294="","",", "&amp;Q294),K294)&amp;")")&amp;", ")</f>
        <v/>
      </c>
    </row>
    <row r="295" spans="1:51" ht="12.2" customHeight="1" x14ac:dyDescent="0.2">
      <c r="A295" s="2185"/>
      <c r="B295" s="2099">
        <f t="shared" si="7"/>
        <v>9</v>
      </c>
      <c r="C295" s="4538"/>
      <c r="D295" s="4591"/>
      <c r="E295" s="4592"/>
      <c r="F295" s="4662"/>
      <c r="G295" s="4663"/>
      <c r="H295" s="4663"/>
      <c r="I295" s="4663"/>
      <c r="J295" s="4664"/>
      <c r="K295" s="4617"/>
      <c r="L295" s="4677"/>
      <c r="M295" s="4678"/>
      <c r="N295" s="1932" t="str">
        <f>IFERROR(INDEX('Tablas Técnicas'!$Q$200:$Q$301,MATCH(F295&amp;K295,'Tablas Técnicas'!$S$200:$S$301,0)),"")</f>
        <v/>
      </c>
      <c r="O295" s="4665"/>
      <c r="P295" s="4666"/>
      <c r="Q295" s="4667"/>
      <c r="R295" s="4666"/>
      <c r="S295" s="2763" t="str">
        <f>IFERROR("Nivel: "&amp;MAX(1,INDEX('Tablas Técnicas'!$R$200:$R$301,MATCH(F295&amp;K295,'Tablas Técnicas'!$S$200:$S$301,0))),"")</f>
        <v/>
      </c>
      <c r="T295" s="2543"/>
      <c r="U295" s="2544" t="str">
        <f>IFERROR("("&amp;VLOOKUP(F295,'Tablas Técnicas'!$O$165:$Q$192,3,FALSE)&amp;")","")</f>
        <v/>
      </c>
      <c r="V295" s="4607" t="str">
        <f>"Mod. "&amp;V287</f>
        <v>Mod. AGI</v>
      </c>
      <c r="W295" s="4608"/>
      <c r="X295" s="4607" t="str">
        <f>"Mod. "&amp;X287</f>
        <v>Mod. CON</v>
      </c>
      <c r="Y295" s="4608"/>
      <c r="Z295" s="4607" t="str">
        <f>"Mod. "&amp;Z287</f>
        <v>Mod. DES</v>
      </c>
      <c r="AA295" s="4608"/>
      <c r="AB295" s="4607" t="str">
        <f>"Mod. "&amp;AB287</f>
        <v>Mod. FUE</v>
      </c>
      <c r="AC295" s="4608"/>
      <c r="AD295" s="4607" t="str">
        <f>"Mod. "&amp;AD287</f>
        <v>Mod. POD</v>
      </c>
      <c r="AE295" s="4608"/>
      <c r="AF295" s="4607" t="str">
        <f>"Mod. "&amp;AF287</f>
        <v>Mod. VOL</v>
      </c>
      <c r="AG295" s="4609"/>
      <c r="AH295" s="2193"/>
      <c r="AI295" s="4558"/>
      <c r="AJ295" s="3089">
        <v>2</v>
      </c>
      <c r="AK295" s="3089">
        <f>P285</f>
        <v>1</v>
      </c>
      <c r="AL295" s="3089" t="e">
        <f>VLOOKUP(F295,'Tablas Técnicas'!$O$165:$Q$188,2,FALSE)</f>
        <v>#N/A</v>
      </c>
      <c r="AM295" s="3089"/>
      <c r="AN295" s="3090"/>
      <c r="AO295" s="3089"/>
      <c r="AP295" s="3089"/>
      <c r="AQ295" s="3090"/>
      <c r="AR295" s="3089"/>
      <c r="AS295" s="3089"/>
      <c r="AT295" s="3089"/>
      <c r="AU295" s="3089"/>
      <c r="AV295" s="3089"/>
      <c r="AW295" s="3091"/>
      <c r="AX295" s="3091"/>
      <c r="AY295" s="3089" t="str">
        <f>IF(F295="","",F295&amp;IF(K295="",""," ("&amp;IF(F295="Atadura Elemental",O295&amp;IF(Q295="","",", "&amp;Q295),K295)&amp;")")&amp;", ")</f>
        <v/>
      </c>
    </row>
    <row r="296" spans="1:51" ht="12.2" customHeight="1" thickBot="1" x14ac:dyDescent="0.25">
      <c r="A296" s="2185"/>
      <c r="B296" s="2099">
        <f t="shared" si="7"/>
        <v>9</v>
      </c>
      <c r="C296" s="4538"/>
      <c r="D296" s="4593"/>
      <c r="E296" s="4594"/>
      <c r="F296" s="4668"/>
      <c r="G296" s="4669"/>
      <c r="H296" s="4669"/>
      <c r="I296" s="4669"/>
      <c r="J296" s="4670"/>
      <c r="K296" s="4672"/>
      <c r="L296" s="4673"/>
      <c r="M296" s="4674"/>
      <c r="N296" s="1933" t="str">
        <f>IFERROR(INDEX('Tablas Técnicas'!$Q$200:$Q$301,MATCH(F296&amp;K296,'Tablas Técnicas'!$S$200:$S$301,0)),"")</f>
        <v/>
      </c>
      <c r="O296" s="4655"/>
      <c r="P296" s="4656"/>
      <c r="Q296" s="4671"/>
      <c r="R296" s="4656"/>
      <c r="S296" s="2762" t="str">
        <f>IFERROR("Nivel: "&amp;MAX(1,INDEX('Tablas Técnicas'!$R$200:$R$301,MATCH(F296&amp;K296,'Tablas Técnicas'!$S$200:$S$301,0))),"")</f>
        <v/>
      </c>
      <c r="T296" s="2545"/>
      <c r="U296" s="2546" t="str">
        <f>IFERROR("("&amp;VLOOKUP(F296,'Tablas Técnicas'!$O$165:$Q$192,3,FALSE)&amp;")","")</f>
        <v/>
      </c>
      <c r="V296" s="4564"/>
      <c r="W296" s="4562"/>
      <c r="X296" s="4562"/>
      <c r="Y296" s="4562"/>
      <c r="Z296" s="4562"/>
      <c r="AA296" s="4562"/>
      <c r="AB296" s="4562"/>
      <c r="AC296" s="4562"/>
      <c r="AD296" s="4562"/>
      <c r="AE296" s="4562"/>
      <c r="AF296" s="4562"/>
      <c r="AG296" s="4574"/>
      <c r="AH296" s="2193"/>
      <c r="AI296" s="4558"/>
      <c r="AJ296" s="3089">
        <v>3</v>
      </c>
      <c r="AK296" s="3089">
        <f>P285</f>
        <v>1</v>
      </c>
      <c r="AL296" s="3089" t="e">
        <f>VLOOKUP(F296,'Tablas Técnicas'!$O$165:$Q$188,2,FALSE)</f>
        <v>#N/A</v>
      </c>
      <c r="AM296" s="3089"/>
      <c r="AN296" s="3090"/>
      <c r="AO296" s="3089"/>
      <c r="AP296" s="3089"/>
      <c r="AQ296" s="3090"/>
      <c r="AR296" s="3091"/>
      <c r="AS296" s="3091"/>
      <c r="AT296" s="3091"/>
      <c r="AU296" s="3091"/>
      <c r="AV296" s="3091"/>
      <c r="AW296" s="3091"/>
      <c r="AX296" s="3091"/>
      <c r="AY296" s="3089" t="str">
        <f>IF(F296="","",F296&amp;IF(K296="",""," ("&amp;IF(F296="Atadura Elemental",O296&amp;IF(Q296="","",", "&amp;Q296),K296)&amp;")")&amp;", ")</f>
        <v/>
      </c>
    </row>
    <row r="297" spans="1:51" ht="12.2" customHeight="1" x14ac:dyDescent="0.2">
      <c r="A297" s="2185"/>
      <c r="B297" s="2099">
        <f t="shared" si="7"/>
        <v>9</v>
      </c>
      <c r="C297" s="4538"/>
      <c r="D297" s="4549" t="s">
        <v>9306</v>
      </c>
      <c r="E297" s="4550"/>
      <c r="F297" s="4550"/>
      <c r="G297" s="4550"/>
      <c r="H297" s="4550"/>
      <c r="I297" s="4550"/>
      <c r="J297" s="4550"/>
      <c r="K297" s="4550"/>
      <c r="L297" s="4550"/>
      <c r="M297" s="4550"/>
      <c r="N297" s="4550"/>
      <c r="O297" s="4550"/>
      <c r="P297" s="4550"/>
      <c r="Q297" s="4550"/>
      <c r="R297" s="4550"/>
      <c r="S297" s="4550"/>
      <c r="T297" s="4550"/>
      <c r="U297" s="4550"/>
      <c r="V297" s="4551"/>
      <c r="W297" s="4551"/>
      <c r="X297" s="4551"/>
      <c r="Y297" s="4551"/>
      <c r="Z297" s="4551"/>
      <c r="AA297" s="4551"/>
      <c r="AB297" s="4551"/>
      <c r="AC297" s="4551"/>
      <c r="AD297" s="4551"/>
      <c r="AE297" s="4551"/>
      <c r="AF297" s="4551"/>
      <c r="AG297" s="4552"/>
      <c r="AH297" s="2193"/>
      <c r="AI297" s="4558"/>
      <c r="AJ297" s="3089"/>
      <c r="AK297" s="3089"/>
      <c r="AL297" s="3089"/>
      <c r="AM297" s="3089"/>
      <c r="AN297" s="3090" t="s">
        <v>8812</v>
      </c>
      <c r="AO297" s="3089" t="e">
        <f>LEFT(AY289&amp;AY290&amp;AY291&amp;AY292&amp;AY293,LEN(AY289&amp;AY290&amp;AY291&amp;AY292&amp;AY293)-2)</f>
        <v>#VALUE!</v>
      </c>
      <c r="AP297" s="3089"/>
      <c r="AQ297" s="3090"/>
      <c r="AR297" s="3091"/>
      <c r="AS297" s="3091"/>
      <c r="AT297" s="3091"/>
      <c r="AU297" s="3090"/>
      <c r="AV297" s="3090"/>
      <c r="AW297" s="3091"/>
      <c r="AX297" s="3091"/>
      <c r="AY297" s="3089"/>
    </row>
    <row r="298" spans="1:51" ht="12.2" customHeight="1" x14ac:dyDescent="0.2">
      <c r="A298" s="2185"/>
      <c r="B298" s="2099">
        <f t="shared" si="7"/>
        <v>9</v>
      </c>
      <c r="C298" s="4538"/>
      <c r="D298" s="4553" t="str">
        <f>IF(F289="","",F289)</f>
        <v/>
      </c>
      <c r="E298" s="4554"/>
      <c r="F298" s="4554"/>
      <c r="G298" s="4554"/>
      <c r="H298" s="4554"/>
      <c r="I298" s="4555"/>
      <c r="J298" s="4553" t="str">
        <f>IF(F290="","",F290)</f>
        <v/>
      </c>
      <c r="K298" s="4554"/>
      <c r="L298" s="4554"/>
      <c r="M298" s="4554"/>
      <c r="N298" s="4554"/>
      <c r="O298" s="4555"/>
      <c r="P298" s="4554" t="str">
        <f>IF(F291="","",F291)</f>
        <v/>
      </c>
      <c r="Q298" s="4554"/>
      <c r="R298" s="4554"/>
      <c r="S298" s="4554"/>
      <c r="T298" s="4554"/>
      <c r="U298" s="4555"/>
      <c r="V298" s="4553" t="str">
        <f>IF(F292="","",F292)</f>
        <v/>
      </c>
      <c r="W298" s="4554"/>
      <c r="X298" s="4554"/>
      <c r="Y298" s="4554"/>
      <c r="Z298" s="4554"/>
      <c r="AA298" s="4555"/>
      <c r="AB298" s="4554" t="str">
        <f>IF(F293="","",F293)</f>
        <v/>
      </c>
      <c r="AC298" s="4554"/>
      <c r="AD298" s="4554"/>
      <c r="AE298" s="4554"/>
      <c r="AF298" s="4554"/>
      <c r="AG298" s="4577"/>
      <c r="AH298" s="2193"/>
      <c r="AI298" s="4558"/>
      <c r="AJ298" s="3089"/>
      <c r="AK298" s="3089"/>
      <c r="AL298" s="3089"/>
      <c r="AM298" s="3089"/>
      <c r="AN298" s="3090" t="s">
        <v>8813</v>
      </c>
      <c r="AO298" s="3089" t="e">
        <f>LEFT(AY294&amp;AY295&amp;AY296,LEN(AY294&amp;AY295&amp;AY296)-2)</f>
        <v>#VALUE!</v>
      </c>
      <c r="AP298" s="3089"/>
      <c r="AQ298" s="3090"/>
      <c r="AR298" s="3091"/>
      <c r="AS298" s="3091"/>
      <c r="AT298" s="3091"/>
      <c r="AU298" s="3090"/>
      <c r="AV298" s="3090"/>
      <c r="AW298" s="3091"/>
      <c r="AX298" s="3091"/>
      <c r="AY298" s="3089"/>
    </row>
    <row r="299" spans="1:51" ht="12.2" customHeight="1" x14ac:dyDescent="0.2">
      <c r="A299" s="2185"/>
      <c r="B299" s="2099">
        <f t="shared" si="7"/>
        <v>9</v>
      </c>
      <c r="C299" s="4538"/>
      <c r="D299" s="2044" t="s">
        <v>1836</v>
      </c>
      <c r="E299" s="1921" t="str">
        <f>IFERROR(VLOOKUP(D298,'Tablas Técnicas'!$O$9:$T$88,3,FALSE),"")</f>
        <v/>
      </c>
      <c r="F299" s="2037"/>
      <c r="G299" s="2036"/>
      <c r="H299" s="2036" t="s">
        <v>1363</v>
      </c>
      <c r="I299" s="1921" t="str">
        <f>IFERROR(VLOOKUP(D298,'Tablas Técnicas'!$O$9:$T$88,4,FALSE),"")</f>
        <v/>
      </c>
      <c r="J299" s="2044" t="s">
        <v>1836</v>
      </c>
      <c r="K299" s="1921" t="str">
        <f>IFERROR(VLOOKUP(J298,'Tablas Técnicas'!$O$9:$T$88,3,FALSE),"")</f>
        <v/>
      </c>
      <c r="L299" s="2037"/>
      <c r="M299" s="2036"/>
      <c r="N299" s="2036" t="s">
        <v>1363</v>
      </c>
      <c r="O299" s="1934" t="str">
        <f>IFERROR(VLOOKUP(J298,'Tablas Técnicas'!$O$9:$T$88,4,FALSE),"")</f>
        <v/>
      </c>
      <c r="P299" s="2036" t="s">
        <v>1836</v>
      </c>
      <c r="Q299" s="1921" t="str">
        <f>IFERROR(VLOOKUP(P298,'Tablas Técnicas'!$O$9:$T$88,3,FALSE),"")</f>
        <v/>
      </c>
      <c r="R299" s="2037"/>
      <c r="S299" s="2036"/>
      <c r="T299" s="2036" t="s">
        <v>1363</v>
      </c>
      <c r="U299" s="1921" t="str">
        <f>IFERROR(VLOOKUP(P298,'Tablas Técnicas'!$O$9:$T$88,4,FALSE),"")</f>
        <v/>
      </c>
      <c r="V299" s="2044" t="s">
        <v>1836</v>
      </c>
      <c r="W299" s="1921" t="str">
        <f>IFERROR(VLOOKUP(V298,'Tablas Técnicas'!$O$9:$T$88,3,FALSE),"")</f>
        <v/>
      </c>
      <c r="X299" s="2037"/>
      <c r="Y299" s="2036"/>
      <c r="Z299" s="2036" t="s">
        <v>1363</v>
      </c>
      <c r="AA299" s="1934" t="str">
        <f>IFERROR(VLOOKUP(V298,'Tablas Técnicas'!$O$9:$T$88,4,FALSE),"")</f>
        <v/>
      </c>
      <c r="AB299" s="2036" t="s">
        <v>1836</v>
      </c>
      <c r="AC299" s="1921" t="str">
        <f>IFERROR(VLOOKUP(AB298,'Tablas Técnicas'!$O$9:$T$88,3,FALSE),"")</f>
        <v/>
      </c>
      <c r="AD299" s="2037"/>
      <c r="AE299" s="2036"/>
      <c r="AF299" s="2036" t="s">
        <v>1363</v>
      </c>
      <c r="AG299" s="1935" t="str">
        <f>IFERROR(VLOOKUP(AB298,'Tablas Técnicas'!$O$9:$T$88,4,FALSE),"")</f>
        <v/>
      </c>
      <c r="AH299" s="2193"/>
      <c r="AI299" s="4558"/>
      <c r="AJ299" s="3089"/>
      <c r="AK299" s="3089"/>
      <c r="AL299" s="3089"/>
      <c r="AM299" s="3089"/>
      <c r="AN299" s="3090"/>
      <c r="AO299" s="3089"/>
      <c r="AP299" s="3089"/>
      <c r="AQ299" s="3090"/>
      <c r="AR299" s="3091"/>
      <c r="AS299" s="3091"/>
      <c r="AT299" s="3091"/>
      <c r="AU299" s="3091"/>
      <c r="AV299" s="3091"/>
      <c r="AW299" s="3091"/>
      <c r="AX299" s="3091"/>
      <c r="AY299" s="3089"/>
    </row>
    <row r="300" spans="1:51" ht="12.2" customHeight="1" x14ac:dyDescent="0.2">
      <c r="A300" s="2185"/>
      <c r="B300" s="2099">
        <f t="shared" si="7"/>
        <v>9</v>
      </c>
      <c r="C300" s="4538"/>
      <c r="D300" s="2045" t="s">
        <v>8814</v>
      </c>
      <c r="E300" s="2036"/>
      <c r="F300" s="2037"/>
      <c r="G300" s="2038"/>
      <c r="H300" s="2038"/>
      <c r="I300" s="2035" t="str">
        <f>IFERROR(IF(D298="Ataque Elemental",IF(NOT(ISNA(VLOOKUP(D302,'Tablas Técnicas'!$O$100:$O$105,1,0))),D302,"Variable"),VLOOKUP(D298,'Tablas Técnicas'!$O$9:$W$88,9,FALSE)),"")</f>
        <v/>
      </c>
      <c r="J300" s="1936" t="s">
        <v>8814</v>
      </c>
      <c r="K300" s="2188"/>
      <c r="L300" s="2189"/>
      <c r="M300" s="2190"/>
      <c r="N300" s="2190"/>
      <c r="O300" s="1937" t="str">
        <f>IFERROR(IF(J298="Ataque Elemental",IF(NOT(ISNA(VLOOKUP(J302,'Tablas Técnicas'!$O$100:$O$105,1,0))),J302,"Variable"),VLOOKUP(J298,'Tablas Técnicas'!$O$9:$W$88,9,FALSE)),"")</f>
        <v/>
      </c>
      <c r="P300" s="2191" t="s">
        <v>8814</v>
      </c>
      <c r="Q300" s="2188"/>
      <c r="R300" s="2189"/>
      <c r="S300" s="2190"/>
      <c r="T300" s="2190"/>
      <c r="U300" s="2035" t="str">
        <f>IFERROR(IF(P298="Ataque Elemental",IF(NOT(ISNA(VLOOKUP(P302,'Tablas Técnicas'!$O$100:$O$105,1,0))),P302,"Variable"),VLOOKUP(P298,'Tablas Técnicas'!$O$9:$W$88,9,FALSE)),"")</f>
        <v/>
      </c>
      <c r="V300" s="1936" t="s">
        <v>8814</v>
      </c>
      <c r="W300" s="2188"/>
      <c r="X300" s="2189"/>
      <c r="Y300" s="2190"/>
      <c r="Z300" s="2190"/>
      <c r="AA300" s="1937" t="str">
        <f>IFERROR(IF(V298="Ataque Elemental",IF(NOT(ISNA(VLOOKUP(V302,'Tablas Técnicas'!$O$100:$O$105,1,0))),V302,"Variable"),VLOOKUP(V298,'Tablas Técnicas'!$O$9:$W$88,9,FALSE)),"")</f>
        <v/>
      </c>
      <c r="AB300" s="2191" t="s">
        <v>8814</v>
      </c>
      <c r="AC300" s="2188"/>
      <c r="AD300" s="2189"/>
      <c r="AE300" s="2190"/>
      <c r="AF300" s="2190"/>
      <c r="AG300" s="2050" t="str">
        <f>IFERROR(IF(AB298="Ataque Elemental",IF(NOT(ISNA(VLOOKUP(AB302,'Tablas Técnicas'!$O$100:$O$105,1,0))),AB302,"Variable"),VLOOKUP(AB298,'Tablas Técnicas'!$O$9:$W$88,9,FALSE)),"")</f>
        <v/>
      </c>
      <c r="AH300" s="2193"/>
      <c r="AI300" s="4558"/>
      <c r="AJ300" s="3089"/>
      <c r="AK300" s="3091" t="s">
        <v>1373</v>
      </c>
      <c r="AL300" s="3091" t="s">
        <v>1498</v>
      </c>
      <c r="AM300" s="3091" t="s">
        <v>1378</v>
      </c>
      <c r="AN300" s="3091" t="s">
        <v>1383</v>
      </c>
      <c r="AO300" s="3091" t="s">
        <v>1391</v>
      </c>
      <c r="AP300" s="3091" t="s">
        <v>1392</v>
      </c>
      <c r="AQ300" s="3090"/>
      <c r="AR300" s="3091"/>
      <c r="AS300" s="3091"/>
      <c r="AT300" s="3091"/>
      <c r="AU300" s="3091"/>
      <c r="AV300" s="3091"/>
      <c r="AW300" s="3091"/>
      <c r="AX300" s="3091"/>
      <c r="AY300" s="3089"/>
    </row>
    <row r="301" spans="1:51" ht="12.2" customHeight="1" x14ac:dyDescent="0.2">
      <c r="A301" s="2185"/>
      <c r="B301" s="2099">
        <f t="shared" si="7"/>
        <v>9</v>
      </c>
      <c r="C301" s="4538"/>
      <c r="D301" s="4553" t="s">
        <v>2827</v>
      </c>
      <c r="E301" s="4554"/>
      <c r="F301" s="4554"/>
      <c r="G301" s="4554"/>
      <c r="H301" s="4555"/>
      <c r="I301" s="1938" t="s">
        <v>1403</v>
      </c>
      <c r="J301" s="4553" t="s">
        <v>2827</v>
      </c>
      <c r="K301" s="4554"/>
      <c r="L301" s="4554"/>
      <c r="M301" s="4554"/>
      <c r="N301" s="4555"/>
      <c r="O301" s="1939" t="s">
        <v>1403</v>
      </c>
      <c r="P301" s="4553" t="s">
        <v>2827</v>
      </c>
      <c r="Q301" s="4554"/>
      <c r="R301" s="4554"/>
      <c r="S301" s="4554"/>
      <c r="T301" s="4555"/>
      <c r="U301" s="1939" t="s">
        <v>1403</v>
      </c>
      <c r="V301" s="4553"/>
      <c r="W301" s="4554"/>
      <c r="X301" s="4554"/>
      <c r="Y301" s="4554"/>
      <c r="Z301" s="4555"/>
      <c r="AA301" s="1939" t="s">
        <v>1403</v>
      </c>
      <c r="AB301" s="4553" t="s">
        <v>2827</v>
      </c>
      <c r="AC301" s="4554"/>
      <c r="AD301" s="4554"/>
      <c r="AE301" s="4554"/>
      <c r="AF301" s="4555"/>
      <c r="AG301" s="1940" t="s">
        <v>1403</v>
      </c>
      <c r="AH301" s="2193"/>
      <c r="AI301" s="4558"/>
      <c r="AJ301" s="3094" t="s">
        <v>9343</v>
      </c>
      <c r="AK301" s="3089" t="str">
        <f>IF(V287="","",IF(SUM(V289:V293)=0,"",V287&amp;" "&amp;SUM(V289:V293)+V296&amp;IF(SUM(W289:W293)=0,""," ("&amp;SUM(W289:W293)&amp;")")&amp;", "))</f>
        <v/>
      </c>
      <c r="AL301" s="3089" t="str">
        <f>IF(X287="","",IF(SUM(X289:X293)=0,"",X287&amp;" "&amp;SUM(X289:X293)+X296&amp;IF(SUM(Y289:Y293)=0,""," ("&amp;SUM(Y289:Y293)&amp;")")&amp;", "))</f>
        <v/>
      </c>
      <c r="AM301" s="3089" t="str">
        <f>IF(Z287="","",IF(SUM(Z289:Z293)=0,"",Z287&amp;" "&amp;SUM(Z289:Z293)+Z296&amp;IF(SUM(AA289:AA293)=0,""," ("&amp;SUM(AA289:AA293)&amp;")")&amp;", "))</f>
        <v/>
      </c>
      <c r="AN301" s="3089" t="str">
        <f>IF(AB287="","",IF(SUM(AB289:AB293)=0,"",AB287&amp;" "&amp;SUM(AB289:AB293)+AB296&amp;IF(SUM(AC289:AC293)=0,""," ("&amp;SUM(AC289:AC293)&amp;")")&amp;", "))</f>
        <v/>
      </c>
      <c r="AO301" s="3089" t="str">
        <f>IF(AD287="","",IF(SUM(AD289:AD293)=0,"",AD287&amp;" "&amp;SUM(AD289:AD293)+AD296&amp;IF(SUM(AE289:AE293)=0,""," ("&amp;SUM(AE289:AE293)&amp;")")&amp;", "))</f>
        <v/>
      </c>
      <c r="AP301" s="3089" t="str">
        <f>IF(AF287="","",IF(SUM(AF289:AF293)=0,"",AF287&amp;" "&amp;SUM(AF289:AF293)+AF296&amp;IF(SUM(AG289:AG293)=0,""," ("&amp;SUM(AG289:AG293)&amp;")")&amp;", "))</f>
        <v/>
      </c>
      <c r="AQ301" s="3089"/>
      <c r="AR301" s="3089"/>
      <c r="AS301" s="3089"/>
      <c r="AT301" s="3089"/>
      <c r="AU301" s="3089"/>
      <c r="AV301" s="3089"/>
      <c r="AW301" s="3089"/>
      <c r="AX301" s="3089"/>
      <c r="AY301" s="3089"/>
    </row>
    <row r="302" spans="1:51" ht="12.2" customHeight="1" x14ac:dyDescent="0.2">
      <c r="A302" s="2185"/>
      <c r="B302" s="2099">
        <f t="shared" si="7"/>
        <v>9</v>
      </c>
      <c r="C302" s="4538"/>
      <c r="D302" s="4575"/>
      <c r="E302" s="4573"/>
      <c r="F302" s="4573"/>
      <c r="G302" s="4573"/>
      <c r="H302" s="4573"/>
      <c r="I302" s="1941" t="str">
        <f>IF(OR(D298="",D302=""),"",MAX(1,SUMPRODUCT(--(INDEX('Tablas Técnicas'!$C$10:$L$643,,1)=D298),--(INDEX('Tablas Técnicas'!$C$10:$L$643,,2)=D302),INDEX('Tablas Técnicas'!$C$10:$L$643,,9))))</f>
        <v/>
      </c>
      <c r="J302" s="4572"/>
      <c r="K302" s="4573"/>
      <c r="L302" s="4573"/>
      <c r="M302" s="4573"/>
      <c r="N302" s="4573"/>
      <c r="O302" s="1941" t="str">
        <f>IF(OR(J298="",J302=""),"",MAX(1,SUMPRODUCT(--(INDEX('Tablas Técnicas'!$C$10:$L$643,,1)=J298),--(INDEX('Tablas Técnicas'!$C$10:$L$643,,2)=J302),INDEX('Tablas Técnicas'!$C$10:$L$643,,9))))</f>
        <v/>
      </c>
      <c r="P302" s="4572"/>
      <c r="Q302" s="4573"/>
      <c r="R302" s="4573"/>
      <c r="S302" s="4573"/>
      <c r="T302" s="4573"/>
      <c r="U302" s="1941" t="str">
        <f>IF(OR(P298="",P302=""),"",MAX(1,SUMPRODUCT(--(INDEX('Tablas Técnicas'!$C$10:$L$643,,1)=P298),--(INDEX('Tablas Técnicas'!$C$10:$L$643,,2)=P302),INDEX('Tablas Técnicas'!$C$10:$L$643,,9))))</f>
        <v/>
      </c>
      <c r="V302" s="4572"/>
      <c r="W302" s="4573"/>
      <c r="X302" s="4573"/>
      <c r="Y302" s="4573"/>
      <c r="Z302" s="4573"/>
      <c r="AA302" s="1941" t="str">
        <f>IF(OR(V298="",V302=""),"",MAX(1,SUMPRODUCT(--(INDEX('Tablas Técnicas'!$C$10:$L$643,,1)=V298),--(INDEX('Tablas Técnicas'!$C$10:$L$643,,2)=V302),INDEX('Tablas Técnicas'!$C$10:$L$643,,9))))</f>
        <v/>
      </c>
      <c r="AB302" s="4572"/>
      <c r="AC302" s="4573"/>
      <c r="AD302" s="4573"/>
      <c r="AE302" s="4573"/>
      <c r="AF302" s="4573"/>
      <c r="AG302" s="1942" t="str">
        <f>IF(OR(AB298="",AB302=""),"",MAX(1,SUMPRODUCT(--(INDEX('Tablas Técnicas'!$C$10:$L$643,,1)=AB298),--(INDEX('Tablas Técnicas'!$C$10:$L$643,,2)=AB302),INDEX('Tablas Técnicas'!$C$10:$L$643,,9))))</f>
        <v/>
      </c>
      <c r="AH302" s="2193">
        <f>P285</f>
        <v>1</v>
      </c>
      <c r="AI302" s="4558"/>
      <c r="AJ302" s="3089" t="s">
        <v>9307</v>
      </c>
      <c r="AK302" s="3089"/>
      <c r="AL302" s="3089">
        <f>MAX(0,SUM(AT289:AT293)+ABS($AC294*2/5))+IF(AM311,0,Y294)+IF(S285="Sí",3*P285,0)</f>
        <v>0</v>
      </c>
      <c r="AM302" s="3089">
        <f t="array" ref="AM302">IF(ISNUMBER(SEARCH("Mantenido",K289&amp;K290&amp;K291&amp;K292&amp;K293)),MAX(0,SUM(VALUE(RIGHT($P289:$P293,2)))),0)</f>
        <v>0</v>
      </c>
      <c r="AN302" s="3091"/>
      <c r="AO302" s="3091"/>
      <c r="AP302" s="3096"/>
      <c r="AQ302" s="3096"/>
      <c r="AR302" s="3096"/>
      <c r="AS302" s="3096"/>
      <c r="AT302" s="3096"/>
      <c r="AU302" s="3096"/>
      <c r="AV302" s="3096"/>
      <c r="AW302" s="3096"/>
      <c r="AX302" s="3096"/>
      <c r="AY302" s="3089"/>
    </row>
    <row r="303" spans="1:51" ht="12.2" customHeight="1" x14ac:dyDescent="0.2">
      <c r="A303" s="2185"/>
      <c r="B303" s="2099">
        <f t="shared" si="7"/>
        <v>9</v>
      </c>
      <c r="C303" s="4538"/>
      <c r="D303" s="4556"/>
      <c r="E303" s="4557"/>
      <c r="F303" s="4557"/>
      <c r="G303" s="4557"/>
      <c r="H303" s="4557"/>
      <c r="I303" s="1943" t="str">
        <f>IF(OR(D298="",D303=""),"",MAX(1,SUMPRODUCT(--(INDEX('Tablas Técnicas'!$C$10:$L$643,,1)=D298),--(INDEX('Tablas Técnicas'!$C$10:$L$643,,2)=D303),INDEX('Tablas Técnicas'!$C$10:$L$643,,9))))</f>
        <v/>
      </c>
      <c r="J303" s="4556"/>
      <c r="K303" s="4557"/>
      <c r="L303" s="4557"/>
      <c r="M303" s="4557"/>
      <c r="N303" s="4557"/>
      <c r="O303" s="1943" t="str">
        <f>IF(OR(J298="",J303=""),"",MAX(1,SUMPRODUCT(--(INDEX('Tablas Técnicas'!$C$10:$L$643,,1)=J298),--(INDEX('Tablas Técnicas'!$C$10:$L$643,,2)=J303),INDEX('Tablas Técnicas'!$C$10:$L$643,,9))))</f>
        <v/>
      </c>
      <c r="P303" s="4556"/>
      <c r="Q303" s="4557"/>
      <c r="R303" s="4557"/>
      <c r="S303" s="4557"/>
      <c r="T303" s="4557"/>
      <c r="U303" s="1943" t="str">
        <f>IF(OR(P298="",P303=""),"",MAX(1,SUMPRODUCT(--(INDEX('Tablas Técnicas'!$C$10:$L$643,,1)=P298),--(INDEX('Tablas Técnicas'!$C$10:$L$643,,2)=P303),INDEX('Tablas Técnicas'!$C$10:$L$643,,9))))</f>
        <v/>
      </c>
      <c r="V303" s="4556"/>
      <c r="W303" s="4557"/>
      <c r="X303" s="4557"/>
      <c r="Y303" s="4557"/>
      <c r="Z303" s="4557"/>
      <c r="AA303" s="1943" t="str">
        <f>IF(OR(V298="",V303=""),"",MAX(1,SUMPRODUCT(--(INDEX('Tablas Técnicas'!$C$10:$L$643,,1)=V298),--(INDEX('Tablas Técnicas'!$C$10:$L$643,,2)=V303),INDEX('Tablas Técnicas'!$C$10:$L$643,,9))))</f>
        <v/>
      </c>
      <c r="AB303" s="4556"/>
      <c r="AC303" s="4557"/>
      <c r="AD303" s="4557"/>
      <c r="AE303" s="4557"/>
      <c r="AF303" s="4557"/>
      <c r="AG303" s="1944" t="str">
        <f>IF(OR(AB298="",AB303=""),"",MAX(1,SUMPRODUCT(--(INDEX('Tablas Técnicas'!$C$10:$L$643,,1)=AB298),--(INDEX('Tablas Técnicas'!$C$10:$L$643,,2)=AB303),INDEX('Tablas Técnicas'!$C$10:$L$643,,9))))</f>
        <v/>
      </c>
      <c r="AH303" s="2193">
        <f>P285</f>
        <v>1</v>
      </c>
      <c r="AI303" s="4558"/>
      <c r="AJ303" s="3089" t="s">
        <v>8816</v>
      </c>
      <c r="AK303" s="3089"/>
      <c r="AL303" s="3089">
        <f>SUM(V289:V293,X289:X293,Z289:Z293,AB289:AB293,AD289:AD293,AF289:AF293)+SUM(V296:AG296)</f>
        <v>0</v>
      </c>
      <c r="AM303" s="3089">
        <f>SUM(W289:W293,Y289:Y293,AA289:AA293,AC289:AC293,AE289:AE293,AG289:AG293)</f>
        <v>0</v>
      </c>
      <c r="AN303" s="3089"/>
      <c r="AO303" s="3089"/>
      <c r="AP303" s="3089"/>
      <c r="AQ303" s="3089"/>
      <c r="AR303" s="3089"/>
      <c r="AS303" s="3089"/>
      <c r="AT303" s="3089"/>
      <c r="AU303" s="3089"/>
      <c r="AV303" s="3089"/>
      <c r="AW303" s="3091"/>
      <c r="AX303" s="3089"/>
      <c r="AY303" s="3089"/>
    </row>
    <row r="304" spans="1:51" ht="12.2" customHeight="1" x14ac:dyDescent="0.2">
      <c r="A304" s="2185"/>
      <c r="B304" s="2099">
        <f t="shared" si="7"/>
        <v>9</v>
      </c>
      <c r="C304" s="4538"/>
      <c r="D304" s="4556"/>
      <c r="E304" s="4557"/>
      <c r="F304" s="4557"/>
      <c r="G304" s="4557"/>
      <c r="H304" s="4557"/>
      <c r="I304" s="1943" t="str">
        <f>IF(OR(D298="",D304=""),"",MAX(1,SUMPRODUCT(--(INDEX('Tablas Técnicas'!$C$10:$L$643,,1)=D298),--(INDEX('Tablas Técnicas'!$C$10:$L$643,,2)=D304),INDEX('Tablas Técnicas'!$C$10:$L$643,,9))))</f>
        <v/>
      </c>
      <c r="J304" s="4556"/>
      <c r="K304" s="4557"/>
      <c r="L304" s="4557"/>
      <c r="M304" s="4557"/>
      <c r="N304" s="4557"/>
      <c r="O304" s="1943" t="str">
        <f>IF(OR(J298="",J304=""),"",MAX(1,SUMPRODUCT(--(INDEX('Tablas Técnicas'!$C$10:$L$643,,1)=J298),--(INDEX('Tablas Técnicas'!$C$10:$L$643,,2)=J304),INDEX('Tablas Técnicas'!$C$10:$L$643,,9))))</f>
        <v/>
      </c>
      <c r="P304" s="4556"/>
      <c r="Q304" s="4557"/>
      <c r="R304" s="4557"/>
      <c r="S304" s="4557"/>
      <c r="T304" s="4557"/>
      <c r="U304" s="1943" t="str">
        <f>IF(OR(P298="",P304=""),"",MAX(1,SUMPRODUCT(--(INDEX('Tablas Técnicas'!$C$10:$L$643,,1)=P298),--(INDEX('Tablas Técnicas'!$C$10:$L$643,,2)=P304),INDEX('Tablas Técnicas'!$C$10:$L$643,,9))))</f>
        <v/>
      </c>
      <c r="V304" s="4556"/>
      <c r="W304" s="4557"/>
      <c r="X304" s="4557"/>
      <c r="Y304" s="4557"/>
      <c r="Z304" s="4557"/>
      <c r="AA304" s="1943" t="str">
        <f>IF(OR(V298="",V304=""),"",MAX(1,SUMPRODUCT(--(INDEX('Tablas Técnicas'!$C$10:$L$643,,1)=V298),--(INDEX('Tablas Técnicas'!$C$10:$L$643,,2)=V304),INDEX('Tablas Técnicas'!$C$10:$L$643,,9))))</f>
        <v/>
      </c>
      <c r="AB304" s="4556"/>
      <c r="AC304" s="4557"/>
      <c r="AD304" s="4557"/>
      <c r="AE304" s="4557"/>
      <c r="AF304" s="4557"/>
      <c r="AG304" s="1944" t="str">
        <f>IF(OR(AB298="",AB304=""),"",MAX(1,SUMPRODUCT(--(INDEX('Tablas Técnicas'!$C$10:$L$643,,1)=AB298),--(INDEX('Tablas Técnicas'!$C$10:$L$643,,2)=AB304),INDEX('Tablas Técnicas'!$C$10:$L$643,,9))))</f>
        <v/>
      </c>
      <c r="AH304" s="2193">
        <f>P285</f>
        <v>1</v>
      </c>
      <c r="AI304" s="4558"/>
      <c r="AJ304" s="3089"/>
      <c r="AK304" s="3089"/>
      <c r="AL304" s="3089"/>
      <c r="AM304" s="3089"/>
      <c r="AN304" s="3089"/>
      <c r="AO304" s="3089"/>
      <c r="AP304" s="3089"/>
      <c r="AQ304" s="3089"/>
      <c r="AR304" s="3089"/>
      <c r="AS304" s="3089"/>
      <c r="AT304" s="3089"/>
      <c r="AU304" s="3089"/>
      <c r="AV304" s="3089"/>
      <c r="AW304" s="3091"/>
      <c r="AX304" s="3091"/>
      <c r="AY304" s="3089"/>
    </row>
    <row r="305" spans="1:51" ht="12.2" customHeight="1" x14ac:dyDescent="0.2">
      <c r="A305" s="2185"/>
      <c r="B305" s="2099">
        <f t="shared" si="7"/>
        <v>9</v>
      </c>
      <c r="C305" s="4538"/>
      <c r="D305" s="4556"/>
      <c r="E305" s="4557"/>
      <c r="F305" s="4557"/>
      <c r="G305" s="4557"/>
      <c r="H305" s="4557"/>
      <c r="I305" s="1943" t="str">
        <f>IF(OR(D298="",D305=""),"",MAX(1,SUMPRODUCT(--(INDEX('Tablas Técnicas'!$C$10:$L$643,,1)=D298),--(INDEX('Tablas Técnicas'!$C$10:$L$643,,2)=D305),INDEX('Tablas Técnicas'!$C$10:$L$643,,9))))</f>
        <v/>
      </c>
      <c r="J305" s="4556"/>
      <c r="K305" s="4557"/>
      <c r="L305" s="4557"/>
      <c r="M305" s="4557"/>
      <c r="N305" s="4557"/>
      <c r="O305" s="1943" t="str">
        <f>IF(OR(J298="",J305=""),"",MAX(1,SUMPRODUCT(--(INDEX('Tablas Técnicas'!$C$10:$L$643,,1)=J298),--(INDEX('Tablas Técnicas'!$C$10:$L$643,,2)=J305),INDEX('Tablas Técnicas'!$C$10:$L$643,,9))))</f>
        <v/>
      </c>
      <c r="P305" s="4556"/>
      <c r="Q305" s="4557"/>
      <c r="R305" s="4557"/>
      <c r="S305" s="4557"/>
      <c r="T305" s="4557"/>
      <c r="U305" s="1943" t="str">
        <f>IF(OR(P298="",P305=""),"",MAX(1,SUMPRODUCT(--(INDEX('Tablas Técnicas'!$C$10:$L$643,,1)=P298),--(INDEX('Tablas Técnicas'!$C$10:$L$643,,2)=P305),INDEX('Tablas Técnicas'!$C$10:$L$643,,9))))</f>
        <v/>
      </c>
      <c r="V305" s="4556"/>
      <c r="W305" s="4557"/>
      <c r="X305" s="4557"/>
      <c r="Y305" s="4557"/>
      <c r="Z305" s="4557"/>
      <c r="AA305" s="1943" t="str">
        <f>IF(OR(V298="",V305=""),"",MAX(1,SUMPRODUCT(--(INDEX('Tablas Técnicas'!$C$10:$L$643,,1)=V298),--(INDEX('Tablas Técnicas'!$C$10:$L$643,,2)=V305),INDEX('Tablas Técnicas'!$C$10:$L$643,,9))))</f>
        <v/>
      </c>
      <c r="AB305" s="4556"/>
      <c r="AC305" s="4557"/>
      <c r="AD305" s="4557"/>
      <c r="AE305" s="4557"/>
      <c r="AF305" s="4557"/>
      <c r="AG305" s="1944" t="str">
        <f>IF(OR(AB298="",AB305=""),"",MAX(1,SUMPRODUCT(--(INDEX('Tablas Técnicas'!$C$10:$L$643,,1)=AB298),--(INDEX('Tablas Técnicas'!$C$10:$L$643,,2)=AB305),INDEX('Tablas Técnicas'!$C$10:$L$643,,9))))</f>
        <v/>
      </c>
      <c r="AH305" s="2193">
        <f>P285</f>
        <v>1</v>
      </c>
      <c r="AI305" s="4558"/>
      <c r="AJ305" s="3089" t="s">
        <v>8817</v>
      </c>
      <c r="AK305" s="3089"/>
      <c r="AL305" s="3089"/>
      <c r="AM305" s="3089"/>
      <c r="AN305" s="3089"/>
      <c r="AO305" s="3089"/>
      <c r="AP305" s="3089"/>
      <c r="AQ305" s="3090"/>
      <c r="AR305" s="3091"/>
      <c r="AS305" s="3091"/>
      <c r="AT305" s="3091"/>
      <c r="AU305" s="3091"/>
      <c r="AV305" s="3091"/>
      <c r="AW305" s="3091"/>
      <c r="AX305" s="3091"/>
      <c r="AY305" s="3089"/>
    </row>
    <row r="306" spans="1:51" ht="12.2" customHeight="1" x14ac:dyDescent="0.2">
      <c r="A306" s="2185"/>
      <c r="B306" s="2099">
        <f t="shared" si="7"/>
        <v>9</v>
      </c>
      <c r="C306" s="4538"/>
      <c r="D306" s="4556"/>
      <c r="E306" s="4557"/>
      <c r="F306" s="4557"/>
      <c r="G306" s="4557"/>
      <c r="H306" s="4557"/>
      <c r="I306" s="1943" t="str">
        <f>IF(OR(D298="",D306=""),"",MAX(1,SUMPRODUCT(--(INDEX('Tablas Técnicas'!$C$10:$L$643,,1)=D298),--(INDEX('Tablas Técnicas'!$C$10:$L$643,,2)=D306),INDEX('Tablas Técnicas'!$C$10:$L$643,,9))))</f>
        <v/>
      </c>
      <c r="J306" s="4556"/>
      <c r="K306" s="4557"/>
      <c r="L306" s="4557"/>
      <c r="M306" s="4557"/>
      <c r="N306" s="4557"/>
      <c r="O306" s="1943" t="str">
        <f>IF(OR(J298="",J306=""),"",MAX(1,SUMPRODUCT(--(INDEX('Tablas Técnicas'!$C$10:$L$643,,1)=J298),--(INDEX('Tablas Técnicas'!$C$10:$L$643,,2)=J306),INDEX('Tablas Técnicas'!$C$10:$L$643,,9))))</f>
        <v/>
      </c>
      <c r="P306" s="4556"/>
      <c r="Q306" s="4557"/>
      <c r="R306" s="4557"/>
      <c r="S306" s="4557"/>
      <c r="T306" s="4557"/>
      <c r="U306" s="1943" t="str">
        <f>IF(OR(P298="",P306=""),"",MAX(1,SUMPRODUCT(--(INDEX('Tablas Técnicas'!$C$10:$L$643,,1)=P298),--(INDEX('Tablas Técnicas'!$C$10:$L$643,,2)=P306),INDEX('Tablas Técnicas'!$C$10:$L$643,,9))))</f>
        <v/>
      </c>
      <c r="V306" s="4556"/>
      <c r="W306" s="4557"/>
      <c r="X306" s="4557"/>
      <c r="Y306" s="4557"/>
      <c r="Z306" s="4557"/>
      <c r="AA306" s="1943" t="str">
        <f>IF(OR(V298="",V306=""),"",MAX(1,SUMPRODUCT(--(INDEX('Tablas Técnicas'!$C$10:$L$643,,1)=V298),--(INDEX('Tablas Técnicas'!$C$10:$L$643,,2)=V306),INDEX('Tablas Técnicas'!$C$10:$L$643,,9))))</f>
        <v/>
      </c>
      <c r="AB306" s="4556"/>
      <c r="AC306" s="4557"/>
      <c r="AD306" s="4557"/>
      <c r="AE306" s="4557"/>
      <c r="AF306" s="4557"/>
      <c r="AG306" s="1944" t="str">
        <f>IF(OR(AB298="",AB306=""),"",MAX(1,SUMPRODUCT(--(INDEX('Tablas Técnicas'!$C$10:$L$643,,1)=AB298),--(INDEX('Tablas Técnicas'!$C$10:$L$643,,2)=AB306),INDEX('Tablas Técnicas'!$C$10:$L$643,,9))))</f>
        <v/>
      </c>
      <c r="AH306" s="2193">
        <f>P285</f>
        <v>1</v>
      </c>
      <c r="AI306" s="4558"/>
      <c r="AJ306" s="3089" t="s">
        <v>9971</v>
      </c>
      <c r="AK306" s="3089"/>
      <c r="AL306" s="3089"/>
      <c r="AM306" s="3089" t="b">
        <f>U285&gt;IF(P285=3,200,IF(P285=2,100,50))</f>
        <v>0</v>
      </c>
      <c r="AN306" s="3089"/>
      <c r="AO306" s="3089"/>
      <c r="AP306" s="3089"/>
      <c r="AQ306" s="3089"/>
      <c r="AR306" s="3091"/>
      <c r="AS306" s="3091"/>
      <c r="AT306" s="3091"/>
      <c r="AU306" s="3091"/>
      <c r="AV306" s="3091"/>
      <c r="AW306" s="3091"/>
      <c r="AX306" s="3091"/>
      <c r="AY306" s="3089"/>
    </row>
    <row r="307" spans="1:51" ht="12.2" customHeight="1" x14ac:dyDescent="0.2">
      <c r="A307" s="2185"/>
      <c r="B307" s="2099">
        <f t="shared" si="7"/>
        <v>9</v>
      </c>
      <c r="C307" s="4538"/>
      <c r="D307" s="4556"/>
      <c r="E307" s="4557"/>
      <c r="F307" s="4557"/>
      <c r="G307" s="4557"/>
      <c r="H307" s="4557"/>
      <c r="I307" s="1943" t="str">
        <f>IF(OR(D298="",D307=""),"",MAX(1,SUMPRODUCT(--(INDEX('Tablas Técnicas'!$C$10:$L$643,,1)=D298),--(INDEX('Tablas Técnicas'!$C$10:$L$643,,2)=D307),INDEX('Tablas Técnicas'!$C$10:$L$643,,9))))</f>
        <v/>
      </c>
      <c r="J307" s="4556"/>
      <c r="K307" s="4557"/>
      <c r="L307" s="4557"/>
      <c r="M307" s="4557"/>
      <c r="N307" s="4557"/>
      <c r="O307" s="1943" t="str">
        <f>IF(OR(J298="",J307=""),"",MAX(1,SUMPRODUCT(--(INDEX('Tablas Técnicas'!$C$10:$L$643,,1)=J298),--(INDEX('Tablas Técnicas'!$C$10:$L$643,,2)=J307),INDEX('Tablas Técnicas'!$C$10:$L$643,,9))))</f>
        <v/>
      </c>
      <c r="P307" s="4556"/>
      <c r="Q307" s="4557"/>
      <c r="R307" s="4557"/>
      <c r="S307" s="4557"/>
      <c r="T307" s="4557"/>
      <c r="U307" s="1943" t="str">
        <f>IF(OR(P298="",P307=""),"",MAX(1,SUMPRODUCT(--(INDEX('Tablas Técnicas'!$C$10:$L$643,,1)=P298),--(INDEX('Tablas Técnicas'!$C$10:$L$643,,2)=P307),INDEX('Tablas Técnicas'!$C$10:$L$643,,9))))</f>
        <v/>
      </c>
      <c r="V307" s="4556"/>
      <c r="W307" s="4557"/>
      <c r="X307" s="4557"/>
      <c r="Y307" s="4557"/>
      <c r="Z307" s="4557"/>
      <c r="AA307" s="1943" t="str">
        <f>IF(OR(V298="",V307=""),"",MAX(1,SUMPRODUCT(--(INDEX('Tablas Técnicas'!$C$10:$L$643,,1)=V298),--(INDEX('Tablas Técnicas'!$C$10:$L$643,,2)=V307),INDEX('Tablas Técnicas'!$C$10:$L$643,,9))))</f>
        <v/>
      </c>
      <c r="AB307" s="4556"/>
      <c r="AC307" s="4557"/>
      <c r="AD307" s="4557"/>
      <c r="AE307" s="4557"/>
      <c r="AF307" s="4557"/>
      <c r="AG307" s="1944" t="str">
        <f>IF(OR(AB298="",AB307=""),"",MAX(1,SUMPRODUCT(--(INDEX('Tablas Técnicas'!$C$10:$L$643,,1)=AB298),--(INDEX('Tablas Técnicas'!$C$10:$L$643,,2)=AB307),INDEX('Tablas Técnicas'!$C$10:$L$643,,9))))</f>
        <v/>
      </c>
      <c r="AH307" s="2193">
        <f>P285</f>
        <v>1</v>
      </c>
      <c r="AI307" s="4558"/>
      <c r="AJ307" s="3089" t="s">
        <v>8818</v>
      </c>
      <c r="AK307" s="3089"/>
      <c r="AL307" s="3089"/>
      <c r="AM307" s="3089" t="b">
        <f t="array" ref="AM307">MAX(I302:I308,O302:O308,U302:U308,AA302:AA308,AG302:AG308,RIGHT(S294:S296,1))&gt;P285</f>
        <v>0</v>
      </c>
      <c r="AN307" s="3089"/>
      <c r="AO307" s="3089"/>
      <c r="AP307" s="3089"/>
      <c r="AQ307" s="3090"/>
      <c r="AR307" s="3091"/>
      <c r="AS307" s="3091"/>
      <c r="AT307" s="3091"/>
      <c r="AU307" s="3091"/>
      <c r="AV307" s="3091"/>
      <c r="AW307" s="3091"/>
      <c r="AX307" s="3091"/>
      <c r="AY307" s="3089"/>
    </row>
    <row r="308" spans="1:51" ht="12.2" customHeight="1" x14ac:dyDescent="0.2">
      <c r="A308" s="2185"/>
      <c r="B308" s="2099">
        <f t="shared" si="7"/>
        <v>9</v>
      </c>
      <c r="C308" s="4538"/>
      <c r="D308" s="4570"/>
      <c r="E308" s="4571"/>
      <c r="F308" s="4571"/>
      <c r="G308" s="4571"/>
      <c r="H308" s="4571"/>
      <c r="I308" s="1945" t="str">
        <f>IF(OR(D298="",D308=""),"",MAX(1,SUMPRODUCT(--(INDEX('Tablas Técnicas'!$C$10:$L$643,,1)=D298),--(INDEX('Tablas Técnicas'!$C$10:$L$643,,2)=D308),INDEX('Tablas Técnicas'!$C$10:$L$643,,9))))</f>
        <v/>
      </c>
      <c r="J308" s="4570"/>
      <c r="K308" s="4571"/>
      <c r="L308" s="4571"/>
      <c r="M308" s="4571"/>
      <c r="N308" s="4571"/>
      <c r="O308" s="1945" t="str">
        <f>IF(OR(J298="",J308=""),"",MAX(1,SUMPRODUCT(--(INDEX('Tablas Técnicas'!$C$10:$L$643,,1)=J298),--(INDEX('Tablas Técnicas'!$C$10:$L$643,,2)=J308),INDEX('Tablas Técnicas'!$C$10:$L$643,,9))))</f>
        <v/>
      </c>
      <c r="P308" s="4570"/>
      <c r="Q308" s="4571"/>
      <c r="R308" s="4571"/>
      <c r="S308" s="4571"/>
      <c r="T308" s="4571"/>
      <c r="U308" s="1945" t="str">
        <f>IF(OR(P298="",P308=""),"",MAX(1,SUMPRODUCT(--(INDEX('Tablas Técnicas'!$C$10:$L$643,,1)=P298),--(INDEX('Tablas Técnicas'!$C$10:$L$643,,2)=P308),INDEX('Tablas Técnicas'!$C$10:$L$643,,9))))</f>
        <v/>
      </c>
      <c r="V308" s="4570"/>
      <c r="W308" s="4571"/>
      <c r="X308" s="4571"/>
      <c r="Y308" s="4571"/>
      <c r="Z308" s="4571"/>
      <c r="AA308" s="1945" t="str">
        <f>IF(OR(V298="",V308=""),"",MAX(1,SUMPRODUCT(--(INDEX('Tablas Técnicas'!$C$10:$L$643,,1)=V298),--(INDEX('Tablas Técnicas'!$C$10:$L$643,,2)=V308),INDEX('Tablas Técnicas'!$C$10:$L$643,,9))))</f>
        <v/>
      </c>
      <c r="AB308" s="4570"/>
      <c r="AC308" s="4571"/>
      <c r="AD308" s="4571"/>
      <c r="AE308" s="4571"/>
      <c r="AF308" s="4571"/>
      <c r="AG308" s="1946" t="str">
        <f>IF(OR(AB298="",AB308=""),"",MAX(1,SUMPRODUCT(--(INDEX('Tablas Técnicas'!$C$10:$L$643,,1)=AB298),--(INDEX('Tablas Técnicas'!$C$10:$L$643,,2)=AB308),INDEX('Tablas Técnicas'!$C$10:$L$643,,9))))</f>
        <v/>
      </c>
      <c r="AH308" s="2193">
        <f>P285</f>
        <v>1</v>
      </c>
      <c r="AI308" s="4558"/>
      <c r="AJ308" s="3089" t="s">
        <v>9324</v>
      </c>
      <c r="AK308" s="3089"/>
      <c r="AL308" s="3089"/>
      <c r="AM308" s="3089" t="b">
        <f>AND(COUNTIF(K289:M293,"Mantenido"),OR(COUNTIF(K289:M293,"Sostenimiento Menor"),COUNTIF(K289:M293,"Sostenimiento Mayor")))</f>
        <v>0</v>
      </c>
      <c r="AN308" s="3090"/>
      <c r="AO308" s="3089"/>
      <c r="AP308" s="3089"/>
      <c r="AQ308" s="3089"/>
      <c r="AR308" s="3089"/>
      <c r="AS308" s="3089"/>
      <c r="AT308" s="3089"/>
      <c r="AU308" s="3091"/>
      <c r="AV308" s="3091"/>
      <c r="AW308" s="3091"/>
      <c r="AX308" s="3091"/>
      <c r="AY308" s="3089"/>
    </row>
    <row r="309" spans="1:51" ht="12.2" customHeight="1" x14ac:dyDescent="0.2">
      <c r="A309" s="2185"/>
      <c r="B309" s="2099">
        <f t="shared" si="7"/>
        <v>9</v>
      </c>
      <c r="C309" s="4538"/>
      <c r="D309" s="4549" t="s">
        <v>1549</v>
      </c>
      <c r="E309" s="4550"/>
      <c r="F309" s="4550"/>
      <c r="G309" s="4550"/>
      <c r="H309" s="4550"/>
      <c r="I309" s="4550"/>
      <c r="J309" s="4550"/>
      <c r="K309" s="4550"/>
      <c r="L309" s="4550"/>
      <c r="M309" s="4550"/>
      <c r="N309" s="4550"/>
      <c r="O309" s="4550"/>
      <c r="P309" s="4550"/>
      <c r="Q309" s="4550"/>
      <c r="R309" s="4550"/>
      <c r="S309" s="4550"/>
      <c r="T309" s="4550"/>
      <c r="U309" s="4550"/>
      <c r="V309" s="4550"/>
      <c r="W309" s="4550"/>
      <c r="X309" s="4550"/>
      <c r="Y309" s="4550"/>
      <c r="Z309" s="4550"/>
      <c r="AA309" s="4550"/>
      <c r="AB309" s="4550"/>
      <c r="AC309" s="4550"/>
      <c r="AD309" s="4550"/>
      <c r="AE309" s="4550"/>
      <c r="AF309" s="4550"/>
      <c r="AG309" s="4576"/>
      <c r="AH309" s="2193"/>
      <c r="AI309" s="4558"/>
      <c r="AJ309" s="3089" t="s">
        <v>9323</v>
      </c>
      <c r="AK309" s="3089"/>
      <c r="AL309" s="3089"/>
      <c r="AM309" s="3089"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089"/>
      <c r="AO309" s="3089"/>
      <c r="AP309" s="3089"/>
      <c r="AQ309" s="3090"/>
      <c r="AR309" s="3089"/>
      <c r="AS309" s="3089"/>
      <c r="AT309" s="3089"/>
      <c r="AU309" s="3091"/>
      <c r="AV309" s="3091"/>
      <c r="AW309" s="3091"/>
      <c r="AX309" s="3091"/>
      <c r="AY309" s="3089"/>
    </row>
    <row r="310" spans="1:51" ht="12.2" customHeight="1" x14ac:dyDescent="0.2">
      <c r="A310" s="2185"/>
      <c r="B310" s="2099">
        <f t="shared" si="7"/>
        <v>9</v>
      </c>
      <c r="C310" s="4538"/>
      <c r="D310" s="4578"/>
      <c r="E310" s="4579"/>
      <c r="F310" s="4579"/>
      <c r="G310" s="4579"/>
      <c r="H310" s="4579"/>
      <c r="I310" s="4579"/>
      <c r="J310" s="4579"/>
      <c r="K310" s="4579"/>
      <c r="L310" s="4579"/>
      <c r="M310" s="4579"/>
      <c r="N310" s="4579"/>
      <c r="O310" s="4579"/>
      <c r="P310" s="4579"/>
      <c r="Q310" s="4579"/>
      <c r="R310" s="4579"/>
      <c r="S310" s="4579"/>
      <c r="T310" s="4579"/>
      <c r="U310" s="4579"/>
      <c r="V310" s="4579"/>
      <c r="W310" s="4579"/>
      <c r="X310" s="4579"/>
      <c r="Y310" s="4579"/>
      <c r="Z310" s="4579"/>
      <c r="AA310" s="4579"/>
      <c r="AB310" s="4579"/>
      <c r="AC310" s="4579"/>
      <c r="AD310" s="4579"/>
      <c r="AE310" s="4579"/>
      <c r="AF310" s="4579"/>
      <c r="AG310" s="4580"/>
      <c r="AH310" s="2193"/>
      <c r="AI310" s="4558"/>
      <c r="AJ310" s="3089" t="s">
        <v>9331</v>
      </c>
      <c r="AK310" s="3089"/>
      <c r="AL310" s="3089"/>
      <c r="AM310" s="3089"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089"/>
      <c r="AO310" s="3089"/>
      <c r="AP310" s="3089"/>
      <c r="AQ310" s="3090"/>
      <c r="AR310" s="3089"/>
      <c r="AS310" s="3089"/>
      <c r="AT310" s="3089"/>
      <c r="AU310" s="3091"/>
      <c r="AV310" s="3091"/>
      <c r="AW310" s="3091"/>
      <c r="AX310" s="3091"/>
      <c r="AY310" s="3089"/>
    </row>
    <row r="311" spans="1:51" ht="12.2" customHeight="1" x14ac:dyDescent="0.2">
      <c r="A311" s="2185"/>
      <c r="B311" s="2099">
        <f t="shared" si="7"/>
        <v>9</v>
      </c>
      <c r="C311" s="4538"/>
      <c r="D311" s="4578"/>
      <c r="E311" s="4579"/>
      <c r="F311" s="4579"/>
      <c r="G311" s="4579"/>
      <c r="H311" s="4579"/>
      <c r="I311" s="4579"/>
      <c r="J311" s="4579"/>
      <c r="K311" s="4579"/>
      <c r="L311" s="4579"/>
      <c r="M311" s="4579"/>
      <c r="N311" s="4579"/>
      <c r="O311" s="4579"/>
      <c r="P311" s="4579"/>
      <c r="Q311" s="4579"/>
      <c r="R311" s="4579"/>
      <c r="S311" s="4579"/>
      <c r="T311" s="4579"/>
      <c r="U311" s="4579"/>
      <c r="V311" s="4579"/>
      <c r="W311" s="4579"/>
      <c r="X311" s="4579"/>
      <c r="Y311" s="4579"/>
      <c r="Z311" s="4579"/>
      <c r="AA311" s="4579"/>
      <c r="AB311" s="4579"/>
      <c r="AC311" s="4579"/>
      <c r="AD311" s="4579"/>
      <c r="AE311" s="4579"/>
      <c r="AF311" s="4579"/>
      <c r="AG311" s="4580"/>
      <c r="AH311" s="2193"/>
      <c r="AI311" s="4558"/>
      <c r="AJ311" s="3089" t="s">
        <v>9310</v>
      </c>
      <c r="AK311" s="3089"/>
      <c r="AL311" s="3089"/>
      <c r="AM311" s="3089" t="b">
        <f>AND((IF(SUM(V289:V293)&gt;0,1,0)+IF(SUM(X289:X293)&gt;0,1,0)+IF(SUM(Z289:Z293)&gt;0,1,0)+IF(SUM(AB289:AB293)&gt;0,1,0)+IF(SUM(AD289:AD293,)&gt;0,1,0)+IF(SUM(AF289:AF293)&gt;0,1,0))&lt;3,OR(V296&lt;0,X296&lt;0,Z296&lt;0,AB296&lt;0,AD296&lt;0,AF296&lt;0,Y294&lt;0))</f>
        <v>0</v>
      </c>
      <c r="AN311" s="3089"/>
      <c r="AO311" s="3089"/>
      <c r="AP311" s="3089"/>
      <c r="AQ311" s="3090"/>
      <c r="AR311" s="3089"/>
      <c r="AS311" s="3089"/>
      <c r="AT311" s="3089"/>
      <c r="AU311" s="3091"/>
      <c r="AV311" s="3091"/>
      <c r="AW311" s="3091"/>
      <c r="AX311" s="3091"/>
      <c r="AY311" s="3089"/>
    </row>
    <row r="312" spans="1:51" ht="12.2" customHeight="1" x14ac:dyDescent="0.2">
      <c r="A312" s="2185"/>
      <c r="B312" s="2099">
        <f t="shared" si="7"/>
        <v>9</v>
      </c>
      <c r="C312" s="4538"/>
      <c r="D312" s="4578"/>
      <c r="E312" s="4579"/>
      <c r="F312" s="4579"/>
      <c r="G312" s="4579"/>
      <c r="H312" s="4579"/>
      <c r="I312" s="4579"/>
      <c r="J312" s="4579"/>
      <c r="K312" s="4579"/>
      <c r="L312" s="4579"/>
      <c r="M312" s="4579"/>
      <c r="N312" s="4579"/>
      <c r="O312" s="4579"/>
      <c r="P312" s="4579"/>
      <c r="Q312" s="4579"/>
      <c r="R312" s="4579"/>
      <c r="S312" s="4579"/>
      <c r="T312" s="4579"/>
      <c r="U312" s="4579"/>
      <c r="V312" s="4579"/>
      <c r="W312" s="4579"/>
      <c r="X312" s="4579"/>
      <c r="Y312" s="4579"/>
      <c r="Z312" s="4579"/>
      <c r="AA312" s="4579"/>
      <c r="AB312" s="4579"/>
      <c r="AC312" s="4579"/>
      <c r="AD312" s="4579"/>
      <c r="AE312" s="4579"/>
      <c r="AF312" s="4579"/>
      <c r="AG312" s="4580"/>
      <c r="AH312" s="2193"/>
      <c r="AI312" s="4558"/>
      <c r="AJ312" s="3089" t="s">
        <v>9325</v>
      </c>
      <c r="AK312" s="3089"/>
      <c r="AL312" s="3089"/>
      <c r="AM312" s="3089" t="b">
        <f>OR(-V296&gt;TRUNC(SUM(V289:V293)/2),-X296&gt;TRUNC(SUM(X289:X293)/2),-Z296&gt;TRUNC(SUM(Z289:Z293)/2),-AB296&gt;TRUNC(SUM(AB289:AB293)/2),-AD296&gt;TRUNC(SUM(AD289:AD293)/2),-AF296&gt;TRUNC(SUM(AF289:AF293)/2))</f>
        <v>0</v>
      </c>
      <c r="AN312" s="3089"/>
      <c r="AO312" s="3089"/>
      <c r="AP312" s="3089"/>
      <c r="AQ312" s="3090"/>
      <c r="AR312" s="3089"/>
      <c r="AS312" s="3089"/>
      <c r="AT312" s="3089"/>
      <c r="AU312" s="3091"/>
      <c r="AV312" s="3091"/>
      <c r="AW312" s="3091"/>
      <c r="AX312" s="3091"/>
      <c r="AY312" s="3089"/>
    </row>
    <row r="313" spans="1:51" ht="12.2" customHeight="1" x14ac:dyDescent="0.2">
      <c r="A313" s="2185"/>
      <c r="B313" s="2099">
        <f t="shared" si="7"/>
        <v>9</v>
      </c>
      <c r="C313" s="4538"/>
      <c r="D313" s="4578"/>
      <c r="E313" s="4579"/>
      <c r="F313" s="4579"/>
      <c r="G313" s="4579"/>
      <c r="H313" s="4579"/>
      <c r="I313" s="4579"/>
      <c r="J313" s="4579"/>
      <c r="K313" s="4579"/>
      <c r="L313" s="4579"/>
      <c r="M313" s="4579"/>
      <c r="N313" s="4579"/>
      <c r="O313" s="4579"/>
      <c r="P313" s="4579"/>
      <c r="Q313" s="4579"/>
      <c r="R313" s="4579"/>
      <c r="S313" s="4579"/>
      <c r="T313" s="4579"/>
      <c r="U313" s="4579"/>
      <c r="V313" s="4579"/>
      <c r="W313" s="4579"/>
      <c r="X313" s="4579"/>
      <c r="Y313" s="4579"/>
      <c r="Z313" s="4579"/>
      <c r="AA313" s="4579"/>
      <c r="AB313" s="4579"/>
      <c r="AC313" s="4579"/>
      <c r="AD313" s="4579"/>
      <c r="AE313" s="4579"/>
      <c r="AF313" s="4579"/>
      <c r="AG313" s="4580"/>
      <c r="AH313" s="2193"/>
      <c r="AI313" s="4558"/>
      <c r="AJ313" s="3089" t="s">
        <v>9326</v>
      </c>
      <c r="AK313" s="3089"/>
      <c r="AL313" s="3089"/>
      <c r="AM313" s="3089" t="b">
        <f>COUNTIF(D289:E293,"Primario")&gt;1</f>
        <v>0</v>
      </c>
      <c r="AN313" s="3089"/>
      <c r="AO313" s="3089"/>
      <c r="AP313" s="3089"/>
      <c r="AQ313" s="3090"/>
      <c r="AR313" s="3090"/>
      <c r="AS313" s="3090"/>
      <c r="AT313" s="3090"/>
      <c r="AU313" s="3091"/>
      <c r="AV313" s="3091"/>
      <c r="AW313" s="3091"/>
      <c r="AX313" s="3089"/>
      <c r="AY313" s="3089"/>
    </row>
    <row r="314" spans="1:51" ht="12.2" customHeight="1" x14ac:dyDescent="0.2">
      <c r="A314" s="2185"/>
      <c r="B314" s="2099">
        <f t="shared" si="7"/>
        <v>9</v>
      </c>
      <c r="C314" s="4538"/>
      <c r="D314" s="4578"/>
      <c r="E314" s="4579"/>
      <c r="F314" s="4579"/>
      <c r="G314" s="4579"/>
      <c r="H314" s="4579"/>
      <c r="I314" s="4579"/>
      <c r="J314" s="4579"/>
      <c r="K314" s="4579"/>
      <c r="L314" s="4579"/>
      <c r="M314" s="4579"/>
      <c r="N314" s="4579"/>
      <c r="O314" s="4579"/>
      <c r="P314" s="4579"/>
      <c r="Q314" s="4579"/>
      <c r="R314" s="4579"/>
      <c r="S314" s="4579"/>
      <c r="T314" s="4579"/>
      <c r="U314" s="4579"/>
      <c r="V314" s="4579"/>
      <c r="W314" s="4579"/>
      <c r="X314" s="4579"/>
      <c r="Y314" s="4579"/>
      <c r="Z314" s="4579"/>
      <c r="AA314" s="4579"/>
      <c r="AB314" s="4579"/>
      <c r="AC314" s="4579"/>
      <c r="AD314" s="4579"/>
      <c r="AE314" s="4579"/>
      <c r="AF314" s="4579"/>
      <c r="AG314" s="4580"/>
      <c r="AH314" s="2193"/>
      <c r="AI314" s="4558"/>
      <c r="AJ314" s="3089" t="s">
        <v>9309</v>
      </c>
      <c r="AK314" s="3089"/>
      <c r="AL314" s="3089"/>
      <c r="AM314" s="3089" t="b">
        <f>SUM(V296:AG296)&lt;&gt;Y294+ABS(AC294)*2/5+IF(S285="Sí",3*P285,0)</f>
        <v>0</v>
      </c>
      <c r="AN314" s="3089"/>
      <c r="AO314" s="3089"/>
      <c r="AP314" s="3089"/>
      <c r="AQ314" s="3090"/>
      <c r="AR314" s="3090"/>
      <c r="AS314" s="3090"/>
      <c r="AT314" s="3090"/>
      <c r="AU314" s="3091"/>
      <c r="AV314" s="3091"/>
      <c r="AW314" s="3091"/>
      <c r="AX314" s="3089"/>
      <c r="AY314" s="3089"/>
    </row>
    <row r="315" spans="1:51" ht="12.2" customHeight="1" x14ac:dyDescent="0.2">
      <c r="A315" s="2185"/>
      <c r="B315" s="2099">
        <f t="shared" si="7"/>
        <v>9</v>
      </c>
      <c r="C315" s="4538"/>
      <c r="D315" s="4578"/>
      <c r="E315" s="4579"/>
      <c r="F315" s="4579"/>
      <c r="G315" s="4579"/>
      <c r="H315" s="4579"/>
      <c r="I315" s="4579"/>
      <c r="J315" s="4579"/>
      <c r="K315" s="4579"/>
      <c r="L315" s="4579"/>
      <c r="M315" s="4579"/>
      <c r="N315" s="4579"/>
      <c r="O315" s="4579"/>
      <c r="P315" s="4579"/>
      <c r="Q315" s="4579"/>
      <c r="R315" s="4579"/>
      <c r="S315" s="4579"/>
      <c r="T315" s="4579"/>
      <c r="U315" s="4579"/>
      <c r="V315" s="4579"/>
      <c r="W315" s="4579"/>
      <c r="X315" s="4579"/>
      <c r="Y315" s="4579"/>
      <c r="Z315" s="4579"/>
      <c r="AA315" s="4579"/>
      <c r="AB315" s="4579"/>
      <c r="AC315" s="4579"/>
      <c r="AD315" s="4579"/>
      <c r="AE315" s="4579"/>
      <c r="AF315" s="4579"/>
      <c r="AG315" s="4580"/>
      <c r="AH315" s="2193"/>
      <c r="AI315" s="4558"/>
      <c r="AJ315" s="3089" t="s">
        <v>9308</v>
      </c>
      <c r="AK315" s="3089"/>
      <c r="AL315" s="3089"/>
      <c r="AM315" s="3089" t="b">
        <f>AL302-AL303+AM302-AM303&lt;&gt;0</f>
        <v>0</v>
      </c>
      <c r="AN315" s="3091"/>
      <c r="AO315" s="3091"/>
      <c r="AP315" s="3091"/>
      <c r="AQ315" s="3091"/>
      <c r="AR315" s="3090"/>
      <c r="AS315" s="3090"/>
      <c r="AT315" s="3090"/>
      <c r="AU315" s="3091"/>
      <c r="AV315" s="3091"/>
      <c r="AW315" s="3091"/>
      <c r="AX315" s="3089"/>
      <c r="AY315" s="3089"/>
    </row>
    <row r="316" spans="1:51" ht="12.2" customHeight="1" thickBot="1" x14ac:dyDescent="0.25">
      <c r="A316" s="2185"/>
      <c r="B316" s="2099"/>
      <c r="C316" s="4539"/>
      <c r="D316" s="4540"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41"/>
      <c r="F316" s="4541"/>
      <c r="G316" s="4541"/>
      <c r="H316" s="4541"/>
      <c r="I316" s="4541"/>
      <c r="J316" s="4541"/>
      <c r="K316" s="4541"/>
      <c r="L316" s="4541"/>
      <c r="M316" s="4541"/>
      <c r="N316" s="4541"/>
      <c r="O316" s="4541"/>
      <c r="P316" s="4541"/>
      <c r="Q316" s="4541"/>
      <c r="R316" s="4541"/>
      <c r="S316" s="4541"/>
      <c r="T316" s="4541"/>
      <c r="U316" s="4541"/>
      <c r="V316" s="4541"/>
      <c r="W316" s="4541"/>
      <c r="X316" s="4541"/>
      <c r="Y316" s="4541"/>
      <c r="Z316" s="4541"/>
      <c r="AA316" s="4541"/>
      <c r="AB316" s="4541"/>
      <c r="AC316" s="4541"/>
      <c r="AD316" s="4541"/>
      <c r="AE316" s="4541"/>
      <c r="AF316" s="4541"/>
      <c r="AG316" s="4542"/>
      <c r="AH316" s="2193"/>
      <c r="AI316" s="4558"/>
      <c r="AJ316" s="3089" t="s">
        <v>9345</v>
      </c>
      <c r="AK316" s="3091"/>
      <c r="AL316" s="3091"/>
      <c r="AM316" s="3091" t="b">
        <f>ABS(SUM(N294:N296))&gt;(SUM(N289:N293)-10*Y294+AC294+IF(S285="Sí",10*P285,0)+IF(COUNTIF(K289:M293,"Mantenido")&gt;0,P285*10)+MAX(IF(COUNTIF(K289:M293,"Sostenimiento Menor")&gt;0,P285*20)+IF(COUNTIF(K289:M293,"Sostenimiento Mayor")&gt;0,P285*30)))/2</f>
        <v>0</v>
      </c>
      <c r="AN316" s="3089"/>
      <c r="AO316" s="3089"/>
      <c r="AP316" s="3089"/>
      <c r="AQ316" s="3089"/>
      <c r="AR316" s="3090"/>
      <c r="AS316" s="3090"/>
      <c r="AT316" s="3090"/>
      <c r="AU316" s="3091"/>
      <c r="AV316" s="3091"/>
      <c r="AW316" s="3091"/>
      <c r="AX316" s="3089"/>
      <c r="AY316" s="3089"/>
    </row>
    <row r="317" spans="1:51" ht="12.2" customHeight="1" x14ac:dyDescent="0.2">
      <c r="A317" s="2185"/>
      <c r="B317" s="2099"/>
      <c r="C317" s="4534"/>
      <c r="D317" s="4534" t="str">
        <f>IFERROR(VLOOKUP(D298,'Tablas Técnicas'!$O$9:$T$88,2,FALSE),"")</f>
        <v/>
      </c>
      <c r="E317" s="4534"/>
      <c r="F317" s="4534"/>
      <c r="G317" s="4534"/>
      <c r="H317" s="4534"/>
      <c r="I317" s="4534"/>
      <c r="J317" s="4534" t="str">
        <f>IFERROR(VLOOKUP(J298,'Tablas Técnicas'!$O$9:$T$88,2,FALSE),"")</f>
        <v/>
      </c>
      <c r="K317" s="4534"/>
      <c r="L317" s="4534"/>
      <c r="M317" s="4534"/>
      <c r="N317" s="4534"/>
      <c r="O317" s="4534"/>
      <c r="P317" s="4534" t="str">
        <f>IFERROR(VLOOKUP(P298,'Tablas Técnicas'!$O$9:$T$88,2,FALSE),"")</f>
        <v/>
      </c>
      <c r="Q317" s="4534"/>
      <c r="R317" s="4534"/>
      <c r="S317" s="4534"/>
      <c r="T317" s="4534"/>
      <c r="U317" s="4534"/>
      <c r="V317" s="4534" t="str">
        <f>IFERROR(VLOOKUP(V298,'Tablas Técnicas'!$O$9:$T$88,2,FALSE),"")</f>
        <v/>
      </c>
      <c r="W317" s="4534"/>
      <c r="X317" s="4534"/>
      <c r="Y317" s="4534"/>
      <c r="Z317" s="4534"/>
      <c r="AA317" s="4534"/>
      <c r="AB317" s="4534" t="str">
        <f>IFERROR(VLOOKUP(AB298,'Tablas Técnicas'!$O$9:$T$88,2,FALSE),"")</f>
        <v/>
      </c>
      <c r="AC317" s="4534"/>
      <c r="AD317" s="4534"/>
      <c r="AE317" s="4534"/>
      <c r="AF317" s="4534"/>
      <c r="AG317" s="4534"/>
      <c r="AH317" s="2193"/>
      <c r="AI317" s="1921"/>
      <c r="AJ317" s="3089"/>
      <c r="AK317" s="3089"/>
      <c r="AL317" s="3089"/>
      <c r="AM317" s="3089"/>
      <c r="AN317" s="3089"/>
      <c r="AO317" s="3089"/>
      <c r="AP317" s="3089"/>
      <c r="AQ317" s="3089"/>
      <c r="AR317" s="3090"/>
      <c r="AS317" s="3090"/>
      <c r="AT317" s="3090"/>
      <c r="AU317" s="3091"/>
      <c r="AV317" s="3091"/>
      <c r="AW317" s="3091"/>
      <c r="AX317" s="3091"/>
      <c r="AY317" s="3089"/>
    </row>
    <row r="318" spans="1:51" ht="12.2" customHeight="1" thickBot="1" x14ac:dyDescent="0.25">
      <c r="A318" s="2185"/>
      <c r="B318" s="2099"/>
      <c r="C318" s="4534"/>
      <c r="D318" s="2287"/>
      <c r="E318" s="2101"/>
      <c r="F318" s="2101"/>
      <c r="G318" s="2101"/>
      <c r="H318" s="2101"/>
      <c r="I318" s="2101"/>
      <c r="J318" s="2101"/>
      <c r="K318" s="2101"/>
      <c r="L318" s="2101"/>
      <c r="M318" s="2101"/>
      <c r="N318" s="2101"/>
      <c r="O318" s="2101"/>
      <c r="P318" s="2101"/>
      <c r="Q318" s="2101"/>
      <c r="R318" s="2101"/>
      <c r="S318" s="2101"/>
      <c r="T318" s="2101"/>
      <c r="U318" s="2101"/>
      <c r="V318" s="2288"/>
      <c r="W318" s="2288"/>
      <c r="X318" s="2288"/>
      <c r="Y318" s="2288"/>
      <c r="Z318" s="2288"/>
      <c r="AA318" s="2288"/>
      <c r="AB318" s="2288"/>
      <c r="AC318" s="2288"/>
      <c r="AD318" s="2288"/>
      <c r="AE318" s="2288"/>
      <c r="AF318" s="2101"/>
      <c r="AG318" s="2101"/>
      <c r="AH318" s="2193"/>
      <c r="AI318" s="1921"/>
      <c r="AJ318" s="3097"/>
      <c r="AK318" s="3097"/>
      <c r="AL318" s="3097"/>
      <c r="AM318" s="3097"/>
      <c r="AN318" s="3097"/>
      <c r="AO318" s="3097"/>
      <c r="AP318" s="3089"/>
      <c r="AQ318" s="3090"/>
      <c r="AR318" s="3091"/>
      <c r="AS318" s="3091"/>
      <c r="AT318" s="3091"/>
      <c r="AU318" s="3091"/>
      <c r="AV318" s="3091"/>
      <c r="AW318" s="3091"/>
      <c r="AX318" s="3091"/>
      <c r="AY318" s="3098"/>
    </row>
    <row r="319" spans="1:51" ht="12.2" customHeight="1" x14ac:dyDescent="0.2">
      <c r="A319" s="2185"/>
      <c r="B319" s="2099">
        <f t="shared" ref="B319:B349" si="8">1+B285</f>
        <v>10</v>
      </c>
      <c r="C319" s="4537" t="str">
        <f>"Técnica "&amp;B319</f>
        <v>Técnica 10</v>
      </c>
      <c r="D319" s="4636" t="s">
        <v>8716</v>
      </c>
      <c r="E319" s="4637"/>
      <c r="F319" s="4637"/>
      <c r="G319" s="4637"/>
      <c r="H319" s="4637"/>
      <c r="I319" s="4637"/>
      <c r="J319" s="4637"/>
      <c r="K319" s="4637"/>
      <c r="L319" s="4637"/>
      <c r="M319" s="4637"/>
      <c r="N319" s="4638"/>
      <c r="O319" s="4642" t="s">
        <v>1325</v>
      </c>
      <c r="P319" s="4644">
        <v>1</v>
      </c>
      <c r="Q319" s="4646" t="s">
        <v>8800</v>
      </c>
      <c r="R319" s="4647"/>
      <c r="S319" s="4650" t="s">
        <v>1381</v>
      </c>
      <c r="T319" s="4651" t="s">
        <v>1506</v>
      </c>
      <c r="U319" s="4653">
        <f>MAX(IF(P319=3,60,IF(P319=2,40,20)),MIN(SUM(N323:N330)-10*Y328+AC328+IF(S319="Sí",10*P319,0)+IF(COUNTIF(K323:M327,"Mantenido")&gt;0,P319*10)+MAX(IF(COUNTIF(K323:M327,"Sostenimiento Menor")&gt;0,P319*20)+IF(COUNTIF(K323:M327,"Sostenimiento Mayor")&gt;0,P319*30))))</f>
        <v>20</v>
      </c>
      <c r="V319" s="4646" t="s">
        <v>8801</v>
      </c>
      <c r="W319" s="4651"/>
      <c r="X319" s="4566" t="str">
        <f>IFERROR(LEFT(AK335&amp;AL335&amp;AM335&amp;AN335&amp;AO335&amp;AP335,LEN(AK335&amp;AL335&amp;AM335&amp;AN335&amp;AO335&amp;AP335)-2),"")</f>
        <v/>
      </c>
      <c r="Y319" s="4566"/>
      <c r="Z319" s="4566"/>
      <c r="AA319" s="4566"/>
      <c r="AB319" s="4566"/>
      <c r="AC319" s="4566"/>
      <c r="AD319" s="4566"/>
      <c r="AE319" s="4566"/>
      <c r="AF319" s="4566"/>
      <c r="AG319" s="4567"/>
      <c r="AH319" s="2193"/>
      <c r="AI319" s="4558"/>
      <c r="AJ319" s="3094" t="s">
        <v>9342</v>
      </c>
      <c r="AK319" s="3094"/>
      <c r="AL319" s="3094"/>
      <c r="AM319" s="3094"/>
      <c r="AN319" s="3094"/>
      <c r="AO319" s="3094"/>
      <c r="AP319" s="3094"/>
      <c r="AQ319" s="3094"/>
      <c r="AR319" s="3094"/>
      <c r="AS319" s="3089"/>
      <c r="AT319" s="3089"/>
      <c r="AU319" s="3089"/>
      <c r="AV319" s="3089"/>
      <c r="AW319" s="3091"/>
      <c r="AX319" s="3091"/>
      <c r="AY319" s="3089"/>
    </row>
    <row r="320" spans="1:51" ht="12.2" customHeight="1" x14ac:dyDescent="0.2">
      <c r="A320" s="2185"/>
      <c r="B320" s="2099">
        <f t="shared" si="8"/>
        <v>10</v>
      </c>
      <c r="C320" s="4538"/>
      <c r="D320" s="4639"/>
      <c r="E320" s="4640"/>
      <c r="F320" s="4640"/>
      <c r="G320" s="4640"/>
      <c r="H320" s="4640"/>
      <c r="I320" s="4640"/>
      <c r="J320" s="4640"/>
      <c r="K320" s="4640"/>
      <c r="L320" s="4640"/>
      <c r="M320" s="4640"/>
      <c r="N320" s="4641"/>
      <c r="O320" s="4643"/>
      <c r="P320" s="4645"/>
      <c r="Q320" s="4648"/>
      <c r="R320" s="4649"/>
      <c r="S320" s="4645"/>
      <c r="T320" s="4652"/>
      <c r="U320" s="4654"/>
      <c r="V320" s="4648"/>
      <c r="W320" s="4652"/>
      <c r="X320" s="4568"/>
      <c r="Y320" s="4568"/>
      <c r="Z320" s="4568"/>
      <c r="AA320" s="4568"/>
      <c r="AB320" s="4568"/>
      <c r="AC320" s="4568"/>
      <c r="AD320" s="4568"/>
      <c r="AE320" s="4568"/>
      <c r="AF320" s="4568"/>
      <c r="AG320" s="4569"/>
      <c r="AH320" s="2193"/>
      <c r="AI320" s="4558"/>
      <c r="AJ320" s="3094"/>
      <c r="AK320" s="3094" t="s">
        <v>9343</v>
      </c>
      <c r="AL320" s="3094" t="s">
        <v>10464</v>
      </c>
      <c r="AM320" s="3095"/>
      <c r="AN320" s="3095"/>
      <c r="AO320" s="3095"/>
      <c r="AP320" s="3095"/>
      <c r="AQ320" s="3095"/>
      <c r="AR320" s="3094"/>
      <c r="AS320" s="3089"/>
      <c r="AT320" s="3089"/>
      <c r="AU320" s="3089"/>
      <c r="AV320" s="3089"/>
      <c r="AW320" s="3091"/>
      <c r="AX320" s="4536" t="s">
        <v>9312</v>
      </c>
      <c r="AY320" s="4536"/>
    </row>
    <row r="321" spans="1:51" ht="12.2" customHeight="1" x14ac:dyDescent="0.2">
      <c r="A321" s="2185"/>
      <c r="B321" s="2099">
        <f t="shared" si="8"/>
        <v>10</v>
      </c>
      <c r="C321" s="4538"/>
      <c r="D321" s="4549" t="s">
        <v>2824</v>
      </c>
      <c r="E321" s="4550"/>
      <c r="F321" s="4550"/>
      <c r="G321" s="4550"/>
      <c r="H321" s="4550"/>
      <c r="I321" s="4550"/>
      <c r="J321" s="4550"/>
      <c r="K321" s="4633" t="s">
        <v>9636</v>
      </c>
      <c r="L321" s="4633"/>
      <c r="M321" s="4633"/>
      <c r="N321" s="4550" t="s">
        <v>1500</v>
      </c>
      <c r="O321" s="4633" t="s">
        <v>2822</v>
      </c>
      <c r="P321" s="4633" t="s">
        <v>8802</v>
      </c>
      <c r="Q321" s="4550" t="s">
        <v>1364</v>
      </c>
      <c r="R321" s="4550"/>
      <c r="S321" s="4550"/>
      <c r="T321" s="4550"/>
      <c r="U321" s="4550"/>
      <c r="V321" s="4613" t="s">
        <v>1373</v>
      </c>
      <c r="W321" s="4608"/>
      <c r="X321" s="4613" t="s">
        <v>1498</v>
      </c>
      <c r="Y321" s="4614"/>
      <c r="Z321" s="4608" t="s">
        <v>1378</v>
      </c>
      <c r="AA321" s="4608"/>
      <c r="AB321" s="4613" t="s">
        <v>1383</v>
      </c>
      <c r="AC321" s="4614"/>
      <c r="AD321" s="4608" t="s">
        <v>1391</v>
      </c>
      <c r="AE321" s="4608"/>
      <c r="AF321" s="4613" t="s">
        <v>1392</v>
      </c>
      <c r="AG321" s="4609"/>
      <c r="AH321" s="2193"/>
      <c r="AI321" s="4558"/>
      <c r="AJ321" s="3089"/>
      <c r="AK321" s="3089"/>
      <c r="AL321" s="3089" t="s">
        <v>9614</v>
      </c>
      <c r="AM321" s="3089"/>
      <c r="AN321" s="3089"/>
      <c r="AO321" s="3089"/>
      <c r="AP321" s="3089"/>
      <c r="AQ321" s="3089"/>
      <c r="AR321" s="3091"/>
      <c r="AS321" s="3091" t="s">
        <v>9332</v>
      </c>
      <c r="AT321" s="3091" t="s">
        <v>9333</v>
      </c>
      <c r="AU321" s="3089" t="s">
        <v>9321</v>
      </c>
      <c r="AV321" s="3089" t="s">
        <v>9322</v>
      </c>
      <c r="AW321" s="3091" t="s">
        <v>1500</v>
      </c>
      <c r="AX321" s="3091" t="s">
        <v>8804</v>
      </c>
      <c r="AY321" s="3089" t="s">
        <v>8805</v>
      </c>
    </row>
    <row r="322" spans="1:51" ht="12.2" customHeight="1" x14ac:dyDescent="0.2">
      <c r="A322" s="2185"/>
      <c r="B322" s="2099">
        <f t="shared" si="8"/>
        <v>10</v>
      </c>
      <c r="C322" s="4538"/>
      <c r="D322" s="4581"/>
      <c r="E322" s="4582"/>
      <c r="F322" s="4582"/>
      <c r="G322" s="4582"/>
      <c r="H322" s="4582"/>
      <c r="I322" s="4582"/>
      <c r="J322" s="4582"/>
      <c r="K322" s="4634"/>
      <c r="L322" s="4634"/>
      <c r="M322" s="4634"/>
      <c r="N322" s="4551"/>
      <c r="O322" s="4634"/>
      <c r="P322" s="4635"/>
      <c r="Q322" s="4551"/>
      <c r="R322" s="4551"/>
      <c r="S322" s="4551"/>
      <c r="T322" s="4551"/>
      <c r="U322" s="4551"/>
      <c r="V322" s="2104" t="s">
        <v>9311</v>
      </c>
      <c r="W322" s="2186" t="s">
        <v>2828</v>
      </c>
      <c r="X322" s="2104" t="s">
        <v>9311</v>
      </c>
      <c r="Y322" s="2186" t="s">
        <v>2828</v>
      </c>
      <c r="Z322" s="2104" t="s">
        <v>9311</v>
      </c>
      <c r="AA322" s="2186" t="s">
        <v>2828</v>
      </c>
      <c r="AB322" s="2104" t="s">
        <v>9311</v>
      </c>
      <c r="AC322" s="2186" t="s">
        <v>2828</v>
      </c>
      <c r="AD322" s="2104" t="s">
        <v>9311</v>
      </c>
      <c r="AE322" s="2186" t="s">
        <v>2828</v>
      </c>
      <c r="AF322" s="2104" t="s">
        <v>9311</v>
      </c>
      <c r="AG322" s="1928" t="s">
        <v>2828</v>
      </c>
      <c r="AH322" s="2193"/>
      <c r="AI322" s="4558"/>
      <c r="AJ322" s="3089"/>
      <c r="AK322" s="3089" t="s">
        <v>9313</v>
      </c>
      <c r="AL322" s="3089">
        <v>1</v>
      </c>
      <c r="AM322" s="3089">
        <v>2</v>
      </c>
      <c r="AN322" s="3089">
        <v>3</v>
      </c>
      <c r="AO322" s="3089">
        <v>4</v>
      </c>
      <c r="AP322" s="3089">
        <v>5</v>
      </c>
      <c r="AQ322" s="3089">
        <v>6</v>
      </c>
      <c r="AR322" s="3089">
        <v>7</v>
      </c>
      <c r="AS322" s="3091"/>
      <c r="AT322" s="3089" t="s">
        <v>9344</v>
      </c>
      <c r="AU322" s="3091"/>
      <c r="AV322" s="3091"/>
      <c r="AW322" s="3091" t="s">
        <v>9344</v>
      </c>
      <c r="AX322" s="3091"/>
      <c r="AY322" s="3089"/>
    </row>
    <row r="323" spans="1:51" ht="12.2" customHeight="1" x14ac:dyDescent="0.2">
      <c r="A323" s="2185"/>
      <c r="B323" s="2099">
        <f t="shared" si="8"/>
        <v>10</v>
      </c>
      <c r="C323" s="4538"/>
      <c r="D323" s="4624" t="s">
        <v>8806</v>
      </c>
      <c r="E323" s="4625"/>
      <c r="F323" s="4626"/>
      <c r="G323" s="4627"/>
      <c r="H323" s="4627"/>
      <c r="I323" s="4627"/>
      <c r="J323" s="4628"/>
      <c r="K323" s="4595" t="s">
        <v>1456</v>
      </c>
      <c r="L323" s="4596"/>
      <c r="M323" s="4597"/>
      <c r="N323" s="2105">
        <f>IF(AW323&gt;0,IF(VLOOKUP(F323,'Tablas Técnicas'!$O$9:$X$88,10,0),MAX(5,AW323-5),AW323),0)</f>
        <v>0</v>
      </c>
      <c r="O323" s="2105" t="str">
        <f>AS323&amp;" / "&amp;AT323</f>
        <v>0 / 0</v>
      </c>
      <c r="P323" s="2105" t="str">
        <f t="array" ref="P323">W323+Y323+AA323+AC323+AE323+AG323&amp;" / "&amp;IF(K323&lt;&gt;"Mantenido",0,SUM(IF($AL323:$AR323='Tablas Técnicas'!$L$10:$L$643,'Tablas Técnicas'!$H$10:$H$643,0)))</f>
        <v>0 / 0</v>
      </c>
      <c r="Q323" s="4632" t="str">
        <f>IFERROR(VLOOKUP(F323,'Tablas Técnicas'!$O$9:$T$88,5,FALSE),"")</f>
        <v/>
      </c>
      <c r="R323" s="4632"/>
      <c r="S323" s="4632"/>
      <c r="T323" s="4632"/>
      <c r="U323" s="4632"/>
      <c r="V323" s="2055"/>
      <c r="W323" s="2056"/>
      <c r="X323" s="2055"/>
      <c r="Y323" s="2057"/>
      <c r="Z323" s="2058"/>
      <c r="AA323" s="2056"/>
      <c r="AB323" s="2055"/>
      <c r="AC323" s="2057"/>
      <c r="AD323" s="2058"/>
      <c r="AE323" s="2056"/>
      <c r="AF323" s="2055"/>
      <c r="AG323" s="2059"/>
      <c r="AH323" s="2193"/>
      <c r="AI323" s="4558"/>
      <c r="AJ323" s="3089">
        <v>1</v>
      </c>
      <c r="AK323" s="3089">
        <f>P319</f>
        <v>1</v>
      </c>
      <c r="AL323" s="3089" t="str">
        <f>IF(AND(ISNUMBER(MATCH($F323,'Tablas Técnicas'!$L$10:$L$643,0)),INDEX($D336:$D342,Tablas!A$1)="",COUNTIF(AM323:$AS323,$F323)=0),$F323,IF(INDEX($D336:$D342,Tablas!A$1)="","",$F323&amp;INDEX($D336:$D342,Tablas!A$1)))</f>
        <v/>
      </c>
      <c r="AM323" s="3089" t="str">
        <f>IF(AND(ISNUMBER(MATCH($F323,'Tablas Técnicas'!$L$10:$L$643,0)),INDEX($D336:$D342,Tablas!B$1)="",COUNTIF(AN323:$AS323,$F323)=0),$F323,IF(INDEX($D336:$D342,Tablas!B$1)="","",$F323&amp;INDEX($D336:$D342,Tablas!B$1)))</f>
        <v/>
      </c>
      <c r="AN323" s="3089" t="str">
        <f>IF(AND(ISNUMBER(MATCH($F323,'Tablas Técnicas'!$L$10:$L$643,0)),INDEX($D336:$D342,Tablas!C$1)="",COUNTIF(AO323:$AS323,$F323)=0),$F323,IF(INDEX($D336:$D342,Tablas!C$1)="","",$F323&amp;INDEX($D336:$D342,Tablas!C$1)))</f>
        <v/>
      </c>
      <c r="AO323" s="3089" t="str">
        <f>IF(AND(ISNUMBER(MATCH($F323,'Tablas Técnicas'!$L$10:$L$643,0)),INDEX($D336:$D342,Tablas!D$1)="",COUNTIF(AP323:$AS323,$F323)=0),$F323,IF(INDEX($D336:$D342,Tablas!D$1)="","",$F323&amp;INDEX($D336:$D342,Tablas!D$1)))</f>
        <v/>
      </c>
      <c r="AP323" s="3089" t="str">
        <f>IF(AND(ISNUMBER(MATCH($F323,'Tablas Técnicas'!$L$10:$L$643,0)),INDEX($D336:$D342,Tablas!E$1)="",COUNTIF(AQ323:$AS323,$F323)=0),$F323,IF(INDEX($D336:$D342,Tablas!E$1)="","",$F323&amp;INDEX($D336:$D342,Tablas!E$1)))</f>
        <v/>
      </c>
      <c r="AQ323" s="3089" t="str">
        <f>IF(AND(ISNUMBER(MATCH($F323,'Tablas Técnicas'!$L$10:$L$643,0)),INDEX($D336:$D342,Tablas!F$1)="",COUNTIF(AR323:$AS323,$F323)=0),$F323,IF(INDEX($D336:$D342,Tablas!F$1)="","",$F323&amp;INDEX($D336:$D342,Tablas!F$1)))</f>
        <v/>
      </c>
      <c r="AR323" s="3089" t="str">
        <f>IF(AND(ISNUMBER(MATCH($F323,'Tablas Técnicas'!$L$10:$L$643,0)),INDEX($D336:$D342,Tablas!G$1)="",COUNTIF(AS323:$AS323,$F323)=0),$F323,IF(INDEX($D336:$D342,Tablas!G$1)="","",$F323&amp;INDEX($D336:$D342,Tablas!G$1)))</f>
        <v/>
      </c>
      <c r="AS323" s="3091">
        <f>V323+X323+Z323+AB323+AD323+AF323</f>
        <v>0</v>
      </c>
      <c r="AT323" s="3091">
        <f t="array" ref="AT323">SUM(IF($AL323:$AR323='Tablas Técnicas'!$L$10:$L$643,IF(D323="Primario",'Tablas Técnicas'!$E$10:$E$643,'Tablas Técnicas'!$F$10:$F$643)+IF(K323="Sostenimiento menor",'Tablas Técnicas'!$I$10:$I$643,IF(K323="sostenimiento mayor",'Tablas Técnicas'!$J$10:$J$643,0)),0),0)+VALUE(RIGHT(P323,2))+AU323+AV323</f>
        <v>0</v>
      </c>
      <c r="AU323" s="309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091">
        <f>(COUNTIF(AL323:AR323,"*Estado añadido:*")-1)*COUNTIF(AL323:AR323,"*Estado añadido:*")</f>
        <v>0</v>
      </c>
      <c r="AW323" s="3091">
        <f t="array" ref="AW323">SUM(IF($AL323:$AR323='Tablas Técnicas'!$L$10:$L$643,'Tablas Técnicas'!$G$10:$G$643,0))</f>
        <v>0</v>
      </c>
      <c r="AX323" s="3089"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089" t="str">
        <f>IFERROR(LEFT(AX323,LEN(AX323)-2)&amp;"), ","")</f>
        <v/>
      </c>
    </row>
    <row r="324" spans="1:51" ht="12.2" customHeight="1" x14ac:dyDescent="0.2">
      <c r="A324" s="2185"/>
      <c r="B324" s="2099">
        <f t="shared" si="8"/>
        <v>10</v>
      </c>
      <c r="C324" s="4538"/>
      <c r="D324" s="4583" t="s">
        <v>524</v>
      </c>
      <c r="E324" s="4584"/>
      <c r="F324" s="4615"/>
      <c r="G324" s="4616"/>
      <c r="H324" s="4616"/>
      <c r="I324" s="4616"/>
      <c r="J324" s="4617"/>
      <c r="K324" s="4618" t="s">
        <v>1456</v>
      </c>
      <c r="L324" s="4619"/>
      <c r="M324" s="4620"/>
      <c r="N324" s="1925">
        <f>IF(AW324&gt;0,IF(VLOOKUP(F324,'Tablas Técnicas'!$O$9:$X$88,10,0),MAX(5,AW324-5),AW324),0)</f>
        <v>0</v>
      </c>
      <c r="O324" s="1925" t="str">
        <f>AS324&amp;" / "&amp;AT324</f>
        <v>0 / 0</v>
      </c>
      <c r="P324" s="1925" t="str">
        <f t="array" ref="P324">W324+Y324+AA324+AC324+AE324+AG324&amp;" / "&amp;IF(K324&lt;&gt;"Mantenido",0,SUM(IF($AL324:$AR324='Tablas Técnicas'!$L$10:$L$643,'Tablas Técnicas'!$H$10:$H$643,0)))</f>
        <v>0 / 0</v>
      </c>
      <c r="Q324" s="4585" t="str">
        <f>IFERROR(VLOOKUP(F324,'Tablas Técnicas'!$O$9:$T$88,5,FALSE),"")</f>
        <v/>
      </c>
      <c r="R324" s="4585"/>
      <c r="S324" s="4585"/>
      <c r="T324" s="4585"/>
      <c r="U324" s="4585"/>
      <c r="V324" s="2060"/>
      <c r="W324" s="2061"/>
      <c r="X324" s="2060"/>
      <c r="Y324" s="2062"/>
      <c r="Z324" s="2063"/>
      <c r="AA324" s="2061"/>
      <c r="AB324" s="2060"/>
      <c r="AC324" s="2062"/>
      <c r="AD324" s="2063"/>
      <c r="AE324" s="2061"/>
      <c r="AF324" s="2060"/>
      <c r="AG324" s="2064"/>
      <c r="AH324" s="2193"/>
      <c r="AI324" s="4558"/>
      <c r="AJ324" s="3089">
        <v>2</v>
      </c>
      <c r="AK324" s="3089">
        <f>P319</f>
        <v>1</v>
      </c>
      <c r="AL324" s="3089" t="str">
        <f>IF(AND(ISNUMBER(MATCH($F324,'Tablas Técnicas'!$L$10:$L$643,0)),INDEX($J336:$J342,Tablas!A$1)="",COUNTIF(AM324:$AS324,$F324)=0),$F324,IF(INDEX($J336:$J342,Tablas!A$1)="","",$F324&amp;INDEX($J336:$J342,Tablas!A$1)))</f>
        <v/>
      </c>
      <c r="AM324" s="3089" t="str">
        <f>IF(AND(ISNUMBER(MATCH($F324,'Tablas Técnicas'!$L$10:$L$643,0)),INDEX($J336:$J342,Tablas!B$1)="",COUNTIF(AN324:$AS324,$F324)=0),$F324,IF(INDEX($J336:$J342,Tablas!B$1)="","",$F324&amp;INDEX($J336:$J342,Tablas!B$1)))</f>
        <v/>
      </c>
      <c r="AN324" s="3089" t="str">
        <f>IF(AND(ISNUMBER(MATCH($F324,'Tablas Técnicas'!$L$10:$L$643,0)),INDEX($J336:$J342,Tablas!C$1)="",COUNTIF(AO324:$AS324,$F324)=0),$F324,IF(INDEX($J336:$J342,Tablas!C$1)="","",$F324&amp;INDEX($J336:$J342,Tablas!C$1)))</f>
        <v/>
      </c>
      <c r="AO324" s="3089" t="str">
        <f>IF(AND(ISNUMBER(MATCH($F324,'Tablas Técnicas'!$L$10:$L$643,0)),INDEX($J336:$J342,Tablas!D$1)="",COUNTIF(AP324:$AS324,$F324)=0),$F324,IF(INDEX($J336:$J342,Tablas!D$1)="","",$F324&amp;INDEX($J336:$J342,Tablas!D$1)))</f>
        <v/>
      </c>
      <c r="AP324" s="3089" t="str">
        <f>IF(AND(ISNUMBER(MATCH($F324,'Tablas Técnicas'!$L$10:$L$643,0)),INDEX($J336:$J342,Tablas!E$1)="",COUNTIF(AQ324:$AS324,$F324)=0),$F324,IF(INDEX($J336:$J342,Tablas!E$1)="","",$F324&amp;INDEX($J336:$J342,Tablas!E$1)))</f>
        <v/>
      </c>
      <c r="AQ324" s="3089" t="str">
        <f>IF(AND(ISNUMBER(MATCH($F324,'Tablas Técnicas'!$L$10:$L$643,0)),INDEX($J336:$J342,Tablas!F$1)="",COUNTIF(AR324:$AS324,$F324)=0),$F324,IF(INDEX($J336:$J342,Tablas!F$1)="","",$F324&amp;INDEX($J336:$J342,Tablas!F$1)))</f>
        <v/>
      </c>
      <c r="AR324" s="3089" t="str">
        <f>IF(AND(ISNUMBER(MATCH($F324,'Tablas Técnicas'!$L$10:$L$643,0)),INDEX($J336:$J342,Tablas!G$1)="",COUNTIF(AS324:$AS324,$F324)=0),$F324,IF(INDEX($J336:$J342,Tablas!G$1)="","",$F324&amp;INDEX($J336:$J342,Tablas!G$1)))</f>
        <v/>
      </c>
      <c r="AS324" s="3091">
        <f>V324+X324+Z324+AB324+AD324+AF324</f>
        <v>0</v>
      </c>
      <c r="AT324" s="3091">
        <f t="array" ref="AT324">SUM(IF($AL324:$AR324='Tablas Técnicas'!$L$10:$L$643,IF(D324="Primario",'Tablas Técnicas'!$E$10:$E$643,'Tablas Técnicas'!$F$10:$F$643)+IF(K324="Sostenimiento menor",'Tablas Técnicas'!$I$10:$I$643,IF(K324="sostenimiento mayor",'Tablas Técnicas'!$J$10:$J$643,0)),0),0)+VALUE(RIGHT(P324,2))+AU324+AV324</f>
        <v>0</v>
      </c>
      <c r="AU324" s="309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091">
        <f>(COUNTIF(AL324:AR324,"*Estado añadido:*")-1)*COUNTIF(AL324:AR324,"*Estado añadido:*")</f>
        <v>0</v>
      </c>
      <c r="AW324" s="3091">
        <f t="array" ref="AW324">SUM(IF($AL324:$AR324='Tablas Técnicas'!$L$10:$L$643,'Tablas Técnicas'!$G$10:$G$643,0))</f>
        <v>0</v>
      </c>
      <c r="AX324" s="3089"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089" t="str">
        <f>IFERROR(LEFT(AX324,LEN(AX324)-2)&amp;"), ","")</f>
        <v/>
      </c>
    </row>
    <row r="325" spans="1:51" ht="12.2" customHeight="1" x14ac:dyDescent="0.2">
      <c r="A325" s="2185"/>
      <c r="B325" s="2099">
        <f t="shared" si="8"/>
        <v>10</v>
      </c>
      <c r="C325" s="4538"/>
      <c r="D325" s="4629" t="s">
        <v>524</v>
      </c>
      <c r="E325" s="4630"/>
      <c r="F325" s="4559"/>
      <c r="G325" s="4560"/>
      <c r="H325" s="4560"/>
      <c r="I325" s="4560"/>
      <c r="J325" s="4561"/>
      <c r="K325" s="4621" t="s">
        <v>1456</v>
      </c>
      <c r="L325" s="4622"/>
      <c r="M325" s="4623"/>
      <c r="N325" s="1921">
        <f>IF(AW325&gt;0,IF(VLOOKUP(F325,'Tablas Técnicas'!$O$9:$X$88,10,0),MAX(5,AW325-5),AW325),0)</f>
        <v>0</v>
      </c>
      <c r="O325" s="1921" t="str">
        <f>AS325&amp;" / "&amp;AT325</f>
        <v>0 / 0</v>
      </c>
      <c r="P325" s="1921" t="str">
        <f t="array" ref="P325">W325+Y325+AA325+AC325+AE325+AG325&amp;" / "&amp;IF(K325&lt;&gt;"Mantenido",0,SUM(IF($AL325:$AR325='Tablas Técnicas'!$L$10:$L$643,'Tablas Técnicas'!$H$10:$H$643,0)))</f>
        <v>0 / 0</v>
      </c>
      <c r="Q325" s="4631" t="str">
        <f>IFERROR(VLOOKUP(F325,'Tablas Técnicas'!$O$9:$T$88,5,FALSE),"")</f>
        <v/>
      </c>
      <c r="R325" s="4631"/>
      <c r="S325" s="4631"/>
      <c r="T325" s="4631"/>
      <c r="U325" s="4631"/>
      <c r="V325" s="2065"/>
      <c r="W325" s="2066"/>
      <c r="X325" s="2065"/>
      <c r="Y325" s="2067"/>
      <c r="Z325" s="2068"/>
      <c r="AA325" s="2066"/>
      <c r="AB325" s="2065"/>
      <c r="AC325" s="2067"/>
      <c r="AD325" s="2068"/>
      <c r="AE325" s="2066"/>
      <c r="AF325" s="2065"/>
      <c r="AG325" s="2069"/>
      <c r="AH325" s="2193"/>
      <c r="AI325" s="4558"/>
      <c r="AJ325" s="3089">
        <v>3</v>
      </c>
      <c r="AK325" s="3089">
        <f>P319</f>
        <v>1</v>
      </c>
      <c r="AL325" s="3089" t="str">
        <f>IF(AND(ISNUMBER(MATCH($F325,'Tablas Técnicas'!$L$10:$L$643,0)),INDEX($P336:$P342,Tablas!A$1)="",COUNTIF(AM325:$AS325,$F325)=0),$F325,IF(INDEX($P336:$P342,Tablas!A$1)="","",$F325&amp;INDEX($P336:$P342,Tablas!A$1)))</f>
        <v/>
      </c>
      <c r="AM325" s="3089" t="str">
        <f>IF(AND(ISNUMBER(MATCH($F325,'Tablas Técnicas'!$L$10:$L$643,0)),INDEX($P336:$P342,Tablas!B$1)="",COUNTIF(AN325:$AS325,$F325)=0),$F325,IF(INDEX($P336:$P342,Tablas!B$1)="","",$F325&amp;INDEX($P336:$P342,Tablas!B$1)))</f>
        <v/>
      </c>
      <c r="AN325" s="3089" t="str">
        <f>IF(AND(ISNUMBER(MATCH($F325,'Tablas Técnicas'!$L$10:$L$643,0)),INDEX($P336:$P342,Tablas!C$1)="",COUNTIF(AO325:$AS325,$F325)=0),$F325,IF(INDEX($P336:$P342,Tablas!C$1)="","",$F325&amp;INDEX($P336:$P342,Tablas!C$1)))</f>
        <v/>
      </c>
      <c r="AO325" s="3089" t="str">
        <f>IF(AND(ISNUMBER(MATCH($F325,'Tablas Técnicas'!$L$10:$L$643,0)),INDEX($P336:$P342,Tablas!D$1)="",COUNTIF(AP325:$AS325,$F325)=0),$F325,IF(INDEX($P336:$P342,Tablas!D$1)="","",$F325&amp;INDEX($P336:$P342,Tablas!D$1)))</f>
        <v/>
      </c>
      <c r="AP325" s="3089" t="str">
        <f>IF(AND(ISNUMBER(MATCH($F325,'Tablas Técnicas'!$L$10:$L$643,0)),INDEX($P336:$P342,Tablas!E$1)="",COUNTIF(AQ325:$AS325,$F325)=0),$F325,IF(INDEX($P336:$P342,Tablas!E$1)="","",$F325&amp;INDEX($P336:$P342,Tablas!E$1)))</f>
        <v/>
      </c>
      <c r="AQ325" s="3089" t="str">
        <f>IF(AND(ISNUMBER(MATCH($F325,'Tablas Técnicas'!$L$10:$L$643,0)),INDEX($P336:$P342,Tablas!F$1)="",COUNTIF(AR325:$AS325,$F325)=0),$F325,IF(INDEX($P336:$P342,Tablas!F$1)="","",$F325&amp;INDEX($P336:$P342,Tablas!F$1)))</f>
        <v/>
      </c>
      <c r="AR325" s="3089" t="str">
        <f>IF(AND(ISNUMBER(MATCH($F325,'Tablas Técnicas'!$L$10:$L$643,0)),INDEX($P336:$P342,Tablas!G$1)="",COUNTIF(AS325:$AS325,$F325)=0),$F325,IF(INDEX($P336:$P342,Tablas!G$1)="","",$F325&amp;INDEX($P336:$P342,Tablas!G$1)))</f>
        <v/>
      </c>
      <c r="AS325" s="3091">
        <f>V325+X325+Z325+AB325+AD325+AF325</f>
        <v>0</v>
      </c>
      <c r="AT325" s="3091">
        <f t="array" ref="AT325">SUM(IF($AL325:$AR325='Tablas Técnicas'!$L$10:$L$643,IF(D325="Primario",'Tablas Técnicas'!$E$10:$E$643,'Tablas Técnicas'!$F$10:$F$643)+IF(K325="Sostenimiento menor",'Tablas Técnicas'!$I$10:$I$643,IF(K325="sostenimiento mayor",'Tablas Técnicas'!$J$10:$J$643,0)),0),0)+VALUE(RIGHT(P325,2))+AU325+AV325</f>
        <v>0</v>
      </c>
      <c r="AU325" s="309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091">
        <f>(COUNTIF(AL325:AR325,"*Estado añadido:*")-1)*COUNTIF(AL325:AR325,"*Estado añadido:*")</f>
        <v>0</v>
      </c>
      <c r="AW325" s="3091">
        <f t="array" ref="AW325">SUM(IF($AL325:$AR325='Tablas Técnicas'!$L$10:$L$643,'Tablas Técnicas'!$G$10:$G$643,0))</f>
        <v>0</v>
      </c>
      <c r="AX325" s="3089"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089" t="str">
        <f>IFERROR(LEFT(AX325,LEN(AX325)-2)&amp;"), ","")</f>
        <v/>
      </c>
    </row>
    <row r="326" spans="1:51" ht="12.2" customHeight="1" x14ac:dyDescent="0.2">
      <c r="A326" s="2185"/>
      <c r="B326" s="2099">
        <f t="shared" si="8"/>
        <v>10</v>
      </c>
      <c r="C326" s="4538"/>
      <c r="D326" s="4583" t="s">
        <v>524</v>
      </c>
      <c r="E326" s="4584"/>
      <c r="F326" s="4615"/>
      <c r="G326" s="4616"/>
      <c r="H326" s="4616"/>
      <c r="I326" s="4616"/>
      <c r="J326" s="4617"/>
      <c r="K326" s="4618" t="s">
        <v>1456</v>
      </c>
      <c r="L326" s="4619"/>
      <c r="M326" s="4620"/>
      <c r="N326" s="1925">
        <f>IF(AW326&gt;0,IF(VLOOKUP(F326,'Tablas Técnicas'!$O$9:$X$88,10,0),MAX(5,AW326-5),AW326),0)</f>
        <v>0</v>
      </c>
      <c r="O326" s="1925" t="str">
        <f>AS326&amp;" / "&amp;AT326</f>
        <v>0 / 0</v>
      </c>
      <c r="P326" s="1925" t="str">
        <f t="array" ref="P326">W326+Y326+AA326+AC326+AE326+AG326&amp;" / "&amp;IF(K326&lt;&gt;"Mantenido",0,SUM(IF($AL326:$AR326='Tablas Técnicas'!$L$10:$L$643,'Tablas Técnicas'!$H$10:$H$643,0)))</f>
        <v>0 / 0</v>
      </c>
      <c r="Q326" s="4585" t="str">
        <f>IFERROR(VLOOKUP(F326,'Tablas Técnicas'!$O$9:$T$88,5,FALSE),"")</f>
        <v/>
      </c>
      <c r="R326" s="4585"/>
      <c r="S326" s="4585"/>
      <c r="T326" s="4585"/>
      <c r="U326" s="4585"/>
      <c r="V326" s="2060"/>
      <c r="W326" s="2061"/>
      <c r="X326" s="2060"/>
      <c r="Y326" s="2062"/>
      <c r="Z326" s="2063"/>
      <c r="AA326" s="2061"/>
      <c r="AB326" s="2060"/>
      <c r="AC326" s="2062"/>
      <c r="AD326" s="2063"/>
      <c r="AE326" s="2061"/>
      <c r="AF326" s="2060"/>
      <c r="AG326" s="2064"/>
      <c r="AH326" s="2193"/>
      <c r="AI326" s="4558"/>
      <c r="AJ326" s="3089">
        <v>4</v>
      </c>
      <c r="AK326" s="3089">
        <f>P319</f>
        <v>1</v>
      </c>
      <c r="AL326" s="3089" t="str">
        <f>IF(AND(ISNUMBER(MATCH($F326,'Tablas Técnicas'!$L$10:$L$643,0)),INDEX($V336:$V342,Tablas!A$1)="",COUNTIF(AM326:$AS326,$F326)=0),$F326,IF(INDEX($V336:$V342,Tablas!A$1)="","",$F326&amp;INDEX($V336:$V342,Tablas!A$1)))</f>
        <v/>
      </c>
      <c r="AM326" s="3089" t="str">
        <f>IF(AND(ISNUMBER(MATCH($F326,'Tablas Técnicas'!$L$10:$L$643,0)),INDEX($V336:$V342,Tablas!B$1)="",COUNTIF(AN326:$AS326,$F326)=0),$F326,IF(INDEX($V336:$V342,Tablas!B$1)="","",$F326&amp;INDEX($V336:$V342,Tablas!B$1)))</f>
        <v/>
      </c>
      <c r="AN326" s="3089" t="str">
        <f>IF(AND(ISNUMBER(MATCH($F326,'Tablas Técnicas'!$L$10:$L$643,0)),INDEX($V336:$V342,Tablas!C$1)="",COUNTIF(AO326:$AS326,$F326)=0),$F326,IF(INDEX($V336:$V342,Tablas!C$1)="","",$F326&amp;INDEX($V336:$V342,Tablas!C$1)))</f>
        <v/>
      </c>
      <c r="AO326" s="3089" t="str">
        <f>IF(AND(ISNUMBER(MATCH($F326,'Tablas Técnicas'!$L$10:$L$643,0)),INDEX($V336:$V342,Tablas!D$1)="",COUNTIF(AP326:$AS326,$F326)=0),$F326,IF(INDEX($V336:$V342,Tablas!D$1)="","",$F326&amp;INDEX($V336:$V342,Tablas!D$1)))</f>
        <v/>
      </c>
      <c r="AP326" s="3089" t="str">
        <f>IF(AND(ISNUMBER(MATCH($F326,'Tablas Técnicas'!$L$10:$L$643,0)),INDEX($V336:$V342,Tablas!E$1)="",COUNTIF(AQ326:$AS326,$F326)=0),$F326,IF(INDEX($V336:$V342,Tablas!E$1)="","",$F326&amp;INDEX($V336:$V342,Tablas!E$1)))</f>
        <v/>
      </c>
      <c r="AQ326" s="3089" t="str">
        <f>IF(AND(ISNUMBER(MATCH($F326,'Tablas Técnicas'!$L$10:$L$643,0)),INDEX($V336:$V342,Tablas!F$1)="",COUNTIF(AR326:$AS326,$F326)=0),$F326,IF(INDEX($V336:$V342,Tablas!F$1)="","",$F326&amp;INDEX($V336:$V342,Tablas!F$1)))</f>
        <v/>
      </c>
      <c r="AR326" s="3089" t="str">
        <f>IF(AND(ISNUMBER(MATCH($F326,'Tablas Técnicas'!$L$10:$L$643,0)),INDEX($V336:$V342,Tablas!G$1)="",COUNTIF(AS326:$AS326,$F326)=0),$F326,IF(INDEX($V336:$V342,Tablas!G$1)="","",$F326&amp;INDEX($V336:$V342,Tablas!G$1)))</f>
        <v/>
      </c>
      <c r="AS326" s="3091">
        <f>V326+X326+Z326+AB326+AD326+AF326</f>
        <v>0</v>
      </c>
      <c r="AT326" s="3091">
        <f t="array" ref="AT326">SUM(IF($AL326:$AR326='Tablas Técnicas'!$L$10:$L$643,IF(D326="Primario",'Tablas Técnicas'!$E$10:$E$643,'Tablas Técnicas'!$F$10:$F$643)+IF(K326="Sostenimiento menor",'Tablas Técnicas'!$I$10:$I$643,IF(K326="sostenimiento mayor",'Tablas Técnicas'!$J$10:$J$643,0)),0),0)+VALUE(RIGHT(P326,2))+AU326+AV326</f>
        <v>0</v>
      </c>
      <c r="AU326" s="309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091">
        <f>(COUNTIF(AL326:AR326,"*Estado añadido:*")-1)*COUNTIF(AL326:AR326,"*Estado añadido:*")</f>
        <v>0</v>
      </c>
      <c r="AW326" s="3091">
        <f t="array" ref="AW326">SUM(IF($AL326:$AR326='Tablas Técnicas'!$L$10:$L$643,'Tablas Técnicas'!$G$10:$G$643,0))</f>
        <v>0</v>
      </c>
      <c r="AX326" s="3089"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089" t="str">
        <f>IFERROR(LEFT(AX326,LEN(AX326)-2)&amp;"), ","")</f>
        <v/>
      </c>
    </row>
    <row r="327" spans="1:51" ht="12.2" customHeight="1" thickBot="1" x14ac:dyDescent="0.25">
      <c r="A327" s="2185"/>
      <c r="B327" s="2099">
        <f t="shared" si="8"/>
        <v>10</v>
      </c>
      <c r="C327" s="4538"/>
      <c r="D327" s="4586" t="s">
        <v>524</v>
      </c>
      <c r="E327" s="4587"/>
      <c r="F327" s="4543"/>
      <c r="G327" s="4544"/>
      <c r="H327" s="4544"/>
      <c r="I327" s="4544"/>
      <c r="J327" s="4545"/>
      <c r="K327" s="4546" t="s">
        <v>1456</v>
      </c>
      <c r="L327" s="4547"/>
      <c r="M327" s="4548"/>
      <c r="N327" s="2187">
        <f>IF(AW327&gt;0,IF(VLOOKUP(F327,'Tablas Técnicas'!$O$9:$X$88,10,0),MAX(5,AW327-5),AW327),0)</f>
        <v>0</v>
      </c>
      <c r="O327" s="2187" t="str">
        <f>AS327&amp;" / "&amp;AT327</f>
        <v>0 / 0</v>
      </c>
      <c r="P327" s="2187" t="str">
        <f t="array" ref="P327">W327+Y327+AA327+AC327+AE327+AG327&amp;" / "&amp;IF(K327&lt;&gt;"Mantenido",0,SUM(IF($AL327:$AR327='Tablas Técnicas'!$L$10:$L$643,'Tablas Técnicas'!$H$10:$H$643,0)))</f>
        <v>0 / 0</v>
      </c>
      <c r="Q327" s="4588" t="str">
        <f>IFERROR(VLOOKUP(F327,'Tablas Técnicas'!$O$9:$T$88,5,FALSE),"")</f>
        <v/>
      </c>
      <c r="R327" s="4588"/>
      <c r="S327" s="4588"/>
      <c r="T327" s="4588"/>
      <c r="U327" s="4588"/>
      <c r="V327" s="2070"/>
      <c r="W327" s="2071"/>
      <c r="X327" s="2070"/>
      <c r="Y327" s="2072"/>
      <c r="Z327" s="2073"/>
      <c r="AA327" s="2071"/>
      <c r="AB327" s="2070"/>
      <c r="AC327" s="2072"/>
      <c r="AD327" s="2073"/>
      <c r="AE327" s="2071"/>
      <c r="AF327" s="2070"/>
      <c r="AG327" s="2074"/>
      <c r="AH327" s="2193"/>
      <c r="AI327" s="4558"/>
      <c r="AJ327" s="3089">
        <v>5</v>
      </c>
      <c r="AK327" s="3089">
        <f>P319</f>
        <v>1</v>
      </c>
      <c r="AL327" s="3089" t="str">
        <f>IF(AND(ISNUMBER(MATCH($F327,'Tablas Técnicas'!$L$10:$L$643,0)),INDEX($AB336:$AB342,Tablas!A$1)="",COUNTIF(AM327:$AS327,$F327)=0),$F327,IF(INDEX($AB336:$AB342,Tablas!A$1)="","",$F327&amp;INDEX($AB336:$AB342,Tablas!A$1)))</f>
        <v/>
      </c>
      <c r="AM327" s="3089" t="str">
        <f>IF(AND(ISNUMBER(MATCH($F327,'Tablas Técnicas'!$L$10:$L$643,0)),INDEX($AB336:$AB342,Tablas!B$1)="",COUNTIF(AN327:$AS327,$F327)=0),$F327,IF(INDEX($AB336:$AB342,Tablas!B$1)="","",$F327&amp;INDEX($AB336:$AB342,Tablas!B$1)))</f>
        <v/>
      </c>
      <c r="AN327" s="3089" t="str">
        <f>IF(AND(ISNUMBER(MATCH($F327,'Tablas Técnicas'!$L$10:$L$643,0)),INDEX($AB336:$AB342,Tablas!C$1)="",COUNTIF(AO327:$AS327,$F327)=0),$F327,IF(INDEX($AB336:$AB342,Tablas!C$1)="","",$F327&amp;INDEX($AB336:$AB342,Tablas!C$1)))</f>
        <v/>
      </c>
      <c r="AO327" s="3089" t="str">
        <f>IF(AND(ISNUMBER(MATCH($F327,'Tablas Técnicas'!$L$10:$L$643,0)),INDEX($AB336:$AB342,Tablas!D$1)="",COUNTIF(AP327:$AS327,$F327)=0),$F327,IF(INDEX($AB336:$AB342,Tablas!D$1)="","",$F327&amp;INDEX($AB336:$AB342,Tablas!D$1)))</f>
        <v/>
      </c>
      <c r="AP327" s="3089" t="str">
        <f>IF(AND(ISNUMBER(MATCH($F327,'Tablas Técnicas'!$L$10:$L$643,0)),INDEX($AB336:$AB342,Tablas!E$1)="",COUNTIF(AQ327:$AS327,$F327)=0),$F327,IF(INDEX($AB336:$AB342,Tablas!E$1)="","",$F327&amp;INDEX($AB336:$AB342,Tablas!E$1)))</f>
        <v/>
      </c>
      <c r="AQ327" s="3089" t="str">
        <f>IF(AND(ISNUMBER(MATCH($F327,'Tablas Técnicas'!$L$10:$L$643,0)),INDEX($AB336:$AB342,Tablas!F$1)="",COUNTIF(AR327:$AS327,$F327)=0),$F327,IF(INDEX($AB336:$AB342,Tablas!F$1)="","",$F327&amp;INDEX($AB336:$AB342,Tablas!F$1)))</f>
        <v/>
      </c>
      <c r="AR327" s="3089" t="str">
        <f>IF(AND(ISNUMBER(MATCH($F327,'Tablas Técnicas'!$L$10:$L$643,0)),INDEX($AB336:$AB342,Tablas!G$1)="",COUNTIF(AS327:$AS327,$F327)=0),$F327,IF(INDEX($AB336:$AB342,Tablas!G$1)="","",$F327&amp;INDEX($AB336:$AB342,Tablas!G$1)))</f>
        <v/>
      </c>
      <c r="AS327" s="3091">
        <f>V327+X327+Z327+AB327+AD327+AF327</f>
        <v>0</v>
      </c>
      <c r="AT327" s="3091">
        <f t="array" ref="AT327">SUM(IF($AL327:$AR327='Tablas Técnicas'!$L$10:$L$643,IF(D327="Primario",'Tablas Técnicas'!$E$10:$E$643,'Tablas Técnicas'!$F$10:$F$643)+IF(K327="Sostenimiento menor",'Tablas Técnicas'!$I$10:$I$643,IF(K327="sostenimiento mayor",'Tablas Técnicas'!$J$10:$J$643,0)),0),0)+VALUE(RIGHT(P327,2))+AU327+AV327</f>
        <v>0</v>
      </c>
      <c r="AU327" s="309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091">
        <f>(COUNTIF(AL327:AR327,"*Estado añadido:*")-1)*COUNTIF(AL327:AR327,"*Estado añadido:*")</f>
        <v>0</v>
      </c>
      <c r="AW327" s="3091">
        <f t="array" ref="AW327">SUM(IF($AL327:$AR327='Tablas Técnicas'!$L$10:$L$643,'Tablas Técnicas'!$G$10:$G$643,0))</f>
        <v>0</v>
      </c>
      <c r="AX327" s="3089"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089" t="str">
        <f>IFERROR(LEFT(AX327,LEN(AX327)-2)&amp;"), ","")</f>
        <v/>
      </c>
    </row>
    <row r="328" spans="1:51" ht="12.2" customHeight="1" x14ac:dyDescent="0.2">
      <c r="A328" s="2185"/>
      <c r="B328" s="2099">
        <f t="shared" si="8"/>
        <v>10</v>
      </c>
      <c r="C328" s="4538"/>
      <c r="D328" s="4589" t="s">
        <v>2819</v>
      </c>
      <c r="E328" s="4590"/>
      <c r="F328" s="4610"/>
      <c r="G328" s="4611"/>
      <c r="H328" s="4611"/>
      <c r="I328" s="4611"/>
      <c r="J328" s="4612"/>
      <c r="K328" s="4628"/>
      <c r="L328" s="4657"/>
      <c r="M328" s="4658"/>
      <c r="N328" s="1929" t="str">
        <f>IFERROR(INDEX('Tablas Técnicas'!$Q$200:$Q$301,MATCH(F328&amp;K328,'Tablas Técnicas'!$S$200:$S$301,0)),"")</f>
        <v/>
      </c>
      <c r="O328" s="4659"/>
      <c r="P328" s="4660"/>
      <c r="Q328" s="4661"/>
      <c r="R328" s="4660"/>
      <c r="S328" s="2761" t="str">
        <f>IFERROR("Nivel: "&amp;MAX(1,INDEX('Tablas Técnicas'!$R$200:$R$301,MATCH(F328&amp;K328,'Tablas Técnicas'!$S$200:$S$301,0))),"")</f>
        <v/>
      </c>
      <c r="T328" s="1930"/>
      <c r="U328" s="1931" t="str">
        <f>IFERROR("("&amp;VLOOKUP(F328,'Tablas Técnicas'!$O$165:$Q$192,3,FALSE)&amp;")","")</f>
        <v/>
      </c>
      <c r="V328" s="4598" t="s">
        <v>9625</v>
      </c>
      <c r="W328" s="4599"/>
      <c r="X328" s="4600"/>
      <c r="Y328" s="2311">
        <v>0</v>
      </c>
      <c r="Z328" s="4601" t="s">
        <v>8811</v>
      </c>
      <c r="AA328" s="4602"/>
      <c r="AB328" s="4603"/>
      <c r="AC328" s="2311">
        <v>0</v>
      </c>
      <c r="AD328" s="4604" t="str">
        <f>"Ki sin repartir: "&amp;AL336-AL337&amp;IF(AM336=0,""," ("&amp;AM336-AM337&amp;")")</f>
        <v>Ki sin repartir: 0</v>
      </c>
      <c r="AE328" s="4605"/>
      <c r="AF328" s="4605"/>
      <c r="AG328" s="4606"/>
      <c r="AH328" s="2193"/>
      <c r="AI328" s="4558"/>
      <c r="AJ328" s="3089">
        <v>1</v>
      </c>
      <c r="AK328" s="3089">
        <f>P319</f>
        <v>1</v>
      </c>
      <c r="AL328" s="3089" t="e">
        <f>VLOOKUP(F328,'Tablas Técnicas'!$O$165:$Q$188,2,FALSE)</f>
        <v>#N/A</v>
      </c>
      <c r="AM328" s="3089"/>
      <c r="AN328" s="3090"/>
      <c r="AO328" s="3089"/>
      <c r="AP328" s="3089"/>
      <c r="AQ328" s="3090"/>
      <c r="AR328" s="3089"/>
      <c r="AS328" s="3089"/>
      <c r="AT328" s="3089"/>
      <c r="AU328" s="3089"/>
      <c r="AV328" s="3089"/>
      <c r="AW328" s="3091"/>
      <c r="AX328" s="3091"/>
      <c r="AY328" s="3089" t="str">
        <f>IF(F328="","",F328&amp;IF(K328="",""," ("&amp;IF(F328="Atadura Elemental",O328&amp;IF(Q328="","",", "&amp;Q328),K328)&amp;")")&amp;", ")</f>
        <v/>
      </c>
    </row>
    <row r="329" spans="1:51" ht="12.2" customHeight="1" x14ac:dyDescent="0.2">
      <c r="A329" s="2185"/>
      <c r="B329" s="2099">
        <f t="shared" si="8"/>
        <v>10</v>
      </c>
      <c r="C329" s="4538"/>
      <c r="D329" s="4591"/>
      <c r="E329" s="4592"/>
      <c r="F329" s="4662"/>
      <c r="G329" s="4663"/>
      <c r="H329" s="4663"/>
      <c r="I329" s="4663"/>
      <c r="J329" s="4664"/>
      <c r="K329" s="4617"/>
      <c r="L329" s="4677"/>
      <c r="M329" s="4678"/>
      <c r="N329" s="1932" t="str">
        <f>IFERROR(INDEX('Tablas Técnicas'!$Q$200:$Q$301,MATCH(F329&amp;K329,'Tablas Técnicas'!$S$200:$S$301,0)),"")</f>
        <v/>
      </c>
      <c r="O329" s="4665"/>
      <c r="P329" s="4666"/>
      <c r="Q329" s="4667"/>
      <c r="R329" s="4666"/>
      <c r="S329" s="2763" t="str">
        <f>IFERROR("Nivel: "&amp;MAX(1,INDEX('Tablas Técnicas'!$R$200:$R$301,MATCH(F329&amp;K329,'Tablas Técnicas'!$S$200:$S$301,0))),"")</f>
        <v/>
      </c>
      <c r="T329" s="2543"/>
      <c r="U329" s="2544" t="str">
        <f>IFERROR("("&amp;VLOOKUP(F329,'Tablas Técnicas'!$O$165:$Q$192,3,FALSE)&amp;")","")</f>
        <v/>
      </c>
      <c r="V329" s="4607" t="str">
        <f>"Mod. "&amp;V321</f>
        <v>Mod. AGI</v>
      </c>
      <c r="W329" s="4608"/>
      <c r="X329" s="4607" t="str">
        <f>"Mod. "&amp;X321</f>
        <v>Mod. CON</v>
      </c>
      <c r="Y329" s="4608"/>
      <c r="Z329" s="4607" t="str">
        <f>"Mod. "&amp;Z321</f>
        <v>Mod. DES</v>
      </c>
      <c r="AA329" s="4608"/>
      <c r="AB329" s="4607" t="str">
        <f>"Mod. "&amp;AB321</f>
        <v>Mod. FUE</v>
      </c>
      <c r="AC329" s="4608"/>
      <c r="AD329" s="4607" t="str">
        <f>"Mod. "&amp;AD321</f>
        <v>Mod. POD</v>
      </c>
      <c r="AE329" s="4608"/>
      <c r="AF329" s="4607" t="str">
        <f>"Mod. "&amp;AF321</f>
        <v>Mod. VOL</v>
      </c>
      <c r="AG329" s="4609"/>
      <c r="AH329" s="2193"/>
      <c r="AI329" s="4558"/>
      <c r="AJ329" s="3089">
        <v>2</v>
      </c>
      <c r="AK329" s="3089">
        <f>P319</f>
        <v>1</v>
      </c>
      <c r="AL329" s="3089" t="e">
        <f>VLOOKUP(F329,'Tablas Técnicas'!$O$165:$Q$188,2,FALSE)</f>
        <v>#N/A</v>
      </c>
      <c r="AM329" s="3089"/>
      <c r="AN329" s="3090"/>
      <c r="AO329" s="3089"/>
      <c r="AP329" s="3089"/>
      <c r="AQ329" s="3090"/>
      <c r="AR329" s="3089"/>
      <c r="AS329" s="3089"/>
      <c r="AT329" s="3089"/>
      <c r="AU329" s="3089"/>
      <c r="AV329" s="3089"/>
      <c r="AW329" s="3091"/>
      <c r="AX329" s="3091"/>
      <c r="AY329" s="3089" t="str">
        <f>IF(F329="","",F329&amp;IF(K329="",""," ("&amp;IF(F329="Atadura Elemental",O329&amp;IF(Q329="","",", "&amp;Q329),K329)&amp;")")&amp;", ")</f>
        <v/>
      </c>
    </row>
    <row r="330" spans="1:51" ht="12.2" customHeight="1" thickBot="1" x14ac:dyDescent="0.25">
      <c r="A330" s="2185"/>
      <c r="B330" s="2099">
        <f t="shared" si="8"/>
        <v>10</v>
      </c>
      <c r="C330" s="4538"/>
      <c r="D330" s="4593"/>
      <c r="E330" s="4594"/>
      <c r="F330" s="4668"/>
      <c r="G330" s="4669"/>
      <c r="H330" s="4669"/>
      <c r="I330" s="4669"/>
      <c r="J330" s="4670"/>
      <c r="K330" s="4672"/>
      <c r="L330" s="4673"/>
      <c r="M330" s="4674"/>
      <c r="N330" s="1933" t="str">
        <f>IFERROR(INDEX('Tablas Técnicas'!$Q$200:$Q$301,MATCH(F330&amp;K330,'Tablas Técnicas'!$S$200:$S$301,0)),"")</f>
        <v/>
      </c>
      <c r="O330" s="4655"/>
      <c r="P330" s="4656"/>
      <c r="Q330" s="4671"/>
      <c r="R330" s="4656"/>
      <c r="S330" s="2762" t="str">
        <f>IFERROR("Nivel: "&amp;MAX(1,INDEX('Tablas Técnicas'!$R$200:$R$301,MATCH(F330&amp;K330,'Tablas Técnicas'!$S$200:$S$301,0))),"")</f>
        <v/>
      </c>
      <c r="T330" s="2545"/>
      <c r="U330" s="2546" t="str">
        <f>IFERROR("("&amp;VLOOKUP(F330,'Tablas Técnicas'!$O$165:$Q$192,3,FALSE)&amp;")","")</f>
        <v/>
      </c>
      <c r="V330" s="4564"/>
      <c r="W330" s="4562"/>
      <c r="X330" s="4562"/>
      <c r="Y330" s="4562"/>
      <c r="Z330" s="4562"/>
      <c r="AA330" s="4562"/>
      <c r="AB330" s="4562"/>
      <c r="AC330" s="4562"/>
      <c r="AD330" s="4562"/>
      <c r="AE330" s="4562"/>
      <c r="AF330" s="4562"/>
      <c r="AG330" s="4574"/>
      <c r="AH330" s="2193"/>
      <c r="AI330" s="4558"/>
      <c r="AJ330" s="3089">
        <v>3</v>
      </c>
      <c r="AK330" s="3089">
        <f>P319</f>
        <v>1</v>
      </c>
      <c r="AL330" s="3089" t="e">
        <f>VLOOKUP(F330,'Tablas Técnicas'!$O$165:$Q$188,2,FALSE)</f>
        <v>#N/A</v>
      </c>
      <c r="AM330" s="3089"/>
      <c r="AN330" s="3090"/>
      <c r="AO330" s="3089"/>
      <c r="AP330" s="3089"/>
      <c r="AQ330" s="3090"/>
      <c r="AR330" s="3091"/>
      <c r="AS330" s="3091"/>
      <c r="AT330" s="3091"/>
      <c r="AU330" s="3091"/>
      <c r="AV330" s="3091"/>
      <c r="AW330" s="3091"/>
      <c r="AX330" s="3091"/>
      <c r="AY330" s="3089" t="str">
        <f>IF(F330="","",F330&amp;IF(K330="",""," ("&amp;IF(F330="Atadura Elemental",O330&amp;IF(Q330="","",", "&amp;Q330),K330)&amp;")")&amp;", ")</f>
        <v/>
      </c>
    </row>
    <row r="331" spans="1:51" ht="12.2" customHeight="1" x14ac:dyDescent="0.2">
      <c r="A331" s="2185"/>
      <c r="B331" s="2099">
        <f t="shared" si="8"/>
        <v>10</v>
      </c>
      <c r="C331" s="4538"/>
      <c r="D331" s="4549" t="s">
        <v>9306</v>
      </c>
      <c r="E331" s="4550"/>
      <c r="F331" s="4550"/>
      <c r="G331" s="4550"/>
      <c r="H331" s="4550"/>
      <c r="I331" s="4550"/>
      <c r="J331" s="4550"/>
      <c r="K331" s="4550"/>
      <c r="L331" s="4550"/>
      <c r="M331" s="4550"/>
      <c r="N331" s="4550"/>
      <c r="O331" s="4550"/>
      <c r="P331" s="4550"/>
      <c r="Q331" s="4550"/>
      <c r="R331" s="4550"/>
      <c r="S331" s="4550"/>
      <c r="T331" s="4550"/>
      <c r="U331" s="4550"/>
      <c r="V331" s="4551"/>
      <c r="W331" s="4551"/>
      <c r="X331" s="4551"/>
      <c r="Y331" s="4551"/>
      <c r="Z331" s="4551"/>
      <c r="AA331" s="4551"/>
      <c r="AB331" s="4551"/>
      <c r="AC331" s="4551"/>
      <c r="AD331" s="4551"/>
      <c r="AE331" s="4551"/>
      <c r="AF331" s="4551"/>
      <c r="AG331" s="4552"/>
      <c r="AH331" s="2193"/>
      <c r="AI331" s="4558"/>
      <c r="AJ331" s="3089"/>
      <c r="AK331" s="3089"/>
      <c r="AL331" s="3089"/>
      <c r="AM331" s="3089"/>
      <c r="AN331" s="3090" t="s">
        <v>8812</v>
      </c>
      <c r="AO331" s="3089" t="e">
        <f>LEFT(AY323&amp;AY324&amp;AY325&amp;AY326&amp;AY327,LEN(AY323&amp;AY324&amp;AY325&amp;AY326&amp;AY327)-2)</f>
        <v>#VALUE!</v>
      </c>
      <c r="AP331" s="3089"/>
      <c r="AQ331" s="3090"/>
      <c r="AR331" s="3091"/>
      <c r="AS331" s="3091"/>
      <c r="AT331" s="3091"/>
      <c r="AU331" s="3090"/>
      <c r="AV331" s="3090"/>
      <c r="AW331" s="3091"/>
      <c r="AX331" s="3091"/>
      <c r="AY331" s="3089"/>
    </row>
    <row r="332" spans="1:51" ht="12.2" customHeight="1" x14ac:dyDescent="0.2">
      <c r="A332" s="2185"/>
      <c r="B332" s="2099">
        <f t="shared" si="8"/>
        <v>10</v>
      </c>
      <c r="C332" s="4538"/>
      <c r="D332" s="4553" t="str">
        <f>IF(F323="","",F323)</f>
        <v/>
      </c>
      <c r="E332" s="4554"/>
      <c r="F332" s="4554"/>
      <c r="G332" s="4554"/>
      <c r="H332" s="4554"/>
      <c r="I332" s="4555"/>
      <c r="J332" s="4553" t="str">
        <f>IF(F324="","",F324)</f>
        <v/>
      </c>
      <c r="K332" s="4554"/>
      <c r="L332" s="4554"/>
      <c r="M332" s="4554"/>
      <c r="N332" s="4554"/>
      <c r="O332" s="4555"/>
      <c r="P332" s="4554" t="str">
        <f>IF(F325="","",F325)</f>
        <v/>
      </c>
      <c r="Q332" s="4554"/>
      <c r="R332" s="4554"/>
      <c r="S332" s="4554"/>
      <c r="T332" s="4554"/>
      <c r="U332" s="4555"/>
      <c r="V332" s="4553" t="str">
        <f>IF(F326="","",F326)</f>
        <v/>
      </c>
      <c r="W332" s="4554"/>
      <c r="X332" s="4554"/>
      <c r="Y332" s="4554"/>
      <c r="Z332" s="4554"/>
      <c r="AA332" s="4555"/>
      <c r="AB332" s="4554" t="str">
        <f>IF(F327="","",F327)</f>
        <v/>
      </c>
      <c r="AC332" s="4554"/>
      <c r="AD332" s="4554"/>
      <c r="AE332" s="4554"/>
      <c r="AF332" s="4554"/>
      <c r="AG332" s="4577"/>
      <c r="AH332" s="2193"/>
      <c r="AI332" s="4558"/>
      <c r="AJ332" s="3089"/>
      <c r="AK332" s="3089"/>
      <c r="AL332" s="3089"/>
      <c r="AM332" s="3089"/>
      <c r="AN332" s="3090" t="s">
        <v>8813</v>
      </c>
      <c r="AO332" s="3089" t="e">
        <f>LEFT(AY328&amp;AY329&amp;AY330,LEN(AY328&amp;AY329&amp;AY330)-2)</f>
        <v>#VALUE!</v>
      </c>
      <c r="AP332" s="3089"/>
      <c r="AQ332" s="3090"/>
      <c r="AR332" s="3091"/>
      <c r="AS332" s="3091"/>
      <c r="AT332" s="3091"/>
      <c r="AU332" s="3090"/>
      <c r="AV332" s="3090"/>
      <c r="AW332" s="3091"/>
      <c r="AX332" s="3091"/>
      <c r="AY332" s="3089"/>
    </row>
    <row r="333" spans="1:51" ht="12.2" customHeight="1" x14ac:dyDescent="0.2">
      <c r="A333" s="2185"/>
      <c r="B333" s="2099">
        <f t="shared" si="8"/>
        <v>10</v>
      </c>
      <c r="C333" s="4538"/>
      <c r="D333" s="2044" t="s">
        <v>1836</v>
      </c>
      <c r="E333" s="1921" t="str">
        <f>IFERROR(VLOOKUP(D332,'Tablas Técnicas'!$O$9:$T$88,3,FALSE),"")</f>
        <v/>
      </c>
      <c r="F333" s="2037"/>
      <c r="G333" s="2036"/>
      <c r="H333" s="2036" t="s">
        <v>1363</v>
      </c>
      <c r="I333" s="1921" t="str">
        <f>IFERROR(VLOOKUP(D332,'Tablas Técnicas'!$O$9:$T$88,4,FALSE),"")</f>
        <v/>
      </c>
      <c r="J333" s="2044" t="s">
        <v>1836</v>
      </c>
      <c r="K333" s="1921" t="str">
        <f>IFERROR(VLOOKUP(J332,'Tablas Técnicas'!$O$9:$T$88,3,FALSE),"")</f>
        <v/>
      </c>
      <c r="L333" s="2037"/>
      <c r="M333" s="2036"/>
      <c r="N333" s="2036" t="s">
        <v>1363</v>
      </c>
      <c r="O333" s="1934" t="str">
        <f>IFERROR(VLOOKUP(J332,'Tablas Técnicas'!$O$9:$T$88,4,FALSE),"")</f>
        <v/>
      </c>
      <c r="P333" s="2036" t="s">
        <v>1836</v>
      </c>
      <c r="Q333" s="1921" t="str">
        <f>IFERROR(VLOOKUP(P332,'Tablas Técnicas'!$O$9:$T$88,3,FALSE),"")</f>
        <v/>
      </c>
      <c r="R333" s="2037"/>
      <c r="S333" s="2036"/>
      <c r="T333" s="2036" t="s">
        <v>1363</v>
      </c>
      <c r="U333" s="1921" t="str">
        <f>IFERROR(VLOOKUP(P332,'Tablas Técnicas'!$O$9:$T$88,4,FALSE),"")</f>
        <v/>
      </c>
      <c r="V333" s="2044" t="s">
        <v>1836</v>
      </c>
      <c r="W333" s="1921" t="str">
        <f>IFERROR(VLOOKUP(V332,'Tablas Técnicas'!$O$9:$T$88,3,FALSE),"")</f>
        <v/>
      </c>
      <c r="X333" s="2037"/>
      <c r="Y333" s="2036"/>
      <c r="Z333" s="2036" t="s">
        <v>1363</v>
      </c>
      <c r="AA333" s="1934" t="str">
        <f>IFERROR(VLOOKUP(V332,'Tablas Técnicas'!$O$9:$T$88,4,FALSE),"")</f>
        <v/>
      </c>
      <c r="AB333" s="2036" t="s">
        <v>1836</v>
      </c>
      <c r="AC333" s="1921" t="str">
        <f>IFERROR(VLOOKUP(AB332,'Tablas Técnicas'!$O$9:$T$88,3,FALSE),"")</f>
        <v/>
      </c>
      <c r="AD333" s="2037"/>
      <c r="AE333" s="2036"/>
      <c r="AF333" s="2036" t="s">
        <v>1363</v>
      </c>
      <c r="AG333" s="1935" t="str">
        <f>IFERROR(VLOOKUP(AB332,'Tablas Técnicas'!$O$9:$T$88,4,FALSE),"")</f>
        <v/>
      </c>
      <c r="AH333" s="2193"/>
      <c r="AI333" s="4558"/>
      <c r="AJ333" s="3089"/>
      <c r="AK333" s="3089"/>
      <c r="AL333" s="3089"/>
      <c r="AM333" s="3089"/>
      <c r="AN333" s="3090"/>
      <c r="AO333" s="3089"/>
      <c r="AP333" s="3089"/>
      <c r="AQ333" s="3090"/>
      <c r="AR333" s="3091"/>
      <c r="AS333" s="3091"/>
      <c r="AT333" s="3091"/>
      <c r="AU333" s="3091"/>
      <c r="AV333" s="3091"/>
      <c r="AW333" s="3091"/>
      <c r="AX333" s="3091"/>
      <c r="AY333" s="3089"/>
    </row>
    <row r="334" spans="1:51" ht="12.2" customHeight="1" x14ac:dyDescent="0.2">
      <c r="A334" s="2185"/>
      <c r="B334" s="2099">
        <f t="shared" si="8"/>
        <v>10</v>
      </c>
      <c r="C334" s="4538"/>
      <c r="D334" s="2045" t="s">
        <v>8814</v>
      </c>
      <c r="E334" s="2036"/>
      <c r="F334" s="2037"/>
      <c r="G334" s="2038"/>
      <c r="H334" s="2038"/>
      <c r="I334" s="2035" t="str">
        <f>IFERROR(IF(D332="Ataque Elemental",IF(NOT(ISNA(VLOOKUP(D336,'Tablas Técnicas'!$O$100:$O$105,1,0))),D336,"Variable"),VLOOKUP(D332,'Tablas Técnicas'!$O$9:$W$88,9,FALSE)),"")</f>
        <v/>
      </c>
      <c r="J334" s="1936" t="s">
        <v>8814</v>
      </c>
      <c r="K334" s="2188"/>
      <c r="L334" s="2189"/>
      <c r="M334" s="2190"/>
      <c r="N334" s="2190"/>
      <c r="O334" s="1937" t="str">
        <f>IFERROR(IF(J332="Ataque Elemental",IF(NOT(ISNA(VLOOKUP(J336,'Tablas Técnicas'!$O$100:$O$105,1,0))),J336,"Variable"),VLOOKUP(J332,'Tablas Técnicas'!$O$9:$W$88,9,FALSE)),"")</f>
        <v/>
      </c>
      <c r="P334" s="2191" t="s">
        <v>8814</v>
      </c>
      <c r="Q334" s="2188"/>
      <c r="R334" s="2189"/>
      <c r="S334" s="2190"/>
      <c r="T334" s="2190"/>
      <c r="U334" s="2035" t="str">
        <f>IFERROR(IF(P332="Ataque Elemental",IF(NOT(ISNA(VLOOKUP(P336,'Tablas Técnicas'!$O$100:$O$105,1,0))),P336,"Variable"),VLOOKUP(P332,'Tablas Técnicas'!$O$9:$W$88,9,FALSE)),"")</f>
        <v/>
      </c>
      <c r="V334" s="1936" t="s">
        <v>8814</v>
      </c>
      <c r="W334" s="2188"/>
      <c r="X334" s="2189"/>
      <c r="Y334" s="2190"/>
      <c r="Z334" s="2190"/>
      <c r="AA334" s="1937" t="str">
        <f>IFERROR(IF(V332="Ataque Elemental",IF(NOT(ISNA(VLOOKUP(V336,'Tablas Técnicas'!$O$100:$O$105,1,0))),V336,"Variable"),VLOOKUP(V332,'Tablas Técnicas'!$O$9:$W$88,9,FALSE)),"")</f>
        <v/>
      </c>
      <c r="AB334" s="2191" t="s">
        <v>8814</v>
      </c>
      <c r="AC334" s="2188"/>
      <c r="AD334" s="2189"/>
      <c r="AE334" s="2190"/>
      <c r="AF334" s="2190"/>
      <c r="AG334" s="2050" t="str">
        <f>IFERROR(IF(AB332="Ataque Elemental",IF(NOT(ISNA(VLOOKUP(AB336,'Tablas Técnicas'!$O$100:$O$105,1,0))),AB336,"Variable"),VLOOKUP(AB332,'Tablas Técnicas'!$O$9:$W$88,9,FALSE)),"")</f>
        <v/>
      </c>
      <c r="AH334" s="2193"/>
      <c r="AI334" s="4558"/>
      <c r="AJ334" s="3089"/>
      <c r="AK334" s="3091" t="s">
        <v>1373</v>
      </c>
      <c r="AL334" s="3091" t="s">
        <v>1498</v>
      </c>
      <c r="AM334" s="3091" t="s">
        <v>1378</v>
      </c>
      <c r="AN334" s="3091" t="s">
        <v>1383</v>
      </c>
      <c r="AO334" s="3091" t="s">
        <v>1391</v>
      </c>
      <c r="AP334" s="3091" t="s">
        <v>1392</v>
      </c>
      <c r="AQ334" s="3090"/>
      <c r="AR334" s="3091"/>
      <c r="AS334" s="3091"/>
      <c r="AT334" s="3091"/>
      <c r="AU334" s="3091"/>
      <c r="AV334" s="3091"/>
      <c r="AW334" s="3091"/>
      <c r="AX334" s="3091"/>
      <c r="AY334" s="3089"/>
    </row>
    <row r="335" spans="1:51" ht="12.2" customHeight="1" x14ac:dyDescent="0.2">
      <c r="A335" s="2185"/>
      <c r="B335" s="2099">
        <f t="shared" si="8"/>
        <v>10</v>
      </c>
      <c r="C335" s="4538"/>
      <c r="D335" s="4553" t="s">
        <v>2827</v>
      </c>
      <c r="E335" s="4554"/>
      <c r="F335" s="4554"/>
      <c r="G335" s="4554"/>
      <c r="H335" s="4555"/>
      <c r="I335" s="1938" t="s">
        <v>1403</v>
      </c>
      <c r="J335" s="4553" t="s">
        <v>2827</v>
      </c>
      <c r="K335" s="4554"/>
      <c r="L335" s="4554"/>
      <c r="M335" s="4554"/>
      <c r="N335" s="4555"/>
      <c r="O335" s="1939" t="s">
        <v>1403</v>
      </c>
      <c r="P335" s="4553" t="s">
        <v>2827</v>
      </c>
      <c r="Q335" s="4554"/>
      <c r="R335" s="4554"/>
      <c r="S335" s="4554"/>
      <c r="T335" s="4555"/>
      <c r="U335" s="1939" t="s">
        <v>1403</v>
      </c>
      <c r="V335" s="4553"/>
      <c r="W335" s="4554"/>
      <c r="X335" s="4554"/>
      <c r="Y335" s="4554"/>
      <c r="Z335" s="4555"/>
      <c r="AA335" s="1939" t="s">
        <v>1403</v>
      </c>
      <c r="AB335" s="4553" t="s">
        <v>2827</v>
      </c>
      <c r="AC335" s="4554"/>
      <c r="AD335" s="4554"/>
      <c r="AE335" s="4554"/>
      <c r="AF335" s="4555"/>
      <c r="AG335" s="1940" t="s">
        <v>1403</v>
      </c>
      <c r="AH335" s="2193"/>
      <c r="AI335" s="4558"/>
      <c r="AJ335" s="3094" t="s">
        <v>9343</v>
      </c>
      <c r="AK335" s="3089" t="str">
        <f>IF(V321="","",IF(SUM(V323:V327)=0,"",V321&amp;" "&amp;SUM(V323:V327)+V330&amp;IF(SUM(W323:W327)=0,""," ("&amp;SUM(W323:W327)&amp;")")&amp;", "))</f>
        <v/>
      </c>
      <c r="AL335" s="3089" t="str">
        <f>IF(X321="","",IF(SUM(X323:X327)=0,"",X321&amp;" "&amp;SUM(X323:X327)+X330&amp;IF(SUM(Y323:Y327)=0,""," ("&amp;SUM(Y323:Y327)&amp;")")&amp;", "))</f>
        <v/>
      </c>
      <c r="AM335" s="3089" t="str">
        <f>IF(Z321="","",IF(SUM(Z323:Z327)=0,"",Z321&amp;" "&amp;SUM(Z323:Z327)+Z330&amp;IF(SUM(AA323:AA327)=0,""," ("&amp;SUM(AA323:AA327)&amp;")")&amp;", "))</f>
        <v/>
      </c>
      <c r="AN335" s="3089" t="str">
        <f>IF(AB321="","",IF(SUM(AB323:AB327)=0,"",AB321&amp;" "&amp;SUM(AB323:AB327)+AB330&amp;IF(SUM(AC323:AC327)=0,""," ("&amp;SUM(AC323:AC327)&amp;")")&amp;", "))</f>
        <v/>
      </c>
      <c r="AO335" s="3089" t="str">
        <f>IF(AD321="","",IF(SUM(AD323:AD327)=0,"",AD321&amp;" "&amp;SUM(AD323:AD327)+AD330&amp;IF(SUM(AE323:AE327)=0,""," ("&amp;SUM(AE323:AE327)&amp;")")&amp;", "))</f>
        <v/>
      </c>
      <c r="AP335" s="3089" t="str">
        <f>IF(AF321="","",IF(SUM(AF323:AF327)=0,"",AF321&amp;" "&amp;SUM(AF323:AF327)+AF330&amp;IF(SUM(AG323:AG327)=0,""," ("&amp;SUM(AG323:AG327)&amp;")")&amp;", "))</f>
        <v/>
      </c>
      <c r="AQ335" s="3089"/>
      <c r="AR335" s="3089"/>
      <c r="AS335" s="3089"/>
      <c r="AT335" s="3089"/>
      <c r="AU335" s="3089"/>
      <c r="AV335" s="3089"/>
      <c r="AW335" s="3089"/>
      <c r="AX335" s="3089"/>
      <c r="AY335" s="3089"/>
    </row>
    <row r="336" spans="1:51" ht="12.2" customHeight="1" x14ac:dyDescent="0.2">
      <c r="A336" s="2185"/>
      <c r="B336" s="2099">
        <f t="shared" si="8"/>
        <v>10</v>
      </c>
      <c r="C336" s="4538"/>
      <c r="D336" s="4575"/>
      <c r="E336" s="4573"/>
      <c r="F336" s="4573"/>
      <c r="G336" s="4573"/>
      <c r="H336" s="4573"/>
      <c r="I336" s="1941" t="str">
        <f>IF(OR(D332="",D336=""),"",MAX(1,SUMPRODUCT(--(INDEX('Tablas Técnicas'!$C$10:$L$643,,1)=D332),--(INDEX('Tablas Técnicas'!$C$10:$L$643,,2)=D336),INDEX('Tablas Técnicas'!$C$10:$L$643,,9))))</f>
        <v/>
      </c>
      <c r="J336" s="4572"/>
      <c r="K336" s="4573"/>
      <c r="L336" s="4573"/>
      <c r="M336" s="4573"/>
      <c r="N336" s="4573"/>
      <c r="O336" s="1941" t="str">
        <f>IF(OR(J332="",J336=""),"",MAX(1,SUMPRODUCT(--(INDEX('Tablas Técnicas'!$C$10:$L$643,,1)=J332),--(INDEX('Tablas Técnicas'!$C$10:$L$643,,2)=J336),INDEX('Tablas Técnicas'!$C$10:$L$643,,9))))</f>
        <v/>
      </c>
      <c r="P336" s="4572"/>
      <c r="Q336" s="4573"/>
      <c r="R336" s="4573"/>
      <c r="S336" s="4573"/>
      <c r="T336" s="4573"/>
      <c r="U336" s="1941" t="str">
        <f>IF(OR(P332="",P336=""),"",MAX(1,SUMPRODUCT(--(INDEX('Tablas Técnicas'!$C$10:$L$643,,1)=P332),--(INDEX('Tablas Técnicas'!$C$10:$L$643,,2)=P336),INDEX('Tablas Técnicas'!$C$10:$L$643,,9))))</f>
        <v/>
      </c>
      <c r="V336" s="4572"/>
      <c r="W336" s="4573"/>
      <c r="X336" s="4573"/>
      <c r="Y336" s="4573"/>
      <c r="Z336" s="4573"/>
      <c r="AA336" s="1941" t="str">
        <f>IF(OR(V332="",V336=""),"",MAX(1,SUMPRODUCT(--(INDEX('Tablas Técnicas'!$C$10:$L$643,,1)=V332),--(INDEX('Tablas Técnicas'!$C$10:$L$643,,2)=V336),INDEX('Tablas Técnicas'!$C$10:$L$643,,9))))</f>
        <v/>
      </c>
      <c r="AB336" s="4572"/>
      <c r="AC336" s="4573"/>
      <c r="AD336" s="4573"/>
      <c r="AE336" s="4573"/>
      <c r="AF336" s="4573"/>
      <c r="AG336" s="1942" t="str">
        <f>IF(OR(AB332="",AB336=""),"",MAX(1,SUMPRODUCT(--(INDEX('Tablas Técnicas'!$C$10:$L$643,,1)=AB332),--(INDEX('Tablas Técnicas'!$C$10:$L$643,,2)=AB336),INDEX('Tablas Técnicas'!$C$10:$L$643,,9))))</f>
        <v/>
      </c>
      <c r="AH336" s="2193">
        <f>P319</f>
        <v>1</v>
      </c>
      <c r="AI336" s="4558"/>
      <c r="AJ336" s="3089" t="s">
        <v>9307</v>
      </c>
      <c r="AK336" s="3089"/>
      <c r="AL336" s="3089">
        <f>MAX(0,SUM(AT323:AT327)+ABS($AC328*2/5))+IF(AM345,0,Y328)+IF(S319="Sí",3*P319,0)</f>
        <v>0</v>
      </c>
      <c r="AM336" s="3089">
        <f t="array" ref="AM336">IF(ISNUMBER(SEARCH("Mantenido",K323&amp;K324&amp;K325&amp;K326&amp;K327)),MAX(0,SUM(VALUE(RIGHT($P323:$P327,2)))),0)</f>
        <v>0</v>
      </c>
      <c r="AN336" s="3091"/>
      <c r="AO336" s="3091"/>
      <c r="AP336" s="3096"/>
      <c r="AQ336" s="3096"/>
      <c r="AR336" s="3096"/>
      <c r="AS336" s="3096"/>
      <c r="AT336" s="3096"/>
      <c r="AU336" s="3096"/>
      <c r="AV336" s="3096"/>
      <c r="AW336" s="3096"/>
      <c r="AX336" s="3096"/>
      <c r="AY336" s="3089"/>
    </row>
    <row r="337" spans="1:51" ht="12.2" customHeight="1" x14ac:dyDescent="0.2">
      <c r="A337" s="2185"/>
      <c r="B337" s="2099">
        <f t="shared" si="8"/>
        <v>10</v>
      </c>
      <c r="C337" s="4538"/>
      <c r="D337" s="4556"/>
      <c r="E337" s="4557"/>
      <c r="F337" s="4557"/>
      <c r="G337" s="4557"/>
      <c r="H337" s="4557"/>
      <c r="I337" s="1943" t="str">
        <f>IF(OR(D332="",D337=""),"",MAX(1,SUMPRODUCT(--(INDEX('Tablas Técnicas'!$C$10:$L$643,,1)=D332),--(INDEX('Tablas Técnicas'!$C$10:$L$643,,2)=D337),INDEX('Tablas Técnicas'!$C$10:$L$643,,9))))</f>
        <v/>
      </c>
      <c r="J337" s="4556"/>
      <c r="K337" s="4557"/>
      <c r="L337" s="4557"/>
      <c r="M337" s="4557"/>
      <c r="N337" s="4557"/>
      <c r="O337" s="1943" t="str">
        <f>IF(OR(J332="",J337=""),"",MAX(1,SUMPRODUCT(--(INDEX('Tablas Técnicas'!$C$10:$L$643,,1)=J332),--(INDEX('Tablas Técnicas'!$C$10:$L$643,,2)=J337),INDEX('Tablas Técnicas'!$C$10:$L$643,,9))))</f>
        <v/>
      </c>
      <c r="P337" s="4556"/>
      <c r="Q337" s="4557"/>
      <c r="R337" s="4557"/>
      <c r="S337" s="4557"/>
      <c r="T337" s="4557"/>
      <c r="U337" s="1943" t="str">
        <f>IF(OR(P332="",P337=""),"",MAX(1,SUMPRODUCT(--(INDEX('Tablas Técnicas'!$C$10:$L$643,,1)=P332),--(INDEX('Tablas Técnicas'!$C$10:$L$643,,2)=P337),INDEX('Tablas Técnicas'!$C$10:$L$643,,9))))</f>
        <v/>
      </c>
      <c r="V337" s="4556"/>
      <c r="W337" s="4557"/>
      <c r="X337" s="4557"/>
      <c r="Y337" s="4557"/>
      <c r="Z337" s="4557"/>
      <c r="AA337" s="1943" t="str">
        <f>IF(OR(V332="",V337=""),"",MAX(1,SUMPRODUCT(--(INDEX('Tablas Técnicas'!$C$10:$L$643,,1)=V332),--(INDEX('Tablas Técnicas'!$C$10:$L$643,,2)=V337),INDEX('Tablas Técnicas'!$C$10:$L$643,,9))))</f>
        <v/>
      </c>
      <c r="AB337" s="4556"/>
      <c r="AC337" s="4557"/>
      <c r="AD337" s="4557"/>
      <c r="AE337" s="4557"/>
      <c r="AF337" s="4557"/>
      <c r="AG337" s="1944" t="str">
        <f>IF(OR(AB332="",AB337=""),"",MAX(1,SUMPRODUCT(--(INDEX('Tablas Técnicas'!$C$10:$L$643,,1)=AB332),--(INDEX('Tablas Técnicas'!$C$10:$L$643,,2)=AB337),INDEX('Tablas Técnicas'!$C$10:$L$643,,9))))</f>
        <v/>
      </c>
      <c r="AH337" s="2193">
        <f>P319</f>
        <v>1</v>
      </c>
      <c r="AI337" s="4558"/>
      <c r="AJ337" s="3089" t="s">
        <v>8816</v>
      </c>
      <c r="AK337" s="3089"/>
      <c r="AL337" s="3089">
        <f>SUM(V323:V327,X323:X327,Z323:Z327,AB323:AB327,AD323:AD327,AF323:AF327)+SUM(V330:AG330)</f>
        <v>0</v>
      </c>
      <c r="AM337" s="3089">
        <f>SUM(W323:W327,Y323:Y327,AA323:AA327,AC323:AC327,AE323:AE327,AG323:AG327)</f>
        <v>0</v>
      </c>
      <c r="AN337" s="3089"/>
      <c r="AO337" s="3089"/>
      <c r="AP337" s="3089"/>
      <c r="AQ337" s="3089"/>
      <c r="AR337" s="3089"/>
      <c r="AS337" s="3089"/>
      <c r="AT337" s="3089"/>
      <c r="AU337" s="3089"/>
      <c r="AV337" s="3089"/>
      <c r="AW337" s="3091"/>
      <c r="AX337" s="3089"/>
      <c r="AY337" s="3089"/>
    </row>
    <row r="338" spans="1:51" ht="12.2" customHeight="1" x14ac:dyDescent="0.2">
      <c r="A338" s="2185"/>
      <c r="B338" s="2099">
        <f t="shared" si="8"/>
        <v>10</v>
      </c>
      <c r="C338" s="4538"/>
      <c r="D338" s="4556"/>
      <c r="E338" s="4557"/>
      <c r="F338" s="4557"/>
      <c r="G338" s="4557"/>
      <c r="H338" s="4557"/>
      <c r="I338" s="1943" t="str">
        <f>IF(OR(D332="",D338=""),"",MAX(1,SUMPRODUCT(--(INDEX('Tablas Técnicas'!$C$10:$L$643,,1)=D332),--(INDEX('Tablas Técnicas'!$C$10:$L$643,,2)=D338),INDEX('Tablas Técnicas'!$C$10:$L$643,,9))))</f>
        <v/>
      </c>
      <c r="J338" s="4556"/>
      <c r="K338" s="4557"/>
      <c r="L338" s="4557"/>
      <c r="M338" s="4557"/>
      <c r="N338" s="4557"/>
      <c r="O338" s="1943" t="str">
        <f>IF(OR(J332="",J338=""),"",MAX(1,SUMPRODUCT(--(INDEX('Tablas Técnicas'!$C$10:$L$643,,1)=J332),--(INDEX('Tablas Técnicas'!$C$10:$L$643,,2)=J338),INDEX('Tablas Técnicas'!$C$10:$L$643,,9))))</f>
        <v/>
      </c>
      <c r="P338" s="4556"/>
      <c r="Q338" s="4557"/>
      <c r="R338" s="4557"/>
      <c r="S338" s="4557"/>
      <c r="T338" s="4557"/>
      <c r="U338" s="1943" t="str">
        <f>IF(OR(P332="",P338=""),"",MAX(1,SUMPRODUCT(--(INDEX('Tablas Técnicas'!$C$10:$L$643,,1)=P332),--(INDEX('Tablas Técnicas'!$C$10:$L$643,,2)=P338),INDEX('Tablas Técnicas'!$C$10:$L$643,,9))))</f>
        <v/>
      </c>
      <c r="V338" s="4556"/>
      <c r="W338" s="4557"/>
      <c r="X338" s="4557"/>
      <c r="Y338" s="4557"/>
      <c r="Z338" s="4557"/>
      <c r="AA338" s="1943" t="str">
        <f>IF(OR(V332="",V338=""),"",MAX(1,SUMPRODUCT(--(INDEX('Tablas Técnicas'!$C$10:$L$643,,1)=V332),--(INDEX('Tablas Técnicas'!$C$10:$L$643,,2)=V338),INDEX('Tablas Técnicas'!$C$10:$L$643,,9))))</f>
        <v/>
      </c>
      <c r="AB338" s="4556"/>
      <c r="AC338" s="4557"/>
      <c r="AD338" s="4557"/>
      <c r="AE338" s="4557"/>
      <c r="AF338" s="4557"/>
      <c r="AG338" s="1944" t="str">
        <f>IF(OR(AB332="",AB338=""),"",MAX(1,SUMPRODUCT(--(INDEX('Tablas Técnicas'!$C$10:$L$643,,1)=AB332),--(INDEX('Tablas Técnicas'!$C$10:$L$643,,2)=AB338),INDEX('Tablas Técnicas'!$C$10:$L$643,,9))))</f>
        <v/>
      </c>
      <c r="AH338" s="2193">
        <f>P319</f>
        <v>1</v>
      </c>
      <c r="AI338" s="4558"/>
      <c r="AJ338" s="3089"/>
      <c r="AK338" s="3089"/>
      <c r="AL338" s="3089"/>
      <c r="AM338" s="3089"/>
      <c r="AN338" s="3089"/>
      <c r="AO338" s="3089"/>
      <c r="AP338" s="3089"/>
      <c r="AQ338" s="3089"/>
      <c r="AR338" s="3089"/>
      <c r="AS338" s="3089"/>
      <c r="AT338" s="3089"/>
      <c r="AU338" s="3089"/>
      <c r="AV338" s="3089"/>
      <c r="AW338" s="3091"/>
      <c r="AX338" s="3091"/>
      <c r="AY338" s="3089"/>
    </row>
    <row r="339" spans="1:51" ht="12.2" customHeight="1" x14ac:dyDescent="0.2">
      <c r="A339" s="2185"/>
      <c r="B339" s="2099">
        <f t="shared" si="8"/>
        <v>10</v>
      </c>
      <c r="C339" s="4538"/>
      <c r="D339" s="4556"/>
      <c r="E339" s="4557"/>
      <c r="F339" s="4557"/>
      <c r="G339" s="4557"/>
      <c r="H339" s="4557"/>
      <c r="I339" s="1943" t="str">
        <f>IF(OR(D332="",D339=""),"",MAX(1,SUMPRODUCT(--(INDEX('Tablas Técnicas'!$C$10:$L$643,,1)=D332),--(INDEX('Tablas Técnicas'!$C$10:$L$643,,2)=D339),INDEX('Tablas Técnicas'!$C$10:$L$643,,9))))</f>
        <v/>
      </c>
      <c r="J339" s="4556"/>
      <c r="K339" s="4557"/>
      <c r="L339" s="4557"/>
      <c r="M339" s="4557"/>
      <c r="N339" s="4557"/>
      <c r="O339" s="1943" t="str">
        <f>IF(OR(J332="",J339=""),"",MAX(1,SUMPRODUCT(--(INDEX('Tablas Técnicas'!$C$10:$L$643,,1)=J332),--(INDEX('Tablas Técnicas'!$C$10:$L$643,,2)=J339),INDEX('Tablas Técnicas'!$C$10:$L$643,,9))))</f>
        <v/>
      </c>
      <c r="P339" s="4556"/>
      <c r="Q339" s="4557"/>
      <c r="R339" s="4557"/>
      <c r="S339" s="4557"/>
      <c r="T339" s="4557"/>
      <c r="U339" s="1943" t="str">
        <f>IF(OR(P332="",P339=""),"",MAX(1,SUMPRODUCT(--(INDEX('Tablas Técnicas'!$C$10:$L$643,,1)=P332),--(INDEX('Tablas Técnicas'!$C$10:$L$643,,2)=P339),INDEX('Tablas Técnicas'!$C$10:$L$643,,9))))</f>
        <v/>
      </c>
      <c r="V339" s="4556"/>
      <c r="W339" s="4557"/>
      <c r="X339" s="4557"/>
      <c r="Y339" s="4557"/>
      <c r="Z339" s="4557"/>
      <c r="AA339" s="1943" t="str">
        <f>IF(OR(V332="",V339=""),"",MAX(1,SUMPRODUCT(--(INDEX('Tablas Técnicas'!$C$10:$L$643,,1)=V332),--(INDEX('Tablas Técnicas'!$C$10:$L$643,,2)=V339),INDEX('Tablas Técnicas'!$C$10:$L$643,,9))))</f>
        <v/>
      </c>
      <c r="AB339" s="4556"/>
      <c r="AC339" s="4557"/>
      <c r="AD339" s="4557"/>
      <c r="AE339" s="4557"/>
      <c r="AF339" s="4557"/>
      <c r="AG339" s="1944" t="str">
        <f>IF(OR(AB332="",AB339=""),"",MAX(1,SUMPRODUCT(--(INDEX('Tablas Técnicas'!$C$10:$L$643,,1)=AB332),--(INDEX('Tablas Técnicas'!$C$10:$L$643,,2)=AB339),INDEX('Tablas Técnicas'!$C$10:$L$643,,9))))</f>
        <v/>
      </c>
      <c r="AH339" s="2193">
        <f>P319</f>
        <v>1</v>
      </c>
      <c r="AI339" s="4558"/>
      <c r="AJ339" s="3089" t="s">
        <v>8817</v>
      </c>
      <c r="AK339" s="3089"/>
      <c r="AL339" s="3089"/>
      <c r="AM339" s="3089"/>
      <c r="AN339" s="3089"/>
      <c r="AO339" s="3089"/>
      <c r="AP339" s="3089"/>
      <c r="AQ339" s="3090"/>
      <c r="AR339" s="3091"/>
      <c r="AS339" s="3091"/>
      <c r="AT339" s="3091"/>
      <c r="AU339" s="3091"/>
      <c r="AV339" s="3091"/>
      <c r="AW339" s="3091"/>
      <c r="AX339" s="3091"/>
      <c r="AY339" s="3089"/>
    </row>
    <row r="340" spans="1:51" ht="12.2" customHeight="1" x14ac:dyDescent="0.2">
      <c r="A340" s="2185"/>
      <c r="B340" s="2099">
        <f t="shared" si="8"/>
        <v>10</v>
      </c>
      <c r="C340" s="4538"/>
      <c r="D340" s="4556"/>
      <c r="E340" s="4557"/>
      <c r="F340" s="4557"/>
      <c r="G340" s="4557"/>
      <c r="H340" s="4557"/>
      <c r="I340" s="1943" t="str">
        <f>IF(OR(D332="",D340=""),"",MAX(1,SUMPRODUCT(--(INDEX('Tablas Técnicas'!$C$10:$L$643,,1)=D332),--(INDEX('Tablas Técnicas'!$C$10:$L$643,,2)=D340),INDEX('Tablas Técnicas'!$C$10:$L$643,,9))))</f>
        <v/>
      </c>
      <c r="J340" s="4556"/>
      <c r="K340" s="4557"/>
      <c r="L340" s="4557"/>
      <c r="M340" s="4557"/>
      <c r="N340" s="4557"/>
      <c r="O340" s="1943" t="str">
        <f>IF(OR(J332="",J340=""),"",MAX(1,SUMPRODUCT(--(INDEX('Tablas Técnicas'!$C$10:$L$643,,1)=J332),--(INDEX('Tablas Técnicas'!$C$10:$L$643,,2)=J340),INDEX('Tablas Técnicas'!$C$10:$L$643,,9))))</f>
        <v/>
      </c>
      <c r="P340" s="4556"/>
      <c r="Q340" s="4557"/>
      <c r="R340" s="4557"/>
      <c r="S340" s="4557"/>
      <c r="T340" s="4557"/>
      <c r="U340" s="1943" t="str">
        <f>IF(OR(P332="",P340=""),"",MAX(1,SUMPRODUCT(--(INDEX('Tablas Técnicas'!$C$10:$L$643,,1)=P332),--(INDEX('Tablas Técnicas'!$C$10:$L$643,,2)=P340),INDEX('Tablas Técnicas'!$C$10:$L$643,,9))))</f>
        <v/>
      </c>
      <c r="V340" s="4556"/>
      <c r="W340" s="4557"/>
      <c r="X340" s="4557"/>
      <c r="Y340" s="4557"/>
      <c r="Z340" s="4557"/>
      <c r="AA340" s="1943" t="str">
        <f>IF(OR(V332="",V340=""),"",MAX(1,SUMPRODUCT(--(INDEX('Tablas Técnicas'!$C$10:$L$643,,1)=V332),--(INDEX('Tablas Técnicas'!$C$10:$L$643,,2)=V340),INDEX('Tablas Técnicas'!$C$10:$L$643,,9))))</f>
        <v/>
      </c>
      <c r="AB340" s="4556"/>
      <c r="AC340" s="4557"/>
      <c r="AD340" s="4557"/>
      <c r="AE340" s="4557"/>
      <c r="AF340" s="4557"/>
      <c r="AG340" s="1944" t="str">
        <f>IF(OR(AB332="",AB340=""),"",MAX(1,SUMPRODUCT(--(INDEX('Tablas Técnicas'!$C$10:$L$643,,1)=AB332),--(INDEX('Tablas Técnicas'!$C$10:$L$643,,2)=AB340),INDEX('Tablas Técnicas'!$C$10:$L$643,,9))))</f>
        <v/>
      </c>
      <c r="AH340" s="2193">
        <f>P319</f>
        <v>1</v>
      </c>
      <c r="AI340" s="4558"/>
      <c r="AJ340" s="3089" t="s">
        <v>9971</v>
      </c>
      <c r="AK340" s="3089"/>
      <c r="AL340" s="3089"/>
      <c r="AM340" s="3089" t="b">
        <f>U319&gt;IF(P319=3,200,IF(P319=2,100,50))</f>
        <v>0</v>
      </c>
      <c r="AN340" s="3089"/>
      <c r="AO340" s="3089"/>
      <c r="AP340" s="3089"/>
      <c r="AQ340" s="3089"/>
      <c r="AR340" s="3091"/>
      <c r="AS340" s="3091"/>
      <c r="AT340" s="3091"/>
      <c r="AU340" s="3091"/>
      <c r="AV340" s="3091"/>
      <c r="AW340" s="3091"/>
      <c r="AX340" s="3091"/>
      <c r="AY340" s="3089"/>
    </row>
    <row r="341" spans="1:51" ht="12.2" customHeight="1" x14ac:dyDescent="0.2">
      <c r="A341" s="2185"/>
      <c r="B341" s="2099">
        <f t="shared" si="8"/>
        <v>10</v>
      </c>
      <c r="C341" s="4538"/>
      <c r="D341" s="4556"/>
      <c r="E341" s="4557"/>
      <c r="F341" s="4557"/>
      <c r="G341" s="4557"/>
      <c r="H341" s="4557"/>
      <c r="I341" s="1943" t="str">
        <f>IF(OR(D332="",D341=""),"",MAX(1,SUMPRODUCT(--(INDEX('Tablas Técnicas'!$C$10:$L$643,,1)=D332),--(INDEX('Tablas Técnicas'!$C$10:$L$643,,2)=D341),INDEX('Tablas Técnicas'!$C$10:$L$643,,9))))</f>
        <v/>
      </c>
      <c r="J341" s="4556"/>
      <c r="K341" s="4557"/>
      <c r="L341" s="4557"/>
      <c r="M341" s="4557"/>
      <c r="N341" s="4557"/>
      <c r="O341" s="1943" t="str">
        <f>IF(OR(J332="",J341=""),"",MAX(1,SUMPRODUCT(--(INDEX('Tablas Técnicas'!$C$10:$L$643,,1)=J332),--(INDEX('Tablas Técnicas'!$C$10:$L$643,,2)=J341),INDEX('Tablas Técnicas'!$C$10:$L$643,,9))))</f>
        <v/>
      </c>
      <c r="P341" s="4556"/>
      <c r="Q341" s="4557"/>
      <c r="R341" s="4557"/>
      <c r="S341" s="4557"/>
      <c r="T341" s="4557"/>
      <c r="U341" s="1943" t="str">
        <f>IF(OR(P332="",P341=""),"",MAX(1,SUMPRODUCT(--(INDEX('Tablas Técnicas'!$C$10:$L$643,,1)=P332),--(INDEX('Tablas Técnicas'!$C$10:$L$643,,2)=P341),INDEX('Tablas Técnicas'!$C$10:$L$643,,9))))</f>
        <v/>
      </c>
      <c r="V341" s="4556"/>
      <c r="W341" s="4557"/>
      <c r="X341" s="4557"/>
      <c r="Y341" s="4557"/>
      <c r="Z341" s="4557"/>
      <c r="AA341" s="1943" t="str">
        <f>IF(OR(V332="",V341=""),"",MAX(1,SUMPRODUCT(--(INDEX('Tablas Técnicas'!$C$10:$L$643,,1)=V332),--(INDEX('Tablas Técnicas'!$C$10:$L$643,,2)=V341),INDEX('Tablas Técnicas'!$C$10:$L$643,,9))))</f>
        <v/>
      </c>
      <c r="AB341" s="4556"/>
      <c r="AC341" s="4557"/>
      <c r="AD341" s="4557"/>
      <c r="AE341" s="4557"/>
      <c r="AF341" s="4557"/>
      <c r="AG341" s="1944" t="str">
        <f>IF(OR(AB332="",AB341=""),"",MAX(1,SUMPRODUCT(--(INDEX('Tablas Técnicas'!$C$10:$L$643,,1)=AB332),--(INDEX('Tablas Técnicas'!$C$10:$L$643,,2)=AB341),INDEX('Tablas Técnicas'!$C$10:$L$643,,9))))</f>
        <v/>
      </c>
      <c r="AH341" s="2193">
        <f>P319</f>
        <v>1</v>
      </c>
      <c r="AI341" s="4558"/>
      <c r="AJ341" s="3089" t="s">
        <v>8818</v>
      </c>
      <c r="AK341" s="3089"/>
      <c r="AL341" s="3089"/>
      <c r="AM341" s="3089" t="b">
        <f t="array" ref="AM341">MAX(I336:I342,O336:O342,U336:U342,AA336:AA342,AG336:AG342,RIGHT(S328:S330,1))&gt;P319</f>
        <v>0</v>
      </c>
      <c r="AN341" s="3089"/>
      <c r="AO341" s="3089"/>
      <c r="AP341" s="3089"/>
      <c r="AQ341" s="3090"/>
      <c r="AR341" s="3091"/>
      <c r="AS341" s="3091"/>
      <c r="AT341" s="3091"/>
      <c r="AU341" s="3091"/>
      <c r="AV341" s="3091"/>
      <c r="AW341" s="3091"/>
      <c r="AX341" s="3091"/>
      <c r="AY341" s="3089"/>
    </row>
    <row r="342" spans="1:51" ht="12.2" customHeight="1" x14ac:dyDescent="0.2">
      <c r="A342" s="2185"/>
      <c r="B342" s="2099">
        <f t="shared" si="8"/>
        <v>10</v>
      </c>
      <c r="C342" s="4538"/>
      <c r="D342" s="4570"/>
      <c r="E342" s="4571"/>
      <c r="F342" s="4571"/>
      <c r="G342" s="4571"/>
      <c r="H342" s="4571"/>
      <c r="I342" s="1945" t="str">
        <f>IF(OR(D332="",D342=""),"",MAX(1,SUMPRODUCT(--(INDEX('Tablas Técnicas'!$C$10:$L$643,,1)=D332),--(INDEX('Tablas Técnicas'!$C$10:$L$643,,2)=D342),INDEX('Tablas Técnicas'!$C$10:$L$643,,9))))</f>
        <v/>
      </c>
      <c r="J342" s="4570"/>
      <c r="K342" s="4571"/>
      <c r="L342" s="4571"/>
      <c r="M342" s="4571"/>
      <c r="N342" s="4571"/>
      <c r="O342" s="1945" t="str">
        <f>IF(OR(J332="",J342=""),"",MAX(1,SUMPRODUCT(--(INDEX('Tablas Técnicas'!$C$10:$L$643,,1)=J332),--(INDEX('Tablas Técnicas'!$C$10:$L$643,,2)=J342),INDEX('Tablas Técnicas'!$C$10:$L$643,,9))))</f>
        <v/>
      </c>
      <c r="P342" s="4570"/>
      <c r="Q342" s="4571"/>
      <c r="R342" s="4571"/>
      <c r="S342" s="4571"/>
      <c r="T342" s="4571"/>
      <c r="U342" s="1945" t="str">
        <f>IF(OR(P332="",P342=""),"",MAX(1,SUMPRODUCT(--(INDEX('Tablas Técnicas'!$C$10:$L$643,,1)=P332),--(INDEX('Tablas Técnicas'!$C$10:$L$643,,2)=P342),INDEX('Tablas Técnicas'!$C$10:$L$643,,9))))</f>
        <v/>
      </c>
      <c r="V342" s="4570"/>
      <c r="W342" s="4571"/>
      <c r="X342" s="4571"/>
      <c r="Y342" s="4571"/>
      <c r="Z342" s="4571"/>
      <c r="AA342" s="1945" t="str">
        <f>IF(OR(V332="",V342=""),"",MAX(1,SUMPRODUCT(--(INDEX('Tablas Técnicas'!$C$10:$L$643,,1)=V332),--(INDEX('Tablas Técnicas'!$C$10:$L$643,,2)=V342),INDEX('Tablas Técnicas'!$C$10:$L$643,,9))))</f>
        <v/>
      </c>
      <c r="AB342" s="4570"/>
      <c r="AC342" s="4571"/>
      <c r="AD342" s="4571"/>
      <c r="AE342" s="4571"/>
      <c r="AF342" s="4571"/>
      <c r="AG342" s="1946" t="str">
        <f>IF(OR(AB332="",AB342=""),"",MAX(1,SUMPRODUCT(--(INDEX('Tablas Técnicas'!$C$10:$L$643,,1)=AB332),--(INDEX('Tablas Técnicas'!$C$10:$L$643,,2)=AB342),INDEX('Tablas Técnicas'!$C$10:$L$643,,9))))</f>
        <v/>
      </c>
      <c r="AH342" s="2193">
        <f>P319</f>
        <v>1</v>
      </c>
      <c r="AI342" s="4558"/>
      <c r="AJ342" s="3089" t="s">
        <v>9324</v>
      </c>
      <c r="AK342" s="3089"/>
      <c r="AL342" s="3089"/>
      <c r="AM342" s="3089" t="b">
        <f>AND(COUNTIF(K323:M327,"Mantenido"),OR(COUNTIF(K323:M327,"Sostenimiento Menor"),COUNTIF(K323:M327,"Sostenimiento Mayor")))</f>
        <v>0</v>
      </c>
      <c r="AN342" s="3090"/>
      <c r="AO342" s="3089"/>
      <c r="AP342" s="3089"/>
      <c r="AQ342" s="3089"/>
      <c r="AR342" s="3089"/>
      <c r="AS342" s="3089"/>
      <c r="AT342" s="3089"/>
      <c r="AU342" s="3091"/>
      <c r="AV342" s="3091"/>
      <c r="AW342" s="3091"/>
      <c r="AX342" s="3091"/>
      <c r="AY342" s="3089"/>
    </row>
    <row r="343" spans="1:51" ht="12.2" customHeight="1" x14ac:dyDescent="0.2">
      <c r="A343" s="2185"/>
      <c r="B343" s="2099">
        <f t="shared" si="8"/>
        <v>10</v>
      </c>
      <c r="C343" s="4538"/>
      <c r="D343" s="4549" t="s">
        <v>1549</v>
      </c>
      <c r="E343" s="4550"/>
      <c r="F343" s="4550"/>
      <c r="G343" s="4550"/>
      <c r="H343" s="4550"/>
      <c r="I343" s="4550"/>
      <c r="J343" s="4550"/>
      <c r="K343" s="4550"/>
      <c r="L343" s="4550"/>
      <c r="M343" s="4550"/>
      <c r="N343" s="4550"/>
      <c r="O343" s="4550"/>
      <c r="P343" s="4550"/>
      <c r="Q343" s="4550"/>
      <c r="R343" s="4550"/>
      <c r="S343" s="4550"/>
      <c r="T343" s="4550"/>
      <c r="U343" s="4550"/>
      <c r="V343" s="4550"/>
      <c r="W343" s="4550"/>
      <c r="X343" s="4550"/>
      <c r="Y343" s="4550"/>
      <c r="Z343" s="4550"/>
      <c r="AA343" s="4550"/>
      <c r="AB343" s="4550"/>
      <c r="AC343" s="4550"/>
      <c r="AD343" s="4550"/>
      <c r="AE343" s="4550"/>
      <c r="AF343" s="4550"/>
      <c r="AG343" s="4576"/>
      <c r="AH343" s="2193"/>
      <c r="AI343" s="4558"/>
      <c r="AJ343" s="3089" t="s">
        <v>9323</v>
      </c>
      <c r="AK343" s="3089"/>
      <c r="AL343" s="3089"/>
      <c r="AM343" s="3089"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089"/>
      <c r="AO343" s="3089"/>
      <c r="AP343" s="3089"/>
      <c r="AQ343" s="3090"/>
      <c r="AR343" s="3089"/>
      <c r="AS343" s="3089"/>
      <c r="AT343" s="3089"/>
      <c r="AU343" s="3091"/>
      <c r="AV343" s="3091"/>
      <c r="AW343" s="3091"/>
      <c r="AX343" s="3091"/>
      <c r="AY343" s="3089"/>
    </row>
    <row r="344" spans="1:51" ht="12.2" customHeight="1" x14ac:dyDescent="0.2">
      <c r="A344" s="2185"/>
      <c r="B344" s="2099">
        <f t="shared" si="8"/>
        <v>10</v>
      </c>
      <c r="C344" s="4538"/>
      <c r="D344" s="4578"/>
      <c r="E344" s="4579"/>
      <c r="F344" s="4579"/>
      <c r="G344" s="4579"/>
      <c r="H344" s="4579"/>
      <c r="I344" s="4579"/>
      <c r="J344" s="4579"/>
      <c r="K344" s="4579"/>
      <c r="L344" s="4579"/>
      <c r="M344" s="4579"/>
      <c r="N344" s="4579"/>
      <c r="O344" s="4579"/>
      <c r="P344" s="4579"/>
      <c r="Q344" s="4579"/>
      <c r="R344" s="4579"/>
      <c r="S344" s="4579"/>
      <c r="T344" s="4579"/>
      <c r="U344" s="4579"/>
      <c r="V344" s="4579"/>
      <c r="W344" s="4579"/>
      <c r="X344" s="4579"/>
      <c r="Y344" s="4579"/>
      <c r="Z344" s="4579"/>
      <c r="AA344" s="4579"/>
      <c r="AB344" s="4579"/>
      <c r="AC344" s="4579"/>
      <c r="AD344" s="4579"/>
      <c r="AE344" s="4579"/>
      <c r="AF344" s="4579"/>
      <c r="AG344" s="4580"/>
      <c r="AH344" s="2193"/>
      <c r="AI344" s="4558"/>
      <c r="AJ344" s="3089" t="s">
        <v>9331</v>
      </c>
      <c r="AK344" s="3089"/>
      <c r="AL344" s="3089"/>
      <c r="AM344" s="3089"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089"/>
      <c r="AO344" s="3089"/>
      <c r="AP344" s="3089"/>
      <c r="AQ344" s="3090"/>
      <c r="AR344" s="3089"/>
      <c r="AS344" s="3089"/>
      <c r="AT344" s="3089"/>
      <c r="AU344" s="3091"/>
      <c r="AV344" s="3091"/>
      <c r="AW344" s="3091"/>
      <c r="AX344" s="3091"/>
      <c r="AY344" s="3089"/>
    </row>
    <row r="345" spans="1:51" ht="12.2" customHeight="1" x14ac:dyDescent="0.2">
      <c r="A345" s="2185"/>
      <c r="B345" s="2099">
        <f t="shared" si="8"/>
        <v>10</v>
      </c>
      <c r="C345" s="4538"/>
      <c r="D345" s="4578"/>
      <c r="E345" s="4579"/>
      <c r="F345" s="4579"/>
      <c r="G345" s="4579"/>
      <c r="H345" s="4579"/>
      <c r="I345" s="4579"/>
      <c r="J345" s="4579"/>
      <c r="K345" s="4579"/>
      <c r="L345" s="4579"/>
      <c r="M345" s="4579"/>
      <c r="N345" s="4579"/>
      <c r="O345" s="4579"/>
      <c r="P345" s="4579"/>
      <c r="Q345" s="4579"/>
      <c r="R345" s="4579"/>
      <c r="S345" s="4579"/>
      <c r="T345" s="4579"/>
      <c r="U345" s="4579"/>
      <c r="V345" s="4579"/>
      <c r="W345" s="4579"/>
      <c r="X345" s="4579"/>
      <c r="Y345" s="4579"/>
      <c r="Z345" s="4579"/>
      <c r="AA345" s="4579"/>
      <c r="AB345" s="4579"/>
      <c r="AC345" s="4579"/>
      <c r="AD345" s="4579"/>
      <c r="AE345" s="4579"/>
      <c r="AF345" s="4579"/>
      <c r="AG345" s="4580"/>
      <c r="AH345" s="2193"/>
      <c r="AI345" s="4558"/>
      <c r="AJ345" s="3089" t="s">
        <v>9310</v>
      </c>
      <c r="AK345" s="3089"/>
      <c r="AL345" s="3089"/>
      <c r="AM345" s="3089" t="b">
        <f>AND((IF(SUM(V323:V327)&gt;0,1,0)+IF(SUM(X323:X327)&gt;0,1,0)+IF(SUM(Z323:Z327)&gt;0,1,0)+IF(SUM(AB323:AB327)&gt;0,1,0)+IF(SUM(AD323:AD327,)&gt;0,1,0)+IF(SUM(AF323:AF327)&gt;0,1,0))&lt;3,OR(V330&lt;0,X330&lt;0,Z330&lt;0,AB330&lt;0,AD330&lt;0,AF330&lt;0,Y328&lt;0))</f>
        <v>0</v>
      </c>
      <c r="AN345" s="3089"/>
      <c r="AO345" s="3089"/>
      <c r="AP345" s="3089"/>
      <c r="AQ345" s="3090"/>
      <c r="AR345" s="3089"/>
      <c r="AS345" s="3089"/>
      <c r="AT345" s="3089"/>
      <c r="AU345" s="3091"/>
      <c r="AV345" s="3091"/>
      <c r="AW345" s="3091"/>
      <c r="AX345" s="3091"/>
      <c r="AY345" s="3089"/>
    </row>
    <row r="346" spans="1:51" ht="12.2" customHeight="1" x14ac:dyDescent="0.2">
      <c r="A346" s="2185"/>
      <c r="B346" s="2099">
        <f t="shared" si="8"/>
        <v>10</v>
      </c>
      <c r="C346" s="4538"/>
      <c r="D346" s="4578"/>
      <c r="E346" s="4579"/>
      <c r="F346" s="4579"/>
      <c r="G346" s="4579"/>
      <c r="H346" s="4579"/>
      <c r="I346" s="4579"/>
      <c r="J346" s="4579"/>
      <c r="K346" s="4579"/>
      <c r="L346" s="4579"/>
      <c r="M346" s="4579"/>
      <c r="N346" s="4579"/>
      <c r="O346" s="4579"/>
      <c r="P346" s="4579"/>
      <c r="Q346" s="4579"/>
      <c r="R346" s="4579"/>
      <c r="S346" s="4579"/>
      <c r="T346" s="4579"/>
      <c r="U346" s="4579"/>
      <c r="V346" s="4579"/>
      <c r="W346" s="4579"/>
      <c r="X346" s="4579"/>
      <c r="Y346" s="4579"/>
      <c r="Z346" s="4579"/>
      <c r="AA346" s="4579"/>
      <c r="AB346" s="4579"/>
      <c r="AC346" s="4579"/>
      <c r="AD346" s="4579"/>
      <c r="AE346" s="4579"/>
      <c r="AF346" s="4579"/>
      <c r="AG346" s="4580"/>
      <c r="AH346" s="2193"/>
      <c r="AI346" s="4558"/>
      <c r="AJ346" s="3089" t="s">
        <v>9325</v>
      </c>
      <c r="AK346" s="3089"/>
      <c r="AL346" s="3089"/>
      <c r="AM346" s="3089" t="b">
        <f>OR(-V330&gt;TRUNC(SUM(V323:V327)/2),-X330&gt;TRUNC(SUM(X323:X327)/2),-Z330&gt;TRUNC(SUM(Z323:Z327)/2),-AB330&gt;TRUNC(SUM(AB323:AB327)/2),-AD330&gt;TRUNC(SUM(AD323:AD327)/2),-AF330&gt;TRUNC(SUM(AF323:AF327)/2))</f>
        <v>0</v>
      </c>
      <c r="AN346" s="3089"/>
      <c r="AO346" s="3089"/>
      <c r="AP346" s="3089"/>
      <c r="AQ346" s="3090"/>
      <c r="AR346" s="3089"/>
      <c r="AS346" s="3089"/>
      <c r="AT346" s="3089"/>
      <c r="AU346" s="3091"/>
      <c r="AV346" s="3091"/>
      <c r="AW346" s="3091"/>
      <c r="AX346" s="3091"/>
      <c r="AY346" s="3089"/>
    </row>
    <row r="347" spans="1:51" ht="12.2" customHeight="1" x14ac:dyDescent="0.2">
      <c r="A347" s="2185"/>
      <c r="B347" s="2099">
        <f t="shared" si="8"/>
        <v>10</v>
      </c>
      <c r="C347" s="4538"/>
      <c r="D347" s="4578"/>
      <c r="E347" s="4579"/>
      <c r="F347" s="4579"/>
      <c r="G347" s="4579"/>
      <c r="H347" s="4579"/>
      <c r="I347" s="4579"/>
      <c r="J347" s="4579"/>
      <c r="K347" s="4579"/>
      <c r="L347" s="4579"/>
      <c r="M347" s="4579"/>
      <c r="N347" s="4579"/>
      <c r="O347" s="4579"/>
      <c r="P347" s="4579"/>
      <c r="Q347" s="4579"/>
      <c r="R347" s="4579"/>
      <c r="S347" s="4579"/>
      <c r="T347" s="4579"/>
      <c r="U347" s="4579"/>
      <c r="V347" s="4579"/>
      <c r="W347" s="4579"/>
      <c r="X347" s="4579"/>
      <c r="Y347" s="4579"/>
      <c r="Z347" s="4579"/>
      <c r="AA347" s="4579"/>
      <c r="AB347" s="4579"/>
      <c r="AC347" s="4579"/>
      <c r="AD347" s="4579"/>
      <c r="AE347" s="4579"/>
      <c r="AF347" s="4579"/>
      <c r="AG347" s="4580"/>
      <c r="AH347" s="2193"/>
      <c r="AI347" s="4558"/>
      <c r="AJ347" s="3089" t="s">
        <v>9326</v>
      </c>
      <c r="AK347" s="3089"/>
      <c r="AL347" s="3089"/>
      <c r="AM347" s="3089" t="b">
        <f>COUNTIF(D323:E327,"Primario")&gt;1</f>
        <v>0</v>
      </c>
      <c r="AN347" s="3089"/>
      <c r="AO347" s="3089"/>
      <c r="AP347" s="3089"/>
      <c r="AQ347" s="3090"/>
      <c r="AR347" s="3090"/>
      <c r="AS347" s="3090"/>
      <c r="AT347" s="3090"/>
      <c r="AU347" s="3091"/>
      <c r="AV347" s="3091"/>
      <c r="AW347" s="3091"/>
      <c r="AX347" s="3089"/>
      <c r="AY347" s="3089"/>
    </row>
    <row r="348" spans="1:51" ht="12.2" customHeight="1" x14ac:dyDescent="0.2">
      <c r="A348" s="2185"/>
      <c r="B348" s="2099">
        <f t="shared" si="8"/>
        <v>10</v>
      </c>
      <c r="C348" s="4538"/>
      <c r="D348" s="4578"/>
      <c r="E348" s="4579"/>
      <c r="F348" s="4579"/>
      <c r="G348" s="4579"/>
      <c r="H348" s="4579"/>
      <c r="I348" s="4579"/>
      <c r="J348" s="4579"/>
      <c r="K348" s="4579"/>
      <c r="L348" s="4579"/>
      <c r="M348" s="4579"/>
      <c r="N348" s="4579"/>
      <c r="O348" s="4579"/>
      <c r="P348" s="4579"/>
      <c r="Q348" s="4579"/>
      <c r="R348" s="4579"/>
      <c r="S348" s="4579"/>
      <c r="T348" s="4579"/>
      <c r="U348" s="4579"/>
      <c r="V348" s="4579"/>
      <c r="W348" s="4579"/>
      <c r="X348" s="4579"/>
      <c r="Y348" s="4579"/>
      <c r="Z348" s="4579"/>
      <c r="AA348" s="4579"/>
      <c r="AB348" s="4579"/>
      <c r="AC348" s="4579"/>
      <c r="AD348" s="4579"/>
      <c r="AE348" s="4579"/>
      <c r="AF348" s="4579"/>
      <c r="AG348" s="4580"/>
      <c r="AH348" s="2193"/>
      <c r="AI348" s="4558"/>
      <c r="AJ348" s="3089" t="s">
        <v>9309</v>
      </c>
      <c r="AK348" s="3089"/>
      <c r="AL348" s="3089"/>
      <c r="AM348" s="3089" t="b">
        <f>SUM(V330:AG330)&lt;&gt;Y328+ABS(AC328)*2/5+IF(S319="Sí",3*P319,0)</f>
        <v>0</v>
      </c>
      <c r="AN348" s="3089"/>
      <c r="AO348" s="3089"/>
      <c r="AP348" s="3089"/>
      <c r="AQ348" s="3090"/>
      <c r="AR348" s="3090"/>
      <c r="AS348" s="3090"/>
      <c r="AT348" s="3090"/>
      <c r="AU348" s="3091"/>
      <c r="AV348" s="3091"/>
      <c r="AW348" s="3091"/>
      <c r="AX348" s="3089"/>
      <c r="AY348" s="3089"/>
    </row>
    <row r="349" spans="1:51" ht="12.2" customHeight="1" x14ac:dyDescent="0.2">
      <c r="A349" s="2185"/>
      <c r="B349" s="2099">
        <f t="shared" si="8"/>
        <v>10</v>
      </c>
      <c r="C349" s="4538"/>
      <c r="D349" s="4578"/>
      <c r="E349" s="4579"/>
      <c r="F349" s="4579"/>
      <c r="G349" s="4579"/>
      <c r="H349" s="4579"/>
      <c r="I349" s="4579"/>
      <c r="J349" s="4579"/>
      <c r="K349" s="4579"/>
      <c r="L349" s="4579"/>
      <c r="M349" s="4579"/>
      <c r="N349" s="4579"/>
      <c r="O349" s="4579"/>
      <c r="P349" s="4579"/>
      <c r="Q349" s="4579"/>
      <c r="R349" s="4579"/>
      <c r="S349" s="4579"/>
      <c r="T349" s="4579"/>
      <c r="U349" s="4579"/>
      <c r="V349" s="4579"/>
      <c r="W349" s="4579"/>
      <c r="X349" s="4579"/>
      <c r="Y349" s="4579"/>
      <c r="Z349" s="4579"/>
      <c r="AA349" s="4579"/>
      <c r="AB349" s="4579"/>
      <c r="AC349" s="4579"/>
      <c r="AD349" s="4579"/>
      <c r="AE349" s="4579"/>
      <c r="AF349" s="4579"/>
      <c r="AG349" s="4580"/>
      <c r="AH349" s="2193"/>
      <c r="AI349" s="4558"/>
      <c r="AJ349" s="3089" t="s">
        <v>9308</v>
      </c>
      <c r="AK349" s="3089"/>
      <c r="AL349" s="3089"/>
      <c r="AM349" s="3089" t="b">
        <f>AL336-AL337+AM336-AM337&lt;&gt;0</f>
        <v>0</v>
      </c>
      <c r="AN349" s="3091"/>
      <c r="AO349" s="3091"/>
      <c r="AP349" s="3091"/>
      <c r="AQ349" s="3091"/>
      <c r="AR349" s="3090"/>
      <c r="AS349" s="3090"/>
      <c r="AT349" s="3090"/>
      <c r="AU349" s="3091"/>
      <c r="AV349" s="3091"/>
      <c r="AW349" s="3091"/>
      <c r="AX349" s="3089"/>
      <c r="AY349" s="3089"/>
    </row>
    <row r="350" spans="1:51" ht="12.2" customHeight="1" thickBot="1" x14ac:dyDescent="0.25">
      <c r="A350" s="2185"/>
      <c r="B350" s="2099"/>
      <c r="C350" s="4539"/>
      <c r="D350" s="4540"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41"/>
      <c r="F350" s="4541"/>
      <c r="G350" s="4541"/>
      <c r="H350" s="4541"/>
      <c r="I350" s="4541"/>
      <c r="J350" s="4541"/>
      <c r="K350" s="4541"/>
      <c r="L350" s="4541"/>
      <c r="M350" s="4541"/>
      <c r="N350" s="4541"/>
      <c r="O350" s="4541"/>
      <c r="P350" s="4541"/>
      <c r="Q350" s="4541"/>
      <c r="R350" s="4541"/>
      <c r="S350" s="4541"/>
      <c r="T350" s="4541"/>
      <c r="U350" s="4541"/>
      <c r="V350" s="4541"/>
      <c r="W350" s="4541"/>
      <c r="X350" s="4541"/>
      <c r="Y350" s="4541"/>
      <c r="Z350" s="4541"/>
      <c r="AA350" s="4541"/>
      <c r="AB350" s="4541"/>
      <c r="AC350" s="4541"/>
      <c r="AD350" s="4541"/>
      <c r="AE350" s="4541"/>
      <c r="AF350" s="4541"/>
      <c r="AG350" s="4542"/>
      <c r="AH350" s="2193"/>
      <c r="AI350" s="4558"/>
      <c r="AJ350" s="3089" t="s">
        <v>9345</v>
      </c>
      <c r="AK350" s="3091"/>
      <c r="AL350" s="3091"/>
      <c r="AM350" s="3091" t="b">
        <f>ABS(SUM(N328:N330))&gt;(SUM(N323:N327)-10*Y328+AC328+IF(S319="Sí",10*P319,0)+IF(COUNTIF(K323:M327,"Mantenido")&gt;0,P319*10)+MAX(IF(COUNTIF(K323:M327,"Sostenimiento Menor")&gt;0,P319*20)+IF(COUNTIF(K323:M327,"Sostenimiento Mayor")&gt;0,P319*30)))/2</f>
        <v>0</v>
      </c>
      <c r="AN350" s="3089"/>
      <c r="AO350" s="3089"/>
      <c r="AP350" s="3089"/>
      <c r="AQ350" s="3089"/>
      <c r="AR350" s="3090"/>
      <c r="AS350" s="3090"/>
      <c r="AT350" s="3090"/>
      <c r="AU350" s="3091"/>
      <c r="AV350" s="3091"/>
      <c r="AW350" s="3091"/>
      <c r="AX350" s="3089"/>
      <c r="AY350" s="3089"/>
    </row>
    <row r="351" spans="1:51" ht="12.2" customHeight="1" x14ac:dyDescent="0.2">
      <c r="A351" s="2185"/>
      <c r="B351" s="2099"/>
      <c r="C351" s="4534"/>
      <c r="D351" s="4534" t="str">
        <f>IFERROR(VLOOKUP(D332,'Tablas Técnicas'!$O$9:$T$88,2,FALSE),"")</f>
        <v/>
      </c>
      <c r="E351" s="4534"/>
      <c r="F351" s="4534"/>
      <c r="G351" s="4534"/>
      <c r="H351" s="4534"/>
      <c r="I351" s="4534"/>
      <c r="J351" s="4534" t="str">
        <f>IFERROR(VLOOKUP(J332,'Tablas Técnicas'!$O$9:$T$88,2,FALSE),"")</f>
        <v/>
      </c>
      <c r="K351" s="4534"/>
      <c r="L351" s="4534"/>
      <c r="M351" s="4534"/>
      <c r="N351" s="4534"/>
      <c r="O351" s="4534"/>
      <c r="P351" s="4534" t="str">
        <f>IFERROR(VLOOKUP(P332,'Tablas Técnicas'!$O$9:$T$88,2,FALSE),"")</f>
        <v/>
      </c>
      <c r="Q351" s="4534"/>
      <c r="R351" s="4534"/>
      <c r="S351" s="4534"/>
      <c r="T351" s="4534"/>
      <c r="U351" s="4534"/>
      <c r="V351" s="4534" t="str">
        <f>IFERROR(VLOOKUP(V332,'Tablas Técnicas'!$O$9:$T$88,2,FALSE),"")</f>
        <v/>
      </c>
      <c r="W351" s="4534"/>
      <c r="X351" s="4534"/>
      <c r="Y351" s="4534"/>
      <c r="Z351" s="4534"/>
      <c r="AA351" s="4534"/>
      <c r="AB351" s="4534" t="str">
        <f>IFERROR(VLOOKUP(AB332,'Tablas Técnicas'!$O$9:$T$88,2,FALSE),"")</f>
        <v/>
      </c>
      <c r="AC351" s="4534"/>
      <c r="AD351" s="4534"/>
      <c r="AE351" s="4534"/>
      <c r="AF351" s="4534"/>
      <c r="AG351" s="4534"/>
      <c r="AH351" s="2193"/>
      <c r="AI351" s="1921"/>
      <c r="AJ351" s="3089"/>
      <c r="AK351" s="3089"/>
      <c r="AL351" s="3089"/>
      <c r="AM351" s="3089"/>
      <c r="AN351" s="3089"/>
      <c r="AO351" s="3089"/>
      <c r="AP351" s="3089"/>
      <c r="AQ351" s="3089"/>
      <c r="AR351" s="3090"/>
      <c r="AS351" s="3090"/>
      <c r="AT351" s="3090"/>
      <c r="AU351" s="3091"/>
      <c r="AV351" s="3091"/>
      <c r="AW351" s="3091"/>
      <c r="AX351" s="3091"/>
      <c r="AY351" s="3089"/>
    </row>
    <row r="352" spans="1:51" ht="12.2" customHeight="1" thickBot="1" x14ac:dyDescent="0.25">
      <c r="A352" s="2185"/>
      <c r="B352" s="2100"/>
      <c r="C352" s="4676"/>
      <c r="D352" s="2284"/>
      <c r="E352" s="2285"/>
      <c r="F352" s="2285"/>
      <c r="G352" s="2285"/>
      <c r="H352" s="2285"/>
      <c r="I352" s="2285"/>
      <c r="J352" s="2285"/>
      <c r="K352" s="2285"/>
      <c r="L352" s="2285"/>
      <c r="M352" s="2285"/>
      <c r="N352" s="2285"/>
      <c r="O352" s="2285"/>
      <c r="P352" s="2285"/>
      <c r="Q352" s="2285"/>
      <c r="R352" s="2285"/>
      <c r="S352" s="2285"/>
      <c r="T352" s="2285"/>
      <c r="U352" s="2285"/>
      <c r="V352" s="2286"/>
      <c r="W352" s="2286"/>
      <c r="X352" s="2286"/>
      <c r="Y352" s="2286"/>
      <c r="Z352" s="2286"/>
      <c r="AA352" s="2286"/>
      <c r="AB352" s="2286"/>
      <c r="AC352" s="2286"/>
      <c r="AD352" s="2286"/>
      <c r="AE352" s="2286"/>
      <c r="AF352" s="2285"/>
      <c r="AG352" s="2285"/>
      <c r="AH352" s="2194"/>
      <c r="AI352" s="1921"/>
      <c r="AJ352" s="3097"/>
      <c r="AK352" s="3097"/>
      <c r="AL352" s="3097"/>
      <c r="AM352" s="3097"/>
      <c r="AN352" s="3097"/>
      <c r="AO352" s="3097"/>
      <c r="AP352" s="3089"/>
      <c r="AQ352" s="3090"/>
      <c r="AR352" s="3091"/>
      <c r="AS352" s="3091"/>
      <c r="AT352" s="3091"/>
      <c r="AU352" s="3091"/>
      <c r="AV352" s="3091"/>
      <c r="AW352" s="3091"/>
      <c r="AX352" s="3091"/>
      <c r="AY352" s="3098"/>
    </row>
    <row r="353" spans="1:51" ht="12.2" customHeight="1" x14ac:dyDescent="0.2">
      <c r="A353" s="2185"/>
      <c r="B353" s="2097"/>
      <c r="C353" s="1921"/>
      <c r="D353" s="1922"/>
      <c r="E353" s="1921"/>
      <c r="F353" s="1921"/>
      <c r="G353" s="1921"/>
      <c r="H353" s="1921"/>
      <c r="I353" s="1921"/>
      <c r="J353" s="1921"/>
      <c r="K353" s="1921"/>
      <c r="L353" s="1921"/>
      <c r="M353" s="1921"/>
      <c r="N353" s="1921"/>
      <c r="O353" s="1921"/>
      <c r="P353" s="1921"/>
      <c r="Q353" s="1921"/>
      <c r="R353" s="1921"/>
      <c r="S353" s="1921"/>
      <c r="T353" s="1921"/>
      <c r="U353" s="1921"/>
      <c r="V353" s="1921"/>
      <c r="W353" s="1921"/>
      <c r="X353" s="1921"/>
      <c r="Y353" s="1921"/>
      <c r="Z353" s="1921"/>
      <c r="AA353" s="1921"/>
      <c r="AB353" s="1921"/>
      <c r="AC353" s="1921"/>
      <c r="AD353" s="1921"/>
      <c r="AE353" s="1921"/>
      <c r="AF353" s="1921"/>
      <c r="AG353" s="1921"/>
      <c r="AH353" s="2097"/>
      <c r="AI353" s="2046"/>
      <c r="AJ353" s="3089"/>
      <c r="AK353" s="3089"/>
      <c r="AL353" s="3089"/>
      <c r="AM353" s="3089"/>
      <c r="AN353" s="3089"/>
      <c r="AO353" s="3089"/>
      <c r="AP353" s="3089"/>
      <c r="AQ353" s="3090"/>
      <c r="AR353" s="3091"/>
      <c r="AS353" s="3091"/>
      <c r="AT353" s="3091"/>
      <c r="AU353" s="3091"/>
      <c r="AV353" s="3091"/>
      <c r="AW353" s="3091"/>
      <c r="AX353" s="3091"/>
      <c r="AY353" s="3089"/>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83" priority="1701" stopIfTrue="1">
      <formula>$K16&lt;&gt;"Mantenido"</formula>
    </cfRule>
  </conditionalFormatting>
  <conditionalFormatting sqref="Q21:R21 Q23:R23">
    <cfRule type="expression" dxfId="882" priority="118" stopIfTrue="1">
      <formula>$K21&lt;&gt;"A dos elementos"</formula>
    </cfRule>
  </conditionalFormatting>
  <conditionalFormatting sqref="V16:AG20 V187:AG191 V221:AG225 V255:AG259 V289:AG293 V323:AG327">
    <cfRule type="cellIs" dxfId="881" priority="1697" stopIfTrue="1" operator="lessThan">
      <formula>0</formula>
    </cfRule>
    <cfRule type="expression" dxfId="880" priority="1698" stopIfTrue="1">
      <formula>NOT(ISNUMBER(SEARCH(V$14,$Q16)))</formula>
    </cfRule>
  </conditionalFormatting>
  <conditionalFormatting sqref="U12:U13">
    <cfRule type="expression" dxfId="879" priority="1696" stopIfTrue="1">
      <formula>AM33</formula>
    </cfRule>
  </conditionalFormatting>
  <conditionalFormatting sqref="D29:AG35">
    <cfRule type="expression" dxfId="878" priority="1703" stopIfTrue="1">
      <formula>AND(ISNUMBER(D29),D29&gt;$AH29)</formula>
    </cfRule>
  </conditionalFormatting>
  <conditionalFormatting sqref="F23:U23">
    <cfRule type="expression" dxfId="877" priority="1702" stopIfTrue="1">
      <formula>$P12&lt;3</formula>
    </cfRule>
  </conditionalFormatting>
  <conditionalFormatting sqref="O16:P20">
    <cfRule type="expression" dxfId="876" priority="1695" stopIfTrue="1">
      <formula>VALUE(LEFT(O16,2))&lt;&gt;VALUE(RIGHT(O16,2))</formula>
    </cfRule>
  </conditionalFormatting>
  <conditionalFormatting sqref="S21:S23">
    <cfRule type="expression" dxfId="875" priority="116" stopIfTrue="1">
      <formula>VALUE(RIGHT($S21,1))&gt;$AK21</formula>
    </cfRule>
  </conditionalFormatting>
  <conditionalFormatting sqref="V23:AG23">
    <cfRule type="expression" dxfId="874" priority="1707" stopIfTrue="1">
      <formula>$AM35</formula>
    </cfRule>
    <cfRule type="cellIs" dxfId="873" priority="1708" stopIfTrue="1" operator="lessThan">
      <formula>-TRUNC(SUM(V16:V20)/2)</formula>
    </cfRule>
  </conditionalFormatting>
  <conditionalFormatting sqref="O21:R21">
    <cfRule type="expression" dxfId="872" priority="1704" stopIfTrue="1">
      <formula>$AM37</formula>
    </cfRule>
  </conditionalFormatting>
  <conditionalFormatting sqref="AD21">
    <cfRule type="expression" dxfId="871" priority="1711" stopIfTrue="1">
      <formula>$AM42</formula>
    </cfRule>
  </conditionalFormatting>
  <conditionalFormatting sqref="AM34">
    <cfRule type="expression" dxfId="870" priority="1197" stopIfTrue="1">
      <formula>$Q36&lt;#REF!</formula>
    </cfRule>
  </conditionalFormatting>
  <conditionalFormatting sqref="AM37">
    <cfRule type="expression" dxfId="869" priority="1198" stopIfTrue="1">
      <formula>$AM61</formula>
    </cfRule>
  </conditionalFormatting>
  <conditionalFormatting sqref="Y21">
    <cfRule type="expression" dxfId="868" priority="9606" stopIfTrue="1">
      <formula>AND(AM38,$Y21&lt;&gt;0)</formula>
    </cfRule>
  </conditionalFormatting>
  <conditionalFormatting sqref="AM68">
    <cfRule type="expression" dxfId="867" priority="739" stopIfTrue="1">
      <formula>$Q70&lt;#REF!</formula>
    </cfRule>
  </conditionalFormatting>
  <conditionalFormatting sqref="AM71">
    <cfRule type="expression" dxfId="866" priority="740" stopIfTrue="1">
      <formula>$AM95</formula>
    </cfRule>
  </conditionalFormatting>
  <conditionalFormatting sqref="AM102">
    <cfRule type="expression" dxfId="865" priority="720" stopIfTrue="1">
      <formula>$Q104&lt;#REF!</formula>
    </cfRule>
  </conditionalFormatting>
  <conditionalFormatting sqref="AM105">
    <cfRule type="expression" dxfId="864" priority="721" stopIfTrue="1">
      <formula>$AM129</formula>
    </cfRule>
  </conditionalFormatting>
  <conditionalFormatting sqref="AM136">
    <cfRule type="expression" dxfId="863" priority="701" stopIfTrue="1">
      <formula>$Q138&lt;#REF!</formula>
    </cfRule>
  </conditionalFormatting>
  <conditionalFormatting sqref="AM139">
    <cfRule type="expression" dxfId="862" priority="702" stopIfTrue="1">
      <formula>$AM163</formula>
    </cfRule>
  </conditionalFormatting>
  <conditionalFormatting sqref="AM170">
    <cfRule type="expression" dxfId="861" priority="682" stopIfTrue="1">
      <formula>$Q172&lt;#REF!</formula>
    </cfRule>
  </conditionalFormatting>
  <conditionalFormatting sqref="AM173">
    <cfRule type="expression" dxfId="860" priority="683" stopIfTrue="1">
      <formula>$AM198</formula>
    </cfRule>
  </conditionalFormatting>
  <conditionalFormatting sqref="AM205">
    <cfRule type="expression" dxfId="859" priority="663" stopIfTrue="1">
      <formula>$Q207&lt;#REF!</formula>
    </cfRule>
  </conditionalFormatting>
  <conditionalFormatting sqref="AM208">
    <cfRule type="expression" dxfId="858" priority="664" stopIfTrue="1">
      <formula>$AM232</formula>
    </cfRule>
  </conditionalFormatting>
  <conditionalFormatting sqref="AM239">
    <cfRule type="expression" dxfId="857" priority="644" stopIfTrue="1">
      <formula>$Q241&lt;#REF!</formula>
    </cfRule>
  </conditionalFormatting>
  <conditionalFormatting sqref="AM242">
    <cfRule type="expression" dxfId="856" priority="645" stopIfTrue="1">
      <formula>$AM266</formula>
    </cfRule>
  </conditionalFormatting>
  <conditionalFormatting sqref="AM273">
    <cfRule type="expression" dxfId="855" priority="625" stopIfTrue="1">
      <formula>$Q275&lt;#REF!</formula>
    </cfRule>
  </conditionalFormatting>
  <conditionalFormatting sqref="AM276">
    <cfRule type="expression" dxfId="854" priority="626" stopIfTrue="1">
      <formula>$AM300</formula>
    </cfRule>
  </conditionalFormatting>
  <conditionalFormatting sqref="AM307">
    <cfRule type="expression" dxfId="853" priority="606" stopIfTrue="1">
      <formula>$Q309&lt;#REF!</formula>
    </cfRule>
  </conditionalFormatting>
  <conditionalFormatting sqref="AM310">
    <cfRule type="expression" dxfId="852" priority="607" stopIfTrue="1">
      <formula>$AM334</formula>
    </cfRule>
  </conditionalFormatting>
  <conditionalFormatting sqref="AM341">
    <cfRule type="expression" dxfId="851" priority="587" stopIfTrue="1">
      <formula>$Q343&lt;#REF!</formula>
    </cfRule>
  </conditionalFormatting>
  <conditionalFormatting sqref="AM344">
    <cfRule type="expression" dxfId="850" priority="588" stopIfTrue="1">
      <formula>$AM368</formula>
    </cfRule>
  </conditionalFormatting>
  <conditionalFormatting sqref="W50:W54 Y50:Y54 AA50:AA54 AC50:AC54 AE50:AE54 AG50:AG54">
    <cfRule type="expression" dxfId="849" priority="407" stopIfTrue="1">
      <formula>$K50&lt;&gt;"Mantenido"</formula>
    </cfRule>
  </conditionalFormatting>
  <conditionalFormatting sqref="V50:AG54">
    <cfRule type="cellIs" dxfId="848" priority="403" stopIfTrue="1" operator="lessThan">
      <formula>0</formula>
    </cfRule>
    <cfRule type="expression" dxfId="847" priority="404" stopIfTrue="1">
      <formula>NOT(ISNUMBER(SEARCH(V$14,$Q50)))</formula>
    </cfRule>
  </conditionalFormatting>
  <conditionalFormatting sqref="D63:AG69">
    <cfRule type="expression" dxfId="846" priority="409" stopIfTrue="1">
      <formula>AND(ISNUMBER(D63),D63&gt;$AH63)</formula>
    </cfRule>
  </conditionalFormatting>
  <conditionalFormatting sqref="O50:P54">
    <cfRule type="expression" dxfId="845" priority="401" stopIfTrue="1">
      <formula>VALUE(LEFT(O50,2))&lt;&gt;VALUE(RIGHT(O50,2))</formula>
    </cfRule>
  </conditionalFormatting>
  <conditionalFormatting sqref="V57:AG57">
    <cfRule type="expression" dxfId="844" priority="412" stopIfTrue="1">
      <formula>$AM69</formula>
    </cfRule>
    <cfRule type="cellIs" dxfId="843" priority="413" stopIfTrue="1" operator="lessThan">
      <formula>-TRUNC(SUM(V50:V54)/2)</formula>
    </cfRule>
  </conditionalFormatting>
  <conditionalFormatting sqref="AD55">
    <cfRule type="expression" dxfId="842" priority="415" stopIfTrue="1">
      <formula>$AM76</formula>
    </cfRule>
  </conditionalFormatting>
  <conditionalFormatting sqref="Y55">
    <cfRule type="expression" dxfId="841" priority="416" stopIfTrue="1">
      <formula>AND(AM72,$Y55&lt;&gt;0)</formula>
    </cfRule>
  </conditionalFormatting>
  <conditionalFormatting sqref="W84:W88 Y84:Y88 AA84:AA88 AC84:AC88 AE84:AE88 AG84:AG88">
    <cfRule type="expression" dxfId="840" priority="254" stopIfTrue="1">
      <formula>$K84&lt;&gt;"Mantenido"</formula>
    </cfRule>
  </conditionalFormatting>
  <conditionalFormatting sqref="V84:AG88">
    <cfRule type="cellIs" dxfId="839" priority="250" stopIfTrue="1" operator="lessThan">
      <formula>0</formula>
    </cfRule>
    <cfRule type="expression" dxfId="838" priority="251" stopIfTrue="1">
      <formula>NOT(ISNUMBER(SEARCH(V$14,$Q84)))</formula>
    </cfRule>
  </conditionalFormatting>
  <conditionalFormatting sqref="D97:AG103">
    <cfRule type="expression" dxfId="837" priority="256" stopIfTrue="1">
      <formula>AND(ISNUMBER(D97),D97&gt;$AH97)</formula>
    </cfRule>
  </conditionalFormatting>
  <conditionalFormatting sqref="O84:P88">
    <cfRule type="expression" dxfId="836" priority="248" stopIfTrue="1">
      <formula>VALUE(LEFT(O84,2))&lt;&gt;VALUE(RIGHT(O84,2))</formula>
    </cfRule>
  </conditionalFormatting>
  <conditionalFormatting sqref="V91:AG91">
    <cfRule type="expression" dxfId="835" priority="259" stopIfTrue="1">
      <formula>$AM103</formula>
    </cfRule>
    <cfRule type="cellIs" dxfId="834" priority="260" stopIfTrue="1" operator="lessThan">
      <formula>-TRUNC(SUM(V84:V88)/2)</formula>
    </cfRule>
  </conditionalFormatting>
  <conditionalFormatting sqref="AD89">
    <cfRule type="expression" dxfId="833" priority="262" stopIfTrue="1">
      <formula>$AM110</formula>
    </cfRule>
  </conditionalFormatting>
  <conditionalFormatting sqref="Y89">
    <cfRule type="expression" dxfId="832" priority="263" stopIfTrue="1">
      <formula>AND(AM106,$Y89&lt;&gt;0)</formula>
    </cfRule>
  </conditionalFormatting>
  <conditionalFormatting sqref="W118:W122 Y118:Y122 AA118:AA122 AC118:AC122 AE118:AE122 AG118:AG122">
    <cfRule type="expression" dxfId="831" priority="237" stopIfTrue="1">
      <formula>$K118&lt;&gt;"Mantenido"</formula>
    </cfRule>
  </conditionalFormatting>
  <conditionalFormatting sqref="V118:AG122">
    <cfRule type="cellIs" dxfId="830" priority="233" stopIfTrue="1" operator="lessThan">
      <formula>0</formula>
    </cfRule>
    <cfRule type="expression" dxfId="829" priority="234" stopIfTrue="1">
      <formula>NOT(ISNUMBER(SEARCH(V$14,$Q118)))</formula>
    </cfRule>
  </conditionalFormatting>
  <conditionalFormatting sqref="D131:AG137">
    <cfRule type="expression" dxfId="828" priority="239" stopIfTrue="1">
      <formula>AND(ISNUMBER(D131),D131&gt;$AH131)</formula>
    </cfRule>
  </conditionalFormatting>
  <conditionalFormatting sqref="O118:P122">
    <cfRule type="expression" dxfId="827" priority="231" stopIfTrue="1">
      <formula>VALUE(LEFT(O118,2))&lt;&gt;VALUE(RIGHT(O118,2))</formula>
    </cfRule>
  </conditionalFormatting>
  <conditionalFormatting sqref="V125:AG125">
    <cfRule type="expression" dxfId="826" priority="242" stopIfTrue="1">
      <formula>$AM137</formula>
    </cfRule>
    <cfRule type="cellIs" dxfId="825" priority="243" stopIfTrue="1" operator="lessThan">
      <formula>-TRUNC(SUM(V118:V122)/2)</formula>
    </cfRule>
  </conditionalFormatting>
  <conditionalFormatting sqref="AD123">
    <cfRule type="expression" dxfId="824" priority="245" stopIfTrue="1">
      <formula>$AM144</formula>
    </cfRule>
  </conditionalFormatting>
  <conditionalFormatting sqref="Y123">
    <cfRule type="expression" dxfId="823" priority="246" stopIfTrue="1">
      <formula>AND(AM140,$Y123&lt;&gt;0)</formula>
    </cfRule>
  </conditionalFormatting>
  <conditionalFormatting sqref="W152:W156 Y152:Y156 AA152:AA156 AC152:AC156 AE152:AE156 AG152:AG156">
    <cfRule type="expression" dxfId="822" priority="220" stopIfTrue="1">
      <formula>$K152&lt;&gt;"Mantenido"</formula>
    </cfRule>
  </conditionalFormatting>
  <conditionalFormatting sqref="V152:AG156">
    <cfRule type="cellIs" dxfId="821" priority="216" stopIfTrue="1" operator="lessThan">
      <formula>0</formula>
    </cfRule>
    <cfRule type="expression" dxfId="820" priority="217" stopIfTrue="1">
      <formula>NOT(ISNUMBER(SEARCH(V$14,$Q152)))</formula>
    </cfRule>
  </conditionalFormatting>
  <conditionalFormatting sqref="D165:AG171">
    <cfRule type="expression" dxfId="819" priority="222" stopIfTrue="1">
      <formula>AND(ISNUMBER(D165),D165&gt;$AH165)</formula>
    </cfRule>
  </conditionalFormatting>
  <conditionalFormatting sqref="O152:P156">
    <cfRule type="expression" dxfId="818" priority="214" stopIfTrue="1">
      <formula>VALUE(LEFT(O152,2))&lt;&gt;VALUE(RIGHT(O152,2))</formula>
    </cfRule>
  </conditionalFormatting>
  <conditionalFormatting sqref="V159:AG159">
    <cfRule type="expression" dxfId="817" priority="225" stopIfTrue="1">
      <formula>$AM171</formula>
    </cfRule>
    <cfRule type="cellIs" dxfId="816" priority="226" stopIfTrue="1" operator="lessThan">
      <formula>-TRUNC(SUM(V152:V156)/2)</formula>
    </cfRule>
  </conditionalFormatting>
  <conditionalFormatting sqref="AD157">
    <cfRule type="expression" dxfId="815" priority="228" stopIfTrue="1">
      <formula>$AM178</formula>
    </cfRule>
  </conditionalFormatting>
  <conditionalFormatting sqref="Y157">
    <cfRule type="expression" dxfId="814" priority="229" stopIfTrue="1">
      <formula>AND(AM174,$Y157&lt;&gt;0)</formula>
    </cfRule>
  </conditionalFormatting>
  <conditionalFormatting sqref="W187:W191 Y187:Y191 AA187:AA191 AC187:AC191 AE187:AE191 AG187:AG191">
    <cfRule type="expression" dxfId="813" priority="203" stopIfTrue="1">
      <formula>$K187&lt;&gt;"Mantenido"</formula>
    </cfRule>
  </conditionalFormatting>
  <conditionalFormatting sqref="D200:AG206">
    <cfRule type="expression" dxfId="812" priority="205" stopIfTrue="1">
      <formula>AND(ISNUMBER(D200),D200&gt;$AH200)</formula>
    </cfRule>
  </conditionalFormatting>
  <conditionalFormatting sqref="O187:P191">
    <cfRule type="expression" dxfId="811" priority="197" stopIfTrue="1">
      <formula>VALUE(LEFT(O187,2))&lt;&gt;VALUE(RIGHT(O187,2))</formula>
    </cfRule>
  </conditionalFormatting>
  <conditionalFormatting sqref="V194:AG194">
    <cfRule type="expression" dxfId="810" priority="208" stopIfTrue="1">
      <formula>$AM206</formula>
    </cfRule>
    <cfRule type="cellIs" dxfId="809" priority="209" stopIfTrue="1" operator="lessThan">
      <formula>-TRUNC(SUM(V187:V191)/2)</formula>
    </cfRule>
  </conditionalFormatting>
  <conditionalFormatting sqref="AD192">
    <cfRule type="expression" dxfId="808" priority="211" stopIfTrue="1">
      <formula>$AM213</formula>
    </cfRule>
  </conditionalFormatting>
  <conditionalFormatting sqref="Y192">
    <cfRule type="expression" dxfId="807" priority="212" stopIfTrue="1">
      <formula>AND(AM209,$Y192&lt;&gt;0)</formula>
    </cfRule>
  </conditionalFormatting>
  <conditionalFormatting sqref="W221:W225 Y221:Y225 AA221:AA225 AC221:AC225 AE221:AE225 AG221:AG225">
    <cfRule type="expression" dxfId="806" priority="186" stopIfTrue="1">
      <formula>$K221&lt;&gt;"Mantenido"</formula>
    </cfRule>
  </conditionalFormatting>
  <conditionalFormatting sqref="D234:AG240">
    <cfRule type="expression" dxfId="805" priority="188" stopIfTrue="1">
      <formula>AND(ISNUMBER(D234),D234&gt;$AH234)</formula>
    </cfRule>
  </conditionalFormatting>
  <conditionalFormatting sqref="O221:P225">
    <cfRule type="expression" dxfId="804" priority="180" stopIfTrue="1">
      <formula>VALUE(LEFT(O221,2))&lt;&gt;VALUE(RIGHT(O221,2))</formula>
    </cfRule>
  </conditionalFormatting>
  <conditionalFormatting sqref="V228:AG228">
    <cfRule type="expression" dxfId="803" priority="191" stopIfTrue="1">
      <formula>$AM240</formula>
    </cfRule>
    <cfRule type="cellIs" dxfId="802" priority="192" stopIfTrue="1" operator="lessThan">
      <formula>-TRUNC(SUM(V221:V225)/2)</formula>
    </cfRule>
  </conditionalFormatting>
  <conditionalFormatting sqref="AD226">
    <cfRule type="expression" dxfId="801" priority="194" stopIfTrue="1">
      <formula>$AM247</formula>
    </cfRule>
  </conditionalFormatting>
  <conditionalFormatting sqref="Y226">
    <cfRule type="expression" dxfId="800" priority="195" stopIfTrue="1">
      <formula>AND(AM243,$Y226&lt;&gt;0)</formula>
    </cfRule>
  </conditionalFormatting>
  <conditionalFormatting sqref="W255:W259 Y255:Y259 AA255:AA259 AC255:AC259 AE255:AE259 AG255:AG259">
    <cfRule type="expression" dxfId="799" priority="169" stopIfTrue="1">
      <formula>$K255&lt;&gt;"Mantenido"</formula>
    </cfRule>
  </conditionalFormatting>
  <conditionalFormatting sqref="D268:AG274">
    <cfRule type="expression" dxfId="798" priority="171" stopIfTrue="1">
      <formula>AND(ISNUMBER(D268),D268&gt;$AH268)</formula>
    </cfRule>
  </conditionalFormatting>
  <conditionalFormatting sqref="O255:P259">
    <cfRule type="expression" dxfId="797" priority="163" stopIfTrue="1">
      <formula>VALUE(LEFT(O255,2))&lt;&gt;VALUE(RIGHT(O255,2))</formula>
    </cfRule>
  </conditionalFormatting>
  <conditionalFormatting sqref="V262:AG262">
    <cfRule type="expression" dxfId="796" priority="174" stopIfTrue="1">
      <formula>$AM274</formula>
    </cfRule>
    <cfRule type="cellIs" dxfId="795" priority="175" stopIfTrue="1" operator="lessThan">
      <formula>-TRUNC(SUM(V255:V259)/2)</formula>
    </cfRule>
  </conditionalFormatting>
  <conditionalFormatting sqref="AD260">
    <cfRule type="expression" dxfId="794" priority="177" stopIfTrue="1">
      <formula>$AM281</formula>
    </cfRule>
  </conditionalFormatting>
  <conditionalFormatting sqref="Y260">
    <cfRule type="expression" dxfId="793" priority="178" stopIfTrue="1">
      <formula>AND(AM277,$Y260&lt;&gt;0)</formula>
    </cfRule>
  </conditionalFormatting>
  <conditionalFormatting sqref="W289:W293 Y289:Y293 AA289:AA293 AC289:AC293 AE289:AE293 AG289:AG293">
    <cfRule type="expression" dxfId="792" priority="152" stopIfTrue="1">
      <formula>$K289&lt;&gt;"Mantenido"</formula>
    </cfRule>
  </conditionalFormatting>
  <conditionalFormatting sqref="D302:AG308">
    <cfRule type="expression" dxfId="791" priority="154" stopIfTrue="1">
      <formula>AND(ISNUMBER(D302),D302&gt;$AH302)</formula>
    </cfRule>
  </conditionalFormatting>
  <conditionalFormatting sqref="O289:P293">
    <cfRule type="expression" dxfId="790" priority="146" stopIfTrue="1">
      <formula>VALUE(LEFT(O289,2))&lt;&gt;VALUE(RIGHT(O289,2))</formula>
    </cfRule>
  </conditionalFormatting>
  <conditionalFormatting sqref="V296:AG296">
    <cfRule type="expression" dxfId="789" priority="157" stopIfTrue="1">
      <formula>$AM308</formula>
    </cfRule>
    <cfRule type="cellIs" dxfId="788" priority="158" stopIfTrue="1" operator="lessThan">
      <formula>-TRUNC(SUM(V289:V293)/2)</formula>
    </cfRule>
  </conditionalFormatting>
  <conditionalFormatting sqref="AD294">
    <cfRule type="expression" dxfId="787" priority="160" stopIfTrue="1">
      <formula>$AM315</formula>
    </cfRule>
  </conditionalFormatting>
  <conditionalFormatting sqref="Y294">
    <cfRule type="expression" dxfId="786" priority="161" stopIfTrue="1">
      <formula>AND(AM311,$Y294&lt;&gt;0)</formula>
    </cfRule>
  </conditionalFormatting>
  <conditionalFormatting sqref="W323:W327 Y323:Y327 AA323:AA327 AC323:AC327 AE323:AE327 AG323:AG327">
    <cfRule type="expression" dxfId="785" priority="135" stopIfTrue="1">
      <formula>$K323&lt;&gt;"Mantenido"</formula>
    </cfRule>
  </conditionalFormatting>
  <conditionalFormatting sqref="D336:AG342">
    <cfRule type="expression" dxfId="784" priority="137" stopIfTrue="1">
      <formula>AND(ISNUMBER(D336),D336&gt;$AH336)</formula>
    </cfRule>
  </conditionalFormatting>
  <conditionalFormatting sqref="O323:P327">
    <cfRule type="expression" dxfId="783" priority="129" stopIfTrue="1">
      <formula>VALUE(LEFT(O323,2))&lt;&gt;VALUE(RIGHT(O323,2))</formula>
    </cfRule>
  </conditionalFormatting>
  <conditionalFormatting sqref="V330:AG330">
    <cfRule type="expression" dxfId="782" priority="140" stopIfTrue="1">
      <formula>$AM342</formula>
    </cfRule>
    <cfRule type="cellIs" dxfId="781" priority="141" stopIfTrue="1" operator="lessThan">
      <formula>-TRUNC(SUM(V323:V327)/2)</formula>
    </cfRule>
  </conditionalFormatting>
  <conditionalFormatting sqref="AD328">
    <cfRule type="expression" dxfId="780" priority="143" stopIfTrue="1">
      <formula>$AM349</formula>
    </cfRule>
  </conditionalFormatting>
  <conditionalFormatting sqref="Y328">
    <cfRule type="expression" dxfId="779" priority="144" stopIfTrue="1">
      <formula>AND(AM345,$Y328&lt;&gt;0)</formula>
    </cfRule>
  </conditionalFormatting>
  <conditionalFormatting sqref="U46:U47">
    <cfRule type="expression" dxfId="778" priority="127" stopIfTrue="1">
      <formula>AM67</formula>
    </cfRule>
  </conditionalFormatting>
  <conditionalFormatting sqref="U80:U81">
    <cfRule type="expression" dxfId="777" priority="126" stopIfTrue="1">
      <formula>AM101</formula>
    </cfRule>
  </conditionalFormatting>
  <conditionalFormatting sqref="U114:U115">
    <cfRule type="expression" dxfId="776" priority="125" stopIfTrue="1">
      <formula>AM135</formula>
    </cfRule>
  </conditionalFormatting>
  <conditionalFormatting sqref="U148:U149">
    <cfRule type="expression" dxfId="775" priority="124" stopIfTrue="1">
      <formula>AM169</formula>
    </cfRule>
  </conditionalFormatting>
  <conditionalFormatting sqref="U183:U184">
    <cfRule type="expression" dxfId="774" priority="123" stopIfTrue="1">
      <formula>AM204</formula>
    </cfRule>
  </conditionalFormatting>
  <conditionalFormatting sqref="U217:U218">
    <cfRule type="expression" dxfId="773" priority="122" stopIfTrue="1">
      <formula>AM238</formula>
    </cfRule>
  </conditionalFormatting>
  <conditionalFormatting sqref="U251:U252">
    <cfRule type="expression" dxfId="772" priority="121" stopIfTrue="1">
      <formula>AM272</formula>
    </cfRule>
  </conditionalFormatting>
  <conditionalFormatting sqref="U285:U286">
    <cfRule type="expression" dxfId="771" priority="120" stopIfTrue="1">
      <formula>AM306</formula>
    </cfRule>
  </conditionalFormatting>
  <conditionalFormatting sqref="U319:U320">
    <cfRule type="expression" dxfId="770" priority="119" stopIfTrue="1">
      <formula>AM340</formula>
    </cfRule>
  </conditionalFormatting>
  <conditionalFormatting sqref="O21:R21 O23:R23">
    <cfRule type="expression" dxfId="769" priority="117" stopIfTrue="1">
      <formula>$F21&lt;&gt;"Atadura Elemental"</formula>
    </cfRule>
  </conditionalFormatting>
  <conditionalFormatting sqref="O23:R23">
    <cfRule type="expression" dxfId="768" priority="1709" stopIfTrue="1">
      <formula>$AM37</formula>
    </cfRule>
  </conditionalFormatting>
  <conditionalFormatting sqref="O22:R22">
    <cfRule type="expression" dxfId="767" priority="111" stopIfTrue="1">
      <formula>$F22&lt;&gt;"Atadura Elemental"</formula>
    </cfRule>
    <cfRule type="expression" dxfId="766" priority="114" stopIfTrue="1">
      <formula>$AM37</formula>
    </cfRule>
  </conditionalFormatting>
  <conditionalFormatting sqref="Q22:R22">
    <cfRule type="expression" dxfId="765" priority="112" stopIfTrue="1">
      <formula>$K22&lt;&gt;"A dos elementos"</formula>
    </cfRule>
  </conditionalFormatting>
  <conditionalFormatting sqref="F22:U22">
    <cfRule type="expression" dxfId="764" priority="113" stopIfTrue="1">
      <formula>$P12&lt;2</formula>
    </cfRule>
  </conditionalFormatting>
  <conditionalFormatting sqref="Q55:R55 Q57:R57">
    <cfRule type="expression" dxfId="763" priority="107" stopIfTrue="1">
      <formula>$K55&lt;&gt;"A dos elementos"</formula>
    </cfRule>
  </conditionalFormatting>
  <conditionalFormatting sqref="F57:U57">
    <cfRule type="expression" dxfId="762" priority="108" stopIfTrue="1">
      <formula>$P46&lt;3</formula>
    </cfRule>
  </conditionalFormatting>
  <conditionalFormatting sqref="S55:S57">
    <cfRule type="expression" dxfId="761" priority="105" stopIfTrue="1">
      <formula>VALUE(RIGHT($S55,1))&gt;$AK55</formula>
    </cfRule>
  </conditionalFormatting>
  <conditionalFormatting sqref="O55:R55">
    <cfRule type="expression" dxfId="760" priority="109" stopIfTrue="1">
      <formula>$AM71</formula>
    </cfRule>
  </conditionalFormatting>
  <conditionalFormatting sqref="O55:R55 O57:R57">
    <cfRule type="expression" dxfId="759" priority="106" stopIfTrue="1">
      <formula>$F55&lt;&gt;"Atadura Elemental"</formula>
    </cfRule>
  </conditionalFormatting>
  <conditionalFormatting sqref="O57:R57">
    <cfRule type="expression" dxfId="758" priority="110" stopIfTrue="1">
      <formula>$AM71</formula>
    </cfRule>
  </conditionalFormatting>
  <conditionalFormatting sqref="O56:R56">
    <cfRule type="expression" dxfId="757" priority="101" stopIfTrue="1">
      <formula>$F56&lt;&gt;"Atadura Elemental"</formula>
    </cfRule>
    <cfRule type="expression" dxfId="756" priority="104" stopIfTrue="1">
      <formula>$AM71</formula>
    </cfRule>
  </conditionalFormatting>
  <conditionalFormatting sqref="Q56:R56">
    <cfRule type="expression" dxfId="755" priority="102" stopIfTrue="1">
      <formula>$K56&lt;&gt;"A dos elementos"</formula>
    </cfRule>
  </conditionalFormatting>
  <conditionalFormatting sqref="F56:U56">
    <cfRule type="expression" dxfId="754" priority="103" stopIfTrue="1">
      <formula>$P46&lt;2</formula>
    </cfRule>
  </conditionalFormatting>
  <conditionalFormatting sqref="Q294:R294 Q296:R296">
    <cfRule type="expression" dxfId="753" priority="17" stopIfTrue="1">
      <formula>$K294&lt;&gt;"A dos elementos"</formula>
    </cfRule>
  </conditionalFormatting>
  <conditionalFormatting sqref="F296:U296">
    <cfRule type="expression" dxfId="752" priority="18" stopIfTrue="1">
      <formula>$P285&lt;3</formula>
    </cfRule>
  </conditionalFormatting>
  <conditionalFormatting sqref="S294:S296">
    <cfRule type="expression" dxfId="751" priority="15" stopIfTrue="1">
      <formula>VALUE(RIGHT($S294,1))&gt;$AK294</formula>
    </cfRule>
  </conditionalFormatting>
  <conditionalFormatting sqref="O294:R294">
    <cfRule type="expression" dxfId="750" priority="19" stopIfTrue="1">
      <formula>$AM310</formula>
    </cfRule>
  </conditionalFormatting>
  <conditionalFormatting sqref="O294:R294 O296:R296">
    <cfRule type="expression" dxfId="749" priority="16" stopIfTrue="1">
      <formula>$F294&lt;&gt;"Atadura Elemental"</formula>
    </cfRule>
  </conditionalFormatting>
  <conditionalFormatting sqref="O296:R296">
    <cfRule type="expression" dxfId="748" priority="20" stopIfTrue="1">
      <formula>$AM310</formula>
    </cfRule>
  </conditionalFormatting>
  <conditionalFormatting sqref="O295:R295">
    <cfRule type="expression" dxfId="747" priority="11" stopIfTrue="1">
      <formula>$F295&lt;&gt;"Atadura Elemental"</formula>
    </cfRule>
    <cfRule type="expression" dxfId="746" priority="14" stopIfTrue="1">
      <formula>$AM310</formula>
    </cfRule>
  </conditionalFormatting>
  <conditionalFormatting sqref="Q295:R295">
    <cfRule type="expression" dxfId="745" priority="12" stopIfTrue="1">
      <formula>$K295&lt;&gt;"A dos elementos"</formula>
    </cfRule>
  </conditionalFormatting>
  <conditionalFormatting sqref="F295:U295">
    <cfRule type="expression" dxfId="744" priority="13" stopIfTrue="1">
      <formula>$P285&lt;2</formula>
    </cfRule>
  </conditionalFormatting>
  <conditionalFormatting sqref="Q89:R89 Q91:R91">
    <cfRule type="expression" dxfId="743" priority="77" stopIfTrue="1">
      <formula>$K89&lt;&gt;"A dos elementos"</formula>
    </cfRule>
  </conditionalFormatting>
  <conditionalFormatting sqref="F91:U91">
    <cfRule type="expression" dxfId="742" priority="78" stopIfTrue="1">
      <formula>$P80&lt;3</formula>
    </cfRule>
  </conditionalFormatting>
  <conditionalFormatting sqref="S89:S91">
    <cfRule type="expression" dxfId="741" priority="75" stopIfTrue="1">
      <formula>VALUE(RIGHT($S89,1))&gt;$AK89</formula>
    </cfRule>
  </conditionalFormatting>
  <conditionalFormatting sqref="O89:R89">
    <cfRule type="expression" dxfId="740" priority="79" stopIfTrue="1">
      <formula>$AM105</formula>
    </cfRule>
  </conditionalFormatting>
  <conditionalFormatting sqref="O89:R89 O91:R91">
    <cfRule type="expression" dxfId="739" priority="76" stopIfTrue="1">
      <formula>$F89&lt;&gt;"Atadura Elemental"</formula>
    </cfRule>
  </conditionalFormatting>
  <conditionalFormatting sqref="O91:R91">
    <cfRule type="expression" dxfId="738" priority="80" stopIfTrue="1">
      <formula>$AM105</formula>
    </cfRule>
  </conditionalFormatting>
  <conditionalFormatting sqref="O90:R90">
    <cfRule type="expression" dxfId="737" priority="71" stopIfTrue="1">
      <formula>$F90&lt;&gt;"Atadura Elemental"</formula>
    </cfRule>
    <cfRule type="expression" dxfId="736" priority="74" stopIfTrue="1">
      <formula>$AM105</formula>
    </cfRule>
  </conditionalFormatting>
  <conditionalFormatting sqref="Q90:R90">
    <cfRule type="expression" dxfId="735" priority="72" stopIfTrue="1">
      <formula>$K90&lt;&gt;"A dos elementos"</formula>
    </cfRule>
  </conditionalFormatting>
  <conditionalFormatting sqref="F90:U90">
    <cfRule type="expression" dxfId="734" priority="73" stopIfTrue="1">
      <formula>$P80&lt;2</formula>
    </cfRule>
  </conditionalFormatting>
  <conditionalFormatting sqref="Q123:R123 Q125:R125">
    <cfRule type="expression" dxfId="733" priority="67" stopIfTrue="1">
      <formula>$K123&lt;&gt;"A dos elementos"</formula>
    </cfRule>
  </conditionalFormatting>
  <conditionalFormatting sqref="F125:U125">
    <cfRule type="expression" dxfId="732" priority="68" stopIfTrue="1">
      <formula>$P114&lt;3</formula>
    </cfRule>
  </conditionalFormatting>
  <conditionalFormatting sqref="S123:S125">
    <cfRule type="expression" dxfId="731" priority="65" stopIfTrue="1">
      <formula>VALUE(RIGHT($S123,1))&gt;$AK123</formula>
    </cfRule>
  </conditionalFormatting>
  <conditionalFormatting sqref="O123:R123">
    <cfRule type="expression" dxfId="730" priority="69" stopIfTrue="1">
      <formula>$AM139</formula>
    </cfRule>
  </conditionalFormatting>
  <conditionalFormatting sqref="O123:R123 O125:R125">
    <cfRule type="expression" dxfId="729" priority="66" stopIfTrue="1">
      <formula>$F123&lt;&gt;"Atadura Elemental"</formula>
    </cfRule>
  </conditionalFormatting>
  <conditionalFormatting sqref="O125:R125">
    <cfRule type="expression" dxfId="728" priority="70" stopIfTrue="1">
      <formula>$AM139</formula>
    </cfRule>
  </conditionalFormatting>
  <conditionalFormatting sqref="O124:R124">
    <cfRule type="expression" dxfId="727" priority="61" stopIfTrue="1">
      <formula>$F124&lt;&gt;"Atadura Elemental"</formula>
    </cfRule>
    <cfRule type="expression" dxfId="726" priority="64" stopIfTrue="1">
      <formula>$AM139</formula>
    </cfRule>
  </conditionalFormatting>
  <conditionalFormatting sqref="Q124:R124">
    <cfRule type="expression" dxfId="725" priority="62" stopIfTrue="1">
      <formula>$K124&lt;&gt;"A dos elementos"</formula>
    </cfRule>
  </conditionalFormatting>
  <conditionalFormatting sqref="F124:U124">
    <cfRule type="expression" dxfId="724" priority="63" stopIfTrue="1">
      <formula>$P114&lt;2</formula>
    </cfRule>
  </conditionalFormatting>
  <conditionalFormatting sqref="Q157:R157 Q159:R159">
    <cfRule type="expression" dxfId="723" priority="57" stopIfTrue="1">
      <formula>$K157&lt;&gt;"A dos elementos"</formula>
    </cfRule>
  </conditionalFormatting>
  <conditionalFormatting sqref="F159:U159">
    <cfRule type="expression" dxfId="722" priority="58" stopIfTrue="1">
      <formula>$P148&lt;3</formula>
    </cfRule>
  </conditionalFormatting>
  <conditionalFormatting sqref="S157:S159">
    <cfRule type="expression" dxfId="721" priority="55" stopIfTrue="1">
      <formula>VALUE(RIGHT($S157,1))&gt;$AK157</formula>
    </cfRule>
  </conditionalFormatting>
  <conditionalFormatting sqref="O157:R157">
    <cfRule type="expression" dxfId="720" priority="59" stopIfTrue="1">
      <formula>$AM173</formula>
    </cfRule>
  </conditionalFormatting>
  <conditionalFormatting sqref="O157:R157 O159:R159">
    <cfRule type="expression" dxfId="719" priority="56" stopIfTrue="1">
      <formula>$F157&lt;&gt;"Atadura Elemental"</formula>
    </cfRule>
  </conditionalFormatting>
  <conditionalFormatting sqref="O159:R159">
    <cfRule type="expression" dxfId="718" priority="60" stopIfTrue="1">
      <formula>$AM173</formula>
    </cfRule>
  </conditionalFormatting>
  <conditionalFormatting sqref="O158:R158">
    <cfRule type="expression" dxfId="717" priority="51" stopIfTrue="1">
      <formula>$F158&lt;&gt;"Atadura Elemental"</formula>
    </cfRule>
    <cfRule type="expression" dxfId="716" priority="54" stopIfTrue="1">
      <formula>$AM173</formula>
    </cfRule>
  </conditionalFormatting>
  <conditionalFormatting sqref="Q158:R158">
    <cfRule type="expression" dxfId="715" priority="52" stopIfTrue="1">
      <formula>$K158&lt;&gt;"A dos elementos"</formula>
    </cfRule>
  </conditionalFormatting>
  <conditionalFormatting sqref="F158:U158">
    <cfRule type="expression" dxfId="714" priority="53" stopIfTrue="1">
      <formula>$P148&lt;2</formula>
    </cfRule>
  </conditionalFormatting>
  <conditionalFormatting sqref="Q192:R192 Q194:R194">
    <cfRule type="expression" dxfId="713" priority="47" stopIfTrue="1">
      <formula>$K192&lt;&gt;"A dos elementos"</formula>
    </cfRule>
  </conditionalFormatting>
  <conditionalFormatting sqref="F194:U194">
    <cfRule type="expression" dxfId="712" priority="48" stopIfTrue="1">
      <formula>$P183&lt;3</formula>
    </cfRule>
  </conditionalFormatting>
  <conditionalFormatting sqref="S192:S194">
    <cfRule type="expression" dxfId="711" priority="45" stopIfTrue="1">
      <formula>VALUE(RIGHT($S192,1))&gt;$AK192</formula>
    </cfRule>
  </conditionalFormatting>
  <conditionalFormatting sqref="O192:R192">
    <cfRule type="expression" dxfId="710" priority="49" stopIfTrue="1">
      <formula>$AM208</formula>
    </cfRule>
  </conditionalFormatting>
  <conditionalFormatting sqref="O192:R192 O194:R194">
    <cfRule type="expression" dxfId="709" priority="46" stopIfTrue="1">
      <formula>$F192&lt;&gt;"Atadura Elemental"</formula>
    </cfRule>
  </conditionalFormatting>
  <conditionalFormatting sqref="O194:R194">
    <cfRule type="expression" dxfId="708" priority="50" stopIfTrue="1">
      <formula>$AM208</formula>
    </cfRule>
  </conditionalFormatting>
  <conditionalFormatting sqref="O193:R193">
    <cfRule type="expression" dxfId="707" priority="41" stopIfTrue="1">
      <formula>$F193&lt;&gt;"Atadura Elemental"</formula>
    </cfRule>
    <cfRule type="expression" dxfId="706" priority="44" stopIfTrue="1">
      <formula>$AM208</formula>
    </cfRule>
  </conditionalFormatting>
  <conditionalFormatting sqref="Q193:R193">
    <cfRule type="expression" dxfId="705" priority="42" stopIfTrue="1">
      <formula>$K193&lt;&gt;"A dos elementos"</formula>
    </cfRule>
  </conditionalFormatting>
  <conditionalFormatting sqref="F193:U193">
    <cfRule type="expression" dxfId="704" priority="43" stopIfTrue="1">
      <formula>$P183&lt;2</formula>
    </cfRule>
  </conditionalFormatting>
  <conditionalFormatting sqref="Q226:R226 Q228:R228">
    <cfRule type="expression" dxfId="703" priority="37" stopIfTrue="1">
      <formula>$K226&lt;&gt;"A dos elementos"</formula>
    </cfRule>
  </conditionalFormatting>
  <conditionalFormatting sqref="F228:U228">
    <cfRule type="expression" dxfId="702" priority="38" stopIfTrue="1">
      <formula>$P217&lt;3</formula>
    </cfRule>
  </conditionalFormatting>
  <conditionalFormatting sqref="S226:S228">
    <cfRule type="expression" dxfId="701" priority="35" stopIfTrue="1">
      <formula>VALUE(RIGHT($S226,1))&gt;$AK226</formula>
    </cfRule>
  </conditionalFormatting>
  <conditionalFormatting sqref="O226:R226">
    <cfRule type="expression" dxfId="700" priority="39" stopIfTrue="1">
      <formula>$AM242</formula>
    </cfRule>
  </conditionalFormatting>
  <conditionalFormatting sqref="O226:R226 O228:R228">
    <cfRule type="expression" dxfId="699" priority="36" stopIfTrue="1">
      <formula>$F226&lt;&gt;"Atadura Elemental"</formula>
    </cfRule>
  </conditionalFormatting>
  <conditionalFormatting sqref="O228:R228">
    <cfRule type="expression" dxfId="698" priority="40" stopIfTrue="1">
      <formula>$AM242</formula>
    </cfRule>
  </conditionalFormatting>
  <conditionalFormatting sqref="O227:R227">
    <cfRule type="expression" dxfId="697" priority="31" stopIfTrue="1">
      <formula>$F227&lt;&gt;"Atadura Elemental"</formula>
    </cfRule>
    <cfRule type="expression" dxfId="696" priority="34" stopIfTrue="1">
      <formula>$AM242</formula>
    </cfRule>
  </conditionalFormatting>
  <conditionalFormatting sqref="Q227:R227">
    <cfRule type="expression" dxfId="695" priority="32" stopIfTrue="1">
      <formula>$K227&lt;&gt;"A dos elementos"</formula>
    </cfRule>
  </conditionalFormatting>
  <conditionalFormatting sqref="F227:U227">
    <cfRule type="expression" dxfId="694" priority="33" stopIfTrue="1">
      <formula>$P217&lt;2</formula>
    </cfRule>
  </conditionalFormatting>
  <conditionalFormatting sqref="Q260:R260 Q262:R262">
    <cfRule type="expression" dxfId="693" priority="27" stopIfTrue="1">
      <formula>$K260&lt;&gt;"A dos elementos"</formula>
    </cfRule>
  </conditionalFormatting>
  <conditionalFormatting sqref="F262:U262">
    <cfRule type="expression" dxfId="692" priority="28" stopIfTrue="1">
      <formula>$P251&lt;3</formula>
    </cfRule>
  </conditionalFormatting>
  <conditionalFormatting sqref="S260:S262">
    <cfRule type="expression" dxfId="691" priority="25" stopIfTrue="1">
      <formula>VALUE(RIGHT($S260,1))&gt;$AK260</formula>
    </cfRule>
  </conditionalFormatting>
  <conditionalFormatting sqref="O260:R260">
    <cfRule type="expression" dxfId="690" priority="29" stopIfTrue="1">
      <formula>$AM276</formula>
    </cfRule>
  </conditionalFormatting>
  <conditionalFormatting sqref="O260:R260 O262:R262">
    <cfRule type="expression" dxfId="689" priority="26" stopIfTrue="1">
      <formula>$F260&lt;&gt;"Atadura Elemental"</formula>
    </cfRule>
  </conditionalFormatting>
  <conditionalFormatting sqref="O262:R262">
    <cfRule type="expression" dxfId="688" priority="30" stopIfTrue="1">
      <formula>$AM276</formula>
    </cfRule>
  </conditionalFormatting>
  <conditionalFormatting sqref="O261:R261">
    <cfRule type="expression" dxfId="687" priority="21" stopIfTrue="1">
      <formula>$F261&lt;&gt;"Atadura Elemental"</formula>
    </cfRule>
    <cfRule type="expression" dxfId="686" priority="24" stopIfTrue="1">
      <formula>$AM276</formula>
    </cfRule>
  </conditionalFormatting>
  <conditionalFormatting sqref="Q261:R261">
    <cfRule type="expression" dxfId="685" priority="22" stopIfTrue="1">
      <formula>$K261&lt;&gt;"A dos elementos"</formula>
    </cfRule>
  </conditionalFormatting>
  <conditionalFormatting sqref="F261:U261">
    <cfRule type="expression" dxfId="684" priority="23" stopIfTrue="1">
      <formula>$P251&lt;2</formula>
    </cfRule>
  </conditionalFormatting>
  <conditionalFormatting sqref="Q328:R328 Q330:R330">
    <cfRule type="expression" dxfId="683" priority="7" stopIfTrue="1">
      <formula>$K328&lt;&gt;"A dos elementos"</formula>
    </cfRule>
  </conditionalFormatting>
  <conditionalFormatting sqref="F330:U330">
    <cfRule type="expression" dxfId="682" priority="8" stopIfTrue="1">
      <formula>$P319&lt;3</formula>
    </cfRule>
  </conditionalFormatting>
  <conditionalFormatting sqref="S328:S330">
    <cfRule type="expression" dxfId="681" priority="5" stopIfTrue="1">
      <formula>VALUE(RIGHT($S328,1))&gt;$AK328</formula>
    </cfRule>
  </conditionalFormatting>
  <conditionalFormatting sqref="O328:R328">
    <cfRule type="expression" dxfId="680" priority="9" stopIfTrue="1">
      <formula>$AM344</formula>
    </cfRule>
  </conditionalFormatting>
  <conditionalFormatting sqref="O328:R328 O330:R330">
    <cfRule type="expression" dxfId="679" priority="6" stopIfTrue="1">
      <formula>$F328&lt;&gt;"Atadura Elemental"</formula>
    </cfRule>
  </conditionalFormatting>
  <conditionalFormatting sqref="O330:R330">
    <cfRule type="expression" dxfId="678" priority="10" stopIfTrue="1">
      <formula>$AM344</formula>
    </cfRule>
  </conditionalFormatting>
  <conditionalFormatting sqref="O329:R329">
    <cfRule type="expression" dxfId="677" priority="1" stopIfTrue="1">
      <formula>$F329&lt;&gt;"Atadura Elemental"</formula>
    </cfRule>
    <cfRule type="expression" dxfId="676" priority="4" stopIfTrue="1">
      <formula>$AM344</formula>
    </cfRule>
  </conditionalFormatting>
  <conditionalFormatting sqref="Q329:R329">
    <cfRule type="expression" dxfId="675" priority="2" stopIfTrue="1">
      <formula>$K329&lt;&gt;"A dos elementos"</formula>
    </cfRule>
  </conditionalFormatting>
  <conditionalFormatting sqref="F329:U329">
    <cfRule type="expression" dxfId="674"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4"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82"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9"/>
    <col min="51" max="51" width="2" style="579" customWidth="1"/>
    <col min="52" max="52" width="6.5703125" style="579" bestFit="1" customWidth="1"/>
    <col min="53" max="53" width="9.85546875" style="579" customWidth="1"/>
    <col min="54" max="55" width="7.140625" style="579" customWidth="1"/>
    <col min="56" max="59" width="7.140625" style="579" bestFit="1" customWidth="1"/>
    <col min="60" max="61" width="5.7109375" style="579"/>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8"/>
      <c r="U1" s="29"/>
      <c r="V1" s="29"/>
      <c r="W1" s="29"/>
      <c r="X1" s="29"/>
      <c r="Y1" s="29"/>
      <c r="Z1" s="29"/>
      <c r="AA1" s="29"/>
      <c r="AB1" s="29"/>
      <c r="AC1" s="29"/>
      <c r="AD1" s="29"/>
      <c r="AE1" s="29"/>
      <c r="AF1" s="29"/>
      <c r="AG1" s="29"/>
      <c r="AH1" s="29"/>
      <c r="AI1" s="29"/>
      <c r="AJ1" s="29"/>
      <c r="AK1" s="29"/>
      <c r="AL1" s="580"/>
      <c r="AM1" s="29"/>
      <c r="AN1" s="29"/>
      <c r="AO1" s="729"/>
      <c r="AP1" s="29"/>
      <c r="AQ1" s="29"/>
      <c r="AR1" s="29"/>
      <c r="AS1" s="29"/>
      <c r="AT1" s="29"/>
      <c r="AU1" s="29"/>
      <c r="AV1" s="29"/>
      <c r="AW1" s="29"/>
      <c r="AX1" s="578"/>
      <c r="AY1" s="578"/>
      <c r="AZ1" s="3044" t="s">
        <v>8741</v>
      </c>
      <c r="BA1" s="1737"/>
      <c r="BB1" s="1737"/>
      <c r="BC1" s="1737"/>
      <c r="BD1" s="1737"/>
      <c r="BE1" s="1737"/>
      <c r="BF1" s="1737"/>
      <c r="BG1" s="1737"/>
      <c r="BH1" s="1737"/>
      <c r="BI1" s="1737"/>
    </row>
    <row r="2" spans="1:61" ht="12" customHeight="1" thickBot="1" x14ac:dyDescent="0.25">
      <c r="A2" s="29"/>
      <c r="B2" s="672"/>
      <c r="C2" s="673"/>
      <c r="D2" s="673"/>
      <c r="E2" s="673"/>
      <c r="F2" s="673"/>
      <c r="G2" s="673"/>
      <c r="H2" s="673"/>
      <c r="I2" s="673"/>
      <c r="J2" s="673"/>
      <c r="K2" s="673"/>
      <c r="L2" s="673"/>
      <c r="M2" s="673"/>
      <c r="N2" s="673"/>
      <c r="O2" s="673"/>
      <c r="P2" s="673"/>
      <c r="Q2" s="673"/>
      <c r="R2" s="673"/>
      <c r="S2" s="674"/>
      <c r="T2" s="488"/>
      <c r="U2" s="29"/>
      <c r="V2" s="672"/>
      <c r="W2" s="673"/>
      <c r="X2" s="673"/>
      <c r="Y2" s="673"/>
      <c r="Z2" s="673"/>
      <c r="AA2" s="673"/>
      <c r="AB2" s="673"/>
      <c r="AC2" s="673"/>
      <c r="AD2" s="673"/>
      <c r="AE2" s="673"/>
      <c r="AF2" s="673"/>
      <c r="AG2" s="673"/>
      <c r="AH2" s="673"/>
      <c r="AI2" s="673"/>
      <c r="AJ2" s="673"/>
      <c r="AK2" s="673"/>
      <c r="AL2" s="1341"/>
      <c r="AM2" s="29"/>
      <c r="AN2" s="29"/>
      <c r="AO2" s="730"/>
      <c r="AP2" s="673"/>
      <c r="AQ2" s="673"/>
      <c r="AR2" s="673"/>
      <c r="AS2" s="673"/>
      <c r="AT2" s="673"/>
      <c r="AU2" s="673"/>
      <c r="AV2" s="673"/>
      <c r="AW2" s="673"/>
      <c r="AX2" s="740"/>
      <c r="AY2" s="578"/>
      <c r="AZ2" s="1737"/>
      <c r="BA2" s="1737" t="s">
        <v>8355</v>
      </c>
      <c r="BB2" s="1737"/>
      <c r="BC2" s="1737"/>
      <c r="BD2" s="1737"/>
      <c r="BE2" s="1737"/>
      <c r="BF2" s="1737"/>
      <c r="BG2" s="1737"/>
      <c r="BH2" s="1737"/>
      <c r="BI2" s="1737"/>
    </row>
    <row r="3" spans="1:61" ht="12" customHeight="1" thickBot="1" x14ac:dyDescent="0.25">
      <c r="A3" s="29"/>
      <c r="B3" s="489"/>
      <c r="C3" s="3298" t="s">
        <v>10165</v>
      </c>
      <c r="D3" s="3298"/>
      <c r="E3" s="3298"/>
      <c r="F3" s="3298"/>
      <c r="G3" s="3298"/>
      <c r="H3" s="3298"/>
      <c r="I3" s="6"/>
      <c r="J3" s="6"/>
      <c r="K3" s="6"/>
      <c r="L3" s="6"/>
      <c r="M3" s="6"/>
      <c r="N3" s="6"/>
      <c r="O3" s="6"/>
      <c r="P3" s="6"/>
      <c r="Q3" s="7"/>
      <c r="S3" s="581"/>
      <c r="T3" s="488"/>
      <c r="U3" s="29"/>
      <c r="V3" s="489"/>
      <c r="W3" s="3298" t="s">
        <v>10165</v>
      </c>
      <c r="X3" s="3298"/>
      <c r="Y3" s="3298"/>
      <c r="Z3" s="3298"/>
      <c r="AA3" s="3298"/>
      <c r="AB3" s="3298"/>
      <c r="AC3" s="6"/>
      <c r="AD3" s="6"/>
      <c r="AE3" s="6"/>
      <c r="AF3" s="6"/>
      <c r="AG3" s="6"/>
      <c r="AH3" s="6"/>
      <c r="AI3" s="6"/>
      <c r="AJ3" s="6"/>
      <c r="AK3" s="7"/>
      <c r="AL3" s="1073"/>
      <c r="AM3" s="29"/>
      <c r="AN3" s="29"/>
      <c r="AO3" s="731"/>
      <c r="AP3" s="4914" t="s">
        <v>10165</v>
      </c>
      <c r="AQ3" s="4915"/>
      <c r="AR3" s="4915"/>
      <c r="AS3" s="522"/>
      <c r="AT3" s="522"/>
      <c r="AU3" s="522"/>
      <c r="AV3" s="522"/>
      <c r="AW3" s="524"/>
      <c r="AX3" s="741"/>
      <c r="AY3" s="578"/>
      <c r="AZ3" s="1737"/>
      <c r="BA3" s="3079" t="e">
        <f>IF(VLOOKUP(AE12,ViasMayores,2,FALSE)="Mayor",IF(VLOOKUP(AE12,$C$15:$F$25,3,FALSE)="",NivelesLA_ViaMayorNoSubvía,""),IF(VLOOKUP(AE12,$C$15:$F$25,3,FALSE)="",NivelesLA_ViaMenorNosubvía,NivelesLA_ViaMenorSubvía))</f>
        <v>#N/A</v>
      </c>
      <c r="BB3" s="1737"/>
      <c r="BC3" s="1737"/>
      <c r="BD3" s="1737"/>
      <c r="BE3" s="1737"/>
      <c r="BF3" s="1737"/>
      <c r="BG3" s="1737"/>
      <c r="BH3" s="1737"/>
      <c r="BI3" s="1737"/>
    </row>
    <row r="4" spans="1:61" ht="12" customHeight="1" thickBot="1" x14ac:dyDescent="0.25">
      <c r="A4" s="29"/>
      <c r="B4" s="489"/>
      <c r="C4" s="3298"/>
      <c r="D4" s="3298"/>
      <c r="E4" s="3298"/>
      <c r="F4" s="3298"/>
      <c r="G4" s="3298"/>
      <c r="H4" s="3298"/>
      <c r="I4" s="9"/>
      <c r="J4" s="4249" t="s">
        <v>1323</v>
      </c>
      <c r="K4" s="4249"/>
      <c r="L4" s="4307" t="str">
        <f>IF(OR(General!$F$22="",General!$F$22=0),"",General!$F$22)</f>
        <v/>
      </c>
      <c r="M4" s="4307"/>
      <c r="N4" s="4307"/>
      <c r="O4" s="4307"/>
      <c r="P4" s="4307"/>
      <c r="Q4" s="10"/>
      <c r="S4" s="581"/>
      <c r="T4" s="488"/>
      <c r="U4" s="29"/>
      <c r="V4" s="489"/>
      <c r="W4" s="3298"/>
      <c r="X4" s="3298"/>
      <c r="Y4" s="3298"/>
      <c r="Z4" s="3298"/>
      <c r="AA4" s="3298"/>
      <c r="AB4" s="3298"/>
      <c r="AC4" s="9"/>
      <c r="AD4" s="4249" t="s">
        <v>1323</v>
      </c>
      <c r="AE4" s="4249"/>
      <c r="AF4" s="4307" t="str">
        <f>IF(OR(General!$F$22="",General!$F$22=0),"",General!$F$22)</f>
        <v/>
      </c>
      <c r="AG4" s="4307"/>
      <c r="AH4" s="4307"/>
      <c r="AI4" s="4307"/>
      <c r="AJ4" s="4307"/>
      <c r="AK4" s="10"/>
      <c r="AL4" s="1073"/>
      <c r="AM4" s="29"/>
      <c r="AN4" s="29"/>
      <c r="AO4" s="731"/>
      <c r="AP4" s="4916"/>
      <c r="AQ4" s="3293"/>
      <c r="AR4" s="3293"/>
      <c r="AS4" s="170"/>
      <c r="AT4" s="170"/>
      <c r="AU4" s="170"/>
      <c r="AV4" s="170"/>
      <c r="AW4" s="709"/>
      <c r="AX4" s="741"/>
      <c r="AY4" s="578"/>
      <c r="AZ4" s="1737"/>
      <c r="BA4" s="1737"/>
      <c r="BB4" s="1737"/>
      <c r="BC4" s="1737"/>
      <c r="BD4" s="1737"/>
      <c r="BE4" s="1737"/>
      <c r="BF4" s="1737"/>
      <c r="BG4" s="1737"/>
      <c r="BH4" s="1737"/>
      <c r="BI4" s="1737"/>
    </row>
    <row r="5" spans="1:61" ht="12" customHeight="1" thickBot="1" x14ac:dyDescent="0.25">
      <c r="A5" s="29"/>
      <c r="B5" s="489"/>
      <c r="C5" s="3298"/>
      <c r="D5" s="3298"/>
      <c r="E5" s="3298"/>
      <c r="F5" s="3298"/>
      <c r="G5" s="3298"/>
      <c r="H5" s="3298"/>
      <c r="I5" s="9"/>
      <c r="J5" s="4280" t="s">
        <v>1324</v>
      </c>
      <c r="K5" s="4280"/>
      <c r="L5" s="3140" t="str">
        <f>IF(LEN(PDs!$E$11)&lt;=General!$AO$5,PDs!$E$11,"… /"&amp;RIGHT(PDs!$E$11,General!$AO$5-FIND("/",RIGHT(PDs!$E$11,General!$AO$5))))</f>
        <v/>
      </c>
      <c r="M5" s="3140"/>
      <c r="N5" s="3140"/>
      <c r="O5" s="2259" t="s">
        <v>1325</v>
      </c>
      <c r="P5" s="2251" t="str">
        <f>Principal!$O$6</f>
        <v>0</v>
      </c>
      <c r="Q5" s="11"/>
      <c r="S5" s="581"/>
      <c r="T5" s="488"/>
      <c r="U5" s="29"/>
      <c r="V5" s="489"/>
      <c r="W5" s="3298"/>
      <c r="X5" s="3298"/>
      <c r="Y5" s="3298"/>
      <c r="Z5" s="3298"/>
      <c r="AA5" s="3298"/>
      <c r="AB5" s="3298"/>
      <c r="AC5" s="9"/>
      <c r="AD5" s="4280" t="s">
        <v>1324</v>
      </c>
      <c r="AE5" s="4280"/>
      <c r="AF5" s="3140" t="str">
        <f>IF(LEN(PDs!$E$11)&lt;=General!$AO$5,PDs!$E$11,"… /"&amp;RIGHT(PDs!$E$11,General!$AO$5-FIND("/",RIGHT(PDs!$E$11,General!$AO$5))))</f>
        <v/>
      </c>
      <c r="AG5" s="3140"/>
      <c r="AH5" s="3140"/>
      <c r="AI5" s="2259" t="s">
        <v>1325</v>
      </c>
      <c r="AJ5" s="2251" t="str">
        <f>Principal!$O$6</f>
        <v>0</v>
      </c>
      <c r="AK5" s="11"/>
      <c r="AL5" s="1073"/>
      <c r="AM5" s="29"/>
      <c r="AN5" s="29"/>
      <c r="AO5" s="731"/>
      <c r="AP5" s="4916"/>
      <c r="AQ5" s="3293"/>
      <c r="AR5" s="3293"/>
      <c r="AS5" s="4309" t="s">
        <v>6849</v>
      </c>
      <c r="AT5" s="4309"/>
      <c r="AU5" s="4309"/>
      <c r="AV5" s="4309"/>
      <c r="AW5" s="710"/>
      <c r="AX5" s="741"/>
      <c r="AY5" s="578"/>
      <c r="AZ5" s="1737"/>
      <c r="BA5" s="1737" t="s">
        <v>1687</v>
      </c>
      <c r="BB5" s="1737"/>
      <c r="BC5" s="1737"/>
      <c r="BD5" s="1737"/>
      <c r="BE5" s="1737"/>
      <c r="BF5" s="1737"/>
      <c r="BG5" s="1737"/>
      <c r="BH5" s="1737"/>
      <c r="BI5" s="1737"/>
    </row>
    <row r="6" spans="1:61" ht="12" customHeight="1" thickBot="1" x14ac:dyDescent="0.25">
      <c r="A6" s="29"/>
      <c r="B6" s="489"/>
      <c r="C6" s="3298"/>
      <c r="D6" s="3298"/>
      <c r="E6" s="3298"/>
      <c r="F6" s="3298"/>
      <c r="G6" s="3298"/>
      <c r="H6" s="3298"/>
      <c r="I6" s="9"/>
      <c r="J6" s="4309" t="s">
        <v>1684</v>
      </c>
      <c r="K6" s="4309"/>
      <c r="L6" s="4309"/>
      <c r="M6" s="4309"/>
      <c r="N6" s="4309"/>
      <c r="O6" s="4309"/>
      <c r="P6" s="4309"/>
      <c r="Q6" s="11"/>
      <c r="S6" s="581"/>
      <c r="T6" s="488"/>
      <c r="U6" s="29"/>
      <c r="V6" s="489"/>
      <c r="W6" s="3298"/>
      <c r="X6" s="3298"/>
      <c r="Y6" s="3298"/>
      <c r="Z6" s="3298"/>
      <c r="AA6" s="3298"/>
      <c r="AB6" s="3298"/>
      <c r="AC6" s="9"/>
      <c r="AD6" s="4309" t="s">
        <v>1685</v>
      </c>
      <c r="AE6" s="4309"/>
      <c r="AF6" s="4309"/>
      <c r="AG6" s="4309"/>
      <c r="AH6" s="4309"/>
      <c r="AI6" s="4309"/>
      <c r="AJ6" s="4309"/>
      <c r="AK6" s="11"/>
      <c r="AL6" s="1073"/>
      <c r="AM6" s="29"/>
      <c r="AN6" s="29"/>
      <c r="AO6" s="731"/>
      <c r="AP6" s="4916"/>
      <c r="AQ6" s="3293"/>
      <c r="AR6" s="3293"/>
      <c r="AS6" s="4309"/>
      <c r="AT6" s="4309"/>
      <c r="AU6" s="4309"/>
      <c r="AV6" s="4309"/>
      <c r="AW6" s="710"/>
      <c r="AX6" s="741"/>
      <c r="AY6" s="578"/>
      <c r="AZ6" s="1737"/>
      <c r="BA6" s="1737"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1737"/>
      <c r="BC6" s="1737"/>
      <c r="BD6" s="1737"/>
      <c r="BE6" s="1737"/>
      <c r="BF6" s="1737"/>
      <c r="BG6" s="1737"/>
      <c r="BH6" s="1737"/>
      <c r="BI6" s="1737"/>
    </row>
    <row r="7" spans="1:61" ht="12" customHeight="1" thickBot="1" x14ac:dyDescent="0.25">
      <c r="A7" s="29"/>
      <c r="B7" s="489"/>
      <c r="C7" s="3298"/>
      <c r="D7" s="3298"/>
      <c r="E7" s="3298"/>
      <c r="F7" s="3298"/>
      <c r="G7" s="3298"/>
      <c r="H7" s="3298"/>
      <c r="I7" s="9"/>
      <c r="J7" s="4309"/>
      <c r="K7" s="4309"/>
      <c r="L7" s="4309"/>
      <c r="M7" s="4309"/>
      <c r="N7" s="4309"/>
      <c r="O7" s="4309"/>
      <c r="P7" s="4309"/>
      <c r="Q7" s="11"/>
      <c r="S7" s="581"/>
      <c r="T7" s="488"/>
      <c r="U7" s="29"/>
      <c r="V7" s="489"/>
      <c r="W7" s="3298"/>
      <c r="X7" s="3298"/>
      <c r="Y7" s="3298"/>
      <c r="Z7" s="3298"/>
      <c r="AA7" s="3298"/>
      <c r="AB7" s="3298"/>
      <c r="AC7" s="9"/>
      <c r="AD7" s="4309"/>
      <c r="AE7" s="4309"/>
      <c r="AF7" s="4309"/>
      <c r="AG7" s="4309"/>
      <c r="AH7" s="4309"/>
      <c r="AI7" s="4309"/>
      <c r="AJ7" s="4309"/>
      <c r="AK7" s="11"/>
      <c r="AL7" s="1073"/>
      <c r="AM7" s="29"/>
      <c r="AN7" s="29"/>
      <c r="AO7" s="731"/>
      <c r="AP7" s="4916"/>
      <c r="AQ7" s="3293"/>
      <c r="AR7" s="3293"/>
      <c r="AS7" s="705"/>
      <c r="AT7" s="705"/>
      <c r="AU7" s="705"/>
      <c r="AV7" s="705"/>
      <c r="AW7" s="710"/>
      <c r="AX7" s="741"/>
      <c r="AY7" s="578"/>
      <c r="AZ7" s="1737"/>
      <c r="BA7" s="1737"/>
      <c r="BB7" s="1737"/>
      <c r="BC7" s="1737"/>
      <c r="BD7" s="1737"/>
      <c r="BE7" s="1737"/>
      <c r="BF7" s="1737"/>
      <c r="BG7" s="1737"/>
      <c r="BH7" s="1737"/>
      <c r="BI7" s="1737"/>
    </row>
    <row r="8" spans="1:61" ht="12" customHeight="1" thickBot="1" x14ac:dyDescent="0.25">
      <c r="A8" s="29"/>
      <c r="B8" s="489"/>
      <c r="C8" s="3298"/>
      <c r="D8" s="3298"/>
      <c r="E8" s="3298"/>
      <c r="F8" s="3298"/>
      <c r="G8" s="3298"/>
      <c r="H8" s="3298"/>
      <c r="I8" s="12"/>
      <c r="J8" s="12"/>
      <c r="K8" s="12"/>
      <c r="L8" s="12"/>
      <c r="M8" s="12"/>
      <c r="N8" s="12"/>
      <c r="O8" s="12"/>
      <c r="P8" s="12"/>
      <c r="Q8" s="13"/>
      <c r="S8" s="581"/>
      <c r="T8" s="488"/>
      <c r="U8" s="29"/>
      <c r="V8" s="489"/>
      <c r="W8" s="3298"/>
      <c r="X8" s="3298"/>
      <c r="Y8" s="3298"/>
      <c r="Z8" s="3298"/>
      <c r="AA8" s="3298"/>
      <c r="AB8" s="3298"/>
      <c r="AC8" s="12"/>
      <c r="AD8" s="12"/>
      <c r="AE8" s="12"/>
      <c r="AF8" s="12"/>
      <c r="AG8" s="12"/>
      <c r="AH8" s="12"/>
      <c r="AI8" s="12"/>
      <c r="AJ8" s="12"/>
      <c r="AK8" s="13"/>
      <c r="AL8" s="1073"/>
      <c r="AM8" s="29"/>
      <c r="AN8" s="29"/>
      <c r="AO8" s="731"/>
      <c r="AP8" s="4917"/>
      <c r="AQ8" s="4918"/>
      <c r="AR8" s="4918"/>
      <c r="AS8" s="711"/>
      <c r="AT8" s="711"/>
      <c r="AU8" s="711"/>
      <c r="AV8" s="711"/>
      <c r="AW8" s="712"/>
      <c r="AX8" s="741"/>
      <c r="AY8" s="578"/>
      <c r="AZ8" s="1737"/>
      <c r="BA8" s="1737"/>
      <c r="BB8" s="1737"/>
      <c r="BC8" s="1737"/>
      <c r="BD8" s="1737"/>
      <c r="BE8" s="1737"/>
      <c r="BF8" s="1737"/>
      <c r="BG8" s="1737"/>
      <c r="BH8" s="1737"/>
      <c r="BI8" s="1737"/>
    </row>
    <row r="9" spans="1:61" ht="12" customHeight="1" thickBot="1" x14ac:dyDescent="0.25">
      <c r="A9" s="29"/>
      <c r="B9" s="489"/>
      <c r="S9" s="581"/>
      <c r="T9" s="488"/>
      <c r="U9" s="29"/>
      <c r="V9" s="489"/>
      <c r="AL9" s="1073"/>
      <c r="AM9" s="29"/>
      <c r="AN9" s="29"/>
      <c r="AO9" s="731"/>
      <c r="AX9" s="741"/>
      <c r="AY9" s="578"/>
      <c r="AZ9" s="1737"/>
      <c r="BA9" s="1737"/>
      <c r="BB9" s="1737"/>
      <c r="BC9" s="1737"/>
      <c r="BD9" s="1737"/>
      <c r="BE9" s="1737"/>
      <c r="BF9" s="1737"/>
      <c r="BG9" s="1737"/>
      <c r="BH9" s="1737"/>
      <c r="BI9" s="1737"/>
    </row>
    <row r="10" spans="1:61" ht="12" customHeight="1" thickBot="1" x14ac:dyDescent="0.25">
      <c r="A10" s="29"/>
      <c r="B10" s="489"/>
      <c r="C10" s="3307" t="s">
        <v>1513</v>
      </c>
      <c r="D10" s="3308"/>
      <c r="E10" s="3308"/>
      <c r="F10" s="3308"/>
      <c r="G10" s="3308"/>
      <c r="H10" s="3309"/>
      <c r="J10" s="3689" t="s">
        <v>1686</v>
      </c>
      <c r="K10" s="4797"/>
      <c r="L10" s="4797"/>
      <c r="M10" s="4891"/>
      <c r="O10" s="3639" t="s">
        <v>1512</v>
      </c>
      <c r="P10" s="3640"/>
      <c r="Q10" s="3641"/>
      <c r="S10" s="581"/>
      <c r="T10" s="488"/>
      <c r="U10" s="29"/>
      <c r="V10" s="489"/>
      <c r="W10" s="3375" t="s">
        <v>8737</v>
      </c>
      <c r="X10" s="3376"/>
      <c r="Y10" s="3376"/>
      <c r="Z10" s="3376"/>
      <c r="AA10" s="3376"/>
      <c r="AB10" s="3376"/>
      <c r="AC10" s="3377"/>
      <c r="AD10" s="1168"/>
      <c r="AE10" s="4892" t="s">
        <v>1688</v>
      </c>
      <c r="AF10" s="4893"/>
      <c r="AG10" s="4893"/>
      <c r="AH10" s="4893"/>
      <c r="AI10" s="4893"/>
      <c r="AJ10" s="4893"/>
      <c r="AK10" s="1448">
        <f>IF(Tablas!G550&gt;0,0,SUM(I15:I25))-COUNTA(Místicos!AG12:AJ50)</f>
        <v>0</v>
      </c>
      <c r="AL10" s="1073"/>
      <c r="AM10" s="29"/>
      <c r="AN10" s="29"/>
      <c r="AO10" s="731"/>
      <c r="AQ10" s="4744" t="s">
        <v>6854</v>
      </c>
      <c r="AR10" s="4745"/>
      <c r="AS10" s="4746"/>
      <c r="AT10" s="4747" t="s">
        <v>6855</v>
      </c>
      <c r="AU10" s="4748"/>
      <c r="AV10" s="4749"/>
      <c r="AX10" s="741"/>
      <c r="AY10" s="578"/>
      <c r="AZ10" s="1737"/>
      <c r="BA10" s="3061" t="s">
        <v>6928</v>
      </c>
      <c r="BB10" s="3061" t="s">
        <v>6929</v>
      </c>
      <c r="BC10" s="3061" t="s">
        <v>6930</v>
      </c>
      <c r="BD10" s="1737"/>
      <c r="BE10" s="1737"/>
      <c r="BF10" s="1737"/>
      <c r="BG10" s="1737"/>
      <c r="BH10" s="1737"/>
      <c r="BI10" s="1737"/>
    </row>
    <row r="11" spans="1:61" ht="12" customHeight="1" thickBot="1" x14ac:dyDescent="0.25">
      <c r="A11" s="29"/>
      <c r="B11" s="489"/>
      <c r="C11" s="4884" t="s">
        <v>1689</v>
      </c>
      <c r="D11" s="4868"/>
      <c r="E11" s="4867" t="s">
        <v>1690</v>
      </c>
      <c r="F11" s="4868"/>
      <c r="G11" s="4887" t="s">
        <v>1691</v>
      </c>
      <c r="H11" s="4888"/>
      <c r="J11" s="4889" t="s">
        <v>1692</v>
      </c>
      <c r="K11" s="4890"/>
      <c r="L11" s="4895" t="s">
        <v>1510</v>
      </c>
      <c r="M11" s="4896"/>
      <c r="O11" s="2176" t="s">
        <v>1393</v>
      </c>
      <c r="P11" s="89" t="s">
        <v>1564</v>
      </c>
      <c r="Q11" s="2177" t="s">
        <v>1693</v>
      </c>
      <c r="S11" s="581"/>
      <c r="T11" s="488"/>
      <c r="U11" s="29"/>
      <c r="V11" s="489"/>
      <c r="W11" s="4883" t="s">
        <v>1695</v>
      </c>
      <c r="X11" s="3302"/>
      <c r="Y11" s="3302" t="s">
        <v>1694</v>
      </c>
      <c r="Z11" s="3302"/>
      <c r="AA11" s="3302"/>
      <c r="AB11" s="3302"/>
      <c r="AC11" s="1607" t="s">
        <v>1403</v>
      </c>
      <c r="AD11" s="579" t="s">
        <v>7066</v>
      </c>
      <c r="AE11" s="3478" t="s">
        <v>1696</v>
      </c>
      <c r="AF11" s="3479"/>
      <c r="AG11" s="3479" t="s">
        <v>1694</v>
      </c>
      <c r="AH11" s="3479"/>
      <c r="AI11" s="3479"/>
      <c r="AJ11" s="3479"/>
      <c r="AK11" s="1607" t="s">
        <v>1403</v>
      </c>
      <c r="AL11" s="1073"/>
      <c r="AM11" s="29"/>
      <c r="AN11" s="29"/>
      <c r="AO11" s="731"/>
      <c r="AX11" s="741"/>
      <c r="AY11" s="578"/>
      <c r="AZ11" s="1737"/>
      <c r="BA11" s="3082" t="b">
        <f>$AP$44="Onmyodo"</f>
        <v>0</v>
      </c>
      <c r="BB11" s="3082" t="b">
        <f>$AP$44="Vodoun"</f>
        <v>0</v>
      </c>
      <c r="BC11" s="3082" t="b">
        <f>$AP$44="Shamanica"</f>
        <v>0</v>
      </c>
      <c r="BD11" s="1737"/>
      <c r="BE11" s="1737"/>
      <c r="BF11" s="1737"/>
      <c r="BG11" s="1737"/>
      <c r="BH11" s="1737"/>
      <c r="BI11" s="1737"/>
    </row>
    <row r="12" spans="1:61" ht="12" customHeight="1" thickBot="1" x14ac:dyDescent="0.25">
      <c r="A12" s="29"/>
      <c r="B12" s="489"/>
      <c r="C12" s="4869">
        <f>NiveldeMagia_final</f>
        <v>0</v>
      </c>
      <c r="D12" s="4870"/>
      <c r="E12" s="4863">
        <f>SUM(G15:G25)+G12+H26</f>
        <v>0</v>
      </c>
      <c r="F12" s="4864"/>
      <c r="G12" s="4873">
        <f>Metamagia!$T$37</f>
        <v>0</v>
      </c>
      <c r="H12" s="4874"/>
      <c r="I12" s="579">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932">
        <f>I12-H61</f>
        <v>0</v>
      </c>
      <c r="K12" s="4933"/>
      <c r="L12" s="4936">
        <f>ACT_final+L21</f>
        <v>0</v>
      </c>
      <c r="M12" s="4937"/>
      <c r="O12" s="4940">
        <f>Turno_Nat_final</f>
        <v>40</v>
      </c>
      <c r="P12" s="4942">
        <f>IF(OR(PDs!E102="Proyección Mágica como ataque",PDs!E103="Proyección Mágica como ataque"),PDs!V25+ProyecciónMágica_final-PDs!V96,ProyecciónMágica_final+Q14)</f>
        <v>0</v>
      </c>
      <c r="Q12" s="4944">
        <f>IF(OR(PDs!E102="Proyección Mágica como defensa",PDs!E103="Proyección Mágica como defensa"),MAX(PDs!V26,PDs!V27)+ProyecciónMágica_final-PDs!V96,ProyecciónMágica_final-Q14)</f>
        <v>0</v>
      </c>
      <c r="S12" s="581"/>
      <c r="T12" s="488" t="str">
        <f>"Conjuros"&amp;IF(W12="","","_"&amp;SUBSTITUTE(W12," ",""))</f>
        <v>Conjuros</v>
      </c>
      <c r="U12" s="29"/>
      <c r="V12" s="676">
        <f>IF(AC12="",0,VLOOKUP(AC12,Tablas!$M$1076:$N$1085,2))</f>
        <v>0</v>
      </c>
      <c r="W12" s="4120"/>
      <c r="X12" s="4715"/>
      <c r="Y12" s="4740"/>
      <c r="Z12" s="4741"/>
      <c r="AA12" s="4741"/>
      <c r="AB12" s="4742"/>
      <c r="AC12" s="546" t="str">
        <f>IF(Místicos!Y12=0,"",VLOOKUP(Místicos!Y12,Tabla_Conjuros,3,FALSE))</f>
        <v/>
      </c>
      <c r="AD12" s="2378" t="str">
        <f>AE12&amp;AK12</f>
        <v/>
      </c>
      <c r="AE12" s="4120"/>
      <c r="AF12" s="4715"/>
      <c r="AG12" s="4740"/>
      <c r="AH12" s="4741"/>
      <c r="AI12" s="4741"/>
      <c r="AJ12" s="4742"/>
      <c r="AK12" s="1483"/>
      <c r="AL12" s="1169">
        <f>IF(Místicos!AG12=0,0,VLOOKUP(Místicos!AG12,Tabla_Conjuros,3,FALSE)-10)</f>
        <v>0</v>
      </c>
      <c r="AM12" s="1340" t="str">
        <f>IF(OR(AK12=0,AK12&gt;90),"Conjuros_LibreAcceso","Conjuros_LibreAcceso"&amp;(TRUNC(AK12/10)*10+10))</f>
        <v>Conjuros_LibreAcceso</v>
      </c>
      <c r="AN12" s="1340" t="str">
        <f>AE12&amp;COUNTIF($AE$12:AF12,AE12)</f>
        <v>0</v>
      </c>
      <c r="AO12" s="2966" t="b">
        <f>ISNUMBER(SEARCH(AE12,VLOOKUP(AG12,'Tablas Magia'!$D$6:$AA$680,24,FALSE)))</f>
        <v>0</v>
      </c>
      <c r="AP12" s="4902" t="s">
        <v>6895</v>
      </c>
      <c r="AQ12" s="4903"/>
      <c r="AR12" s="4903"/>
      <c r="AS12" s="4903"/>
      <c r="AT12" s="4903"/>
      <c r="AU12" s="4903"/>
      <c r="AV12" s="4903"/>
      <c r="AW12" s="4904"/>
      <c r="AX12" s="742"/>
      <c r="AY12" s="578"/>
      <c r="AZ12" s="3064"/>
      <c r="BA12" s="4894" t="s">
        <v>6927</v>
      </c>
      <c r="BB12" s="4894"/>
      <c r="BC12" s="4894"/>
      <c r="BD12" s="4894" t="s">
        <v>6939</v>
      </c>
      <c r="BE12" s="4894"/>
      <c r="BF12" s="4894"/>
      <c r="BG12" s="4894" t="s">
        <v>6940</v>
      </c>
      <c r="BH12" s="4894"/>
      <c r="BI12" s="4894"/>
    </row>
    <row r="13" spans="1:61" ht="12" customHeight="1" thickBot="1" x14ac:dyDescent="0.25">
      <c r="A13" s="29"/>
      <c r="B13" s="489"/>
      <c r="C13" s="4871"/>
      <c r="D13" s="4872"/>
      <c r="E13" s="4865"/>
      <c r="F13" s="4866"/>
      <c r="G13" s="4873"/>
      <c r="H13" s="4874"/>
      <c r="J13" s="4934"/>
      <c r="K13" s="4935"/>
      <c r="L13" s="4938"/>
      <c r="M13" s="4939"/>
      <c r="O13" s="4941"/>
      <c r="P13" s="4943"/>
      <c r="Q13" s="4945"/>
      <c r="S13" s="581"/>
      <c r="T13" s="488" t="str">
        <f t="shared" ref="T13:T50" si="0">"Conjuros"&amp;IF(W13="","","_"&amp;SUBSTITUTE(W13," ",""))</f>
        <v>Conjuros</v>
      </c>
      <c r="U13" s="29"/>
      <c r="V13" s="676">
        <f>IF(AC13="",0,VLOOKUP(AC13,Tablas!$M$1076:$N$1085,2))</f>
        <v>0</v>
      </c>
      <c r="W13" s="4123"/>
      <c r="X13" s="4817"/>
      <c r="Y13" s="4725"/>
      <c r="Z13" s="4726"/>
      <c r="AA13" s="4726"/>
      <c r="AB13" s="4727"/>
      <c r="AC13" s="545" t="str">
        <f>IF(Místicos!Y13=0,"",VLOOKUP(Místicos!Y13,Tabla_Conjuros,3,FALSE))</f>
        <v/>
      </c>
      <c r="AD13" s="2378" t="str">
        <f t="shared" ref="AD13:AD50" si="1">AE13&amp;AK13</f>
        <v/>
      </c>
      <c r="AE13" s="4743"/>
      <c r="AF13" s="4718"/>
      <c r="AG13" s="4725"/>
      <c r="AH13" s="4726"/>
      <c r="AI13" s="4726"/>
      <c r="AJ13" s="4727"/>
      <c r="AK13" s="1552"/>
      <c r="AL13" s="1169">
        <f>IF(Místicos!AG13=0,0,VLOOKUP(Místicos!AG13,Tabla_Conjuros,3,FALSE)-10)</f>
        <v>0</v>
      </c>
      <c r="AM13" s="1340" t="str">
        <f t="shared" ref="AM13:AM50" si="2">IF(OR(AK13=0,AK13&gt;90),"Conjuros_LibreAcceso","Conjuros_LibreAcceso"&amp;(TRUNC(AK13/10)*10+10))</f>
        <v>Conjuros_LibreAcceso</v>
      </c>
      <c r="AN13" s="1340" t="str">
        <f>AE13&amp;COUNTIF($AE$12:AF13,AE13)</f>
        <v>0</v>
      </c>
      <c r="AO13" s="2966" t="b">
        <f>ISNUMBER(SEARCH(AE13,VLOOKUP(AG13,'Tablas Magia'!$D$6:$AA$680,24,FALSE)))</f>
        <v>0</v>
      </c>
      <c r="AX13" s="742"/>
      <c r="AY13" s="578"/>
      <c r="AZ13" s="3064"/>
      <c r="BA13" s="1758" t="s">
        <v>9990</v>
      </c>
      <c r="BB13" s="1758" t="s">
        <v>6926</v>
      </c>
      <c r="BC13" s="1758" t="s">
        <v>6922</v>
      </c>
      <c r="BD13" s="1758" t="s">
        <v>6931</v>
      </c>
      <c r="BE13" s="1758" t="s">
        <v>6954</v>
      </c>
      <c r="BF13" s="1758" t="s">
        <v>6934</v>
      </c>
      <c r="BG13" s="1758">
        <v>-40</v>
      </c>
      <c r="BH13" s="1758" t="s">
        <v>6926</v>
      </c>
      <c r="BI13" s="1758" t="s">
        <v>1456</v>
      </c>
    </row>
    <row r="14" spans="1:61" ht="12" customHeight="1" thickBot="1" x14ac:dyDescent="0.25">
      <c r="A14" s="29"/>
      <c r="B14" s="489"/>
      <c r="C14" s="4879" t="s">
        <v>1695</v>
      </c>
      <c r="D14" s="4880"/>
      <c r="E14" s="4881" t="s">
        <v>1697</v>
      </c>
      <c r="F14" s="4882"/>
      <c r="G14" s="510" t="s">
        <v>1698</v>
      </c>
      <c r="H14" s="668" t="s">
        <v>1403</v>
      </c>
      <c r="I14" s="772"/>
      <c r="J14" s="4955" t="s">
        <v>1701</v>
      </c>
      <c r="K14" s="4956"/>
      <c r="L14" s="4957">
        <f>VLOOKUP($L$12,Tabla_MagiaInnata,2)</f>
        <v>0</v>
      </c>
      <c r="M14" s="4958"/>
      <c r="O14" s="4949" t="s">
        <v>9610</v>
      </c>
      <c r="P14" s="4950"/>
      <c r="Q14" s="4953"/>
      <c r="S14" s="581"/>
      <c r="T14" s="488" t="str">
        <f t="shared" si="0"/>
        <v>Conjuros</v>
      </c>
      <c r="U14" s="29"/>
      <c r="V14" s="676">
        <f>IF(AC14="",0,VLOOKUP(AC14,Tablas!$M$1076:$N$1085,2))</f>
        <v>0</v>
      </c>
      <c r="W14" s="4120"/>
      <c r="X14" s="4715"/>
      <c r="Y14" s="4722"/>
      <c r="Z14" s="4723"/>
      <c r="AA14" s="4723"/>
      <c r="AB14" s="4724"/>
      <c r="AC14" s="546" t="str">
        <f>IF(Místicos!Y14=0,"",VLOOKUP(Místicos!Y14,Tabla_Conjuros,3,FALSE))</f>
        <v/>
      </c>
      <c r="AD14" s="2378" t="str">
        <f t="shared" si="1"/>
        <v/>
      </c>
      <c r="AE14" s="4120"/>
      <c r="AF14" s="4715"/>
      <c r="AG14" s="4722"/>
      <c r="AH14" s="4723"/>
      <c r="AI14" s="4723"/>
      <c r="AJ14" s="4724"/>
      <c r="AK14" s="1483"/>
      <c r="AL14" s="1169">
        <f>IF(Místicos!AG14=0,0,VLOOKUP(Místicos!AG14,Tabla_Conjuros,3,FALSE)-10)</f>
        <v>0</v>
      </c>
      <c r="AM14" s="1340" t="str">
        <f t="shared" si="2"/>
        <v>Conjuros_LibreAcceso</v>
      </c>
      <c r="AN14" s="1340" t="str">
        <f>AE14&amp;COUNTIF($AE$12:AF14,AE14)</f>
        <v>0</v>
      </c>
      <c r="AO14" s="2966" t="b">
        <f>ISNUMBER(SEARCH(AE14,VLOOKUP(AG14,'Tablas Magia'!$D$6:$AA$680,24,FALSE)))</f>
        <v>0</v>
      </c>
      <c r="AP14" s="4762" t="s">
        <v>6887</v>
      </c>
      <c r="AQ14" s="4760"/>
      <c r="AR14" s="4760"/>
      <c r="AS14" s="4759" t="s">
        <v>6912</v>
      </c>
      <c r="AT14" s="4760"/>
      <c r="AU14" s="4760"/>
      <c r="AV14" s="4760"/>
      <c r="AW14" s="4761"/>
      <c r="AX14" s="742"/>
      <c r="AY14" s="578"/>
      <c r="AZ14" s="3064"/>
      <c r="BA14" s="1758" t="s">
        <v>7160</v>
      </c>
      <c r="BB14" s="1758" t="s">
        <v>6926</v>
      </c>
      <c r="BC14" s="1758" t="s">
        <v>6923</v>
      </c>
      <c r="BD14" s="1758" t="s">
        <v>6932</v>
      </c>
      <c r="BE14" s="1758" t="s">
        <v>6955</v>
      </c>
      <c r="BF14" s="1758" t="s">
        <v>6935</v>
      </c>
      <c r="BG14" s="1758">
        <v>-20</v>
      </c>
      <c r="BH14" s="1758" t="s">
        <v>6926</v>
      </c>
      <c r="BI14" s="1758" t="s">
        <v>6941</v>
      </c>
    </row>
    <row r="15" spans="1:61" ht="12" customHeight="1" thickBot="1" x14ac:dyDescent="0.25">
      <c r="A15" s="29"/>
      <c r="B15" s="879"/>
      <c r="C15" s="4875"/>
      <c r="D15" s="4876"/>
      <c r="E15" s="4877"/>
      <c r="F15" s="4878"/>
      <c r="G15" s="1544"/>
      <c r="H15" s="669">
        <f t="shared" ref="H15:H25" si="3">IF(C15="",0,MIN(100,G15/VLOOKUP(C15,Tabla_VíasOpuestas,7,FALSE)+VLOOKUP(C15,Tabla_VíasOpuestas,5,FALSE)))</f>
        <v>0</v>
      </c>
      <c r="I15" s="679">
        <f>IF(H15&gt;3,VLOOKUP(H15,Tabla_NumeroConjurosLA,IF(VLOOKUP(C15,ViasMayores,2,FALSE)="Mayor",2,3))-IF(Místicos!E15=0,0,TRUNC((H15+6)/10)),0)</f>
        <v>0</v>
      </c>
      <c r="J15" s="4899"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900"/>
      <c r="L15" s="4900"/>
      <c r="M15" s="4901"/>
      <c r="O15" s="4951"/>
      <c r="P15" s="4952"/>
      <c r="Q15" s="4954"/>
      <c r="S15" s="581"/>
      <c r="T15" s="488" t="str">
        <f t="shared" si="0"/>
        <v>Conjuros</v>
      </c>
      <c r="U15" s="29"/>
      <c r="V15" s="676">
        <f>IF(AC15="",0,VLOOKUP(AC15,Tablas!$M$1076:$N$1085,2))</f>
        <v>0</v>
      </c>
      <c r="W15" s="4123"/>
      <c r="X15" s="4817"/>
      <c r="Y15" s="4725"/>
      <c r="Z15" s="4726"/>
      <c r="AA15" s="4726"/>
      <c r="AB15" s="4727"/>
      <c r="AC15" s="545" t="str">
        <f>IF(Místicos!Y15=0,"",VLOOKUP(Místicos!Y15,Tabla_Conjuros,3,FALSE))</f>
        <v/>
      </c>
      <c r="AD15" s="2378" t="str">
        <f t="shared" si="1"/>
        <v/>
      </c>
      <c r="AE15" s="4743"/>
      <c r="AF15" s="4718"/>
      <c r="AG15" s="4725"/>
      <c r="AH15" s="4726"/>
      <c r="AI15" s="4726"/>
      <c r="AJ15" s="4727"/>
      <c r="AK15" s="1552"/>
      <c r="AL15" s="1169">
        <f>IF(Místicos!AG15=0,0,VLOOKUP(Místicos!AG15,Tabla_Conjuros,3,FALSE)-10)</f>
        <v>0</v>
      </c>
      <c r="AM15" s="1340" t="str">
        <f t="shared" si="2"/>
        <v>Conjuros_LibreAcceso</v>
      </c>
      <c r="AN15" s="1340" t="str">
        <f>AE15&amp;COUNTIF($AE$12:AF15,AE15)</f>
        <v>0</v>
      </c>
      <c r="AO15" s="2966" t="b">
        <f>ISNUMBER(SEARCH(AE15,VLOOKUP(AG15,'Tablas Magia'!$D$6:$AA$680,24,FALSE)))</f>
        <v>0</v>
      </c>
      <c r="AP15" s="716" t="s">
        <v>1403</v>
      </c>
      <c r="AQ15" s="4739" t="s">
        <v>6858</v>
      </c>
      <c r="AR15" s="4739"/>
      <c r="AS15" s="717" t="s">
        <v>1566</v>
      </c>
      <c r="AT15" s="172" t="s">
        <v>134</v>
      </c>
      <c r="AU15" s="172" t="s">
        <v>2169</v>
      </c>
      <c r="AV15" s="172" t="s">
        <v>1465</v>
      </c>
      <c r="AW15" s="715" t="s">
        <v>6885</v>
      </c>
      <c r="AX15" s="742"/>
      <c r="AY15" s="578"/>
      <c r="AZ15" s="3064"/>
      <c r="BA15" s="1758" t="s">
        <v>7161</v>
      </c>
      <c r="BB15" s="1758" t="s">
        <v>6926</v>
      </c>
      <c r="BC15" s="1758" t="s">
        <v>1577</v>
      </c>
      <c r="BD15" s="1758" t="s">
        <v>6933</v>
      </c>
      <c r="BE15" s="1758" t="s">
        <v>6956</v>
      </c>
      <c r="BF15" s="1758" t="s">
        <v>6936</v>
      </c>
      <c r="BG15" s="1758">
        <v>0</v>
      </c>
      <c r="BH15" s="1758" t="s">
        <v>6926</v>
      </c>
      <c r="BI15" s="1758" t="s">
        <v>6942</v>
      </c>
    </row>
    <row r="16" spans="1:61" ht="12" customHeight="1" thickBot="1" x14ac:dyDescent="0.25">
      <c r="A16" s="29"/>
      <c r="B16" s="879"/>
      <c r="C16" s="4826"/>
      <c r="D16" s="4827"/>
      <c r="E16" s="4831"/>
      <c r="F16" s="4832"/>
      <c r="G16" s="1548"/>
      <c r="H16" s="670">
        <f t="shared" si="3"/>
        <v>0</v>
      </c>
      <c r="I16" s="679">
        <f>IF(H16&gt;3,VLOOKUP(H16,Tabla_NumeroConjurosLA,IF(VLOOKUP(C16,ViasMayores,2,FALSE)="Mayor",2,3))-IF(Místicos!E16=0,0,TRUNC((H16+6)/10)),0)</f>
        <v>0</v>
      </c>
      <c r="S16" s="581"/>
      <c r="T16" s="488" t="str">
        <f t="shared" si="0"/>
        <v>Conjuros</v>
      </c>
      <c r="U16" s="29"/>
      <c r="V16" s="676">
        <f>IF(AC16="",0,VLOOKUP(AC16,Tablas!$M$1076:$N$1085,2))</f>
        <v>0</v>
      </c>
      <c r="W16" s="4120"/>
      <c r="X16" s="4715"/>
      <c r="Y16" s="4722"/>
      <c r="Z16" s="4723"/>
      <c r="AA16" s="4723"/>
      <c r="AB16" s="4724"/>
      <c r="AC16" s="546" t="str">
        <f>IF(Místicos!Y16=0,"",VLOOKUP(Místicos!Y16,Tabla_Conjuros,3,FALSE))</f>
        <v/>
      </c>
      <c r="AD16" s="2378" t="str">
        <f t="shared" si="1"/>
        <v/>
      </c>
      <c r="AE16" s="4120"/>
      <c r="AF16" s="4715"/>
      <c r="AG16" s="4722"/>
      <c r="AH16" s="4723"/>
      <c r="AI16" s="4723"/>
      <c r="AJ16" s="4724"/>
      <c r="AK16" s="1483"/>
      <c r="AL16" s="1169">
        <f>IF(Místicos!AG16=0,0,VLOOKUP(Místicos!AG16,Tabla_Conjuros,3,FALSE)-10)</f>
        <v>0</v>
      </c>
      <c r="AM16" s="1340" t="str">
        <f t="shared" si="2"/>
        <v>Conjuros_LibreAcceso</v>
      </c>
      <c r="AN16" s="1340" t="str">
        <f>AE16&amp;COUNTIF($AE$12:AF16,AE16)</f>
        <v>0</v>
      </c>
      <c r="AO16" s="2966" t="b">
        <f>ISNUMBER(SEARCH(AE16,VLOOKUP(AG16,'Tablas Magia'!$D$6:$AA$680,24,FALSE)))</f>
        <v>0</v>
      </c>
      <c r="AP16" s="722">
        <v>1</v>
      </c>
      <c r="AQ16" s="4764">
        <f>VLOOKUP(AP16,Tabla_MagiaNatural_DifBase,2,FALSE)+IF(NOT($AT$10="Magia Natural"),4,0)+IF($AS$32="",0,IF(ISNUMBER(SEARCH("(",$AS$32)),-4,-2))</f>
        <v>18</v>
      </c>
      <c r="AR16" s="4764"/>
      <c r="AS16" s="720">
        <v>20</v>
      </c>
      <c r="AT16" s="721" t="s">
        <v>1381</v>
      </c>
      <c r="AU16" s="721">
        <v>40</v>
      </c>
      <c r="AV16" s="721">
        <v>80</v>
      </c>
      <c r="AW16" s="723">
        <v>4</v>
      </c>
      <c r="AX16" s="742"/>
      <c r="AY16" s="578"/>
      <c r="AZ16" s="3064"/>
      <c r="BA16" s="1758" t="s">
        <v>7162</v>
      </c>
      <c r="BB16" s="1758" t="s">
        <v>6926</v>
      </c>
      <c r="BC16" s="1758" t="s">
        <v>6924</v>
      </c>
      <c r="BD16" s="1758" t="s">
        <v>6063</v>
      </c>
      <c r="BE16" s="1758" t="s">
        <v>6957</v>
      </c>
      <c r="BF16" s="1758" t="s">
        <v>6937</v>
      </c>
      <c r="BG16" s="1758">
        <v>20</v>
      </c>
      <c r="BH16" s="1758" t="s">
        <v>6926</v>
      </c>
      <c r="BI16" s="1758" t="s">
        <v>6942</v>
      </c>
    </row>
    <row r="17" spans="1:61" ht="12" customHeight="1" thickBot="1" x14ac:dyDescent="0.25">
      <c r="A17" s="29"/>
      <c r="B17" s="879"/>
      <c r="C17" s="4885"/>
      <c r="D17" s="4886"/>
      <c r="E17" s="4842"/>
      <c r="F17" s="4843"/>
      <c r="G17" s="1545"/>
      <c r="H17" s="669">
        <f t="shared" si="3"/>
        <v>0</v>
      </c>
      <c r="I17" s="679">
        <f>IF(H17&gt;3,VLOOKUP(H17,Tabla_NumeroConjurosLA,IF(VLOOKUP(C17,ViasMayores,2,FALSE)="Mayor",2,3))-IF(Místicos!E17=0,0,TRUNC((H17+6)/10)),0)</f>
        <v>0</v>
      </c>
      <c r="J17" s="4946" t="s">
        <v>2662</v>
      </c>
      <c r="K17" s="4947"/>
      <c r="L17" s="4947"/>
      <c r="M17" s="4947"/>
      <c r="N17" s="4947"/>
      <c r="O17" s="4947"/>
      <c r="P17" s="4947"/>
      <c r="Q17" s="4948"/>
      <c r="S17" s="581"/>
      <c r="T17" s="488" t="str">
        <f t="shared" si="0"/>
        <v>Conjuros</v>
      </c>
      <c r="U17" s="29"/>
      <c r="V17" s="676">
        <f>IF(AC17="",0,VLOOKUP(AC17,Tablas!$M$1076:$N$1085,2))</f>
        <v>0</v>
      </c>
      <c r="W17" s="4123"/>
      <c r="X17" s="4817"/>
      <c r="Y17" s="4725"/>
      <c r="Z17" s="4726"/>
      <c r="AA17" s="4726"/>
      <c r="AB17" s="4727"/>
      <c r="AC17" s="545" t="str">
        <f>IF(Místicos!Y17=0,"",VLOOKUP(Místicos!Y17,Tabla_Conjuros,3,FALSE))</f>
        <v/>
      </c>
      <c r="AD17" s="2378" t="str">
        <f t="shared" si="1"/>
        <v/>
      </c>
      <c r="AE17" s="4743"/>
      <c r="AF17" s="4718"/>
      <c r="AG17" s="4725"/>
      <c r="AH17" s="4726"/>
      <c r="AI17" s="4726"/>
      <c r="AJ17" s="4727"/>
      <c r="AK17" s="1552"/>
      <c r="AL17" s="1169">
        <f>IF(Místicos!AG17=0,0,VLOOKUP(Místicos!AG17,Tabla_Conjuros,3,FALSE)-10)</f>
        <v>0</v>
      </c>
      <c r="AM17" s="1340" t="str">
        <f t="shared" si="2"/>
        <v>Conjuros_LibreAcceso</v>
      </c>
      <c r="AN17" s="1340" t="str">
        <f>AE17&amp;COUNTIF($AE$12:AF17,AE17)</f>
        <v>0</v>
      </c>
      <c r="AO17" s="2966" t="b">
        <f>ISNUMBER(SEARCH(AE17,VLOOKUP(AG17,'Tablas Magia'!$D$6:$AA$680,24,FALSE)))</f>
        <v>0</v>
      </c>
      <c r="AP17" s="722">
        <v>2</v>
      </c>
      <c r="AQ17" s="4764">
        <f>VLOOKUP(AP17,Tabla_MagiaNatural_DifBase,2,FALSE)+IF(NOT($AT$10="Magia Natural"),4,0)+IF($AS$32="",0,IF(ISNUMBER(SEARCH("(",$AS$32)),-4,-2))</f>
        <v>22</v>
      </c>
      <c r="AR17" s="4764"/>
      <c r="AS17" s="720">
        <v>50</v>
      </c>
      <c r="AT17" s="721" t="s">
        <v>5608</v>
      </c>
      <c r="AU17" s="721">
        <v>150</v>
      </c>
      <c r="AV17" s="721">
        <v>100</v>
      </c>
      <c r="AW17" s="723">
        <v>6</v>
      </c>
      <c r="AX17" s="742"/>
      <c r="AY17" s="578"/>
      <c r="AZ17" s="3064"/>
      <c r="BA17" s="1758" t="s">
        <v>7163</v>
      </c>
      <c r="BB17" s="1758" t="s">
        <v>6926</v>
      </c>
      <c r="BC17" s="1758" t="s">
        <v>6925</v>
      </c>
      <c r="BD17" s="1758" t="s">
        <v>3380</v>
      </c>
      <c r="BE17" s="1758" t="s">
        <v>6958</v>
      </c>
      <c r="BF17" s="1758" t="s">
        <v>6938</v>
      </c>
      <c r="BG17" s="1758">
        <v>40</v>
      </c>
      <c r="BH17" s="1758" t="s">
        <v>6926</v>
      </c>
      <c r="BI17" s="1758" t="s">
        <v>6943</v>
      </c>
    </row>
    <row r="18" spans="1:61" ht="12" customHeight="1" x14ac:dyDescent="0.2">
      <c r="A18" s="29"/>
      <c r="B18" s="879"/>
      <c r="C18" s="4959"/>
      <c r="D18" s="4960"/>
      <c r="E18" s="4831"/>
      <c r="F18" s="4832"/>
      <c r="G18" s="1548"/>
      <c r="H18" s="670">
        <f t="shared" si="3"/>
        <v>0</v>
      </c>
      <c r="I18" s="679">
        <f>IF(H18&gt;3,VLOOKUP(H18,Tabla_NumeroConjurosLA,IF(VLOOKUP(C18,ViasMayores,2,FALSE)="Mayor",2,3))-IF(Místicos!E18=0,0,TRUNC((H18+6)/10)),0)</f>
        <v>0</v>
      </c>
      <c r="J18" s="4921" t="s">
        <v>1702</v>
      </c>
      <c r="K18" s="4923">
        <f>Zeón_final+L20</f>
        <v>0</v>
      </c>
      <c r="L18" s="4924"/>
      <c r="M18" s="4897"/>
      <c r="N18" s="4897"/>
      <c r="O18" s="4897"/>
      <c r="P18" s="4897"/>
      <c r="Q18" s="4898"/>
      <c r="S18" s="581"/>
      <c r="T18" s="488" t="str">
        <f t="shared" si="0"/>
        <v>Conjuros</v>
      </c>
      <c r="U18" s="29"/>
      <c r="V18" s="676">
        <f>IF(AC18="",0,VLOOKUP(AC18,Tablas!$M$1076:$N$1085,2))</f>
        <v>0</v>
      </c>
      <c r="W18" s="4120"/>
      <c r="X18" s="4715"/>
      <c r="Y18" s="4722"/>
      <c r="Z18" s="4723"/>
      <c r="AA18" s="4723"/>
      <c r="AB18" s="4724"/>
      <c r="AC18" s="546" t="str">
        <f>IF(Místicos!Y18=0,"",VLOOKUP(Místicos!Y18,Tabla_Conjuros,3,FALSE))</f>
        <v/>
      </c>
      <c r="AD18" s="2378" t="str">
        <f t="shared" si="1"/>
        <v/>
      </c>
      <c r="AE18" s="4120"/>
      <c r="AF18" s="4715"/>
      <c r="AG18" s="4722"/>
      <c r="AH18" s="4723"/>
      <c r="AI18" s="4723"/>
      <c r="AJ18" s="4724"/>
      <c r="AK18" s="1483"/>
      <c r="AL18" s="1169">
        <f>IF(Místicos!AG18=0,0,VLOOKUP(Místicos!AG18,Tabla_Conjuros,3,FALSE)-10)</f>
        <v>0</v>
      </c>
      <c r="AM18" s="1340" t="str">
        <f t="shared" si="2"/>
        <v>Conjuros_LibreAcceso</v>
      </c>
      <c r="AN18" s="1340" t="str">
        <f>AE18&amp;COUNTIF($AE$12:AF18,AE18)</f>
        <v>0</v>
      </c>
      <c r="AO18" s="2966" t="b">
        <f>ISNUMBER(SEARCH(AE18,VLOOKUP(AG18,'Tablas Magia'!$D$6:$AA$680,24,FALSE)))</f>
        <v>0</v>
      </c>
      <c r="AP18" s="722">
        <v>3</v>
      </c>
      <c r="AQ18" s="4764">
        <f>VLOOKUP(AP18,Tabla_MagiaNatural_DifBase,2,FALSE)+IF(NOT($AT$10="Magia Natural"),4,0)+IF($AS$32="",0,IF(ISNUMBER(SEARCH("(",$AS$32)),-4,-2))</f>
        <v>28</v>
      </c>
      <c r="AR18" s="4764"/>
      <c r="AS18" s="720">
        <v>100</v>
      </c>
      <c r="AT18" s="721" t="s">
        <v>6901</v>
      </c>
      <c r="AU18" s="721">
        <v>500</v>
      </c>
      <c r="AV18" s="721">
        <v>120</v>
      </c>
      <c r="AW18" s="723">
        <v>9</v>
      </c>
      <c r="AX18" s="742"/>
      <c r="AY18" s="578"/>
      <c r="AZ18" s="3064"/>
      <c r="BA18" s="1758" t="s">
        <v>7164</v>
      </c>
      <c r="BB18" s="1758" t="s">
        <v>6926</v>
      </c>
      <c r="BC18" s="1758" t="s">
        <v>6926</v>
      </c>
      <c r="BD18" s="1758" t="s">
        <v>3381</v>
      </c>
      <c r="BE18" s="1758" t="s">
        <v>6959</v>
      </c>
      <c r="BF18" s="1758" t="s">
        <v>6926</v>
      </c>
      <c r="BG18" s="1758">
        <v>80</v>
      </c>
      <c r="BH18" s="1758" t="s">
        <v>6926</v>
      </c>
      <c r="BI18" s="1758" t="s">
        <v>6926</v>
      </c>
    </row>
    <row r="19" spans="1:61" ht="12" customHeight="1" x14ac:dyDescent="0.2">
      <c r="A19" s="29"/>
      <c r="B19" s="879"/>
      <c r="C19" s="4885"/>
      <c r="D19" s="4886"/>
      <c r="E19" s="4842"/>
      <c r="F19" s="4843"/>
      <c r="G19" s="1545"/>
      <c r="H19" s="669">
        <f t="shared" si="3"/>
        <v>0</v>
      </c>
      <c r="I19" s="679">
        <f>IF(H19&gt;3,VLOOKUP(H19,Tabla_NumeroConjurosLA,IF(VLOOKUP(C19,ViasMayores,2,FALSE)="Mayor",2,3))-IF(Místicos!E19=0,0,TRUNC((H19+6)/10)),0)</f>
        <v>0</v>
      </c>
      <c r="J19" s="4922"/>
      <c r="K19" s="4925"/>
      <c r="L19" s="4926"/>
      <c r="M19" s="4897"/>
      <c r="N19" s="4897"/>
      <c r="O19" s="4897"/>
      <c r="P19" s="4897"/>
      <c r="Q19" s="4898"/>
      <c r="S19" s="581"/>
      <c r="T19" s="488" t="str">
        <f t="shared" si="0"/>
        <v>Conjuros</v>
      </c>
      <c r="U19" s="29"/>
      <c r="V19" s="676">
        <f>IF(AC19="",0,VLOOKUP(AC19,Tablas!$M$1076:$N$1085,2))</f>
        <v>0</v>
      </c>
      <c r="W19" s="4123"/>
      <c r="X19" s="4817"/>
      <c r="Y19" s="4725"/>
      <c r="Z19" s="4726"/>
      <c r="AA19" s="4726"/>
      <c r="AB19" s="4727"/>
      <c r="AC19" s="545" t="str">
        <f>IF(Místicos!Y19=0,"",VLOOKUP(Místicos!Y19,Tabla_Conjuros,3,FALSE))</f>
        <v/>
      </c>
      <c r="AD19" s="2378" t="str">
        <f t="shared" si="1"/>
        <v/>
      </c>
      <c r="AE19" s="4743"/>
      <c r="AF19" s="4718"/>
      <c r="AG19" s="4725"/>
      <c r="AH19" s="4726"/>
      <c r="AI19" s="4726"/>
      <c r="AJ19" s="4727"/>
      <c r="AK19" s="1552"/>
      <c r="AL19" s="1169">
        <f>IF(Místicos!AG19=0,0,VLOOKUP(Místicos!AG19,Tabla_Conjuros,3,FALSE)-10)</f>
        <v>0</v>
      </c>
      <c r="AM19" s="1340" t="str">
        <f t="shared" si="2"/>
        <v>Conjuros_LibreAcceso</v>
      </c>
      <c r="AN19" s="1340" t="str">
        <f>AE19&amp;COUNTIF($AE$12:AF19,AE19)</f>
        <v>0</v>
      </c>
      <c r="AO19" s="2966" t="b">
        <f>ISNUMBER(SEARCH(AE19,VLOOKUP(AG19,'Tablas Magia'!$D$6:$AA$680,24,FALSE)))</f>
        <v>0</v>
      </c>
      <c r="AP19" s="722">
        <v>4</v>
      </c>
      <c r="AQ19" s="4764">
        <f>VLOOKUP(AP19,Tabla_MagiaNatural_DifBase,2,FALSE)+IF(NOT($AT$10="Magia Natural"),4,0)+IF($AS$32="",0,IF(ISNUMBER(SEARCH("(",$AS$32)),-4,-2))</f>
        <v>34</v>
      </c>
      <c r="AR19" s="4764"/>
      <c r="AS19" s="720">
        <v>150</v>
      </c>
      <c r="AT19" s="721" t="s">
        <v>5611</v>
      </c>
      <c r="AU19" s="721">
        <v>1000</v>
      </c>
      <c r="AV19" s="721">
        <v>160</v>
      </c>
      <c r="AW19" s="723">
        <v>12</v>
      </c>
      <c r="AX19" s="742"/>
      <c r="AY19" s="578"/>
      <c r="AZ19" s="3064"/>
      <c r="BA19" s="1758" t="s">
        <v>7165</v>
      </c>
      <c r="BB19" s="1758" t="s">
        <v>6926</v>
      </c>
      <c r="BC19" s="1758" t="s">
        <v>6926</v>
      </c>
      <c r="BD19" s="1758" t="s">
        <v>3382</v>
      </c>
      <c r="BE19" s="1758" t="s">
        <v>6960</v>
      </c>
      <c r="BF19" s="1758"/>
      <c r="BG19" s="1758">
        <v>120</v>
      </c>
      <c r="BH19" s="1758" t="s">
        <v>6926</v>
      </c>
      <c r="BI19" s="1758" t="s">
        <v>6926</v>
      </c>
    </row>
    <row r="20" spans="1:61" ht="12" customHeight="1" thickBot="1" x14ac:dyDescent="0.25">
      <c r="A20" s="29"/>
      <c r="B20" s="879"/>
      <c r="C20" s="4826"/>
      <c r="D20" s="4827"/>
      <c r="E20" s="4831"/>
      <c r="F20" s="4832"/>
      <c r="G20" s="1548"/>
      <c r="H20" s="670">
        <f t="shared" si="3"/>
        <v>0</v>
      </c>
      <c r="I20" s="679">
        <f>IF(H20&gt;3,VLOOKUP(H20,Tabla_NumeroConjurosLA,IF(VLOOKUP(C20,ViasMayores,2,FALSE)="Mayor",2,3))-IF(Místicos!E20=0,0,TRUNC((H20+6)/10)),0)</f>
        <v>0</v>
      </c>
      <c r="J20" s="4961" t="s">
        <v>1703</v>
      </c>
      <c r="K20" s="4962"/>
      <c r="L20" s="2230"/>
      <c r="M20" s="4897"/>
      <c r="N20" s="4897"/>
      <c r="O20" s="4897"/>
      <c r="P20" s="4897"/>
      <c r="Q20" s="4898"/>
      <c r="S20" s="581"/>
      <c r="T20" s="488" t="str">
        <f t="shared" si="0"/>
        <v>Conjuros</v>
      </c>
      <c r="U20" s="29"/>
      <c r="V20" s="676">
        <f>IF(AC20="",0,VLOOKUP(AC20,Tablas!$M$1076:$N$1085,2))</f>
        <v>0</v>
      </c>
      <c r="W20" s="4120"/>
      <c r="X20" s="4715"/>
      <c r="Y20" s="4722"/>
      <c r="Z20" s="4723"/>
      <c r="AA20" s="4723"/>
      <c r="AB20" s="4724"/>
      <c r="AC20" s="546" t="str">
        <f>IF(Místicos!Y20=0,"",VLOOKUP(Místicos!Y20,Tabla_Conjuros,3,FALSE))</f>
        <v/>
      </c>
      <c r="AD20" s="2378" t="str">
        <f t="shared" si="1"/>
        <v/>
      </c>
      <c r="AE20" s="4120"/>
      <c r="AF20" s="4715"/>
      <c r="AG20" s="4722"/>
      <c r="AH20" s="4723"/>
      <c r="AI20" s="4723"/>
      <c r="AJ20" s="4724"/>
      <c r="AK20" s="1483"/>
      <c r="AL20" s="1169">
        <f>IF(Místicos!AG20=0,0,VLOOKUP(Místicos!AG20,Tabla_Conjuros,3,FALSE)-10)</f>
        <v>0</v>
      </c>
      <c r="AM20" s="1340" t="str">
        <f t="shared" si="2"/>
        <v>Conjuros_LibreAcceso</v>
      </c>
      <c r="AN20" s="1340" t="str">
        <f>AE20&amp;COUNTIF($AE$12:AF20,AE20)</f>
        <v>0</v>
      </c>
      <c r="AO20" s="2966" t="b">
        <f>ISNUMBER(SEARCH(AE20,VLOOKUP(AG20,'Tablas Magia'!$D$6:$AA$680,24,FALSE)))</f>
        <v>0</v>
      </c>
      <c r="AP20" s="724">
        <v>5</v>
      </c>
      <c r="AQ20" s="4765">
        <f>VLOOKUP(AP20,Tabla_MagiaNatural_DifBase,2,FALSE)+IF(NOT($AT$10="Magia Natural"),4,0)+IF($AS$32="",0,IF(ISNUMBER(SEARCH("(",$AS$32)),-4,-2))</f>
        <v>40</v>
      </c>
      <c r="AR20" s="4765"/>
      <c r="AS20" s="725">
        <v>250</v>
      </c>
      <c r="AT20" s="726" t="s">
        <v>6900</v>
      </c>
      <c r="AU20" s="726">
        <v>2500</v>
      </c>
      <c r="AV20" s="726">
        <v>180</v>
      </c>
      <c r="AW20" s="727">
        <v>16</v>
      </c>
      <c r="AX20" s="742"/>
      <c r="AY20" s="578"/>
      <c r="AZ20" s="3064"/>
      <c r="BA20" s="1758" t="s">
        <v>2765</v>
      </c>
      <c r="BB20" s="1758" t="s">
        <v>6926</v>
      </c>
      <c r="BC20" s="1758" t="s">
        <v>6926</v>
      </c>
      <c r="BD20" s="1758" t="s">
        <v>6926</v>
      </c>
      <c r="BE20" s="1758" t="s">
        <v>6926</v>
      </c>
      <c r="BF20" s="1758" t="s">
        <v>6944</v>
      </c>
      <c r="BG20" s="1758" t="s">
        <v>6926</v>
      </c>
      <c r="BH20" s="1758" t="s">
        <v>6926</v>
      </c>
      <c r="BI20" s="1758" t="s">
        <v>6926</v>
      </c>
    </row>
    <row r="21" spans="1:61" ht="12" customHeight="1" thickBot="1" x14ac:dyDescent="0.25">
      <c r="A21" s="29"/>
      <c r="B21" s="879"/>
      <c r="C21" s="4840"/>
      <c r="D21" s="4841"/>
      <c r="E21" s="4842"/>
      <c r="F21" s="4843"/>
      <c r="G21" s="1545"/>
      <c r="H21" s="669">
        <f t="shared" si="3"/>
        <v>0</v>
      </c>
      <c r="I21" s="679">
        <f>IF(H21&gt;3,VLOOKUP(H21,Tabla_NumeroConjurosLA,IF(VLOOKUP(C21,ViasMayores,2,FALSE)="Mayor",2,3))-IF(Místicos!E21=0,0,TRUNC((H21+6)/10)),0)</f>
        <v>0</v>
      </c>
      <c r="J21" s="4844" t="s">
        <v>1705</v>
      </c>
      <c r="K21" s="4845"/>
      <c r="L21" s="2766"/>
      <c r="M21" s="4897"/>
      <c r="N21" s="4897"/>
      <c r="O21" s="4897"/>
      <c r="P21" s="4897"/>
      <c r="Q21" s="4898"/>
      <c r="S21" s="581"/>
      <c r="T21" s="488" t="str">
        <f t="shared" si="0"/>
        <v>Conjuros</v>
      </c>
      <c r="U21" s="29"/>
      <c r="V21" s="676">
        <f>IF(AC21="",0,VLOOKUP(AC21,Tablas!$M$1076:$N$1085,2))</f>
        <v>0</v>
      </c>
      <c r="W21" s="4123"/>
      <c r="X21" s="4817"/>
      <c r="Y21" s="4725"/>
      <c r="Z21" s="4726"/>
      <c r="AA21" s="4726"/>
      <c r="AB21" s="4727"/>
      <c r="AC21" s="545" t="str">
        <f>IF(Místicos!Y21=0,"",VLOOKUP(Místicos!Y21,Tabla_Conjuros,3,FALSE))</f>
        <v/>
      </c>
      <c r="AD21" s="2378" t="str">
        <f t="shared" si="1"/>
        <v/>
      </c>
      <c r="AE21" s="4743"/>
      <c r="AF21" s="4718"/>
      <c r="AG21" s="4725"/>
      <c r="AH21" s="4726"/>
      <c r="AI21" s="4726"/>
      <c r="AJ21" s="4727"/>
      <c r="AK21" s="1552"/>
      <c r="AL21" s="1169">
        <f>IF(Místicos!AG21=0,0,VLOOKUP(Místicos!AG21,Tabla_Conjuros,3,FALSE)-10)</f>
        <v>0</v>
      </c>
      <c r="AM21" s="1340" t="str">
        <f t="shared" si="2"/>
        <v>Conjuros_LibreAcceso</v>
      </c>
      <c r="AN21" s="1340" t="str">
        <f>AE21&amp;COUNTIF($AE$12:AF21,AE21)</f>
        <v>0</v>
      </c>
      <c r="AO21" s="2966" t="b">
        <f>ISNUMBER(SEARCH(AE21,VLOOKUP(AG21,'Tablas Magia'!$D$6:$AA$680,24,FALSE)))</f>
        <v>0</v>
      </c>
      <c r="AX21" s="742"/>
      <c r="AY21" s="578"/>
      <c r="AZ21" s="3064"/>
      <c r="BA21" s="1758" t="s">
        <v>6926</v>
      </c>
      <c r="BB21" s="1758" t="s">
        <v>6926</v>
      </c>
      <c r="BC21" s="1758" t="s">
        <v>6945</v>
      </c>
      <c r="BD21" s="1758" t="s">
        <v>6926</v>
      </c>
      <c r="BE21" s="1758" t="s">
        <v>6952</v>
      </c>
      <c r="BF21" s="1758" t="s">
        <v>6948</v>
      </c>
      <c r="BG21" s="1758" t="s">
        <v>6926</v>
      </c>
      <c r="BH21" s="1758" t="s">
        <v>6926</v>
      </c>
      <c r="BI21" s="1758" t="s">
        <v>6926</v>
      </c>
    </row>
    <row r="22" spans="1:61" ht="12" customHeight="1" thickBot="1" x14ac:dyDescent="0.25">
      <c r="A22" s="29"/>
      <c r="B22" s="879"/>
      <c r="C22" s="4826"/>
      <c r="D22" s="4827"/>
      <c r="E22" s="4831"/>
      <c r="F22" s="4832"/>
      <c r="G22" s="1548"/>
      <c r="H22" s="670">
        <f t="shared" si="3"/>
        <v>0</v>
      </c>
      <c r="I22" s="679">
        <f>IF(H22&gt;3,VLOOKUP(H22,Tabla_NumeroConjurosLA,IF(VLOOKUP(C22,ViasMayores,2,FALSE)="Mayor",2,3))-IF(Místicos!E22=0,0,TRUNC((H22+6)/10)),0)</f>
        <v>0</v>
      </c>
      <c r="J22" s="4828" t="str">
        <f>IF(AT10="Onmyodo","Zeon invertido en ofudas: "&amp;SUM(AW62:AW72),"")</f>
        <v/>
      </c>
      <c r="K22" s="4829"/>
      <c r="L22" s="4829"/>
      <c r="M22" s="4829"/>
      <c r="N22" s="4829"/>
      <c r="O22" s="4829"/>
      <c r="P22" s="4829"/>
      <c r="Q22" s="4830"/>
      <c r="S22" s="581"/>
      <c r="T22" s="488" t="str">
        <f t="shared" si="0"/>
        <v>Conjuros</v>
      </c>
      <c r="U22" s="29"/>
      <c r="V22" s="676">
        <f>IF(AC22="",0,VLOOKUP(AC22,Tablas!$M$1076:$N$1085,2))</f>
        <v>0</v>
      </c>
      <c r="W22" s="4120"/>
      <c r="X22" s="4715"/>
      <c r="Y22" s="4722"/>
      <c r="Z22" s="4723"/>
      <c r="AA22" s="4723"/>
      <c r="AB22" s="4724"/>
      <c r="AC22" s="546" t="str">
        <f>IF(Místicos!Y22=0,"",VLOOKUP(Místicos!Y22,Tabla_Conjuros,3,FALSE))</f>
        <v/>
      </c>
      <c r="AD22" s="2378" t="str">
        <f t="shared" si="1"/>
        <v/>
      </c>
      <c r="AE22" s="4120"/>
      <c r="AF22" s="4715"/>
      <c r="AG22" s="4722"/>
      <c r="AH22" s="4723"/>
      <c r="AI22" s="4723"/>
      <c r="AJ22" s="4724"/>
      <c r="AK22" s="1483"/>
      <c r="AL22" s="1169">
        <f>IF(Místicos!AG22=0,0,VLOOKUP(Místicos!AG22,Tabla_Conjuros,3,FALSE)-10)</f>
        <v>0</v>
      </c>
      <c r="AM22" s="1340" t="str">
        <f t="shared" si="2"/>
        <v>Conjuros_LibreAcceso</v>
      </c>
      <c r="AN22" s="1340" t="str">
        <f>AE22&amp;COUNTIF($AE$12:AF22,AE22)</f>
        <v>0</v>
      </c>
      <c r="AO22" s="2966" t="b">
        <f>ISNUMBER(SEARCH(AE22,VLOOKUP(AG22,'Tablas Magia'!$D$6:$AA$680,24,FALSE)))</f>
        <v>0</v>
      </c>
      <c r="AP22" s="4762" t="s">
        <v>6908</v>
      </c>
      <c r="AQ22" s="4760"/>
      <c r="AR22" s="4760"/>
      <c r="AS22" s="4760"/>
      <c r="AT22" s="4760"/>
      <c r="AU22" s="4760"/>
      <c r="AV22" s="4760"/>
      <c r="AW22" s="4761"/>
      <c r="AX22" s="742"/>
      <c r="AY22" s="578"/>
      <c r="AZ22" s="3064"/>
      <c r="BA22" s="1758" t="s">
        <v>6926</v>
      </c>
      <c r="BB22" s="1758" t="s">
        <v>6926</v>
      </c>
      <c r="BC22" s="1737" t="s">
        <v>6946</v>
      </c>
      <c r="BD22" s="1758" t="s">
        <v>6926</v>
      </c>
      <c r="BE22" s="1758" t="s">
        <v>6950</v>
      </c>
      <c r="BF22" s="1737" t="s">
        <v>1456</v>
      </c>
      <c r="BG22" s="1758" t="s">
        <v>6926</v>
      </c>
      <c r="BH22" s="1758" t="s">
        <v>6926</v>
      </c>
      <c r="BI22" s="1737"/>
    </row>
    <row r="23" spans="1:61" ht="12" customHeight="1" thickBot="1" x14ac:dyDescent="0.25">
      <c r="A23" s="29"/>
      <c r="B23" s="879"/>
      <c r="C23" s="4840"/>
      <c r="D23" s="4841"/>
      <c r="E23" s="4842"/>
      <c r="F23" s="4843"/>
      <c r="G23" s="1545"/>
      <c r="H23" s="669">
        <f t="shared" si="3"/>
        <v>0</v>
      </c>
      <c r="I23" s="679">
        <f>IF(H23&gt;3,VLOOKUP(H23,Tabla_NumeroConjurosLA,IF(VLOOKUP(C23,ViasMayores,2,FALSE)="Mayor",2,3))-IF(Místicos!E23=0,0,TRUNC((H23+6)/10)),0)</f>
        <v>0</v>
      </c>
      <c r="S23" s="581"/>
      <c r="T23" s="488" t="str">
        <f t="shared" si="0"/>
        <v>Conjuros</v>
      </c>
      <c r="U23" s="29"/>
      <c r="V23" s="676">
        <f>IF(AC23="",0,VLOOKUP(AC23,Tablas!$M$1076:$N$1085,2))</f>
        <v>0</v>
      </c>
      <c r="W23" s="4123"/>
      <c r="X23" s="4817"/>
      <c r="Y23" s="4725"/>
      <c r="Z23" s="4726"/>
      <c r="AA23" s="4726"/>
      <c r="AB23" s="4727"/>
      <c r="AC23" s="545" t="str">
        <f>IF(Místicos!Y23=0,"",VLOOKUP(Místicos!Y23,Tabla_Conjuros,3,FALSE))</f>
        <v/>
      </c>
      <c r="AD23" s="2378" t="str">
        <f t="shared" si="1"/>
        <v/>
      </c>
      <c r="AE23" s="4743"/>
      <c r="AF23" s="4718"/>
      <c r="AG23" s="4725"/>
      <c r="AH23" s="4726"/>
      <c r="AI23" s="4726"/>
      <c r="AJ23" s="4727"/>
      <c r="AK23" s="1552"/>
      <c r="AL23" s="1169">
        <f>IF(Místicos!AG23=0,0,VLOOKUP(Místicos!AG23,Tabla_Conjuros,3,FALSE)-10)</f>
        <v>0</v>
      </c>
      <c r="AM23" s="1340" t="str">
        <f t="shared" si="2"/>
        <v>Conjuros_LibreAcceso</v>
      </c>
      <c r="AN23" s="1340" t="str">
        <f>AE23&amp;COUNTIF($AE$12:AF23,AE23)</f>
        <v>0</v>
      </c>
      <c r="AO23" s="2966" t="b">
        <f>ISNUMBER(SEARCH(AE23,VLOOKUP(AG23,'Tablas Magia'!$D$6:$AA$680,24,FALSE)))</f>
        <v>0</v>
      </c>
      <c r="AP23" s="4754" t="s">
        <v>6859</v>
      </c>
      <c r="AQ23" s="4739"/>
      <c r="AR23" s="1458" t="s">
        <v>6909</v>
      </c>
      <c r="AS23" s="4739" t="s">
        <v>6861</v>
      </c>
      <c r="AT23" s="4739"/>
      <c r="AU23" s="1458" t="s">
        <v>6909</v>
      </c>
      <c r="AV23" s="172" t="s">
        <v>2662</v>
      </c>
      <c r="AW23" s="715" t="s">
        <v>6909</v>
      </c>
      <c r="AX23" s="742"/>
      <c r="AY23" s="578"/>
      <c r="AZ23" s="3064"/>
      <c r="BA23" s="1737"/>
      <c r="BB23" s="1737"/>
      <c r="BC23" s="1737" t="s">
        <v>6947</v>
      </c>
      <c r="BD23" s="1758" t="s">
        <v>6926</v>
      </c>
      <c r="BE23" s="1758" t="s">
        <v>6951</v>
      </c>
      <c r="BF23" s="1737" t="s">
        <v>6949</v>
      </c>
      <c r="BG23" s="1758" t="s">
        <v>6926</v>
      </c>
      <c r="BH23" s="1758" t="s">
        <v>6926</v>
      </c>
      <c r="BI23" s="1737"/>
    </row>
    <row r="24" spans="1:61" ht="12" customHeight="1" thickBot="1" x14ac:dyDescent="0.25">
      <c r="A24" s="29"/>
      <c r="B24" s="879"/>
      <c r="C24" s="4826"/>
      <c r="D24" s="4827"/>
      <c r="E24" s="4831"/>
      <c r="F24" s="4832"/>
      <c r="G24" s="1548"/>
      <c r="H24" s="670">
        <f t="shared" si="3"/>
        <v>0</v>
      </c>
      <c r="I24" s="679">
        <f>IF(H24&gt;3,VLOOKUP(H24,Tabla_NumeroConjurosLA,IF(VLOOKUP(C24,ViasMayores,2,FALSE)="Mayor",2,3))-IF(Místicos!E24=0,0,TRUNC((H24+6)/10)),0)</f>
        <v>0</v>
      </c>
      <c r="J24" s="3700" t="s">
        <v>1708</v>
      </c>
      <c r="K24" s="3460"/>
      <c r="L24" s="3460"/>
      <c r="M24" s="3640"/>
      <c r="N24" s="3460"/>
      <c r="O24" s="3460"/>
      <c r="P24" s="3460"/>
      <c r="Q24" s="3703"/>
      <c r="S24" s="581"/>
      <c r="T24" s="488" t="str">
        <f t="shared" si="0"/>
        <v>Conjuros</v>
      </c>
      <c r="U24" s="29"/>
      <c r="V24" s="676">
        <f>IF(AC24="",0,VLOOKUP(AC24,Tablas!$M$1076:$N$1085,2))</f>
        <v>0</v>
      </c>
      <c r="W24" s="4120"/>
      <c r="X24" s="4715"/>
      <c r="Y24" s="4722"/>
      <c r="Z24" s="4723"/>
      <c r="AA24" s="4723"/>
      <c r="AB24" s="4724"/>
      <c r="AC24" s="546" t="str">
        <f>IF(Místicos!Y24=0,"",VLOOKUP(Místicos!Y24,Tabla_Conjuros,3,FALSE))</f>
        <v/>
      </c>
      <c r="AD24" s="2378" t="str">
        <f t="shared" si="1"/>
        <v/>
      </c>
      <c r="AE24" s="4120"/>
      <c r="AF24" s="4715"/>
      <c r="AG24" s="4722"/>
      <c r="AH24" s="4723"/>
      <c r="AI24" s="4723"/>
      <c r="AJ24" s="4724"/>
      <c r="AK24" s="1483"/>
      <c r="AL24" s="1169">
        <f>IF(Místicos!AG24=0,0,VLOOKUP(Místicos!AG24,Tabla_Conjuros,3,FALSE)-10)</f>
        <v>0</v>
      </c>
      <c r="AM24" s="1340" t="str">
        <f t="shared" si="2"/>
        <v>Conjuros_LibreAcceso</v>
      </c>
      <c r="AN24" s="1340" t="str">
        <f>AE24&amp;COUNTIF($AE$12:AF24,AE24)</f>
        <v>0</v>
      </c>
      <c r="AO24" s="2966" t="b">
        <f>ISNUMBER(SEARCH(AE24,VLOOKUP(AG24,'Tablas Magia'!$D$6:$AA$680,24,FALSE)))</f>
        <v>0</v>
      </c>
      <c r="AP24" s="4755" t="s">
        <v>6860</v>
      </c>
      <c r="AQ24" s="4756"/>
      <c r="AR24" s="1449" t="s">
        <v>6878</v>
      </c>
      <c r="AS24" s="4763" t="s">
        <v>6862</v>
      </c>
      <c r="AT24" s="4756"/>
      <c r="AU24" s="1450" t="s">
        <v>6878</v>
      </c>
      <c r="AV24" s="1451" t="s">
        <v>6867</v>
      </c>
      <c r="AW24" s="1452" t="s">
        <v>6894</v>
      </c>
      <c r="AX24" s="742"/>
      <c r="AY24" s="578"/>
      <c r="AZ24" s="3064"/>
      <c r="BA24" s="1737" t="s">
        <v>6953</v>
      </c>
      <c r="BB24" s="1737" t="s">
        <v>6953</v>
      </c>
      <c r="BC24" s="1737" t="s">
        <v>6953</v>
      </c>
      <c r="BD24" s="1737" t="s">
        <v>6953</v>
      </c>
      <c r="BE24" s="1737" t="s">
        <v>6953</v>
      </c>
      <c r="BF24" s="1737" t="s">
        <v>6953</v>
      </c>
      <c r="BG24" s="1737" t="s">
        <v>6953</v>
      </c>
      <c r="BH24" s="1737" t="s">
        <v>6953</v>
      </c>
      <c r="BI24" s="1737" t="s">
        <v>6953</v>
      </c>
    </row>
    <row r="25" spans="1:61" ht="12" customHeight="1" x14ac:dyDescent="0.2">
      <c r="A25" s="29"/>
      <c r="B25" s="879"/>
      <c r="C25" s="4963"/>
      <c r="D25" s="4964"/>
      <c r="E25" s="4833"/>
      <c r="F25" s="4834"/>
      <c r="G25" s="1546"/>
      <c r="H25" s="671">
        <f t="shared" si="3"/>
        <v>0</v>
      </c>
      <c r="I25" s="679">
        <f>IF(H25&gt;3,VLOOKUP(H25,Tabla_NumeroConjurosLA,IF(VLOOKUP(C25,ViasMayores,2,FALSE)="Mayor",2,3))-IF(Místicos!E25=0,0,TRUNC((H25+6)/10)),0)</f>
        <v>0</v>
      </c>
      <c r="J25" s="4837" t="s">
        <v>1375</v>
      </c>
      <c r="K25" s="4838"/>
      <c r="L25" s="1609" t="s">
        <v>1418</v>
      </c>
      <c r="M25" s="1608" t="s">
        <v>1349</v>
      </c>
      <c r="N25" s="4858" t="s">
        <v>1710</v>
      </c>
      <c r="O25" s="4859"/>
      <c r="P25" s="4859"/>
      <c r="Q25" s="1610" t="str">
        <f>IF(P26="Invocador","No","Nv. "&amp;PDs!R17+Tablas!G395+2*Tablas!G396+3*Tablas!G397)</f>
        <v>Nv. 0</v>
      </c>
      <c r="S25" s="581"/>
      <c r="T25" s="488" t="str">
        <f t="shared" si="0"/>
        <v>Conjuros</v>
      </c>
      <c r="U25" s="29"/>
      <c r="V25" s="676">
        <f>IF(AC25="",0,VLOOKUP(AC25,Tablas!$M$1076:$N$1085,2))</f>
        <v>0</v>
      </c>
      <c r="W25" s="4123"/>
      <c r="X25" s="4817"/>
      <c r="Y25" s="4725"/>
      <c r="Z25" s="4726"/>
      <c r="AA25" s="4726"/>
      <c r="AB25" s="4727"/>
      <c r="AC25" s="545" t="str">
        <f>IF(Místicos!Y25=0,"",VLOOKUP(Místicos!Y25,Tabla_Conjuros,3,FALSE))</f>
        <v/>
      </c>
      <c r="AD25" s="2378" t="str">
        <f t="shared" si="1"/>
        <v/>
      </c>
      <c r="AE25" s="4743"/>
      <c r="AF25" s="4718"/>
      <c r="AG25" s="4725"/>
      <c r="AH25" s="4726"/>
      <c r="AI25" s="4726"/>
      <c r="AJ25" s="4727"/>
      <c r="AK25" s="1552"/>
      <c r="AL25" s="1169">
        <f>IF(Místicos!AG25=0,0,VLOOKUP(Místicos!AG25,Tabla_Conjuros,3,FALSE)-10)</f>
        <v>0</v>
      </c>
      <c r="AM25" s="1340" t="str">
        <f t="shared" si="2"/>
        <v>Conjuros_LibreAcceso</v>
      </c>
      <c r="AN25" s="1340" t="str">
        <f>AE25&amp;COUNTIF($AE$12:AF25,AE25)</f>
        <v>0</v>
      </c>
      <c r="AO25" s="2966" t="b">
        <f>ISNUMBER(SEARCH(AE25,VLOOKUP(AG25,'Tablas Magia'!$D$6:$AA$680,24,FALSE)))</f>
        <v>0</v>
      </c>
      <c r="AP25" s="4757" t="s">
        <v>6856</v>
      </c>
      <c r="AQ25" s="4751"/>
      <c r="AR25" s="718" t="s">
        <v>2870</v>
      </c>
      <c r="AS25" s="4750" t="s">
        <v>1732</v>
      </c>
      <c r="AT25" s="4751"/>
      <c r="AU25" s="719" t="s">
        <v>2870</v>
      </c>
      <c r="AV25" s="1439" t="s">
        <v>6868</v>
      </c>
      <c r="AW25" s="1453" t="s">
        <v>3136</v>
      </c>
      <c r="AX25" s="742"/>
      <c r="AY25" s="578"/>
      <c r="AZ25" s="3064"/>
      <c r="BA25" s="1737"/>
      <c r="BB25" s="1737"/>
      <c r="BC25" s="1737"/>
      <c r="BD25" s="1737"/>
      <c r="BE25" s="1737"/>
      <c r="BF25" s="1737"/>
      <c r="BG25" s="1737"/>
      <c r="BH25" s="1737"/>
      <c r="BI25" s="1737"/>
    </row>
    <row r="26" spans="1:61" ht="12" customHeight="1" x14ac:dyDescent="0.2">
      <c r="A26" s="29"/>
      <c r="B26" s="489"/>
      <c r="C26" s="3497" t="s">
        <v>1687</v>
      </c>
      <c r="D26" s="4824"/>
      <c r="E26" s="4824"/>
      <c r="F26" s="4824"/>
      <c r="G26" s="4825"/>
      <c r="H26" s="706">
        <f>SUM(V12:V50)</f>
        <v>0</v>
      </c>
      <c r="I26" s="772"/>
      <c r="J26" s="4835" t="s">
        <v>1515</v>
      </c>
      <c r="K26" s="4836"/>
      <c r="L26" s="2231"/>
      <c r="M26" s="1549">
        <f>Convocar_final+L26</f>
        <v>0</v>
      </c>
      <c r="N26" s="4031" t="s">
        <v>1712</v>
      </c>
      <c r="O26" s="4031"/>
      <c r="P26" s="4929"/>
      <c r="Q26" s="4930"/>
      <c r="S26" s="581"/>
      <c r="T26" s="488" t="str">
        <f t="shared" si="0"/>
        <v>Conjuros</v>
      </c>
      <c r="U26" s="29"/>
      <c r="V26" s="676">
        <f>IF(AC26="",0,VLOOKUP(AC26,Tablas!$M$1076:$N$1085,2))</f>
        <v>0</v>
      </c>
      <c r="W26" s="4120"/>
      <c r="X26" s="4715"/>
      <c r="Y26" s="4722"/>
      <c r="Z26" s="4723"/>
      <c r="AA26" s="4723"/>
      <c r="AB26" s="4724"/>
      <c r="AC26" s="546" t="str">
        <f>IF(Místicos!Y26=0,"",VLOOKUP(Místicos!Y26,Tabla_Conjuros,3,FALSE))</f>
        <v/>
      </c>
      <c r="AD26" s="2378" t="str">
        <f t="shared" si="1"/>
        <v/>
      </c>
      <c r="AE26" s="4120"/>
      <c r="AF26" s="4715"/>
      <c r="AG26" s="4722"/>
      <c r="AH26" s="4723"/>
      <c r="AI26" s="4723"/>
      <c r="AJ26" s="4724"/>
      <c r="AK26" s="1483"/>
      <c r="AL26" s="1169">
        <f>IF(Místicos!AG26=0,0,VLOOKUP(Místicos!AG26,Tabla_Conjuros,3,FALSE)-10)</f>
        <v>0</v>
      </c>
      <c r="AM26" s="1340" t="str">
        <f t="shared" si="2"/>
        <v>Conjuros_LibreAcceso</v>
      </c>
      <c r="AN26" s="1340" t="str">
        <f>AE26&amp;COUNTIF($AE$12:AF26,AE26)</f>
        <v>0</v>
      </c>
      <c r="AO26" s="2966" t="b">
        <f>ISNUMBER(SEARCH(AE26,VLOOKUP(AG26,'Tablas Magia'!$D$6:$AA$680,24,FALSE)))</f>
        <v>0</v>
      </c>
      <c r="AP26" s="4757" t="s">
        <v>6864</v>
      </c>
      <c r="AQ26" s="4751"/>
      <c r="AR26" s="718" t="s">
        <v>2870</v>
      </c>
      <c r="AS26" s="4750" t="s">
        <v>1734</v>
      </c>
      <c r="AT26" s="4751"/>
      <c r="AU26" s="719" t="s">
        <v>2831</v>
      </c>
      <c r="AV26" s="1439" t="s">
        <v>6869</v>
      </c>
      <c r="AW26" s="1437" t="s">
        <v>6878</v>
      </c>
      <c r="AX26" s="742"/>
      <c r="AY26" s="578"/>
      <c r="AZ26" s="3064"/>
      <c r="BA26" s="1737"/>
      <c r="BB26" s="1737"/>
      <c r="BC26" s="1737"/>
      <c r="BD26" s="1737"/>
      <c r="BE26" s="1737"/>
      <c r="BF26" s="1737"/>
      <c r="BG26" s="1737"/>
      <c r="BH26" s="1737"/>
      <c r="BI26" s="1737"/>
    </row>
    <row r="27" spans="1:61" ht="12" customHeight="1" thickBot="1" x14ac:dyDescent="0.25">
      <c r="A27" s="29"/>
      <c r="B27" s="489"/>
      <c r="C27" s="4846" t="s">
        <v>6848</v>
      </c>
      <c r="D27" s="4847"/>
      <c r="E27" s="4850" t="str">
        <f>Tablas!$R$1099</f>
        <v/>
      </c>
      <c r="F27" s="4850"/>
      <c r="G27" s="4850"/>
      <c r="H27" s="4851"/>
      <c r="J27" s="4835" t="s">
        <v>1516</v>
      </c>
      <c r="K27" s="4836"/>
      <c r="L27" s="2232"/>
      <c r="M27" s="1550">
        <f>Controlar_final+L27</f>
        <v>0</v>
      </c>
      <c r="N27" s="4854" t="str">
        <f>IF(P26=0,"",IF(P26="Invocador","Invocador: No puede convocar criaturas","Elementalismo: +30 sobre seres afines, -30 sobre el resto, -60 sobre opuestos"))</f>
        <v/>
      </c>
      <c r="O27" s="4854"/>
      <c r="P27" s="4854"/>
      <c r="Q27" s="4855"/>
      <c r="S27" s="581"/>
      <c r="T27" s="488" t="str">
        <f t="shared" si="0"/>
        <v>Conjuros</v>
      </c>
      <c r="U27" s="29"/>
      <c r="V27" s="676">
        <f>IF(AC27="",0,VLOOKUP(AC27,Tablas!$M$1076:$N$1085,2))</f>
        <v>0</v>
      </c>
      <c r="W27" s="4123"/>
      <c r="X27" s="4817"/>
      <c r="Y27" s="4725"/>
      <c r="Z27" s="4726"/>
      <c r="AA27" s="4726"/>
      <c r="AB27" s="4727"/>
      <c r="AC27" s="545" t="str">
        <f>IF(Místicos!Y27=0,"",VLOOKUP(Místicos!Y27,Tabla_Conjuros,3,FALSE))</f>
        <v/>
      </c>
      <c r="AD27" s="2378" t="str">
        <f t="shared" si="1"/>
        <v/>
      </c>
      <c r="AE27" s="4743"/>
      <c r="AF27" s="4718"/>
      <c r="AG27" s="4725"/>
      <c r="AH27" s="4726"/>
      <c r="AI27" s="4726"/>
      <c r="AJ27" s="4727"/>
      <c r="AK27" s="1552"/>
      <c r="AL27" s="1169">
        <f>IF(Místicos!AG27=0,0,VLOOKUP(Místicos!AG27,Tabla_Conjuros,3,FALSE)-10)</f>
        <v>0</v>
      </c>
      <c r="AM27" s="1340" t="str">
        <f t="shared" si="2"/>
        <v>Conjuros_LibreAcceso</v>
      </c>
      <c r="AN27" s="1340" t="str">
        <f>AE27&amp;COUNTIF($AE$12:AF27,AE27)</f>
        <v>0</v>
      </c>
      <c r="AO27" s="2966" t="b">
        <f>ISNUMBER(SEARCH(AE27,VLOOKUP(AG27,'Tablas Magia'!$D$6:$AA$680,24,FALSE)))</f>
        <v>0</v>
      </c>
      <c r="AP27" s="4757" t="s">
        <v>6865</v>
      </c>
      <c r="AQ27" s="4751"/>
      <c r="AR27" s="718" t="s">
        <v>2831</v>
      </c>
      <c r="AS27" s="4750" t="s">
        <v>6863</v>
      </c>
      <c r="AT27" s="4751"/>
      <c r="AU27" s="719" t="s">
        <v>2832</v>
      </c>
      <c r="AV27" s="1439" t="s">
        <v>6870</v>
      </c>
      <c r="AW27" s="1437">
        <v>-2</v>
      </c>
      <c r="AX27" s="742"/>
      <c r="AY27" s="578"/>
      <c r="AZ27" s="3064"/>
      <c r="BA27" s="1737"/>
      <c r="BB27" s="1737"/>
      <c r="BC27" s="1737"/>
      <c r="BD27" s="1737"/>
      <c r="BE27" s="1737"/>
      <c r="BF27" s="1737"/>
      <c r="BG27" s="1737"/>
      <c r="BH27" s="1737"/>
      <c r="BI27" s="1737"/>
    </row>
    <row r="28" spans="1:61" ht="12" customHeight="1" thickBot="1" x14ac:dyDescent="0.25">
      <c r="A28" s="29"/>
      <c r="B28" s="489"/>
      <c r="C28" s="4848"/>
      <c r="D28" s="4849"/>
      <c r="E28" s="4852"/>
      <c r="F28" s="4852"/>
      <c r="G28" s="4852"/>
      <c r="H28" s="4853"/>
      <c r="J28" s="4835" t="s">
        <v>1517</v>
      </c>
      <c r="K28" s="4836"/>
      <c r="L28" s="2232"/>
      <c r="M28" s="1550">
        <f>Atar_final+L28</f>
        <v>0</v>
      </c>
      <c r="N28" s="4854"/>
      <c r="O28" s="4854"/>
      <c r="P28" s="4854"/>
      <c r="Q28" s="4855"/>
      <c r="S28" s="581"/>
      <c r="T28" s="488" t="str">
        <f t="shared" si="0"/>
        <v>Conjuros</v>
      </c>
      <c r="U28" s="29"/>
      <c r="V28" s="676">
        <f>IF(AC28="",0,VLOOKUP(AC28,Tablas!$M$1076:$N$1085,2))</f>
        <v>0</v>
      </c>
      <c r="W28" s="4120"/>
      <c r="X28" s="4715"/>
      <c r="Y28" s="4722"/>
      <c r="Z28" s="4723"/>
      <c r="AA28" s="4723"/>
      <c r="AB28" s="4724"/>
      <c r="AC28" s="546" t="str">
        <f>IF(Místicos!Y28=0,"",VLOOKUP(Místicos!Y28,Tabla_Conjuros,3,FALSE))</f>
        <v/>
      </c>
      <c r="AD28" s="2378" t="str">
        <f t="shared" si="1"/>
        <v/>
      </c>
      <c r="AE28" s="4120"/>
      <c r="AF28" s="4715"/>
      <c r="AG28" s="4722"/>
      <c r="AH28" s="4723"/>
      <c r="AI28" s="4723"/>
      <c r="AJ28" s="4724"/>
      <c r="AK28" s="1483"/>
      <c r="AL28" s="1169">
        <f>IF(Místicos!AG28=0,0,VLOOKUP(Místicos!AG28,Tabla_Conjuros,3,FALSE)-10)</f>
        <v>0</v>
      </c>
      <c r="AM28" s="1340" t="str">
        <f t="shared" si="2"/>
        <v>Conjuros_LibreAcceso</v>
      </c>
      <c r="AN28" s="1340" t="str">
        <f>AE28&amp;COUNTIF($AE$12:AF28,AE28)</f>
        <v>0</v>
      </c>
      <c r="AO28" s="2966" t="b">
        <f>ISNUMBER(SEARCH(AE28,VLOOKUP(AG28,'Tablas Magia'!$D$6:$AA$680,24,FALSE)))</f>
        <v>0</v>
      </c>
      <c r="AP28" s="4757" t="s">
        <v>6866</v>
      </c>
      <c r="AQ28" s="4751"/>
      <c r="AR28" s="718" t="s">
        <v>2832</v>
      </c>
      <c r="AS28" s="4750" t="s">
        <v>1736</v>
      </c>
      <c r="AT28" s="4751"/>
      <c r="AU28" s="719" t="s">
        <v>3136</v>
      </c>
      <c r="AV28" s="1439" t="s">
        <v>6871</v>
      </c>
      <c r="AW28" s="1437">
        <v>-4</v>
      </c>
      <c r="AX28" s="742"/>
      <c r="AY28" s="578"/>
      <c r="AZ28" s="3064"/>
      <c r="BA28" s="1737"/>
      <c r="BB28" s="1737"/>
      <c r="BC28" s="1737"/>
      <c r="BD28" s="1737"/>
      <c r="BE28" s="1737"/>
      <c r="BF28" s="1737"/>
      <c r="BG28" s="1737"/>
      <c r="BH28" s="1737"/>
      <c r="BI28" s="1737"/>
    </row>
    <row r="29" spans="1:61" ht="12" customHeight="1" thickBot="1" x14ac:dyDescent="0.25">
      <c r="A29" s="29"/>
      <c r="B29" s="489"/>
      <c r="C29" s="486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861"/>
      <c r="E29" s="4861"/>
      <c r="F29" s="4861"/>
      <c r="G29" s="4861"/>
      <c r="H29" s="4862"/>
      <c r="J29" s="4822" t="s">
        <v>1518</v>
      </c>
      <c r="K29" s="4823"/>
      <c r="L29" s="2233"/>
      <c r="M29" s="1611">
        <f>Desconvocar_final+L29</f>
        <v>0</v>
      </c>
      <c r="N29" s="4856"/>
      <c r="O29" s="4856"/>
      <c r="P29" s="4856"/>
      <c r="Q29" s="4857"/>
      <c r="S29" s="581"/>
      <c r="T29" s="488" t="str">
        <f t="shared" si="0"/>
        <v>Conjuros</v>
      </c>
      <c r="U29" s="29"/>
      <c r="V29" s="676">
        <f>IF(AC29="",0,VLOOKUP(AC29,Tablas!$M$1076:$N$1085,2))</f>
        <v>0</v>
      </c>
      <c r="W29" s="4123"/>
      <c r="X29" s="4817"/>
      <c r="Y29" s="4725"/>
      <c r="Z29" s="4726"/>
      <c r="AA29" s="4726"/>
      <c r="AB29" s="4727"/>
      <c r="AC29" s="545" t="str">
        <f>IF(Místicos!Y29=0,"",VLOOKUP(Místicos!Y29,Tabla_Conjuros,3,FALSE))</f>
        <v/>
      </c>
      <c r="AD29" s="2378" t="str">
        <f t="shared" si="1"/>
        <v/>
      </c>
      <c r="AE29" s="4743"/>
      <c r="AF29" s="4718"/>
      <c r="AG29" s="4725"/>
      <c r="AH29" s="4726"/>
      <c r="AI29" s="4726"/>
      <c r="AJ29" s="4727"/>
      <c r="AK29" s="1552"/>
      <c r="AL29" s="1169">
        <f>IF(Místicos!AG29=0,0,VLOOKUP(Místicos!AG29,Tabla_Conjuros,3,FALSE)-10)</f>
        <v>0</v>
      </c>
      <c r="AM29" s="1340" t="str">
        <f t="shared" si="2"/>
        <v>Conjuros_LibreAcceso</v>
      </c>
      <c r="AN29" s="1340" t="str">
        <f>AE29&amp;COUNTIF($AE$12:AF29,AE29)</f>
        <v>0</v>
      </c>
      <c r="AO29" s="2966" t="b">
        <f>ISNUMBER(SEARCH(AE29,VLOOKUP(AG29,'Tablas Magia'!$D$6:$AA$680,24,FALSE)))</f>
        <v>0</v>
      </c>
      <c r="AP29" s="4758" t="s">
        <v>6902</v>
      </c>
      <c r="AQ29" s="4753"/>
      <c r="AR29" s="1454" t="s">
        <v>3136</v>
      </c>
      <c r="AS29" s="4752" t="s">
        <v>1739</v>
      </c>
      <c r="AT29" s="4753"/>
      <c r="AU29" s="1455" t="s">
        <v>6879</v>
      </c>
      <c r="AV29" s="1439" t="s">
        <v>6872</v>
      </c>
      <c r="AW29" s="1437">
        <v>-6</v>
      </c>
      <c r="AX29" s="742"/>
      <c r="AY29" s="578"/>
      <c r="AZ29" s="3064"/>
      <c r="BA29" s="1737"/>
      <c r="BB29" s="1737"/>
      <c r="BC29" s="1737"/>
      <c r="BD29" s="1737"/>
      <c r="BE29" s="1737"/>
      <c r="BF29" s="1737"/>
      <c r="BG29" s="1737"/>
      <c r="BH29" s="1737"/>
      <c r="BI29" s="1737"/>
    </row>
    <row r="30" spans="1:61" ht="12" customHeight="1" thickBot="1" x14ac:dyDescent="0.25">
      <c r="A30" s="29"/>
      <c r="B30" s="489"/>
      <c r="S30" s="581"/>
      <c r="T30" s="488" t="str">
        <f t="shared" si="0"/>
        <v>Conjuros</v>
      </c>
      <c r="U30" s="29"/>
      <c r="V30" s="676">
        <f>IF(AC30="",0,VLOOKUP(AC30,Tablas!$M$1076:$N$1085,2))</f>
        <v>0</v>
      </c>
      <c r="W30" s="4120"/>
      <c r="X30" s="4715"/>
      <c r="Y30" s="4722"/>
      <c r="Z30" s="4723"/>
      <c r="AA30" s="4723"/>
      <c r="AB30" s="4724"/>
      <c r="AC30" s="546" t="str">
        <f>IF(Místicos!Y30=0,"",VLOOKUP(Místicos!Y30,Tabla_Conjuros,3,FALSE))</f>
        <v/>
      </c>
      <c r="AD30" s="2378" t="str">
        <f t="shared" si="1"/>
        <v/>
      </c>
      <c r="AE30" s="4120"/>
      <c r="AF30" s="4715"/>
      <c r="AG30" s="4722"/>
      <c r="AH30" s="4723"/>
      <c r="AI30" s="4723"/>
      <c r="AJ30" s="4724"/>
      <c r="AK30" s="1483"/>
      <c r="AL30" s="1169">
        <f>IF(Místicos!AG30=0,0,VLOOKUP(Místicos!AG30,Tabla_Conjuros,3,FALSE)-10)</f>
        <v>0</v>
      </c>
      <c r="AM30" s="1340" t="str">
        <f t="shared" si="2"/>
        <v>Conjuros_LibreAcceso</v>
      </c>
      <c r="AN30" s="1340" t="str">
        <f>AE30&amp;COUNTIF($AE$12:AF30,AE30)</f>
        <v>0</v>
      </c>
      <c r="AO30" s="2966" t="b">
        <f>ISNUMBER(SEARCH(AE30,VLOOKUP(AG30,'Tablas Magia'!$D$6:$AA$680,24,FALSE)))</f>
        <v>0</v>
      </c>
      <c r="AP30" s="660"/>
      <c r="AQ30" s="660"/>
      <c r="AR30" s="660"/>
      <c r="AS30" s="660"/>
      <c r="AT30" s="620"/>
      <c r="AU30" s="620"/>
      <c r="AV30" s="1456" t="s">
        <v>6873</v>
      </c>
      <c r="AW30" s="1437">
        <v>-8</v>
      </c>
      <c r="AX30" s="742"/>
      <c r="AY30" s="578"/>
      <c r="AZ30" s="3064"/>
      <c r="BA30" s="1737"/>
      <c r="BB30" s="1737"/>
      <c r="BC30" s="1737"/>
      <c r="BD30" s="1737"/>
      <c r="BE30" s="1737"/>
      <c r="BF30" s="1737"/>
      <c r="BG30" s="1737"/>
      <c r="BH30" s="1737"/>
      <c r="BI30" s="1737"/>
    </row>
    <row r="31" spans="1:61" ht="12" customHeight="1" thickBot="1" x14ac:dyDescent="0.25">
      <c r="A31" s="29"/>
      <c r="B31" s="489"/>
      <c r="C31" s="4839" t="s">
        <v>1714</v>
      </c>
      <c r="D31" s="4839"/>
      <c r="E31" s="4839"/>
      <c r="F31" s="4839"/>
      <c r="G31" s="4839"/>
      <c r="H31" s="4328" t="s">
        <v>1715</v>
      </c>
      <c r="J31" s="3639" t="s">
        <v>1716</v>
      </c>
      <c r="K31" s="3640"/>
      <c r="L31" s="3640"/>
      <c r="M31" s="3640"/>
      <c r="N31" s="3640"/>
      <c r="O31" s="3640"/>
      <c r="P31" s="3640"/>
      <c r="Q31" s="3641"/>
      <c r="S31" s="581"/>
      <c r="T31" s="488" t="str">
        <f t="shared" si="0"/>
        <v>Conjuros</v>
      </c>
      <c r="U31" s="29"/>
      <c r="V31" s="676">
        <f>IF(AC31="",0,VLOOKUP(AC31,Tablas!$M$1076:$N$1085,2))</f>
        <v>0</v>
      </c>
      <c r="W31" s="4123"/>
      <c r="X31" s="4817"/>
      <c r="Y31" s="4725"/>
      <c r="Z31" s="4726"/>
      <c r="AA31" s="4726"/>
      <c r="AB31" s="4727"/>
      <c r="AC31" s="545" t="str">
        <f>IF(Místicos!Y31=0,"",VLOOKUP(Místicos!Y31,Tabla_Conjuros,3,FALSE))</f>
        <v/>
      </c>
      <c r="AD31" s="2378" t="str">
        <f t="shared" si="1"/>
        <v/>
      </c>
      <c r="AE31" s="4743"/>
      <c r="AF31" s="4718"/>
      <c r="AG31" s="4725"/>
      <c r="AH31" s="4726"/>
      <c r="AI31" s="4726"/>
      <c r="AJ31" s="4727"/>
      <c r="AK31" s="1552"/>
      <c r="AL31" s="1169">
        <f>IF(Místicos!AG31=0,0,VLOOKUP(Místicos!AG31,Tabla_Conjuros,3,FALSE)-10)</f>
        <v>0</v>
      </c>
      <c r="AM31" s="1340" t="str">
        <f t="shared" si="2"/>
        <v>Conjuros_LibreAcceso</v>
      </c>
      <c r="AN31" s="1340" t="str">
        <f>AE31&amp;COUNTIF($AE$12:AF31,AE31)</f>
        <v>0</v>
      </c>
      <c r="AO31" s="2966" t="b">
        <f>ISNUMBER(SEARCH(AE31,VLOOKUP(AG31,'Tablas Magia'!$D$6:$AA$680,24,FALSE)))</f>
        <v>0</v>
      </c>
      <c r="AP31" s="660"/>
      <c r="AQ31" s="4779" t="s">
        <v>2663</v>
      </c>
      <c r="AR31" s="4780"/>
      <c r="AS31" s="4912" t="s">
        <v>6283</v>
      </c>
      <c r="AT31" s="4913"/>
      <c r="AU31" s="620"/>
      <c r="AV31" s="1456" t="s">
        <v>6874</v>
      </c>
      <c r="AW31" s="1437">
        <v>-10</v>
      </c>
      <c r="AX31" s="742"/>
      <c r="AY31" s="578"/>
      <c r="AZ31" s="3064"/>
      <c r="BA31" s="1737"/>
      <c r="BB31" s="1737"/>
      <c r="BC31" s="1737"/>
      <c r="BD31" s="1737"/>
      <c r="BE31" s="1737"/>
      <c r="BF31" s="1737"/>
      <c r="BG31" s="1737"/>
      <c r="BH31" s="1737"/>
      <c r="BI31" s="1737"/>
    </row>
    <row r="32" spans="1:61" ht="12" customHeight="1" thickBot="1" x14ac:dyDescent="0.25">
      <c r="A32" s="29"/>
      <c r="B32" s="489"/>
      <c r="C32" s="4821" t="s">
        <v>1717</v>
      </c>
      <c r="D32" s="4821"/>
      <c r="E32" s="4821"/>
      <c r="F32" s="4821"/>
      <c r="G32" s="4821"/>
      <c r="H32" s="4328"/>
      <c r="J32" s="4927" t="s">
        <v>1441</v>
      </c>
      <c r="K32" s="4928"/>
      <c r="L32" s="4928"/>
      <c r="M32" s="4928"/>
      <c r="N32" s="4928"/>
      <c r="O32" s="4928"/>
      <c r="P32" s="680" t="s">
        <v>1718</v>
      </c>
      <c r="Q32" s="665" t="s">
        <v>1509</v>
      </c>
      <c r="S32" s="581"/>
      <c r="T32" s="488" t="str">
        <f t="shared" si="0"/>
        <v>Conjuros</v>
      </c>
      <c r="U32" s="29"/>
      <c r="V32" s="676">
        <f>IF(AC32="",0,VLOOKUP(AC32,Tablas!$M$1076:$N$1085,2))</f>
        <v>0</v>
      </c>
      <c r="W32" s="4120"/>
      <c r="X32" s="4715"/>
      <c r="Y32" s="4722"/>
      <c r="Z32" s="4723"/>
      <c r="AA32" s="4723"/>
      <c r="AB32" s="4724"/>
      <c r="AC32" s="546" t="str">
        <f>IF(Místicos!Y32=0,"",VLOOKUP(Místicos!Y32,Tabla_Conjuros,3,FALSE))</f>
        <v/>
      </c>
      <c r="AD32" s="2378" t="str">
        <f t="shared" si="1"/>
        <v/>
      </c>
      <c r="AE32" s="4120"/>
      <c r="AF32" s="4715"/>
      <c r="AG32" s="4722"/>
      <c r="AH32" s="4723"/>
      <c r="AI32" s="4723"/>
      <c r="AJ32" s="4724"/>
      <c r="AK32" s="1483"/>
      <c r="AL32" s="1169">
        <f>IF(Místicos!AG32=0,0,VLOOKUP(Místicos!AG32,Tabla_Conjuros,3,FALSE)-10)</f>
        <v>0</v>
      </c>
      <c r="AM32" s="1340" t="str">
        <f t="shared" si="2"/>
        <v>Conjuros_LibreAcceso</v>
      </c>
      <c r="AN32" s="1340" t="str">
        <f>AE32&amp;COUNTIF($AE$12:AF32,AE32)</f>
        <v>0</v>
      </c>
      <c r="AO32" s="2966" t="b">
        <f>ISNUMBER(SEARCH(AE32,VLOOKUP(AG32,'Tablas Magia'!$D$6:$AA$680,24,FALSE)))</f>
        <v>0</v>
      </c>
      <c r="AP32" s="660"/>
      <c r="AQ32" s="4908">
        <f>Presencia_final*2+Bono_Des</f>
        <v>40</v>
      </c>
      <c r="AR32" s="4909"/>
      <c r="AS32" s="4842"/>
      <c r="AT32" s="4905"/>
      <c r="AU32" s="620"/>
      <c r="AV32" s="1456" t="s">
        <v>6875</v>
      </c>
      <c r="AW32" s="1437">
        <v>-12</v>
      </c>
      <c r="AX32" s="742"/>
      <c r="AY32" s="578"/>
      <c r="AZ32" s="3064"/>
      <c r="BA32" s="1737"/>
      <c r="BB32" s="1737"/>
      <c r="BC32" s="1737"/>
      <c r="BD32" s="1737"/>
      <c r="BE32" s="1737"/>
      <c r="BF32" s="1737"/>
      <c r="BG32" s="1737"/>
      <c r="BH32" s="1737"/>
      <c r="BI32" s="1737"/>
    </row>
    <row r="33" spans="1:61" ht="12" customHeight="1" thickBot="1" x14ac:dyDescent="0.25">
      <c r="A33" s="29"/>
      <c r="B33" s="489"/>
      <c r="C33" s="4818"/>
      <c r="D33" s="4819"/>
      <c r="E33" s="4819"/>
      <c r="F33" s="4819"/>
      <c r="G33" s="4820"/>
      <c r="H33" s="1508"/>
      <c r="J33" s="4768"/>
      <c r="K33" s="4769"/>
      <c r="L33" s="4769"/>
      <c r="M33" s="4769"/>
      <c r="N33" s="4769"/>
      <c r="O33" s="4769"/>
      <c r="P33" s="642" t="str">
        <f>IF(J33=0,"",VLOOKUP(J33,Tablas!$AB$1065:$AD$1239,2,FALSE))</f>
        <v/>
      </c>
      <c r="Q33" s="666" t="str">
        <f>IF(J33=0,"",VLOOKUP(J33,Tablas!$AB$1065:$AD$1239,3,FALSE)*IF($P$26="Invocador",0.5,1))</f>
        <v/>
      </c>
      <c r="S33" s="581"/>
      <c r="T33" s="488" t="str">
        <f t="shared" si="0"/>
        <v>Conjuros</v>
      </c>
      <c r="U33" s="29"/>
      <c r="V33" s="676">
        <f>IF(AC33="",0,VLOOKUP(AC33,Tablas!$M$1076:$N$1085,2))</f>
        <v>0</v>
      </c>
      <c r="W33" s="4123"/>
      <c r="X33" s="4817"/>
      <c r="Y33" s="4725"/>
      <c r="Z33" s="4726"/>
      <c r="AA33" s="4726"/>
      <c r="AB33" s="4727"/>
      <c r="AC33" s="545" t="str">
        <f>IF(Místicos!Y33=0,"",VLOOKUP(Místicos!Y33,Tabla_Conjuros,3,FALSE))</f>
        <v/>
      </c>
      <c r="AD33" s="2378" t="str">
        <f t="shared" si="1"/>
        <v/>
      </c>
      <c r="AE33" s="4743"/>
      <c r="AF33" s="4718"/>
      <c r="AG33" s="4725"/>
      <c r="AH33" s="4726"/>
      <c r="AI33" s="4726"/>
      <c r="AJ33" s="4727"/>
      <c r="AK33" s="1552"/>
      <c r="AL33" s="1169">
        <f>IF(Místicos!AG33=0,0,VLOOKUP(Místicos!AG33,Tabla_Conjuros,3,FALSE)-10)</f>
        <v>0</v>
      </c>
      <c r="AM33" s="1340" t="str">
        <f t="shared" si="2"/>
        <v>Conjuros_LibreAcceso</v>
      </c>
      <c r="AN33" s="1340" t="str">
        <f>AE33&amp;COUNTIF($AE$12:AF33,AE33)</f>
        <v>0</v>
      </c>
      <c r="AO33" s="2966" t="b">
        <f>ISNUMBER(SEARCH(AE33,VLOOKUP(AG33,'Tablas Magia'!$D$6:$AA$680,24,FALSE)))</f>
        <v>0</v>
      </c>
      <c r="AP33" s="660"/>
      <c r="AQ33" s="4910"/>
      <c r="AR33" s="4911"/>
      <c r="AS33" s="4906"/>
      <c r="AT33" s="4907"/>
      <c r="AU33" s="620"/>
      <c r="AV33" s="1456" t="s">
        <v>6876</v>
      </c>
      <c r="AW33" s="1437">
        <v>-14</v>
      </c>
      <c r="AX33" s="742"/>
      <c r="AY33" s="578"/>
      <c r="AZ33" s="3064"/>
      <c r="BA33" s="1737" t="s">
        <v>9940</v>
      </c>
      <c r="BB33" s="1737" t="s">
        <v>9941</v>
      </c>
      <c r="BC33" s="1737" t="s">
        <v>1683</v>
      </c>
      <c r="BD33" s="1737" t="s">
        <v>9942</v>
      </c>
      <c r="BE33" s="1737" t="s">
        <v>9943</v>
      </c>
      <c r="BF33" s="1737" t="s">
        <v>9945</v>
      </c>
      <c r="BG33" s="1737" t="s">
        <v>9944</v>
      </c>
      <c r="BH33" s="1737"/>
      <c r="BI33" s="1737"/>
    </row>
    <row r="34" spans="1:61" ht="12" customHeight="1" thickBot="1" x14ac:dyDescent="0.25">
      <c r="A34" s="29"/>
      <c r="B34" s="489"/>
      <c r="C34" s="4777"/>
      <c r="D34" s="4777"/>
      <c r="E34" s="4777"/>
      <c r="F34" s="4777"/>
      <c r="G34" s="4777"/>
      <c r="H34" s="1551"/>
      <c r="J34" s="4770"/>
      <c r="K34" s="4771"/>
      <c r="L34" s="4771"/>
      <c r="M34" s="4771"/>
      <c r="N34" s="4771"/>
      <c r="O34" s="4771"/>
      <c r="P34" s="643" t="str">
        <f>IF(J34=0,"",VLOOKUP(J34,Tablas!$AB$1065:$AD$1239,2,FALSE))</f>
        <v/>
      </c>
      <c r="Q34" s="667" t="str">
        <f>IF(J34=0,"",VLOOKUP(J34,Tablas!$AB$1065:$AD$1239,3,FALSE)*IF($P$26="Invocador",0.5,1))</f>
        <v/>
      </c>
      <c r="S34" s="581"/>
      <c r="T34" s="488" t="str">
        <f t="shared" si="0"/>
        <v>Conjuros</v>
      </c>
      <c r="U34" s="29"/>
      <c r="V34" s="676">
        <f>IF(AC34="",0,VLOOKUP(AC34,Tablas!$M$1076:$N$1085,2))</f>
        <v>0</v>
      </c>
      <c r="W34" s="4120"/>
      <c r="X34" s="4715"/>
      <c r="Y34" s="4722"/>
      <c r="Z34" s="4723"/>
      <c r="AA34" s="4723"/>
      <c r="AB34" s="4724"/>
      <c r="AC34" s="546" t="str">
        <f>IF(Místicos!Y34=0,"",VLOOKUP(Místicos!Y34,Tabla_Conjuros,3,FALSE))</f>
        <v/>
      </c>
      <c r="AD34" s="2378" t="str">
        <f t="shared" si="1"/>
        <v/>
      </c>
      <c r="AE34" s="4120"/>
      <c r="AF34" s="4715"/>
      <c r="AG34" s="4722"/>
      <c r="AH34" s="4723"/>
      <c r="AI34" s="4723"/>
      <c r="AJ34" s="4724"/>
      <c r="AK34" s="1483"/>
      <c r="AL34" s="1169">
        <f>IF(Místicos!AG34=0,0,VLOOKUP(Místicos!AG34,Tabla_Conjuros,3,FALSE)-10)</f>
        <v>0</v>
      </c>
      <c r="AM34" s="1340" t="str">
        <f t="shared" si="2"/>
        <v>Conjuros_LibreAcceso</v>
      </c>
      <c r="AN34" s="1340" t="str">
        <f>AE34&amp;COUNTIF($AE$12:AF34,AE34)</f>
        <v>0</v>
      </c>
      <c r="AO34" s="2966" t="b">
        <f>ISNUMBER(SEARCH(AE34,VLOOKUP(AG34,'Tablas Magia'!$D$6:$AA$680,24,FALSE)))</f>
        <v>0</v>
      </c>
      <c r="AP34" s="660"/>
      <c r="AQ34" s="660"/>
      <c r="AR34" s="660"/>
      <c r="AS34" s="660"/>
      <c r="AT34" s="620"/>
      <c r="AU34" s="620"/>
      <c r="AV34" s="1457" t="s">
        <v>6877</v>
      </c>
      <c r="AW34" s="1438">
        <v>-16</v>
      </c>
      <c r="AX34" s="742"/>
      <c r="AY34" s="578"/>
      <c r="AZ34" s="3064"/>
      <c r="BA34" s="1737" t="b">
        <f>ISNUMBER(FIND("inhumanidad",LOWER(C33)))</f>
        <v>0</v>
      </c>
      <c r="BB34" s="3099" t="b">
        <f>IF(BA34,OR(ISNUMBER(FIND("intermedio",LOWER(C33))),ISNUMBER(FIND("avanzado",LOWER(C33)))))</f>
        <v>0</v>
      </c>
      <c r="BC34" s="3099" t="b">
        <f>IF(BA34,ISNUMBER(FIND("arcano",LOWER(C33))))</f>
        <v>0</v>
      </c>
      <c r="BD34" s="1737" t="b">
        <f>IF(BA34,AND(ISNUMBER(FIND("base",LOWER(C33))),OR(ISNUMBER(FIND("movimiento",LOWER(C33))),ISNUMBER(FIND("mov",LOWER(C33))),ISNUMBER(FIND("tm",LOWER(C33))))))</f>
        <v>0</v>
      </c>
      <c r="BE34" s="1737" t="b">
        <f>IF(BB34,AND(ISNUMBER(FIND("avanzado",LOWER(C33))),OR(ISNUMBER(FIND("movimiento",LOWER(C33))),ISNUMBER(FIND("mov",LOWER(C33))),ISNUMBER(FIND("tm",LOWER(C33))))))</f>
        <v>0</v>
      </c>
      <c r="BF34" s="1737" t="b">
        <f>IF(BA34,AND(ISNUMBER(FIND("base",LOWER(C33))),OR(ISNUMBER(FIND("fue",LOWER(C33))),ISNUMBER(FIND("peso",LOWER(C33))),ISNUMBER(FIND("ip",LOWER(C33))))))</f>
        <v>0</v>
      </c>
      <c r="BG34" s="1737" t="b">
        <f>IF(BB34,AND(ISNUMBER(FIND("avanzado",LOWER(C33))),OR(ISNUMBER(FIND("fue",LOWER(C33))),ISNUMBER(FIND("peso",LOWER(C33))),ISNUMBER(FIND("ip",LOWER(C33))))))</f>
        <v>0</v>
      </c>
      <c r="BH34" s="1737"/>
      <c r="BI34" s="1737"/>
    </row>
    <row r="35" spans="1:61" ht="12" customHeight="1" thickBot="1" x14ac:dyDescent="0.25">
      <c r="A35" s="29"/>
      <c r="B35" s="489"/>
      <c r="C35" s="4766"/>
      <c r="D35" s="4766"/>
      <c r="E35" s="4766"/>
      <c r="F35" s="4766"/>
      <c r="G35" s="4766"/>
      <c r="H35" s="1508"/>
      <c r="J35" s="4772"/>
      <c r="K35" s="4773"/>
      <c r="L35" s="4773"/>
      <c r="M35" s="4773"/>
      <c r="N35" s="4773"/>
      <c r="O35" s="4773"/>
      <c r="P35" s="642" t="str">
        <f>IF(J35=0,"",VLOOKUP(J35,Tablas!$AB$1065:$AD$1239,2,FALSE))</f>
        <v/>
      </c>
      <c r="Q35" s="666" t="str">
        <f>IF(J35=0,"",VLOOKUP(J35,Tablas!$AB$1065:$AD$1239,3,FALSE)*IF($P$26="Invocador",0.5,1))</f>
        <v/>
      </c>
      <c r="S35" s="581"/>
      <c r="T35" s="488" t="str">
        <f t="shared" si="0"/>
        <v>Conjuros</v>
      </c>
      <c r="U35" s="29"/>
      <c r="V35" s="676">
        <f>IF(AC35="",0,VLOOKUP(AC35,Tablas!$M$1076:$N$1085,2))</f>
        <v>0</v>
      </c>
      <c r="W35" s="4123"/>
      <c r="X35" s="4817"/>
      <c r="Y35" s="4725"/>
      <c r="Z35" s="4726"/>
      <c r="AA35" s="4726"/>
      <c r="AB35" s="4727"/>
      <c r="AC35" s="545" t="str">
        <f>IF(Místicos!Y35=0,"",VLOOKUP(Místicos!Y35,Tabla_Conjuros,3,FALSE))</f>
        <v/>
      </c>
      <c r="AD35" s="2378" t="str">
        <f t="shared" si="1"/>
        <v/>
      </c>
      <c r="AE35" s="4743"/>
      <c r="AF35" s="4718"/>
      <c r="AG35" s="4725"/>
      <c r="AH35" s="4726"/>
      <c r="AI35" s="4726"/>
      <c r="AJ35" s="4727"/>
      <c r="AK35" s="1552"/>
      <c r="AL35" s="1169">
        <f>IF(Místicos!AG35=0,0,VLOOKUP(Místicos!AG35,Tabla_Conjuros,3,FALSE)-10)</f>
        <v>0</v>
      </c>
      <c r="AM35" s="1340" t="str">
        <f t="shared" si="2"/>
        <v>Conjuros_LibreAcceso</v>
      </c>
      <c r="AN35" s="1340" t="str">
        <f>AE35&amp;COUNTIF($AE$12:AF35,AE35)</f>
        <v>0</v>
      </c>
      <c r="AO35" s="2966" t="b">
        <f>ISNUMBER(SEARCH(AE35,VLOOKUP(AG35,'Tablas Magia'!$D$6:$AA$680,24,FALSE)))</f>
        <v>0</v>
      </c>
      <c r="AX35" s="742"/>
      <c r="AY35" s="578"/>
      <c r="AZ35" s="3064"/>
      <c r="BA35" s="1737" t="b">
        <f t="shared" ref="BA35:BA60" si="4">ISNUMBER(FIND("inhumanidad",LOWER(C34)))</f>
        <v>0</v>
      </c>
      <c r="BB35" s="3099" t="b">
        <f t="shared" ref="BB35:BB60" si="5">IF(BA35,OR(ISNUMBER(FIND("intermedio",LOWER(C34))),ISNUMBER(FIND("avanzado",LOWER(C34)))))</f>
        <v>0</v>
      </c>
      <c r="BC35" s="3099" t="b">
        <f t="shared" ref="BC35:BC60" si="6">IF(BA35,ISNUMBER(FIND("arcano",LOWER(C34))))</f>
        <v>0</v>
      </c>
      <c r="BD35" s="1737" t="b">
        <f t="shared" ref="BD35:BD60" si="7">IF(BA35,AND(ISNUMBER(FIND("base",LOWER(C34))),OR(ISNUMBER(FIND("movimiento",LOWER(C34))),ISNUMBER(FIND("mov",LOWER(C34))),ISNUMBER(FIND("tm",LOWER(C34))))))</f>
        <v>0</v>
      </c>
      <c r="BE35" s="1737" t="b">
        <f t="shared" ref="BE35:BE60" si="8">IF(BB35,AND(ISNUMBER(FIND("avanzado",LOWER(C34))),OR(ISNUMBER(FIND("movimiento",LOWER(C34))),ISNUMBER(FIND("mov",LOWER(C34))),ISNUMBER(FIND("tm",LOWER(C34))))))</f>
        <v>0</v>
      </c>
      <c r="BF35" s="1737" t="b">
        <f t="shared" ref="BF35:BF60" si="9">IF(BA35,AND(ISNUMBER(FIND("base",LOWER(C34))),OR(ISNUMBER(FIND("fue",LOWER(C34))),ISNUMBER(FIND("peso",LOWER(C34))),ISNUMBER(FIND("ip",LOWER(C34))))))</f>
        <v>0</v>
      </c>
      <c r="BG35" s="1737" t="b">
        <f t="shared" ref="BG35:BG60" si="10">IF(BB35,AND(ISNUMBER(FIND("avanzado",LOWER(C34))),OR(ISNUMBER(FIND("fue",LOWER(C34))),ISNUMBER(FIND("peso",LOWER(C34))),ISNUMBER(FIND("ip",LOWER(C34))))))</f>
        <v>0</v>
      </c>
      <c r="BH35" s="1737"/>
      <c r="BI35" s="1737"/>
    </row>
    <row r="36" spans="1:61" ht="12" customHeight="1" thickBot="1" x14ac:dyDescent="0.25">
      <c r="A36" s="29"/>
      <c r="B36" s="489"/>
      <c r="C36" s="4777"/>
      <c r="D36" s="4777"/>
      <c r="E36" s="4777"/>
      <c r="F36" s="4777"/>
      <c r="G36" s="4777"/>
      <c r="H36" s="1551"/>
      <c r="J36" s="4770"/>
      <c r="K36" s="4771"/>
      <c r="L36" s="4771"/>
      <c r="M36" s="4771"/>
      <c r="N36" s="4771"/>
      <c r="O36" s="4771"/>
      <c r="P36" s="643" t="str">
        <f>IF(J36=0,"",VLOOKUP(J36,Tablas!$AB$1065:$AD$1239,2,FALSE))</f>
        <v/>
      </c>
      <c r="Q36" s="667" t="str">
        <f>IF(J36=0,"",VLOOKUP(J36,Tablas!$AB$1065:$AD$1239,3,FALSE)*IF($P$26="Invocador",0.5,1))</f>
        <v/>
      </c>
      <c r="S36" s="581"/>
      <c r="T36" s="488" t="str">
        <f t="shared" si="0"/>
        <v>Conjuros</v>
      </c>
      <c r="U36" s="29"/>
      <c r="V36" s="676">
        <f>IF(AC36="",0,VLOOKUP(AC36,Tablas!$M$1076:$N$1085,2))</f>
        <v>0</v>
      </c>
      <c r="W36" s="4120"/>
      <c r="X36" s="4715"/>
      <c r="Y36" s="4722"/>
      <c r="Z36" s="4723"/>
      <c r="AA36" s="4723"/>
      <c r="AB36" s="4724"/>
      <c r="AC36" s="546" t="str">
        <f>IF(Místicos!Y36=0,"",VLOOKUP(Místicos!Y36,Tabla_Conjuros,3,FALSE))</f>
        <v/>
      </c>
      <c r="AD36" s="2378" t="str">
        <f t="shared" si="1"/>
        <v/>
      </c>
      <c r="AE36" s="4120"/>
      <c r="AF36" s="4715"/>
      <c r="AG36" s="4722"/>
      <c r="AH36" s="4723"/>
      <c r="AI36" s="4723"/>
      <c r="AJ36" s="4724"/>
      <c r="AK36" s="1483"/>
      <c r="AL36" s="1169">
        <f>IF(Místicos!AG36=0,0,VLOOKUP(Místicos!AG36,Tabla_Conjuros,3,FALSE)-10)</f>
        <v>0</v>
      </c>
      <c r="AM36" s="1340" t="str">
        <f t="shared" si="2"/>
        <v>Conjuros_LibreAcceso</v>
      </c>
      <c r="AN36" s="1340" t="str">
        <f>AE36&amp;COUNTIF($AE$12:AF36,AE36)</f>
        <v>0</v>
      </c>
      <c r="AO36" s="2966" t="b">
        <f>ISNUMBER(SEARCH(AE36,VLOOKUP(AG36,'Tablas Magia'!$D$6:$AA$680,24,FALSE)))</f>
        <v>0</v>
      </c>
      <c r="AP36" s="4762" t="s">
        <v>6886</v>
      </c>
      <c r="AQ36" s="4760"/>
      <c r="AR36" s="4760"/>
      <c r="AS36" s="4760"/>
      <c r="AT36" s="4760"/>
      <c r="AU36" s="4760"/>
      <c r="AV36" s="4760"/>
      <c r="AW36" s="4761"/>
      <c r="AX36" s="742"/>
      <c r="AY36" s="578"/>
      <c r="AZ36" s="3064"/>
      <c r="BA36" s="1737" t="b">
        <f t="shared" si="4"/>
        <v>0</v>
      </c>
      <c r="BB36" s="3099" t="b">
        <f t="shared" si="5"/>
        <v>0</v>
      </c>
      <c r="BC36" s="3099" t="b">
        <f t="shared" si="6"/>
        <v>0</v>
      </c>
      <c r="BD36" s="1737" t="b">
        <f t="shared" si="7"/>
        <v>0</v>
      </c>
      <c r="BE36" s="1737" t="b">
        <f t="shared" si="8"/>
        <v>0</v>
      </c>
      <c r="BF36" s="1737" t="b">
        <f t="shared" si="9"/>
        <v>0</v>
      </c>
      <c r="BG36" s="1737" t="b">
        <f t="shared" si="10"/>
        <v>0</v>
      </c>
      <c r="BH36" s="1737"/>
      <c r="BI36" s="1737"/>
    </row>
    <row r="37" spans="1:61" ht="12" customHeight="1" x14ac:dyDescent="0.2">
      <c r="A37" s="29"/>
      <c r="B37" s="489"/>
      <c r="C37" s="4766"/>
      <c r="D37" s="4766"/>
      <c r="E37" s="4766"/>
      <c r="F37" s="4766"/>
      <c r="G37" s="4766"/>
      <c r="H37" s="1508"/>
      <c r="J37" s="4772"/>
      <c r="K37" s="4773"/>
      <c r="L37" s="4773"/>
      <c r="M37" s="4773"/>
      <c r="N37" s="4773"/>
      <c r="O37" s="4773"/>
      <c r="P37" s="642" t="str">
        <f>IF(J37=0,"",VLOOKUP(J37,Tablas!$AB$1065:$AD$1239,2,FALSE))</f>
        <v/>
      </c>
      <c r="Q37" s="666" t="str">
        <f>IF(J37=0,"",VLOOKUP(J37,Tablas!$AB$1065:$AD$1239,3,FALSE)*IF($P$26="Invocador",0.5,1))</f>
        <v/>
      </c>
      <c r="S37" s="581"/>
      <c r="T37" s="488" t="str">
        <f t="shared" si="0"/>
        <v>Conjuros</v>
      </c>
      <c r="U37" s="29"/>
      <c r="V37" s="676">
        <f>IF(AC37="",0,VLOOKUP(AC37,Tablas!$M$1076:$N$1085,2))</f>
        <v>0</v>
      </c>
      <c r="W37" s="4123"/>
      <c r="X37" s="4817"/>
      <c r="Y37" s="4725"/>
      <c r="Z37" s="4726"/>
      <c r="AA37" s="4726"/>
      <c r="AB37" s="4727"/>
      <c r="AC37" s="545" t="str">
        <f>IF(Místicos!Y37=0,"",VLOOKUP(Místicos!Y37,Tabla_Conjuros,3,FALSE))</f>
        <v/>
      </c>
      <c r="AD37" s="2378" t="str">
        <f t="shared" si="1"/>
        <v/>
      </c>
      <c r="AE37" s="4743"/>
      <c r="AF37" s="4718"/>
      <c r="AG37" s="4725"/>
      <c r="AH37" s="4726"/>
      <c r="AI37" s="4726"/>
      <c r="AJ37" s="4727"/>
      <c r="AK37" s="1552"/>
      <c r="AL37" s="1169">
        <f>IF(Místicos!AG37=0,0,VLOOKUP(Místicos!AG37,Tabla_Conjuros,3,FALSE)-10)</f>
        <v>0</v>
      </c>
      <c r="AM37" s="1340" t="str">
        <f t="shared" si="2"/>
        <v>Conjuros_LibreAcceso</v>
      </c>
      <c r="AN37" s="1340" t="str">
        <f>AE37&amp;COUNTIF($AE$12:AF37,AE37)</f>
        <v>0</v>
      </c>
      <c r="AO37" s="2966" t="b">
        <f>ISNUMBER(SEARCH(AE37,VLOOKUP(AG37,'Tablas Magia'!$D$6:$AA$680,24,FALSE)))</f>
        <v>0</v>
      </c>
      <c r="AP37" s="734" t="s">
        <v>6880</v>
      </c>
      <c r="AQ37" s="4750" t="s">
        <v>6907</v>
      </c>
      <c r="AR37" s="4751"/>
      <c r="AS37" s="4751"/>
      <c r="AT37" s="4751"/>
      <c r="AU37" s="4751"/>
      <c r="AV37" s="4751"/>
      <c r="AW37" s="4731"/>
      <c r="AX37" s="742"/>
      <c r="AY37" s="578"/>
      <c r="AZ37" s="3064"/>
      <c r="BA37" s="1737" t="b">
        <f t="shared" si="4"/>
        <v>0</v>
      </c>
      <c r="BB37" s="3099" t="b">
        <f t="shared" si="5"/>
        <v>0</v>
      </c>
      <c r="BC37" s="3099" t="b">
        <f t="shared" si="6"/>
        <v>0</v>
      </c>
      <c r="BD37" s="1737" t="b">
        <f t="shared" si="7"/>
        <v>0</v>
      </c>
      <c r="BE37" s="1737" t="b">
        <f t="shared" si="8"/>
        <v>0</v>
      </c>
      <c r="BF37" s="1737" t="b">
        <f t="shared" si="9"/>
        <v>0</v>
      </c>
      <c r="BG37" s="1737" t="b">
        <f t="shared" si="10"/>
        <v>0</v>
      </c>
      <c r="BH37" s="1737"/>
      <c r="BI37" s="1737"/>
    </row>
    <row r="38" spans="1:61" ht="12" customHeight="1" x14ac:dyDescent="0.2">
      <c r="A38" s="29"/>
      <c r="B38" s="489"/>
      <c r="C38" s="4777"/>
      <c r="D38" s="4777"/>
      <c r="E38" s="4777"/>
      <c r="F38" s="4777"/>
      <c r="G38" s="4777"/>
      <c r="H38" s="1551"/>
      <c r="J38" s="4770"/>
      <c r="K38" s="4771"/>
      <c r="L38" s="4771"/>
      <c r="M38" s="4771"/>
      <c r="N38" s="4771"/>
      <c r="O38" s="4771"/>
      <c r="P38" s="643" t="str">
        <f>IF(J38=0,"",VLOOKUP(J38,Tablas!$AB$1065:$AD$1239,2,FALSE))</f>
        <v/>
      </c>
      <c r="Q38" s="667" t="str">
        <f>IF(J38=0,"",VLOOKUP(J38,Tablas!$AB$1065:$AD$1239,3,FALSE)*IF($P$26="Invocador",0.5,1))</f>
        <v/>
      </c>
      <c r="S38" s="581"/>
      <c r="T38" s="488" t="str">
        <f t="shared" si="0"/>
        <v>Conjuros</v>
      </c>
      <c r="U38" s="29"/>
      <c r="V38" s="676">
        <f>IF(AC38="",0,VLOOKUP(AC38,Tablas!$M$1076:$N$1085,2))</f>
        <v>0</v>
      </c>
      <c r="W38" s="4120"/>
      <c r="X38" s="4715"/>
      <c r="Y38" s="4722"/>
      <c r="Z38" s="4723"/>
      <c r="AA38" s="4723"/>
      <c r="AB38" s="4724"/>
      <c r="AC38" s="546" t="str">
        <f>IF(Místicos!Y38=0,"",VLOOKUP(Místicos!Y38,Tabla_Conjuros,3,FALSE))</f>
        <v/>
      </c>
      <c r="AD38" s="2378" t="str">
        <f t="shared" si="1"/>
        <v/>
      </c>
      <c r="AE38" s="4120"/>
      <c r="AF38" s="4715"/>
      <c r="AG38" s="4722"/>
      <c r="AH38" s="4723"/>
      <c r="AI38" s="4723"/>
      <c r="AJ38" s="4724"/>
      <c r="AK38" s="1483"/>
      <c r="AL38" s="1169">
        <f>IF(Místicos!AG38=0,0,VLOOKUP(Místicos!AG38,Tabla_Conjuros,3,FALSE)-10)</f>
        <v>0</v>
      </c>
      <c r="AM38" s="1340" t="str">
        <f t="shared" si="2"/>
        <v>Conjuros_LibreAcceso</v>
      </c>
      <c r="AN38" s="1340" t="str">
        <f>AE38&amp;COUNTIF($AE$12:AF38,AE38)</f>
        <v>0</v>
      </c>
      <c r="AO38" s="2966" t="b">
        <f>ISNUMBER(SEARCH(AE38,VLOOKUP(AG38,'Tablas Magia'!$D$6:$AA$680,24,FALSE)))</f>
        <v>0</v>
      </c>
      <c r="AP38" s="734" t="s">
        <v>6881</v>
      </c>
      <c r="AQ38" s="4730" t="s">
        <v>6906</v>
      </c>
      <c r="AR38" s="4731"/>
      <c r="AS38" s="4731"/>
      <c r="AT38" s="4731"/>
      <c r="AU38" s="4731"/>
      <c r="AV38" s="4731"/>
      <c r="AW38" s="4731"/>
      <c r="AX38" s="742"/>
      <c r="AY38" s="578"/>
      <c r="AZ38" s="3064"/>
      <c r="BA38" s="1737" t="b">
        <f t="shared" si="4"/>
        <v>0</v>
      </c>
      <c r="BB38" s="3099" t="b">
        <f t="shared" si="5"/>
        <v>0</v>
      </c>
      <c r="BC38" s="3099" t="b">
        <f t="shared" si="6"/>
        <v>0</v>
      </c>
      <c r="BD38" s="1737" t="b">
        <f t="shared" si="7"/>
        <v>0</v>
      </c>
      <c r="BE38" s="1737" t="b">
        <f t="shared" si="8"/>
        <v>0</v>
      </c>
      <c r="BF38" s="1737" t="b">
        <f t="shared" si="9"/>
        <v>0</v>
      </c>
      <c r="BG38" s="1737" t="b">
        <f t="shared" si="10"/>
        <v>0</v>
      </c>
      <c r="BH38" s="1737"/>
      <c r="BI38" s="1737"/>
    </row>
    <row r="39" spans="1:61" ht="12" customHeight="1" x14ac:dyDescent="0.2">
      <c r="A39" s="29"/>
      <c r="B39" s="489"/>
      <c r="C39" s="4766"/>
      <c r="D39" s="4766"/>
      <c r="E39" s="4766"/>
      <c r="F39" s="4766"/>
      <c r="G39" s="4766"/>
      <c r="H39" s="1508"/>
      <c r="J39" s="4772"/>
      <c r="K39" s="4773"/>
      <c r="L39" s="4773"/>
      <c r="M39" s="4773"/>
      <c r="N39" s="4773"/>
      <c r="O39" s="4773"/>
      <c r="P39" s="642" t="str">
        <f>IF(J39=0,"",VLOOKUP(J39,Tablas!$AB$1065:$AD$1239,2,FALSE))</f>
        <v/>
      </c>
      <c r="Q39" s="666" t="str">
        <f>IF(J39=0,"",VLOOKUP(J39,Tablas!$AB$1065:$AD$1239,3,FALSE)*IF($P$26="Invocador",0.5,1))</f>
        <v/>
      </c>
      <c r="S39" s="581"/>
      <c r="T39" s="488" t="str">
        <f t="shared" si="0"/>
        <v>Conjuros</v>
      </c>
      <c r="U39" s="29"/>
      <c r="V39" s="676">
        <f>IF(AC39="",0,VLOOKUP(AC39,Tablas!$M$1076:$N$1085,2))</f>
        <v>0</v>
      </c>
      <c r="W39" s="4123"/>
      <c r="X39" s="4817"/>
      <c r="Y39" s="4725"/>
      <c r="Z39" s="4726"/>
      <c r="AA39" s="4726"/>
      <c r="AB39" s="4727"/>
      <c r="AC39" s="545" t="str">
        <f>IF(Místicos!Y39=0,"",VLOOKUP(Místicos!Y39,Tabla_Conjuros,3,FALSE))</f>
        <v/>
      </c>
      <c r="AD39" s="2378" t="str">
        <f t="shared" si="1"/>
        <v/>
      </c>
      <c r="AE39" s="4743"/>
      <c r="AF39" s="4718"/>
      <c r="AG39" s="4725"/>
      <c r="AH39" s="4726"/>
      <c r="AI39" s="4726"/>
      <c r="AJ39" s="4727"/>
      <c r="AK39" s="1552"/>
      <c r="AL39" s="1169">
        <f>IF(Místicos!AG39=0,0,VLOOKUP(Místicos!AG39,Tabla_Conjuros,3,FALSE)-10)</f>
        <v>0</v>
      </c>
      <c r="AM39" s="1340" t="str">
        <f t="shared" si="2"/>
        <v>Conjuros_LibreAcceso</v>
      </c>
      <c r="AN39" s="1340" t="str">
        <f>AE39&amp;COUNTIF($AE$12:AF39,AE39)</f>
        <v>0</v>
      </c>
      <c r="AO39" s="2966" t="b">
        <f>ISNUMBER(SEARCH(AE39,VLOOKUP(AG39,'Tablas Magia'!$D$6:$AA$680,24,FALSE)))</f>
        <v>0</v>
      </c>
      <c r="AP39" s="734" t="s">
        <v>6882</v>
      </c>
      <c r="AQ39" s="4730" t="s">
        <v>6905</v>
      </c>
      <c r="AR39" s="4731"/>
      <c r="AS39" s="4731"/>
      <c r="AT39" s="4731"/>
      <c r="AU39" s="4731"/>
      <c r="AV39" s="4731"/>
      <c r="AW39" s="4731"/>
      <c r="AX39" s="742"/>
      <c r="AY39" s="578"/>
      <c r="AZ39" s="3064"/>
      <c r="BA39" s="1737" t="b">
        <f t="shared" si="4"/>
        <v>0</v>
      </c>
      <c r="BB39" s="3099" t="b">
        <f t="shared" si="5"/>
        <v>0</v>
      </c>
      <c r="BC39" s="3099" t="b">
        <f t="shared" si="6"/>
        <v>0</v>
      </c>
      <c r="BD39" s="1737" t="b">
        <f t="shared" si="7"/>
        <v>0</v>
      </c>
      <c r="BE39" s="1737" t="b">
        <f t="shared" si="8"/>
        <v>0</v>
      </c>
      <c r="BF39" s="1737" t="b">
        <f t="shared" si="9"/>
        <v>0</v>
      </c>
      <c r="BG39" s="1737" t="b">
        <f t="shared" si="10"/>
        <v>0</v>
      </c>
      <c r="BH39" s="1737"/>
      <c r="BI39" s="1737"/>
    </row>
    <row r="40" spans="1:61" ht="12" customHeight="1" x14ac:dyDescent="0.2">
      <c r="A40" s="29"/>
      <c r="B40" s="489"/>
      <c r="C40" s="4777"/>
      <c r="D40" s="4777"/>
      <c r="E40" s="4777"/>
      <c r="F40" s="4777"/>
      <c r="G40" s="4777"/>
      <c r="H40" s="1551"/>
      <c r="J40" s="4770"/>
      <c r="K40" s="4771"/>
      <c r="L40" s="4771"/>
      <c r="M40" s="4771"/>
      <c r="N40" s="4771"/>
      <c r="O40" s="4771"/>
      <c r="P40" s="643" t="str">
        <f>IF(J40=0,"",VLOOKUP(J40,Tablas!$AB$1065:$AD$1239,2,FALSE))</f>
        <v/>
      </c>
      <c r="Q40" s="667" t="str">
        <f>IF(J40=0,"",VLOOKUP(J40,Tablas!$AB$1065:$AD$1239,3,FALSE)*IF($P$26="Invocador",0.5,1))</f>
        <v/>
      </c>
      <c r="S40" s="581"/>
      <c r="T40" s="488" t="str">
        <f t="shared" si="0"/>
        <v>Conjuros</v>
      </c>
      <c r="U40" s="29"/>
      <c r="V40" s="676">
        <f>IF(AC40="",0,VLOOKUP(AC40,Tablas!$M$1076:$N$1085,2))</f>
        <v>0</v>
      </c>
      <c r="W40" s="4120"/>
      <c r="X40" s="4715"/>
      <c r="Y40" s="4722"/>
      <c r="Z40" s="4723"/>
      <c r="AA40" s="4723"/>
      <c r="AB40" s="4724"/>
      <c r="AC40" s="546" t="str">
        <f>IF(Místicos!Y40=0,"",VLOOKUP(Místicos!Y40,Tabla_Conjuros,3,FALSE))</f>
        <v/>
      </c>
      <c r="AD40" s="2378" t="str">
        <f t="shared" si="1"/>
        <v/>
      </c>
      <c r="AE40" s="4120"/>
      <c r="AF40" s="4715"/>
      <c r="AG40" s="4722"/>
      <c r="AH40" s="4723"/>
      <c r="AI40" s="4723"/>
      <c r="AJ40" s="4724"/>
      <c r="AK40" s="1483"/>
      <c r="AL40" s="1169">
        <f>IF(Místicos!AG40=0,0,VLOOKUP(Místicos!AG40,Tabla_Conjuros,3,FALSE)-10)</f>
        <v>0</v>
      </c>
      <c r="AM40" s="1340" t="str">
        <f t="shared" si="2"/>
        <v>Conjuros_LibreAcceso</v>
      </c>
      <c r="AN40" s="1340" t="str">
        <f>AE40&amp;COUNTIF($AE$12:AF40,AE40)</f>
        <v>0</v>
      </c>
      <c r="AO40" s="2966" t="b">
        <f>ISNUMBER(SEARCH(AE40,VLOOKUP(AG40,'Tablas Magia'!$D$6:$AA$680,24,FALSE)))</f>
        <v>0</v>
      </c>
      <c r="AP40" s="734" t="s">
        <v>6883</v>
      </c>
      <c r="AQ40" s="4730" t="s">
        <v>6914</v>
      </c>
      <c r="AR40" s="4731"/>
      <c r="AS40" s="4731"/>
      <c r="AT40" s="4731"/>
      <c r="AU40" s="4731"/>
      <c r="AV40" s="4731"/>
      <c r="AW40" s="4731"/>
      <c r="AX40" s="742"/>
      <c r="AY40" s="578"/>
      <c r="AZ40" s="3064"/>
      <c r="BA40" s="1737" t="b">
        <f t="shared" si="4"/>
        <v>0</v>
      </c>
      <c r="BB40" s="3099" t="b">
        <f t="shared" si="5"/>
        <v>0</v>
      </c>
      <c r="BC40" s="3099" t="b">
        <f t="shared" si="6"/>
        <v>0</v>
      </c>
      <c r="BD40" s="1737" t="b">
        <f t="shared" si="7"/>
        <v>0</v>
      </c>
      <c r="BE40" s="1737" t="b">
        <f t="shared" si="8"/>
        <v>0</v>
      </c>
      <c r="BF40" s="1737" t="b">
        <f t="shared" si="9"/>
        <v>0</v>
      </c>
      <c r="BG40" s="1737" t="b">
        <f t="shared" si="10"/>
        <v>0</v>
      </c>
      <c r="BH40" s="1737"/>
      <c r="BI40" s="1737"/>
    </row>
    <row r="41" spans="1:61" ht="12" customHeight="1" x14ac:dyDescent="0.2">
      <c r="A41" s="29"/>
      <c r="B41" s="489"/>
      <c r="C41" s="4766"/>
      <c r="D41" s="4766"/>
      <c r="E41" s="4766"/>
      <c r="F41" s="4766"/>
      <c r="G41" s="4766"/>
      <c r="H41" s="1508"/>
      <c r="J41" s="4772"/>
      <c r="K41" s="4773"/>
      <c r="L41" s="4773"/>
      <c r="M41" s="4773"/>
      <c r="N41" s="4773"/>
      <c r="O41" s="4773"/>
      <c r="P41" s="642" t="str">
        <f>IF(J41=0,"",VLOOKUP(J41,Tablas!$AB$1065:$AD$1239,2,FALSE))</f>
        <v/>
      </c>
      <c r="Q41" s="666" t="str">
        <f>IF(J41=0,"",VLOOKUP(J41,Tablas!$AB$1065:$AD$1239,3,FALSE)*IF($P$26="Invocador",0.5,1))</f>
        <v/>
      </c>
      <c r="S41" s="581"/>
      <c r="T41" s="488" t="str">
        <f t="shared" si="0"/>
        <v>Conjuros</v>
      </c>
      <c r="U41" s="29"/>
      <c r="V41" s="676">
        <f>IF(AC41="",0,VLOOKUP(AC41,Tablas!$M$1076:$N$1085,2))</f>
        <v>0</v>
      </c>
      <c r="W41" s="4123"/>
      <c r="X41" s="4817"/>
      <c r="Y41" s="4725"/>
      <c r="Z41" s="4726"/>
      <c r="AA41" s="4726"/>
      <c r="AB41" s="4727"/>
      <c r="AC41" s="545" t="str">
        <f>IF(Místicos!Y41=0,"",VLOOKUP(Místicos!Y41,Tabla_Conjuros,3,FALSE))</f>
        <v/>
      </c>
      <c r="AD41" s="2378" t="str">
        <f t="shared" si="1"/>
        <v/>
      </c>
      <c r="AE41" s="4743"/>
      <c r="AF41" s="4718"/>
      <c r="AG41" s="4725"/>
      <c r="AH41" s="4726"/>
      <c r="AI41" s="4726"/>
      <c r="AJ41" s="4727"/>
      <c r="AK41" s="1552"/>
      <c r="AL41" s="1169">
        <f>IF(Místicos!AG41=0,0,VLOOKUP(Místicos!AG41,Tabla_Conjuros,3,FALSE)-10)</f>
        <v>0</v>
      </c>
      <c r="AM41" s="1340" t="str">
        <f t="shared" si="2"/>
        <v>Conjuros_LibreAcceso</v>
      </c>
      <c r="AN41" s="1340" t="str">
        <f>AE41&amp;COUNTIF($AE$12:AF41,AE41)</f>
        <v>0</v>
      </c>
      <c r="AO41" s="2966" t="b">
        <f>ISNUMBER(SEARCH(AE41,VLOOKUP(AG41,'Tablas Magia'!$D$6:$AA$680,24,FALSE)))</f>
        <v>0</v>
      </c>
      <c r="AP41" s="734" t="s">
        <v>6884</v>
      </c>
      <c r="AQ41" s="4730" t="s">
        <v>6904</v>
      </c>
      <c r="AR41" s="4731"/>
      <c r="AS41" s="4731"/>
      <c r="AT41" s="4731"/>
      <c r="AU41" s="4731"/>
      <c r="AV41" s="4731"/>
      <c r="AW41" s="4731"/>
      <c r="AX41" s="742"/>
      <c r="AY41" s="578"/>
      <c r="AZ41" s="3064"/>
      <c r="BA41" s="1737" t="b">
        <f t="shared" si="4"/>
        <v>0</v>
      </c>
      <c r="BB41" s="3099" t="b">
        <f t="shared" si="5"/>
        <v>0</v>
      </c>
      <c r="BC41" s="3099" t="b">
        <f t="shared" si="6"/>
        <v>0</v>
      </c>
      <c r="BD41" s="1737" t="b">
        <f t="shared" si="7"/>
        <v>0</v>
      </c>
      <c r="BE41" s="1737" t="b">
        <f t="shared" si="8"/>
        <v>0</v>
      </c>
      <c r="BF41" s="1737" t="b">
        <f t="shared" si="9"/>
        <v>0</v>
      </c>
      <c r="BG41" s="1737" t="b">
        <f t="shared" si="10"/>
        <v>0</v>
      </c>
      <c r="BH41" s="1737"/>
      <c r="BI41" s="1737"/>
    </row>
    <row r="42" spans="1:61" ht="12" customHeight="1" thickBot="1" x14ac:dyDescent="0.25">
      <c r="A42" s="29"/>
      <c r="B42" s="489"/>
      <c r="C42" s="4777"/>
      <c r="D42" s="4777"/>
      <c r="E42" s="4777"/>
      <c r="F42" s="4777"/>
      <c r="G42" s="4777"/>
      <c r="H42" s="1551"/>
      <c r="J42" s="4770"/>
      <c r="K42" s="4771"/>
      <c r="L42" s="4771"/>
      <c r="M42" s="4771"/>
      <c r="N42" s="4771"/>
      <c r="O42" s="4771"/>
      <c r="P42" s="643" t="str">
        <f>IF(J42=0,"",VLOOKUP(J42,Tablas!$AB$1065:$AD$1239,2,FALSE))</f>
        <v/>
      </c>
      <c r="Q42" s="667" t="str">
        <f>IF(J42=0,"",VLOOKUP(J42,Tablas!$AB$1065:$AD$1239,3,FALSE)*IF($P$26="Invocador",0.5,1))</f>
        <v/>
      </c>
      <c r="S42" s="581"/>
      <c r="T42" s="488" t="str">
        <f t="shared" si="0"/>
        <v>Conjuros</v>
      </c>
      <c r="U42" s="29"/>
      <c r="V42" s="676">
        <f>IF(AC42="",0,VLOOKUP(AC42,Tablas!$M$1076:$N$1085,2))</f>
        <v>0</v>
      </c>
      <c r="W42" s="4120"/>
      <c r="X42" s="4715"/>
      <c r="Y42" s="4722"/>
      <c r="Z42" s="4723"/>
      <c r="AA42" s="4723"/>
      <c r="AB42" s="4724"/>
      <c r="AC42" s="546" t="str">
        <f>IF(Místicos!Y42=0,"",VLOOKUP(Místicos!Y42,Tabla_Conjuros,3,FALSE))</f>
        <v/>
      </c>
      <c r="AD42" s="2378" t="str">
        <f t="shared" si="1"/>
        <v/>
      </c>
      <c r="AE42" s="4120"/>
      <c r="AF42" s="4715"/>
      <c r="AG42" s="4722"/>
      <c r="AH42" s="4723"/>
      <c r="AI42" s="4723"/>
      <c r="AJ42" s="4724"/>
      <c r="AK42" s="1483"/>
      <c r="AL42" s="1169">
        <f>IF(Místicos!AG42=0,0,VLOOKUP(Místicos!AG42,Tabla_Conjuros,3,FALSE)-10)</f>
        <v>0</v>
      </c>
      <c r="AM42" s="1340" t="str">
        <f t="shared" si="2"/>
        <v>Conjuros_LibreAcceso</v>
      </c>
      <c r="AN42" s="1340" t="str">
        <f>AE42&amp;COUNTIF($AE$12:AF42,AE42)</f>
        <v>0</v>
      </c>
      <c r="AO42" s="2966" t="b">
        <f>ISNUMBER(SEARCH(AE42,VLOOKUP(AG42,'Tablas Magia'!$D$6:$AA$680,24,FALSE)))</f>
        <v>0</v>
      </c>
      <c r="AP42" s="735">
        <v>-9</v>
      </c>
      <c r="AQ42" s="4732" t="s">
        <v>6903</v>
      </c>
      <c r="AR42" s="4733"/>
      <c r="AS42" s="4733"/>
      <c r="AT42" s="4733"/>
      <c r="AU42" s="4733"/>
      <c r="AV42" s="4733"/>
      <c r="AW42" s="4733"/>
      <c r="AX42" s="742"/>
      <c r="AY42" s="578"/>
      <c r="AZ42" s="3064"/>
      <c r="BA42" s="1737" t="b">
        <f t="shared" si="4"/>
        <v>0</v>
      </c>
      <c r="BB42" s="3099" t="b">
        <f t="shared" si="5"/>
        <v>0</v>
      </c>
      <c r="BC42" s="3099" t="b">
        <f t="shared" si="6"/>
        <v>0</v>
      </c>
      <c r="BD42" s="1737" t="b">
        <f t="shared" si="7"/>
        <v>0</v>
      </c>
      <c r="BE42" s="1737" t="b">
        <f t="shared" si="8"/>
        <v>0</v>
      </c>
      <c r="BF42" s="1737" t="b">
        <f t="shared" si="9"/>
        <v>0</v>
      </c>
      <c r="BG42" s="1737" t="b">
        <f t="shared" si="10"/>
        <v>0</v>
      </c>
      <c r="BH42" s="1737"/>
      <c r="BI42" s="1737"/>
    </row>
    <row r="43" spans="1:61" ht="12" customHeight="1" x14ac:dyDescent="0.2">
      <c r="A43" s="29"/>
      <c r="B43" s="489"/>
      <c r="C43" s="4766"/>
      <c r="D43" s="4766"/>
      <c r="E43" s="4766"/>
      <c r="F43" s="4766"/>
      <c r="G43" s="4766"/>
      <c r="H43" s="1508"/>
      <c r="J43" s="4772"/>
      <c r="K43" s="4773"/>
      <c r="L43" s="4773"/>
      <c r="M43" s="4773"/>
      <c r="N43" s="4773"/>
      <c r="O43" s="4773"/>
      <c r="P43" s="642" t="str">
        <f>IF(J43=0,"",VLOOKUP(J43,Tablas!$AB$1065:$AD$1239,2,FALSE))</f>
        <v/>
      </c>
      <c r="Q43" s="666" t="str">
        <f>IF(J43=0,"",VLOOKUP(J43,Tablas!$AB$1065:$AD$1239,3,FALSE)*IF($P$26="Invocador",0.5,1))</f>
        <v/>
      </c>
      <c r="S43" s="581"/>
      <c r="T43" s="488" t="str">
        <f t="shared" si="0"/>
        <v>Conjuros</v>
      </c>
      <c r="U43" s="29"/>
      <c r="V43" s="676">
        <f>IF(AC43="",0,VLOOKUP(AC43,Tablas!$M$1076:$N$1085,2))</f>
        <v>0</v>
      </c>
      <c r="W43" s="4123"/>
      <c r="X43" s="4817"/>
      <c r="Y43" s="4725"/>
      <c r="Z43" s="4726"/>
      <c r="AA43" s="4726"/>
      <c r="AB43" s="4727"/>
      <c r="AC43" s="545" t="str">
        <f>IF(Místicos!Y43=0,"",VLOOKUP(Místicos!Y43,Tabla_Conjuros,3,FALSE))</f>
        <v/>
      </c>
      <c r="AD43" s="2378" t="str">
        <f t="shared" si="1"/>
        <v/>
      </c>
      <c r="AE43" s="4743"/>
      <c r="AF43" s="4718"/>
      <c r="AG43" s="4725"/>
      <c r="AH43" s="4726"/>
      <c r="AI43" s="4726"/>
      <c r="AJ43" s="4727"/>
      <c r="AK43" s="1552"/>
      <c r="AL43" s="1169">
        <f>IF(Místicos!AG43=0,0,VLOOKUP(Místicos!AG43,Tabla_Conjuros,3,FALSE)-10)</f>
        <v>0</v>
      </c>
      <c r="AM43" s="1340" t="str">
        <f t="shared" si="2"/>
        <v>Conjuros_LibreAcceso</v>
      </c>
      <c r="AN43" s="1340" t="str">
        <f>AE43&amp;COUNTIF($AE$12:AF43,AE43)</f>
        <v>0</v>
      </c>
      <c r="AO43" s="2966" t="b">
        <f>ISNUMBER(SEARCH(AE43,VLOOKUP(AG43,'Tablas Magia'!$D$6:$AA$680,24,FALSE)))</f>
        <v>0</v>
      </c>
      <c r="AP43" s="48"/>
      <c r="AQ43" s="48"/>
      <c r="AR43" s="48"/>
      <c r="AS43" s="48"/>
      <c r="AT43" s="48"/>
      <c r="AU43" s="48"/>
      <c r="AV43" s="48"/>
      <c r="AW43" s="48"/>
      <c r="AX43" s="743"/>
      <c r="AY43" s="578"/>
      <c r="AZ43" s="3064"/>
      <c r="BA43" s="1737" t="b">
        <f t="shared" si="4"/>
        <v>0</v>
      </c>
      <c r="BB43" s="3099" t="b">
        <f t="shared" si="5"/>
        <v>0</v>
      </c>
      <c r="BC43" s="3099" t="b">
        <f t="shared" si="6"/>
        <v>0</v>
      </c>
      <c r="BD43" s="1737" t="b">
        <f t="shared" si="7"/>
        <v>0</v>
      </c>
      <c r="BE43" s="1737" t="b">
        <f t="shared" si="8"/>
        <v>0</v>
      </c>
      <c r="BF43" s="1737" t="b">
        <f t="shared" si="9"/>
        <v>0</v>
      </c>
      <c r="BG43" s="1737" t="b">
        <f t="shared" si="10"/>
        <v>0</v>
      </c>
      <c r="BH43" s="1737"/>
      <c r="BI43" s="1737"/>
    </row>
    <row r="44" spans="1:61" ht="12" customHeight="1" x14ac:dyDescent="0.2">
      <c r="A44" s="29"/>
      <c r="B44" s="489"/>
      <c r="C44" s="4777"/>
      <c r="D44" s="4777"/>
      <c r="E44" s="4777"/>
      <c r="F44" s="4777"/>
      <c r="G44" s="4777"/>
      <c r="H44" s="1551"/>
      <c r="J44" s="4770"/>
      <c r="K44" s="4771"/>
      <c r="L44" s="4771"/>
      <c r="M44" s="4771"/>
      <c r="N44" s="4771"/>
      <c r="O44" s="4771"/>
      <c r="P44" s="643" t="str">
        <f>IF(J44=0,"",VLOOKUP(J44,Tablas!$AB$1065:$AD$1239,2,FALSE))</f>
        <v/>
      </c>
      <c r="Q44" s="667" t="str">
        <f>IF(J44=0,"",VLOOKUP(J44,Tablas!$AB$1065:$AD$1239,3,FALSE)*IF($P$26="Invocador",0.5,1))</f>
        <v/>
      </c>
      <c r="S44" s="581"/>
      <c r="T44" s="488" t="str">
        <f t="shared" si="0"/>
        <v>Conjuros</v>
      </c>
      <c r="U44" s="29"/>
      <c r="V44" s="676">
        <f>IF(AC44="",0,VLOOKUP(AC44,Tablas!$M$1076:$N$1085,2))</f>
        <v>0</v>
      </c>
      <c r="W44" s="4120"/>
      <c r="X44" s="4715"/>
      <c r="Y44" s="4722"/>
      <c r="Z44" s="4723"/>
      <c r="AA44" s="4723"/>
      <c r="AB44" s="4724"/>
      <c r="AC44" s="546" t="str">
        <f>IF(Místicos!Y44=0,"",VLOOKUP(Místicos!Y44,Tabla_Conjuros,3,FALSE))</f>
        <v/>
      </c>
      <c r="AD44" s="2378" t="str">
        <f t="shared" si="1"/>
        <v/>
      </c>
      <c r="AE44" s="4120"/>
      <c r="AF44" s="4715"/>
      <c r="AG44" s="4722"/>
      <c r="AH44" s="4723"/>
      <c r="AI44" s="4723"/>
      <c r="AJ44" s="4724"/>
      <c r="AK44" s="1483"/>
      <c r="AL44" s="1169">
        <f>IF(Místicos!AG44=0,0,VLOOKUP(Místicos!AG44,Tabla_Conjuros,3,FALSE)-10)</f>
        <v>0</v>
      </c>
      <c r="AM44" s="1340" t="str">
        <f t="shared" si="2"/>
        <v>Conjuros_LibreAcceso</v>
      </c>
      <c r="AN44" s="1340" t="str">
        <f>AE44&amp;COUNTIF($AE$12:AF44,AE44)</f>
        <v>0</v>
      </c>
      <c r="AO44" s="2966" t="b">
        <f>ISNUMBER(SEARCH(AE44,VLOOKUP(AG44,'Tablas Magia'!$D$6:$AA$680,24,FALSE)))</f>
        <v>0</v>
      </c>
      <c r="AP44" s="4728" t="str">
        <f>IF(OR(AT10="General",AT10="Magia Natural"),"",AT10)</f>
        <v/>
      </c>
      <c r="AQ44" s="4728"/>
      <c r="AR44" s="4728"/>
      <c r="AS44" s="4728"/>
      <c r="AT44" s="4728"/>
      <c r="AU44" s="4728"/>
      <c r="AV44" s="4728"/>
      <c r="AW44" s="4728"/>
      <c r="AX44" s="742"/>
      <c r="AY44" s="578"/>
      <c r="AZ44" s="3064"/>
      <c r="BA44" s="1737" t="b">
        <f t="shared" si="4"/>
        <v>0</v>
      </c>
      <c r="BB44" s="3099" t="b">
        <f t="shared" si="5"/>
        <v>0</v>
      </c>
      <c r="BC44" s="3099" t="b">
        <f t="shared" si="6"/>
        <v>0</v>
      </c>
      <c r="BD44" s="1737" t="b">
        <f t="shared" si="7"/>
        <v>0</v>
      </c>
      <c r="BE44" s="1737" t="b">
        <f t="shared" si="8"/>
        <v>0</v>
      </c>
      <c r="BF44" s="1737" t="b">
        <f t="shared" si="9"/>
        <v>0</v>
      </c>
      <c r="BG44" s="1737" t="b">
        <f t="shared" si="10"/>
        <v>0</v>
      </c>
      <c r="BH44" s="1737"/>
      <c r="BI44" s="1737"/>
    </row>
    <row r="45" spans="1:61" ht="12" customHeight="1" x14ac:dyDescent="0.2">
      <c r="A45" s="29"/>
      <c r="B45" s="489"/>
      <c r="C45" s="4766"/>
      <c r="D45" s="4766"/>
      <c r="E45" s="4766"/>
      <c r="F45" s="4766"/>
      <c r="G45" s="4766"/>
      <c r="H45" s="1508"/>
      <c r="J45" s="4772"/>
      <c r="K45" s="4773"/>
      <c r="L45" s="4773"/>
      <c r="M45" s="4773"/>
      <c r="N45" s="4773"/>
      <c r="O45" s="4773"/>
      <c r="P45" s="642" t="str">
        <f>IF(J45=0,"",VLOOKUP(J45,Tablas!$AB$1065:$AD$1239,2,FALSE))</f>
        <v/>
      </c>
      <c r="Q45" s="666" t="str">
        <f>IF(J45=0,"",VLOOKUP(J45,Tablas!$AB$1065:$AD$1239,3,FALSE)*IF($P$26="Invocador",0.5,1))</f>
        <v/>
      </c>
      <c r="S45" s="581"/>
      <c r="T45" s="488" t="str">
        <f t="shared" si="0"/>
        <v>Conjuros</v>
      </c>
      <c r="U45" s="29"/>
      <c r="V45" s="676">
        <f>IF(AC45="",0,VLOOKUP(AC45,Tablas!$M$1076:$N$1085,2))</f>
        <v>0</v>
      </c>
      <c r="W45" s="4123"/>
      <c r="X45" s="4817"/>
      <c r="Y45" s="4725"/>
      <c r="Z45" s="4726"/>
      <c r="AA45" s="4726"/>
      <c r="AB45" s="4727"/>
      <c r="AC45" s="545" t="str">
        <f>IF(Místicos!Y45=0,"",VLOOKUP(Místicos!Y45,Tabla_Conjuros,3,FALSE))</f>
        <v/>
      </c>
      <c r="AD45" s="2378" t="str">
        <f t="shared" si="1"/>
        <v/>
      </c>
      <c r="AE45" s="4743"/>
      <c r="AF45" s="4718"/>
      <c r="AG45" s="4725"/>
      <c r="AH45" s="4726"/>
      <c r="AI45" s="4726"/>
      <c r="AJ45" s="4727"/>
      <c r="AK45" s="1552"/>
      <c r="AL45" s="1169">
        <f>IF(Místicos!AG45=0,0,VLOOKUP(Místicos!AG45,Tabla_Conjuros,3,FALSE)-10)</f>
        <v>0</v>
      </c>
      <c r="AM45" s="1340" t="str">
        <f t="shared" si="2"/>
        <v>Conjuros_LibreAcceso</v>
      </c>
      <c r="AN45" s="1340" t="str">
        <f>AE45&amp;COUNTIF($AE$12:AF45,AE45)</f>
        <v>0</v>
      </c>
      <c r="AO45" s="2966" t="b">
        <f>ISNUMBER(SEARCH(AE45,VLOOKUP(AG45,'Tablas Magia'!$D$6:$AA$680,24,FALSE)))</f>
        <v>0</v>
      </c>
      <c r="AX45" s="742"/>
      <c r="AY45" s="578"/>
      <c r="AZ45" s="3064"/>
      <c r="BA45" s="1737" t="b">
        <f t="shared" si="4"/>
        <v>0</v>
      </c>
      <c r="BB45" s="3099" t="b">
        <f t="shared" si="5"/>
        <v>0</v>
      </c>
      <c r="BC45" s="3099" t="b">
        <f t="shared" si="6"/>
        <v>0</v>
      </c>
      <c r="BD45" s="1737" t="b">
        <f t="shared" si="7"/>
        <v>0</v>
      </c>
      <c r="BE45" s="1737" t="b">
        <f t="shared" si="8"/>
        <v>0</v>
      </c>
      <c r="BF45" s="1737" t="b">
        <f t="shared" si="9"/>
        <v>0</v>
      </c>
      <c r="BG45" s="1737" t="b">
        <f t="shared" si="10"/>
        <v>0</v>
      </c>
      <c r="BH45" s="1737"/>
      <c r="BI45" s="1737"/>
    </row>
    <row r="46" spans="1:61" ht="12" customHeight="1" x14ac:dyDescent="0.2">
      <c r="A46" s="29"/>
      <c r="B46" s="489"/>
      <c r="C46" s="4777"/>
      <c r="D46" s="4777"/>
      <c r="E46" s="4777"/>
      <c r="F46" s="4777"/>
      <c r="G46" s="4777"/>
      <c r="H46" s="1551"/>
      <c r="J46" s="4770"/>
      <c r="K46" s="4771"/>
      <c r="L46" s="4771"/>
      <c r="M46" s="4771"/>
      <c r="N46" s="4771"/>
      <c r="O46" s="4771"/>
      <c r="P46" s="643" t="str">
        <f>IF(J46=0,"",VLOOKUP(J46,Tablas!$AB$1065:$AD$1239,2,FALSE))</f>
        <v/>
      </c>
      <c r="Q46" s="667" t="str">
        <f>IF(J46=0,"",VLOOKUP(J46,Tablas!$AB$1065:$AD$1239,3,FALSE)*IF($P$26="Invocador",0.5,1))</f>
        <v/>
      </c>
      <c r="S46" s="581"/>
      <c r="T46" s="488" t="str">
        <f t="shared" si="0"/>
        <v>Conjuros</v>
      </c>
      <c r="U46" s="29"/>
      <c r="V46" s="676">
        <f>IF(AC46="",0,VLOOKUP(AC46,Tablas!$M$1076:$N$1085,2))</f>
        <v>0</v>
      </c>
      <c r="W46" s="4120"/>
      <c r="X46" s="4715"/>
      <c r="Y46" s="4722"/>
      <c r="Z46" s="4723"/>
      <c r="AA46" s="4723"/>
      <c r="AB46" s="4724"/>
      <c r="AC46" s="546" t="str">
        <f>IF(Místicos!Y46=0,"",VLOOKUP(Místicos!Y46,Tabla_Conjuros,3,FALSE))</f>
        <v/>
      </c>
      <c r="AD46" s="2378" t="str">
        <f t="shared" si="1"/>
        <v/>
      </c>
      <c r="AE46" s="4120"/>
      <c r="AF46" s="4715"/>
      <c r="AG46" s="4722"/>
      <c r="AH46" s="4723"/>
      <c r="AI46" s="4723"/>
      <c r="AJ46" s="4724"/>
      <c r="AK46" s="1483"/>
      <c r="AL46" s="1169">
        <f>IF(Místicos!AG46=0,0,VLOOKUP(Místicos!AG46,Tabla_Conjuros,3,FALSE)-10)</f>
        <v>0</v>
      </c>
      <c r="AM46" s="1340" t="str">
        <f t="shared" si="2"/>
        <v>Conjuros_LibreAcceso</v>
      </c>
      <c r="AN46" s="1340" t="str">
        <f>AE46&amp;COUNTIF($AE$12:AF46,AE46)</f>
        <v>0</v>
      </c>
      <c r="AO46" s="2966" t="b">
        <f>ISNUMBER(SEARCH(AE46,VLOOKUP(AG46,'Tablas Magia'!$D$6:$AA$680,24,FALSE)))</f>
        <v>0</v>
      </c>
      <c r="AP46" s="4739"/>
      <c r="AQ46" s="4739"/>
      <c r="AR46" s="4931" t="str">
        <f>IF($BA$11,"Caligrafía ritual",IF($BB$11,"Vínculos Físicos",IF($BC$11,"Zonas Espirituales","""")))</f>
        <v>"</v>
      </c>
      <c r="AS46" s="4931"/>
      <c r="AT46" s="4931"/>
      <c r="AU46" s="4931"/>
      <c r="AV46" s="4716"/>
      <c r="AW46" s="4716"/>
      <c r="AX46" s="742"/>
      <c r="AY46" s="578"/>
      <c r="AZ46" s="3064"/>
      <c r="BA46" s="1737" t="b">
        <f t="shared" si="4"/>
        <v>0</v>
      </c>
      <c r="BB46" s="3099" t="b">
        <f t="shared" si="5"/>
        <v>0</v>
      </c>
      <c r="BC46" s="3099" t="b">
        <f t="shared" si="6"/>
        <v>0</v>
      </c>
      <c r="BD46" s="1737" t="b">
        <f t="shared" si="7"/>
        <v>0</v>
      </c>
      <c r="BE46" s="1737" t="b">
        <f t="shared" si="8"/>
        <v>0</v>
      </c>
      <c r="BF46" s="1737" t="b">
        <f t="shared" si="9"/>
        <v>0</v>
      </c>
      <c r="BG46" s="1737" t="b">
        <f t="shared" si="10"/>
        <v>0</v>
      </c>
      <c r="BH46" s="1737"/>
      <c r="BI46" s="1737"/>
    </row>
    <row r="47" spans="1:61" ht="12" customHeight="1" x14ac:dyDescent="0.2">
      <c r="A47" s="29"/>
      <c r="B47" s="489"/>
      <c r="C47" s="4766"/>
      <c r="D47" s="4766"/>
      <c r="E47" s="4766"/>
      <c r="F47" s="4766"/>
      <c r="G47" s="4766"/>
      <c r="H47" s="1508"/>
      <c r="J47" s="4772"/>
      <c r="K47" s="4773"/>
      <c r="L47" s="4773"/>
      <c r="M47" s="4773"/>
      <c r="N47" s="4773"/>
      <c r="O47" s="4773"/>
      <c r="P47" s="642" t="str">
        <f>IF(J47=0,"",VLOOKUP(J47,Tablas!$AB$1065:$AD$1239,2,FALSE))</f>
        <v/>
      </c>
      <c r="Q47" s="666" t="str">
        <f>IF(J47=0,"",VLOOKUP(J47,Tablas!$AB$1065:$AD$1239,3,FALSE)*IF($P$26="Invocador",0.5,1))</f>
        <v/>
      </c>
      <c r="S47" s="581"/>
      <c r="T47" s="488" t="str">
        <f t="shared" si="0"/>
        <v>Conjuros</v>
      </c>
      <c r="U47" s="29"/>
      <c r="V47" s="676">
        <f>IF(AC47="",0,VLOOKUP(AC47,Tablas!$M$1076:$N$1085,2))</f>
        <v>0</v>
      </c>
      <c r="W47" s="4123"/>
      <c r="X47" s="4817"/>
      <c r="Y47" s="4725"/>
      <c r="Z47" s="4726"/>
      <c r="AA47" s="4726"/>
      <c r="AB47" s="4727"/>
      <c r="AC47" s="545" t="str">
        <f>IF(Místicos!Y47=0,"",VLOOKUP(Místicos!Y47,Tabla_Conjuros,3,FALSE))</f>
        <v/>
      </c>
      <c r="AD47" s="2378" t="str">
        <f t="shared" si="1"/>
        <v/>
      </c>
      <c r="AE47" s="4743"/>
      <c r="AF47" s="4718"/>
      <c r="AG47" s="4725"/>
      <c r="AH47" s="4726"/>
      <c r="AI47" s="4726"/>
      <c r="AJ47" s="4727"/>
      <c r="AK47" s="1552"/>
      <c r="AL47" s="1169">
        <f>IF(Místicos!AG47=0,0,VLOOKUP(Místicos!AG47,Tabla_Conjuros,3,FALSE)-10)</f>
        <v>0</v>
      </c>
      <c r="AM47" s="1340" t="str">
        <f t="shared" si="2"/>
        <v>Conjuros_LibreAcceso</v>
      </c>
      <c r="AN47" s="1340" t="str">
        <f>AE47&amp;COUNTIF($AE$12:AF47,AE47)</f>
        <v>0</v>
      </c>
      <c r="AO47" s="2966" t="b">
        <f>ISNUMBER(SEARCH(AE47,VLOOKUP(AG47,'Tablas Magia'!$D$6:$AA$680,24,FALSE)))</f>
        <v>0</v>
      </c>
      <c r="AP47" s="4739" t="str">
        <f>IF($BA$11,"Nv. Conjuro  Dif.",IF($BB$11,"",IF($BC$11,"Tipo de zona","""")))</f>
        <v>"</v>
      </c>
      <c r="AQ47" s="4739"/>
      <c r="AR47" s="4716" t="str">
        <f>IF($BA$11,"Tiempo empleado en la preparación",IF($BB$11,"Objeto a consumir - Bono a RM",IF($BC$11,"Descripción","")))</f>
        <v/>
      </c>
      <c r="AS47" s="4716"/>
      <c r="AT47" s="4716"/>
      <c r="AU47" s="4716"/>
      <c r="AV47" s="4716" t="str">
        <f>IF($BA$11,"Bono",IF($BB$11,"",IF($BC$11,"Llamar espíritus","")))</f>
        <v/>
      </c>
      <c r="AW47" s="4716"/>
      <c r="AX47" s="742"/>
      <c r="AY47" s="578"/>
      <c r="AZ47" s="3064"/>
      <c r="BA47" s="1737" t="b">
        <f t="shared" si="4"/>
        <v>0</v>
      </c>
      <c r="BB47" s="3099" t="b">
        <f t="shared" si="5"/>
        <v>0</v>
      </c>
      <c r="BC47" s="3099" t="b">
        <f t="shared" si="6"/>
        <v>0</v>
      </c>
      <c r="BD47" s="1737" t="b">
        <f t="shared" si="7"/>
        <v>0</v>
      </c>
      <c r="BE47" s="1737" t="b">
        <f t="shared" si="8"/>
        <v>0</v>
      </c>
      <c r="BF47" s="1737" t="b">
        <f t="shared" si="9"/>
        <v>0</v>
      </c>
      <c r="BG47" s="1737" t="b">
        <f t="shared" si="10"/>
        <v>0</v>
      </c>
      <c r="BH47" s="1737"/>
      <c r="BI47" s="1737"/>
    </row>
    <row r="48" spans="1:61" ht="12" customHeight="1" x14ac:dyDescent="0.2">
      <c r="A48" s="29"/>
      <c r="B48" s="489"/>
      <c r="C48" s="4777"/>
      <c r="D48" s="4777"/>
      <c r="E48" s="4777"/>
      <c r="F48" s="4777"/>
      <c r="G48" s="4777"/>
      <c r="H48" s="1551"/>
      <c r="J48" s="4770"/>
      <c r="K48" s="4771"/>
      <c r="L48" s="4771"/>
      <c r="M48" s="4771"/>
      <c r="N48" s="4771"/>
      <c r="O48" s="4771"/>
      <c r="P48" s="643" t="str">
        <f>IF(J48=0,"",VLOOKUP(J48,Tablas!$AB$1065:$AD$1239,2,FALSE))</f>
        <v/>
      </c>
      <c r="Q48" s="667" t="str">
        <f>IF(J48=0,"",VLOOKUP(J48,Tablas!$AB$1065:$AD$1239,3,FALSE)*IF($P$26="Invocador",0.5,1))</f>
        <v/>
      </c>
      <c r="S48" s="581"/>
      <c r="T48" s="488" t="str">
        <f t="shared" si="0"/>
        <v>Conjuros</v>
      </c>
      <c r="U48" s="29"/>
      <c r="V48" s="676">
        <f>IF(AC48="",0,VLOOKUP(AC48,Tablas!$M$1076:$N$1085,2))</f>
        <v>0</v>
      </c>
      <c r="W48" s="4120"/>
      <c r="X48" s="4715"/>
      <c r="Y48" s="4722"/>
      <c r="Z48" s="4723"/>
      <c r="AA48" s="4723"/>
      <c r="AB48" s="4724"/>
      <c r="AC48" s="546" t="str">
        <f>IF(Místicos!Y48=0,"",VLOOKUP(Místicos!Y48,Tabla_Conjuros,3,FALSE))</f>
        <v/>
      </c>
      <c r="AD48" s="2378" t="str">
        <f t="shared" si="1"/>
        <v/>
      </c>
      <c r="AE48" s="4120"/>
      <c r="AF48" s="4715"/>
      <c r="AG48" s="4722"/>
      <c r="AH48" s="4723"/>
      <c r="AI48" s="4723"/>
      <c r="AJ48" s="4724"/>
      <c r="AK48" s="1483"/>
      <c r="AL48" s="1169">
        <f>IF(Místicos!AG48=0,0,VLOOKUP(Místicos!AG48,Tabla_Conjuros,3,FALSE)-10)</f>
        <v>0</v>
      </c>
      <c r="AM48" s="1340" t="str">
        <f t="shared" si="2"/>
        <v>Conjuros_LibreAcceso</v>
      </c>
      <c r="AN48" s="1340" t="str">
        <f>AE48&amp;COUNTIF($AE$12:AF48,AE48)</f>
        <v>0</v>
      </c>
      <c r="AO48" s="2966" t="b">
        <f>ISNUMBER(SEARCH(AE48,VLOOKUP(AG48,'Tablas Magia'!$D$6:$AA$680,24,FALSE)))</f>
        <v>0</v>
      </c>
      <c r="AP48" s="4738" t="str">
        <f t="shared" ref="AP48:AP58" si="11">IF($BA$11,BA13,IF($BB$11,BB13,IF($BC$11,BC13,"")))</f>
        <v/>
      </c>
      <c r="AQ48" s="4738"/>
      <c r="AR48" s="4736" t="str">
        <f t="shared" ref="AR48:AR58" si="12">IF($BA$11,BD13,IF($BB$11,BE13,IF($BC$11,BF13,"")))</f>
        <v/>
      </c>
      <c r="AS48" s="4736"/>
      <c r="AT48" s="4736"/>
      <c r="AU48" s="4736"/>
      <c r="AV48" s="4736" t="str">
        <f t="shared" ref="AV48:AV55" si="13">IF($BA$11,BG13,IF($BB$11,BH13,IF($BC$11,BI13,"")))</f>
        <v/>
      </c>
      <c r="AW48" s="4736"/>
      <c r="AX48" s="742"/>
      <c r="AY48" s="578"/>
      <c r="AZ48" s="3064"/>
      <c r="BA48" s="1737" t="b">
        <f t="shared" si="4"/>
        <v>0</v>
      </c>
      <c r="BB48" s="3099" t="b">
        <f t="shared" si="5"/>
        <v>0</v>
      </c>
      <c r="BC48" s="3099" t="b">
        <f t="shared" si="6"/>
        <v>0</v>
      </c>
      <c r="BD48" s="1737" t="b">
        <f t="shared" si="7"/>
        <v>0</v>
      </c>
      <c r="BE48" s="1737" t="b">
        <f t="shared" si="8"/>
        <v>0</v>
      </c>
      <c r="BF48" s="1737" t="b">
        <f t="shared" si="9"/>
        <v>0</v>
      </c>
      <c r="BG48" s="1737" t="b">
        <f t="shared" si="10"/>
        <v>0</v>
      </c>
      <c r="BH48" s="1737"/>
      <c r="BI48" s="1737"/>
    </row>
    <row r="49" spans="1:61" ht="12" customHeight="1" x14ac:dyDescent="0.2">
      <c r="A49" s="29"/>
      <c r="B49" s="489"/>
      <c r="C49" s="4766"/>
      <c r="D49" s="4766"/>
      <c r="E49" s="4766"/>
      <c r="F49" s="4766"/>
      <c r="G49" s="4766"/>
      <c r="H49" s="1508"/>
      <c r="J49" s="4772"/>
      <c r="K49" s="4773"/>
      <c r="L49" s="4773"/>
      <c r="M49" s="4773"/>
      <c r="N49" s="4773"/>
      <c r="O49" s="4773"/>
      <c r="P49" s="642" t="str">
        <f>IF(J49=0,"",VLOOKUP(J49,Tablas!$AB$1065:$AD$1239,2,FALSE))</f>
        <v/>
      </c>
      <c r="Q49" s="666" t="str">
        <f>IF(J49=0,"",VLOOKUP(J49,Tablas!$AB$1065:$AD$1239,3,FALSE)*IF($P$26="Invocador",0.5,1))</f>
        <v/>
      </c>
      <c r="S49" s="581"/>
      <c r="T49" s="488" t="str">
        <f t="shared" si="0"/>
        <v>Conjuros</v>
      </c>
      <c r="U49" s="29"/>
      <c r="V49" s="676">
        <f>IF(AC49="",0,VLOOKUP(AC49,Tablas!$M$1076:$N$1085,2))</f>
        <v>0</v>
      </c>
      <c r="W49" s="4123"/>
      <c r="X49" s="4817"/>
      <c r="Y49" s="4725"/>
      <c r="Z49" s="4726"/>
      <c r="AA49" s="4726"/>
      <c r="AB49" s="4727"/>
      <c r="AC49" s="545" t="str">
        <f>IF(Místicos!Y49=0,"",VLOOKUP(Místicos!Y49,Tabla_Conjuros,3,FALSE))</f>
        <v/>
      </c>
      <c r="AD49" s="2378" t="str">
        <f t="shared" si="1"/>
        <v/>
      </c>
      <c r="AE49" s="4743"/>
      <c r="AF49" s="4718"/>
      <c r="AG49" s="4725"/>
      <c r="AH49" s="4726"/>
      <c r="AI49" s="4726"/>
      <c r="AJ49" s="4727"/>
      <c r="AK49" s="1552"/>
      <c r="AL49" s="1169">
        <f>IF(Místicos!AG49=0,0,VLOOKUP(Místicos!AG49,Tabla_Conjuros,3,FALSE)-10)</f>
        <v>0</v>
      </c>
      <c r="AM49" s="1340" t="str">
        <f t="shared" si="2"/>
        <v>Conjuros_LibreAcceso</v>
      </c>
      <c r="AN49" s="1340" t="str">
        <f>AE49&amp;COUNTIF($AE$12:AF49,AE49)</f>
        <v>0</v>
      </c>
      <c r="AO49" s="2966" t="b">
        <f>ISNUMBER(SEARCH(AE49,VLOOKUP(AG49,'Tablas Magia'!$D$6:$AA$680,24,FALSE)))</f>
        <v>0</v>
      </c>
      <c r="AP49" s="4738" t="str">
        <f t="shared" si="11"/>
        <v/>
      </c>
      <c r="AQ49" s="4738"/>
      <c r="AR49" s="4736" t="str">
        <f t="shared" si="12"/>
        <v/>
      </c>
      <c r="AS49" s="4736"/>
      <c r="AT49" s="4736"/>
      <c r="AU49" s="4736"/>
      <c r="AV49" s="4736" t="str">
        <f t="shared" si="13"/>
        <v/>
      </c>
      <c r="AW49" s="4736"/>
      <c r="AX49" s="742"/>
      <c r="AY49" s="578"/>
      <c r="AZ49" s="3064"/>
      <c r="BA49" s="1737" t="b">
        <f t="shared" si="4"/>
        <v>0</v>
      </c>
      <c r="BB49" s="3099" t="b">
        <f t="shared" si="5"/>
        <v>0</v>
      </c>
      <c r="BC49" s="3099" t="b">
        <f t="shared" si="6"/>
        <v>0</v>
      </c>
      <c r="BD49" s="1737" t="b">
        <f t="shared" si="7"/>
        <v>0</v>
      </c>
      <c r="BE49" s="1737" t="b">
        <f t="shared" si="8"/>
        <v>0</v>
      </c>
      <c r="BF49" s="1737" t="b">
        <f t="shared" si="9"/>
        <v>0</v>
      </c>
      <c r="BG49" s="1737" t="b">
        <f t="shared" si="10"/>
        <v>0</v>
      </c>
      <c r="BH49" s="1737"/>
      <c r="BI49" s="1737"/>
    </row>
    <row r="50" spans="1:61" ht="12" customHeight="1" thickBot="1" x14ac:dyDescent="0.25">
      <c r="A50" s="29"/>
      <c r="B50" s="489"/>
      <c r="C50" s="4777"/>
      <c r="D50" s="4777"/>
      <c r="E50" s="4777"/>
      <c r="F50" s="4777"/>
      <c r="G50" s="4777"/>
      <c r="H50" s="1551"/>
      <c r="J50" s="4770"/>
      <c r="K50" s="4771"/>
      <c r="L50" s="4771"/>
      <c r="M50" s="4771"/>
      <c r="N50" s="4771"/>
      <c r="O50" s="4771"/>
      <c r="P50" s="643" t="str">
        <f>IF(J50=0,"",VLOOKUP(J50,Tablas!$AB$1065:$AD$1239,2,FALSE))</f>
        <v/>
      </c>
      <c r="Q50" s="667" t="str">
        <f>IF(J50=0,"",VLOOKUP(J50,Tablas!$AB$1065:$AD$1239,3,FALSE)*IF($P$26="Invocador",0.5,1))</f>
        <v/>
      </c>
      <c r="S50" s="581"/>
      <c r="T50" s="488" t="str">
        <f t="shared" si="0"/>
        <v>Conjuros</v>
      </c>
      <c r="U50" s="29"/>
      <c r="V50" s="676">
        <f>IF(AC50="",0,VLOOKUP(AC50,Tablas!$M$1076:$N$1085,2))</f>
        <v>0</v>
      </c>
      <c r="W50" s="4126"/>
      <c r="X50" s="4127"/>
      <c r="Y50" s="4719"/>
      <c r="Z50" s="4720"/>
      <c r="AA50" s="4720"/>
      <c r="AB50" s="4721"/>
      <c r="AC50" s="681" t="str">
        <f>IF(Místicos!Y50=0,"",VLOOKUP(Místicos!Y50,Tabla_Conjuros,3,FALSE))</f>
        <v/>
      </c>
      <c r="AD50" s="2378" t="str">
        <f t="shared" si="1"/>
        <v/>
      </c>
      <c r="AE50" s="4126"/>
      <c r="AF50" s="4127"/>
      <c r="AG50" s="4719"/>
      <c r="AH50" s="4720"/>
      <c r="AI50" s="4720"/>
      <c r="AJ50" s="4721"/>
      <c r="AK50" s="1547"/>
      <c r="AL50" s="1169">
        <f>IF(Místicos!AG50=0,0,VLOOKUP(Místicos!AG50,Tabla_Conjuros,3,FALSE)-10)</f>
        <v>0</v>
      </c>
      <c r="AM50" s="1340" t="str">
        <f t="shared" si="2"/>
        <v>Conjuros_LibreAcceso</v>
      </c>
      <c r="AN50" s="1340" t="str">
        <f>AE50&amp;COUNTIF($AE$12:AF50,AE50)</f>
        <v>0</v>
      </c>
      <c r="AO50" s="2966" t="b">
        <f>ISNUMBER(SEARCH(AE50,VLOOKUP(AG50,'Tablas Magia'!$D$6:$AA$680,24,FALSE)))</f>
        <v>0</v>
      </c>
      <c r="AP50" s="4738" t="str">
        <f t="shared" si="11"/>
        <v/>
      </c>
      <c r="AQ50" s="4738"/>
      <c r="AR50" s="4736" t="str">
        <f t="shared" si="12"/>
        <v/>
      </c>
      <c r="AS50" s="4736"/>
      <c r="AT50" s="4736"/>
      <c r="AU50" s="4736"/>
      <c r="AV50" s="4736" t="str">
        <f t="shared" si="13"/>
        <v/>
      </c>
      <c r="AW50" s="4736"/>
      <c r="AX50" s="742"/>
      <c r="AY50" s="578"/>
      <c r="AZ50" s="3064"/>
      <c r="BA50" s="1737" t="b">
        <f t="shared" si="4"/>
        <v>0</v>
      </c>
      <c r="BB50" s="3099" t="b">
        <f t="shared" si="5"/>
        <v>0</v>
      </c>
      <c r="BC50" s="3099" t="b">
        <f t="shared" si="6"/>
        <v>0</v>
      </c>
      <c r="BD50" s="1737" t="b">
        <f t="shared" si="7"/>
        <v>0</v>
      </c>
      <c r="BE50" s="1737" t="b">
        <f t="shared" si="8"/>
        <v>0</v>
      </c>
      <c r="BF50" s="1737" t="b">
        <f t="shared" si="9"/>
        <v>0</v>
      </c>
      <c r="BG50" s="1737" t="b">
        <f t="shared" si="10"/>
        <v>0</v>
      </c>
      <c r="BH50" s="1737"/>
      <c r="BI50" s="1737"/>
    </row>
    <row r="51" spans="1:61" ht="12" customHeight="1" thickBot="1" x14ac:dyDescent="0.25">
      <c r="A51" s="29"/>
      <c r="B51" s="489"/>
      <c r="C51" s="4766"/>
      <c r="D51" s="4766"/>
      <c r="E51" s="4766"/>
      <c r="F51" s="4766"/>
      <c r="G51" s="4766"/>
      <c r="H51" s="1508"/>
      <c r="J51" s="4772"/>
      <c r="K51" s="4773"/>
      <c r="L51" s="4773"/>
      <c r="M51" s="4773"/>
      <c r="N51" s="4773"/>
      <c r="O51" s="4773"/>
      <c r="P51" s="642" t="str">
        <f>IF(J51=0,"",VLOOKUP(J51,Tablas!$AB$1065:$AD$1239,2,FALSE))</f>
        <v/>
      </c>
      <c r="Q51" s="666" t="str">
        <f>IF(J51=0,"",VLOOKUP(J51,Tablas!$AB$1065:$AD$1239,3,FALSE)*IF($P$26="Invocador",0.5,1))</f>
        <v/>
      </c>
      <c r="S51" s="581"/>
      <c r="T51" s="488"/>
      <c r="U51" s="29"/>
      <c r="V51" s="677"/>
      <c r="AL51" s="1169"/>
      <c r="AM51" s="29"/>
      <c r="AN51" s="29"/>
      <c r="AO51" s="732"/>
      <c r="AP51" s="4738" t="str">
        <f t="shared" si="11"/>
        <v/>
      </c>
      <c r="AQ51" s="4738"/>
      <c r="AR51" s="4736" t="str">
        <f t="shared" si="12"/>
        <v/>
      </c>
      <c r="AS51" s="4736"/>
      <c r="AT51" s="4736"/>
      <c r="AU51" s="4736"/>
      <c r="AV51" s="4736" t="str">
        <f t="shared" si="13"/>
        <v/>
      </c>
      <c r="AW51" s="4736"/>
      <c r="AX51" s="742"/>
      <c r="AY51" s="578"/>
      <c r="AZ51" s="3064"/>
      <c r="BA51" s="1737" t="b">
        <f t="shared" si="4"/>
        <v>0</v>
      </c>
      <c r="BB51" s="3099" t="b">
        <f t="shared" si="5"/>
        <v>0</v>
      </c>
      <c r="BC51" s="3099" t="b">
        <f t="shared" si="6"/>
        <v>0</v>
      </c>
      <c r="BD51" s="1737" t="b">
        <f t="shared" si="7"/>
        <v>0</v>
      </c>
      <c r="BE51" s="1737" t="b">
        <f t="shared" si="8"/>
        <v>0</v>
      </c>
      <c r="BF51" s="1737" t="b">
        <f t="shared" si="9"/>
        <v>0</v>
      </c>
      <c r="BG51" s="1737" t="b">
        <f t="shared" si="10"/>
        <v>0</v>
      </c>
      <c r="BH51" s="1737"/>
      <c r="BI51" s="1737"/>
    </row>
    <row r="52" spans="1:61" ht="12" customHeight="1" thickBot="1" x14ac:dyDescent="0.25">
      <c r="A52" s="29"/>
      <c r="B52" s="489"/>
      <c r="C52" s="4777"/>
      <c r="D52" s="4777"/>
      <c r="E52" s="4777"/>
      <c r="F52" s="4777"/>
      <c r="G52" s="4777"/>
      <c r="H52" s="1551"/>
      <c r="J52" s="4770"/>
      <c r="K52" s="4771"/>
      <c r="L52" s="4771"/>
      <c r="M52" s="4771"/>
      <c r="N52" s="4771"/>
      <c r="O52" s="4771"/>
      <c r="P52" s="643" t="str">
        <f>IF(J52=0,"",VLOOKUP(J52,Tablas!$AB$1065:$AD$1239,2,FALSE))</f>
        <v/>
      </c>
      <c r="Q52" s="667" t="str">
        <f>IF(J52=0,"",VLOOKUP(J52,Tablas!$AB$1065:$AD$1239,3,FALSE)*IF($P$26="Invocador",0.5,1))</f>
        <v/>
      </c>
      <c r="S52" s="581"/>
      <c r="T52" s="488"/>
      <c r="U52" s="29"/>
      <c r="V52" s="677"/>
      <c r="W52" s="3639" t="s">
        <v>1721</v>
      </c>
      <c r="X52" s="3640"/>
      <c r="Y52" s="3640"/>
      <c r="Z52" s="3640"/>
      <c r="AA52" s="3640"/>
      <c r="AB52" s="4811" t="s">
        <v>1549</v>
      </c>
      <c r="AC52" s="4811"/>
      <c r="AD52" s="4811"/>
      <c r="AE52" s="4811"/>
      <c r="AF52" s="4811"/>
      <c r="AG52" s="4811"/>
      <c r="AH52" s="4811"/>
      <c r="AI52" s="4811"/>
      <c r="AJ52" s="4811"/>
      <c r="AK52" s="4812"/>
      <c r="AL52" s="1169"/>
      <c r="AM52" s="29"/>
      <c r="AN52" s="29"/>
      <c r="AO52" s="732"/>
      <c r="AP52" s="4738" t="str">
        <f t="shared" si="11"/>
        <v/>
      </c>
      <c r="AQ52" s="4738"/>
      <c r="AR52" s="4736" t="str">
        <f t="shared" si="12"/>
        <v/>
      </c>
      <c r="AS52" s="4736"/>
      <c r="AT52" s="4736"/>
      <c r="AU52" s="4736"/>
      <c r="AV52" s="4736" t="str">
        <f t="shared" si="13"/>
        <v/>
      </c>
      <c r="AW52" s="4736"/>
      <c r="AX52" s="742"/>
      <c r="AY52" s="578"/>
      <c r="AZ52" s="3064"/>
      <c r="BA52" s="1737" t="b">
        <f t="shared" si="4"/>
        <v>0</v>
      </c>
      <c r="BB52" s="3099" t="b">
        <f t="shared" si="5"/>
        <v>0</v>
      </c>
      <c r="BC52" s="3099" t="b">
        <f t="shared" si="6"/>
        <v>0</v>
      </c>
      <c r="BD52" s="1737" t="b">
        <f t="shared" si="7"/>
        <v>0</v>
      </c>
      <c r="BE52" s="1737" t="b">
        <f t="shared" si="8"/>
        <v>0</v>
      </c>
      <c r="BF52" s="1737" t="b">
        <f t="shared" si="9"/>
        <v>0</v>
      </c>
      <c r="BG52" s="1737" t="b">
        <f t="shared" si="10"/>
        <v>0</v>
      </c>
      <c r="BH52" s="1737"/>
      <c r="BI52" s="1737"/>
    </row>
    <row r="53" spans="1:61" ht="12" customHeight="1" x14ac:dyDescent="0.2">
      <c r="A53" s="29"/>
      <c r="B53" s="489"/>
      <c r="C53" s="4766"/>
      <c r="D53" s="4766"/>
      <c r="E53" s="4766"/>
      <c r="F53" s="4766"/>
      <c r="G53" s="4766"/>
      <c r="H53" s="1508"/>
      <c r="J53" s="4772"/>
      <c r="K53" s="4773"/>
      <c r="L53" s="4773"/>
      <c r="M53" s="4773"/>
      <c r="N53" s="4773"/>
      <c r="O53" s="4773"/>
      <c r="P53" s="642" t="str">
        <f>IF(J53=0,"",VLOOKUP(J53,Tablas!$AB$1065:$AD$1239,2,FALSE))</f>
        <v/>
      </c>
      <c r="Q53" s="666" t="str">
        <f>IF(J53=0,"",VLOOKUP(J53,Tablas!$AB$1065:$AD$1239,3,FALSE)*IF($P$26="Invocador",0.5,1))</f>
        <v/>
      </c>
      <c r="S53" s="581"/>
      <c r="T53" s="488"/>
      <c r="U53" s="29"/>
      <c r="V53" s="677"/>
      <c r="W53" s="4813" t="str">
        <f>IF(SUM(Tablas!$P$1138:$S$1180)=0,"",IF(Tablas!A1&gt;MAX(Tablas!$P$1138:$P$1180),"",VLOOKUP(Tablas!A1,Tablas!$P$1138:$T$1180,2,FALSE)))</f>
        <v/>
      </c>
      <c r="X53" s="4211"/>
      <c r="Y53" s="4211"/>
      <c r="Z53" s="4211"/>
      <c r="AA53" s="4211"/>
      <c r="AB53" s="4814" t="str">
        <f>IF(SUM(Tablas!$P$1138:$P$1180)=0,"",IF(Tablas!A1&gt;MAX(Tablas!$P$1138:$P$1180),"",VLOOKUP(Tablas!A1,Tablas!$P$1138:$T$1180,4,FALSE)))</f>
        <v/>
      </c>
      <c r="AC53" s="4815"/>
      <c r="AD53" s="4815"/>
      <c r="AE53" s="4815"/>
      <c r="AF53" s="4815"/>
      <c r="AG53" s="4815"/>
      <c r="AH53" s="4815"/>
      <c r="AI53" s="4815"/>
      <c r="AJ53" s="4815"/>
      <c r="AK53" s="4816"/>
      <c r="AL53" s="2683" t="str">
        <f>IF(ISNUMBER(FIND("Conjuro especializado",W53)),W53&amp;":"&amp;SUBSTITUTE(AB53,LEFT(AB53,FIND(":",AB53)),""),W53)</f>
        <v/>
      </c>
      <c r="AM53" s="29"/>
      <c r="AN53" s="29"/>
      <c r="AO53" s="732"/>
      <c r="AP53" s="4738" t="str">
        <f t="shared" si="11"/>
        <v/>
      </c>
      <c r="AQ53" s="4738"/>
      <c r="AR53" s="4736" t="str">
        <f t="shared" si="12"/>
        <v/>
      </c>
      <c r="AS53" s="4736"/>
      <c r="AT53" s="4736"/>
      <c r="AU53" s="4736"/>
      <c r="AV53" s="4736" t="str">
        <f t="shared" si="13"/>
        <v/>
      </c>
      <c r="AW53" s="4736"/>
      <c r="AX53" s="742"/>
      <c r="AY53" s="578"/>
      <c r="AZ53" s="3064"/>
      <c r="BA53" s="1737" t="b">
        <f t="shared" si="4"/>
        <v>0</v>
      </c>
      <c r="BB53" s="3099" t="b">
        <f t="shared" si="5"/>
        <v>0</v>
      </c>
      <c r="BC53" s="3099" t="b">
        <f t="shared" si="6"/>
        <v>0</v>
      </c>
      <c r="BD53" s="1737" t="b">
        <f t="shared" si="7"/>
        <v>0</v>
      </c>
      <c r="BE53" s="1737" t="b">
        <f t="shared" si="8"/>
        <v>0</v>
      </c>
      <c r="BF53" s="1737" t="b">
        <f t="shared" si="9"/>
        <v>0</v>
      </c>
      <c r="BG53" s="1737" t="b">
        <f t="shared" si="10"/>
        <v>0</v>
      </c>
      <c r="BH53" s="1737"/>
      <c r="BI53" s="1737"/>
    </row>
    <row r="54" spans="1:61" ht="12" customHeight="1" x14ac:dyDescent="0.2">
      <c r="A54" s="29"/>
      <c r="B54" s="489"/>
      <c r="C54" s="4777"/>
      <c r="D54" s="4777"/>
      <c r="E54" s="4777"/>
      <c r="F54" s="4777"/>
      <c r="G54" s="4777"/>
      <c r="H54" s="1551"/>
      <c r="J54" s="4770"/>
      <c r="K54" s="4771"/>
      <c r="L54" s="4771"/>
      <c r="M54" s="4771"/>
      <c r="N54" s="4771"/>
      <c r="O54" s="4771"/>
      <c r="P54" s="643" t="str">
        <f>IF(J54=0,"",VLOOKUP(J54,Tablas!$AB$1065:$AD$1239,2,FALSE))</f>
        <v/>
      </c>
      <c r="Q54" s="667" t="str">
        <f>IF(J54=0,"",VLOOKUP(J54,Tablas!$AB$1065:$AD$1239,3,FALSE)*IF($P$26="Invocador",0.5,1))</f>
        <v/>
      </c>
      <c r="S54" s="581"/>
      <c r="T54" s="488"/>
      <c r="U54" s="29"/>
      <c r="V54" s="677"/>
      <c r="W54" s="4784" t="str">
        <f>IF(SUM(Tablas!$P$1138:$S$1180)=0,"",IF(Tablas!A2&gt;MAX(Tablas!$P$1138:$P$1180),"",VLOOKUP(Tablas!A2,Tablas!$P$1138:$T$1180,2,FALSE)))</f>
        <v/>
      </c>
      <c r="X54" s="4785"/>
      <c r="Y54" s="4785"/>
      <c r="Z54" s="4785"/>
      <c r="AA54" s="4326"/>
      <c r="AB54" s="3601" t="str">
        <f>IF(SUM(Tablas!$P$1138:$P$1180)=0,"",IF(Tablas!A2&gt;MAX(Tablas!$P$1138:$P$1180),"",VLOOKUP(Tablas!A2,Tablas!$P$1138:$T$1180,4,FALSE)))</f>
        <v/>
      </c>
      <c r="AC54" s="3602"/>
      <c r="AD54" s="3602"/>
      <c r="AE54" s="3602"/>
      <c r="AF54" s="3602"/>
      <c r="AG54" s="3602"/>
      <c r="AH54" s="3602"/>
      <c r="AI54" s="3602"/>
      <c r="AJ54" s="3602"/>
      <c r="AK54" s="4360"/>
      <c r="AL54" s="2683" t="str">
        <f t="shared" ref="AL54:AL73" si="14">IF(ISNUMBER(FIND("Conjuro especializado",W54)),W54&amp;":"&amp;SUBSTITUTE(AB54,LEFT(AB54,FIND(":",AB54)),""),W54)</f>
        <v/>
      </c>
      <c r="AM54" s="29"/>
      <c r="AN54" s="29"/>
      <c r="AO54" s="732"/>
      <c r="AP54" s="4738" t="str">
        <f t="shared" si="11"/>
        <v/>
      </c>
      <c r="AQ54" s="4738"/>
      <c r="AR54" s="4736" t="str">
        <f t="shared" si="12"/>
        <v/>
      </c>
      <c r="AS54" s="4736"/>
      <c r="AT54" s="4736"/>
      <c r="AU54" s="4736"/>
      <c r="AV54" s="4736" t="str">
        <f t="shared" si="13"/>
        <v/>
      </c>
      <c r="AW54" s="4736"/>
      <c r="AX54" s="742"/>
      <c r="AY54" s="578"/>
      <c r="AZ54" s="3064"/>
      <c r="BA54" s="1737" t="b">
        <f t="shared" si="4"/>
        <v>0</v>
      </c>
      <c r="BB54" s="3099" t="b">
        <f t="shared" si="5"/>
        <v>0</v>
      </c>
      <c r="BC54" s="3099" t="b">
        <f t="shared" si="6"/>
        <v>0</v>
      </c>
      <c r="BD54" s="1737" t="b">
        <f t="shared" si="7"/>
        <v>0</v>
      </c>
      <c r="BE54" s="1737" t="b">
        <f t="shared" si="8"/>
        <v>0</v>
      </c>
      <c r="BF54" s="1737" t="b">
        <f t="shared" si="9"/>
        <v>0</v>
      </c>
      <c r="BG54" s="1737" t="b">
        <f t="shared" si="10"/>
        <v>0</v>
      </c>
      <c r="BH54" s="1737"/>
      <c r="BI54" s="1737"/>
    </row>
    <row r="55" spans="1:61" ht="12" customHeight="1" x14ac:dyDescent="0.2">
      <c r="A55" s="29"/>
      <c r="B55" s="489"/>
      <c r="C55" s="4766"/>
      <c r="D55" s="4766"/>
      <c r="E55" s="4766"/>
      <c r="F55" s="4766"/>
      <c r="G55" s="4766"/>
      <c r="H55" s="1508"/>
      <c r="J55" s="4772"/>
      <c r="K55" s="4773"/>
      <c r="L55" s="4773"/>
      <c r="M55" s="4773"/>
      <c r="N55" s="4773"/>
      <c r="O55" s="4773"/>
      <c r="P55" s="642" t="str">
        <f>IF(J55=0,"",VLOOKUP(J55,Tablas!$AB$1065:$AD$1239,2,FALSE))</f>
        <v/>
      </c>
      <c r="Q55" s="666" t="str">
        <f>IF(J55=0,"",VLOOKUP(J55,Tablas!$AB$1065:$AD$1239,3,FALSE)*IF($P$26="Invocador",0.5,1))</f>
        <v/>
      </c>
      <c r="S55" s="581"/>
      <c r="T55" s="488"/>
      <c r="U55" s="29"/>
      <c r="V55" s="677"/>
      <c r="W55" s="4784" t="str">
        <f>IF(SUM(Tablas!$P$1138:$S$1180)=0,"",IF(Tablas!A3&gt;MAX(Tablas!$P$1138:$P$1180),"",VLOOKUP(Tablas!A3,Tablas!$P$1138:$T$1180,2,FALSE)))</f>
        <v/>
      </c>
      <c r="X55" s="4785"/>
      <c r="Y55" s="4785"/>
      <c r="Z55" s="4785"/>
      <c r="AA55" s="4326"/>
      <c r="AB55" s="3601" t="str">
        <f>IF(SUM(Tablas!$P$1138:$P$1180)=0,"",IF(Tablas!A3&gt;MAX(Tablas!$P$1138:$P$1180),"",VLOOKUP(Tablas!A3,Tablas!$P$1138:$T$1180,4,FALSE)))</f>
        <v/>
      </c>
      <c r="AC55" s="3602"/>
      <c r="AD55" s="3602"/>
      <c r="AE55" s="3602"/>
      <c r="AF55" s="3602"/>
      <c r="AG55" s="3602"/>
      <c r="AH55" s="3602"/>
      <c r="AI55" s="3602"/>
      <c r="AJ55" s="3602"/>
      <c r="AK55" s="4360"/>
      <c r="AL55" s="2683" t="str">
        <f t="shared" si="14"/>
        <v/>
      </c>
      <c r="AM55" s="29"/>
      <c r="AN55" s="29"/>
      <c r="AO55" s="732"/>
      <c r="AP55" s="4778" t="str">
        <f t="shared" si="11"/>
        <v/>
      </c>
      <c r="AQ55" s="4778"/>
      <c r="AR55" s="4737" t="str">
        <f t="shared" si="12"/>
        <v/>
      </c>
      <c r="AS55" s="4737"/>
      <c r="AT55" s="4737"/>
      <c r="AU55" s="4737"/>
      <c r="AV55" s="4737" t="str">
        <f t="shared" si="13"/>
        <v/>
      </c>
      <c r="AW55" s="4737"/>
      <c r="AX55" s="742"/>
      <c r="AY55" s="578"/>
      <c r="AZ55" s="3064"/>
      <c r="BA55" s="1737" t="b">
        <f t="shared" si="4"/>
        <v>0</v>
      </c>
      <c r="BB55" s="3099" t="b">
        <f t="shared" si="5"/>
        <v>0</v>
      </c>
      <c r="BC55" s="3099" t="b">
        <f t="shared" si="6"/>
        <v>0</v>
      </c>
      <c r="BD55" s="1737" t="b">
        <f t="shared" si="7"/>
        <v>0</v>
      </c>
      <c r="BE55" s="1737" t="b">
        <f t="shared" si="8"/>
        <v>0</v>
      </c>
      <c r="BF55" s="1737" t="b">
        <f t="shared" si="9"/>
        <v>0</v>
      </c>
      <c r="BG55" s="1737" t="b">
        <f t="shared" si="10"/>
        <v>0</v>
      </c>
      <c r="BH55" s="1737"/>
      <c r="BI55" s="1737"/>
    </row>
    <row r="56" spans="1:61" ht="12" customHeight="1" x14ac:dyDescent="0.2">
      <c r="A56" s="29"/>
      <c r="B56" s="489"/>
      <c r="C56" s="4777"/>
      <c r="D56" s="4777"/>
      <c r="E56" s="4777"/>
      <c r="F56" s="4777"/>
      <c r="G56" s="4777"/>
      <c r="H56" s="1551"/>
      <c r="J56" s="4770"/>
      <c r="K56" s="4771"/>
      <c r="L56" s="4771"/>
      <c r="M56" s="4771"/>
      <c r="N56" s="4771"/>
      <c r="O56" s="4771"/>
      <c r="P56" s="643" t="str">
        <f>IF(J56=0,"",VLOOKUP(J56,Tablas!$AB$1065:$AD$1239,2,FALSE))</f>
        <v/>
      </c>
      <c r="Q56" s="667" t="str">
        <f>IF(J56=0,"",VLOOKUP(J56,Tablas!$AB$1065:$AD$1239,3,FALSE)*IF($P$26="Invocador",0.5,1))</f>
        <v/>
      </c>
      <c r="S56" s="581"/>
      <c r="T56" s="488"/>
      <c r="U56" s="29"/>
      <c r="V56" s="677"/>
      <c r="W56" s="4784" t="str">
        <f>IF(SUM(Tablas!$P$1138:$S$1180)=0,"",IF(Tablas!A4&gt;MAX(Tablas!$P$1138:$P$1180),"",VLOOKUP(Tablas!A4,Tablas!$P$1138:$T$1180,2,FALSE)))</f>
        <v/>
      </c>
      <c r="X56" s="4785"/>
      <c r="Y56" s="4785"/>
      <c r="Z56" s="4785"/>
      <c r="AA56" s="4326"/>
      <c r="AB56" s="3601" t="str">
        <f>IF(SUM(Tablas!$P$1138:$P$1180)=0,"",IF(Tablas!A4&gt;MAX(Tablas!$P$1138:$P$1180),"",VLOOKUP(Tablas!A4,Tablas!$P$1138:$T$1180,4,FALSE)))</f>
        <v/>
      </c>
      <c r="AC56" s="3602"/>
      <c r="AD56" s="3602"/>
      <c r="AE56" s="3602"/>
      <c r="AF56" s="3602"/>
      <c r="AG56" s="3602"/>
      <c r="AH56" s="3602"/>
      <c r="AI56" s="3602"/>
      <c r="AJ56" s="3602"/>
      <c r="AK56" s="4360"/>
      <c r="AL56" s="2683" t="str">
        <f t="shared" si="14"/>
        <v/>
      </c>
      <c r="AM56" s="29"/>
      <c r="AN56" s="29"/>
      <c r="AO56" s="732"/>
      <c r="AP56" s="4734" t="str">
        <f t="shared" si="11"/>
        <v/>
      </c>
      <c r="AQ56" s="4734"/>
      <c r="AR56" s="4735" t="str">
        <f t="shared" si="12"/>
        <v/>
      </c>
      <c r="AS56" s="4735"/>
      <c r="AT56" s="4735"/>
      <c r="AU56" s="4735"/>
      <c r="AV56" s="4735"/>
      <c r="AW56" s="4735"/>
      <c r="AX56" s="742"/>
      <c r="AY56" s="578"/>
      <c r="AZ56" s="1737"/>
      <c r="BA56" s="1737" t="b">
        <f t="shared" si="4"/>
        <v>0</v>
      </c>
      <c r="BB56" s="3099" t="b">
        <f t="shared" si="5"/>
        <v>0</v>
      </c>
      <c r="BC56" s="3099" t="b">
        <f t="shared" si="6"/>
        <v>0</v>
      </c>
      <c r="BD56" s="1737" t="b">
        <f t="shared" si="7"/>
        <v>0</v>
      </c>
      <c r="BE56" s="1737" t="b">
        <f t="shared" si="8"/>
        <v>0</v>
      </c>
      <c r="BF56" s="1737" t="b">
        <f t="shared" si="9"/>
        <v>0</v>
      </c>
      <c r="BG56" s="1737" t="b">
        <f t="shared" si="10"/>
        <v>0</v>
      </c>
      <c r="BH56" s="1737"/>
      <c r="BI56" s="1737"/>
    </row>
    <row r="57" spans="1:61" ht="12" customHeight="1" x14ac:dyDescent="0.2">
      <c r="A57" s="29"/>
      <c r="B57" s="489"/>
      <c r="C57" s="4766"/>
      <c r="D57" s="4766"/>
      <c r="E57" s="4766"/>
      <c r="F57" s="4766"/>
      <c r="G57" s="4766"/>
      <c r="H57" s="1508"/>
      <c r="J57" s="4772"/>
      <c r="K57" s="4773"/>
      <c r="L57" s="4773"/>
      <c r="M57" s="4773"/>
      <c r="N57" s="4773"/>
      <c r="O57" s="4773"/>
      <c r="P57" s="642" t="str">
        <f>IF(J57=0,"",VLOOKUP(J57,Tablas!$AB$1065:$AD$1239,2,FALSE))</f>
        <v/>
      </c>
      <c r="Q57" s="666" t="str">
        <f>IF(J57=0,"",VLOOKUP(J57,Tablas!$AB$1065:$AD$1239,3,FALSE)*IF($P$26="Invocador",0.5,1))</f>
        <v/>
      </c>
      <c r="S57" s="581"/>
      <c r="T57" s="488"/>
      <c r="U57" s="29"/>
      <c r="V57" s="677"/>
      <c r="W57" s="4784" t="str">
        <f>IF(SUM(Tablas!$P$1138:$S$1180)=0,"",IF(Tablas!A5&gt;MAX(Tablas!$P$1138:$P$1180),"",VLOOKUP(Tablas!A5,Tablas!$P$1138:$T$1180,2,FALSE)))</f>
        <v/>
      </c>
      <c r="X57" s="4785"/>
      <c r="Y57" s="4785"/>
      <c r="Z57" s="4785"/>
      <c r="AA57" s="4326"/>
      <c r="AB57" s="3601" t="str">
        <f>IF(SUM(Tablas!$P$1138:$P$1180)=0,"",IF(Tablas!A5&gt;MAX(Tablas!$P$1138:$P$1180),"",VLOOKUP(Tablas!A5,Tablas!$P$1138:$T$1180,4,FALSE)))</f>
        <v/>
      </c>
      <c r="AC57" s="3602"/>
      <c r="AD57" s="3602"/>
      <c r="AE57" s="3602"/>
      <c r="AF57" s="3602"/>
      <c r="AG57" s="3602"/>
      <c r="AH57" s="3602"/>
      <c r="AI57" s="3602"/>
      <c r="AJ57" s="3602"/>
      <c r="AK57" s="4360"/>
      <c r="AL57" s="2683" t="str">
        <f t="shared" si="14"/>
        <v/>
      </c>
      <c r="AM57" s="29"/>
      <c r="AN57" s="29"/>
      <c r="AO57" s="732"/>
      <c r="AP57" s="4734" t="str">
        <f t="shared" si="11"/>
        <v/>
      </c>
      <c r="AQ57" s="4734"/>
      <c r="AR57" s="4735" t="str">
        <f t="shared" si="12"/>
        <v/>
      </c>
      <c r="AS57" s="4735"/>
      <c r="AT57" s="4735"/>
      <c r="AU57" s="4735"/>
      <c r="AV57" s="4735"/>
      <c r="AW57" s="4735"/>
      <c r="AX57" s="742"/>
      <c r="AY57" s="578"/>
      <c r="AZ57" s="1737"/>
      <c r="BA57" s="1737" t="b">
        <f t="shared" si="4"/>
        <v>0</v>
      </c>
      <c r="BB57" s="3099" t="b">
        <f t="shared" si="5"/>
        <v>0</v>
      </c>
      <c r="BC57" s="3099" t="b">
        <f t="shared" si="6"/>
        <v>0</v>
      </c>
      <c r="BD57" s="1737" t="b">
        <f t="shared" si="7"/>
        <v>0</v>
      </c>
      <c r="BE57" s="1737" t="b">
        <f t="shared" si="8"/>
        <v>0</v>
      </c>
      <c r="BF57" s="1737" t="b">
        <f t="shared" si="9"/>
        <v>0</v>
      </c>
      <c r="BG57" s="1737" t="b">
        <f t="shared" si="10"/>
        <v>0</v>
      </c>
      <c r="BH57" s="1737"/>
      <c r="BI57" s="1737"/>
    </row>
    <row r="58" spans="1:61" ht="12" customHeight="1" x14ac:dyDescent="0.2">
      <c r="A58" s="29"/>
      <c r="B58" s="489"/>
      <c r="C58" s="4777"/>
      <c r="D58" s="4777"/>
      <c r="E58" s="4777"/>
      <c r="F58" s="4777"/>
      <c r="G58" s="4777"/>
      <c r="H58" s="1551"/>
      <c r="J58" s="4770"/>
      <c r="K58" s="4771"/>
      <c r="L58" s="4771"/>
      <c r="M58" s="4771"/>
      <c r="N58" s="4771"/>
      <c r="O58" s="4771"/>
      <c r="P58" s="643" t="str">
        <f>IF(J58=0,"",VLOOKUP(J58,Tablas!$AB$1065:$AD$1239,2,FALSE))</f>
        <v/>
      </c>
      <c r="Q58" s="667" t="str">
        <f>IF(J58=0,"",VLOOKUP(J58,Tablas!$AB$1065:$AD$1239,3,FALSE)*IF($P$26="Invocador",0.5,1))</f>
        <v/>
      </c>
      <c r="S58" s="581"/>
      <c r="T58" s="488"/>
      <c r="U58" s="29"/>
      <c r="V58" s="677"/>
      <c r="W58" s="4784" t="str">
        <f>IF(SUM(Tablas!$P$1138:$S$1180)=0,"",IF(Tablas!A6&gt;MAX(Tablas!$P$1138:$P$1180),"",VLOOKUP(Tablas!A6,Tablas!$P$1138:$T$1180,2,FALSE)))</f>
        <v/>
      </c>
      <c r="X58" s="4785"/>
      <c r="Y58" s="4785"/>
      <c r="Z58" s="4785"/>
      <c r="AA58" s="4326"/>
      <c r="AB58" s="3601" t="str">
        <f>IF(SUM(Tablas!$P$1138:$P$1180)=0,"",IF(Tablas!A6&gt;MAX(Tablas!$P$1138:$P$1180),"",VLOOKUP(Tablas!A6,Tablas!$P$1138:$T$1180,4,FALSE)))</f>
        <v/>
      </c>
      <c r="AC58" s="3602"/>
      <c r="AD58" s="3602"/>
      <c r="AE58" s="3602"/>
      <c r="AF58" s="3602"/>
      <c r="AG58" s="3602"/>
      <c r="AH58" s="3602"/>
      <c r="AI58" s="3602"/>
      <c r="AJ58" s="3602"/>
      <c r="AK58" s="4360"/>
      <c r="AL58" s="2683" t="str">
        <f t="shared" si="14"/>
        <v/>
      </c>
      <c r="AM58" s="29"/>
      <c r="AN58" s="29"/>
      <c r="AO58" s="732"/>
      <c r="AP58" s="4734" t="str">
        <f t="shared" si="11"/>
        <v/>
      </c>
      <c r="AQ58" s="4734"/>
      <c r="AR58" s="4735" t="str">
        <f t="shared" si="12"/>
        <v/>
      </c>
      <c r="AS58" s="4735"/>
      <c r="AT58" s="4735"/>
      <c r="AU58" s="4735"/>
      <c r="AV58" s="4735"/>
      <c r="AW58" s="4735"/>
      <c r="AX58" s="742"/>
      <c r="AY58" s="578"/>
      <c r="AZ58" s="1737"/>
      <c r="BA58" s="1737" t="b">
        <f t="shared" si="4"/>
        <v>0</v>
      </c>
      <c r="BB58" s="3099" t="b">
        <f t="shared" si="5"/>
        <v>0</v>
      </c>
      <c r="BC58" s="3099" t="b">
        <f t="shared" si="6"/>
        <v>0</v>
      </c>
      <c r="BD58" s="1737" t="b">
        <f t="shared" si="7"/>
        <v>0</v>
      </c>
      <c r="BE58" s="1737" t="b">
        <f t="shared" si="8"/>
        <v>0</v>
      </c>
      <c r="BF58" s="1737" t="b">
        <f t="shared" si="9"/>
        <v>0</v>
      </c>
      <c r="BG58" s="1737" t="b">
        <f t="shared" si="10"/>
        <v>0</v>
      </c>
      <c r="BH58" s="1737"/>
      <c r="BI58" s="1737"/>
    </row>
    <row r="59" spans="1:61" ht="12" customHeight="1" x14ac:dyDescent="0.2">
      <c r="A59" s="29"/>
      <c r="B59" s="489"/>
      <c r="C59" s="4766"/>
      <c r="D59" s="4766"/>
      <c r="E59" s="4766"/>
      <c r="F59" s="4766"/>
      <c r="G59" s="4766"/>
      <c r="H59" s="1508"/>
      <c r="J59" s="4919"/>
      <c r="K59" s="4920"/>
      <c r="L59" s="4920"/>
      <c r="M59" s="4920"/>
      <c r="N59" s="4920"/>
      <c r="O59" s="4920"/>
      <c r="P59" s="2180" t="str">
        <f>IF(J59=0,"",VLOOKUP(J59,Tablas!$AB$1065:$AD$1239,2,FALSE))</f>
        <v/>
      </c>
      <c r="Q59" s="2181" t="str">
        <f>IF(J59=0,"",VLOOKUP(J59,Tablas!$AB$1065:$AD$1239,3,FALSE)*IF($P$26="Invocador",0.5,1))</f>
        <v/>
      </c>
      <c r="S59" s="581"/>
      <c r="T59" s="488"/>
      <c r="U59" s="29"/>
      <c r="V59" s="677"/>
      <c r="W59" s="4784" t="str">
        <f>IF(SUM(Tablas!$P$1138:$S$1180)=0,"",IF(Tablas!A7&gt;MAX(Tablas!$P$1138:$P$1180),"",VLOOKUP(Tablas!A7,Tablas!$P$1138:$T$1180,2,FALSE)))</f>
        <v/>
      </c>
      <c r="X59" s="4785"/>
      <c r="Y59" s="4785"/>
      <c r="Z59" s="4785"/>
      <c r="AA59" s="4326"/>
      <c r="AB59" s="3601" t="str">
        <f>IF(SUM(Tablas!$P$1138:$P$1180)=0,"",IF(Tablas!A7&gt;MAX(Tablas!$P$1138:$P$1180),"",VLOOKUP(Tablas!A7,Tablas!$P$1138:$T$1180,4,FALSE)))</f>
        <v/>
      </c>
      <c r="AC59" s="3602"/>
      <c r="AD59" s="3602"/>
      <c r="AE59" s="3602"/>
      <c r="AF59" s="3602"/>
      <c r="AG59" s="3602"/>
      <c r="AH59" s="3602"/>
      <c r="AI59" s="3602"/>
      <c r="AJ59" s="3602"/>
      <c r="AK59" s="4360"/>
      <c r="AL59" s="2683" t="str">
        <f t="shared" si="14"/>
        <v/>
      </c>
      <c r="AM59" s="29"/>
      <c r="AN59" s="29"/>
      <c r="AO59" s="732"/>
      <c r="AX59" s="742"/>
      <c r="AY59" s="578"/>
      <c r="AZ59" s="1737"/>
      <c r="BA59" s="1737" t="b">
        <f t="shared" si="4"/>
        <v>0</v>
      </c>
      <c r="BB59" s="3099" t="b">
        <f t="shared" si="5"/>
        <v>0</v>
      </c>
      <c r="BC59" s="3099" t="b">
        <f t="shared" si="6"/>
        <v>0</v>
      </c>
      <c r="BD59" s="1737" t="b">
        <f t="shared" si="7"/>
        <v>0</v>
      </c>
      <c r="BE59" s="1737" t="b">
        <f t="shared" si="8"/>
        <v>0</v>
      </c>
      <c r="BF59" s="1737" t="b">
        <f t="shared" si="9"/>
        <v>0</v>
      </c>
      <c r="BG59" s="1737" t="b">
        <f t="shared" si="10"/>
        <v>0</v>
      </c>
      <c r="BH59" s="1737"/>
      <c r="BI59" s="1737"/>
    </row>
    <row r="60" spans="1:61" ht="12" customHeight="1" x14ac:dyDescent="0.2">
      <c r="A60" s="29"/>
      <c r="B60" s="489"/>
      <c r="C60" s="4777"/>
      <c r="D60" s="4777"/>
      <c r="E60" s="4777"/>
      <c r="F60" s="4777"/>
      <c r="G60" s="4777"/>
      <c r="H60" s="1551"/>
      <c r="J60" s="4770"/>
      <c r="K60" s="4771"/>
      <c r="L60" s="4771"/>
      <c r="M60" s="4771"/>
      <c r="N60" s="4771"/>
      <c r="O60" s="4771"/>
      <c r="P60" s="643" t="str">
        <f>IF(J60=0,"",VLOOKUP(J60,Tablas!$AB$1065:$AD$1239,2,FALSE))</f>
        <v/>
      </c>
      <c r="Q60" s="667" t="str">
        <f>IF(J60=0,"",VLOOKUP(J60,Tablas!$AB$1065:$AD$1239,3,FALSE)*IF($P$26="Invocador",0.5,1))</f>
        <v/>
      </c>
      <c r="S60" s="581"/>
      <c r="T60" s="488"/>
      <c r="U60" s="29"/>
      <c r="V60" s="677"/>
      <c r="W60" s="4784" t="str">
        <f>IF(SUM(Tablas!$P$1138:$S$1180)=0,"",IF(Tablas!A8&gt;MAX(Tablas!$P$1138:$P$1180),"",VLOOKUP(Tablas!A8,Tablas!$P$1138:$T$1180,2,FALSE)))</f>
        <v/>
      </c>
      <c r="X60" s="4785"/>
      <c r="Y60" s="4785"/>
      <c r="Z60" s="4785"/>
      <c r="AA60" s="4326"/>
      <c r="AB60" s="3601" t="str">
        <f>IF(SUM(Tablas!$P$1138:$P$1180)=0,"",IF(Tablas!A8&gt;MAX(Tablas!$P$1138:$P$1180),"",VLOOKUP(Tablas!A8,Tablas!$P$1138:$T$1180,4,FALSE)))</f>
        <v/>
      </c>
      <c r="AC60" s="3602"/>
      <c r="AD60" s="3602"/>
      <c r="AE60" s="3602"/>
      <c r="AF60" s="3602"/>
      <c r="AG60" s="3602"/>
      <c r="AH60" s="3602"/>
      <c r="AI60" s="3602"/>
      <c r="AJ60" s="3602"/>
      <c r="AK60" s="4360"/>
      <c r="AL60" s="2683" t="str">
        <f t="shared" si="14"/>
        <v/>
      </c>
      <c r="AM60" s="29"/>
      <c r="AN60" s="29"/>
      <c r="AO60" s="732"/>
      <c r="AP60" s="4729" t="s">
        <v>6910</v>
      </c>
      <c r="AQ60" s="4729"/>
      <c r="AR60" s="4729"/>
      <c r="AS60" s="4729"/>
      <c r="AT60" s="4729"/>
      <c r="AU60" s="4729"/>
      <c r="AV60" s="4729"/>
      <c r="AW60" s="4729"/>
      <c r="AX60" s="742"/>
      <c r="AY60" s="578"/>
      <c r="AZ60" s="1737"/>
      <c r="BA60" s="1737" t="b">
        <f t="shared" si="4"/>
        <v>0</v>
      </c>
      <c r="BB60" s="3099" t="b">
        <f t="shared" si="5"/>
        <v>0</v>
      </c>
      <c r="BC60" s="3099" t="b">
        <f t="shared" si="6"/>
        <v>0</v>
      </c>
      <c r="BD60" s="1737" t="b">
        <f t="shared" si="7"/>
        <v>0</v>
      </c>
      <c r="BE60" s="1737" t="b">
        <f t="shared" si="8"/>
        <v>0</v>
      </c>
      <c r="BF60" s="1737" t="b">
        <f t="shared" si="9"/>
        <v>0</v>
      </c>
      <c r="BG60" s="1737" t="b">
        <f t="shared" si="10"/>
        <v>0</v>
      </c>
      <c r="BH60" s="1737"/>
      <c r="BI60" s="1737"/>
    </row>
    <row r="61" spans="1:61" ht="12" customHeight="1" thickBot="1" x14ac:dyDescent="0.25">
      <c r="A61" s="29"/>
      <c r="B61" s="489"/>
      <c r="C61" s="4767" t="s">
        <v>1719</v>
      </c>
      <c r="D61" s="4767"/>
      <c r="E61" s="4767"/>
      <c r="F61" s="4767"/>
      <c r="G61" s="4767"/>
      <c r="H61" s="92">
        <f>SUM(H33:H60)+IF(Sheele!$F$5="No",0,Sheele!$N$5)</f>
        <v>0</v>
      </c>
      <c r="J61" s="4774" t="str">
        <f>IF(Tablas!X21,IF(AND(22-COUNTBLANK(P33:P60)&gt;VLOOKUP(Nivel_Sobrenatural,Tablas!$S$9:$X$12,6,FALSE)),"Número inicial de invocaciones excesivo. ","")&amp;IF(P26="Invocador","Costes de las invocaciones ya reducidos",""),"")</f>
        <v/>
      </c>
      <c r="K61" s="4775"/>
      <c r="L61" s="4775"/>
      <c r="M61" s="4775"/>
      <c r="N61" s="4775"/>
      <c r="O61" s="4775"/>
      <c r="P61" s="4775"/>
      <c r="Q61" s="4776"/>
      <c r="S61" s="581"/>
      <c r="T61" s="488"/>
      <c r="U61" s="29"/>
      <c r="V61" s="677"/>
      <c r="W61" s="4784" t="str">
        <f>IF(SUM(Tablas!$P$1138:$S$1180)=0,"",IF(Tablas!A9&gt;MAX(Tablas!$P$1138:$P$1180),"",VLOOKUP(Tablas!A9,Tablas!$P$1138:$T$1180,2,FALSE)))</f>
        <v/>
      </c>
      <c r="X61" s="4785"/>
      <c r="Y61" s="4785"/>
      <c r="Z61" s="4785"/>
      <c r="AA61" s="4326"/>
      <c r="AB61" s="4786" t="str">
        <f>IF(SUM(Tablas!$P$1138:$P$1180)=0,"",IF(Tablas!A9&gt;MAX(Tablas!$P$1138:$P$1180),"",VLOOKUP(Tablas!A9,Tablas!$P$1138:$T$1180,4,FALSE)))</f>
        <v/>
      </c>
      <c r="AC61" s="4201"/>
      <c r="AD61" s="4201"/>
      <c r="AE61" s="4201"/>
      <c r="AF61" s="4201"/>
      <c r="AG61" s="4201"/>
      <c r="AH61" s="4201"/>
      <c r="AI61" s="4201"/>
      <c r="AJ61" s="4201"/>
      <c r="AK61" s="4787"/>
      <c r="AL61" s="2683" t="str">
        <f t="shared" si="14"/>
        <v/>
      </c>
      <c r="AM61" s="29"/>
      <c r="AN61" s="29"/>
      <c r="AO61" s="732"/>
      <c r="AP61" s="4716" t="s">
        <v>1695</v>
      </c>
      <c r="AQ61" s="4716"/>
      <c r="AR61" s="4716" t="s">
        <v>1694</v>
      </c>
      <c r="AS61" s="4716"/>
      <c r="AT61" s="4716"/>
      <c r="AU61" s="2308"/>
      <c r="AV61" s="2309" t="s">
        <v>6911</v>
      </c>
      <c r="AW61" s="951" t="s">
        <v>2662</v>
      </c>
      <c r="AX61" s="742"/>
      <c r="AY61" s="578"/>
      <c r="AZ61" s="1737"/>
      <c r="BA61" s="1737" t="s">
        <v>1349</v>
      </c>
      <c r="BB61" s="3099" t="b">
        <f t="shared" ref="BB61:BG61" si="15">OR(BB34:BB60)</f>
        <v>0</v>
      </c>
      <c r="BC61" s="3099" t="b">
        <f t="shared" si="15"/>
        <v>0</v>
      </c>
      <c r="BD61" s="3099" t="b">
        <f t="shared" si="15"/>
        <v>0</v>
      </c>
      <c r="BE61" s="3099" t="b">
        <f t="shared" si="15"/>
        <v>0</v>
      </c>
      <c r="BF61" s="3099" t="b">
        <f t="shared" si="15"/>
        <v>0</v>
      </c>
      <c r="BG61" s="3099" t="b">
        <f t="shared" si="15"/>
        <v>0</v>
      </c>
      <c r="BH61" s="1737"/>
      <c r="BI61" s="1737"/>
    </row>
    <row r="62" spans="1:61" ht="12" customHeight="1" thickBot="1" x14ac:dyDescent="0.25">
      <c r="A62" s="29"/>
      <c r="B62" s="489"/>
      <c r="S62" s="581"/>
      <c r="T62" s="488"/>
      <c r="U62" s="29"/>
      <c r="V62" s="677"/>
      <c r="W62" s="4784" t="str">
        <f>IF(SUM(Tablas!$P$1138:$S$1180)=0,"",IF(Tablas!A10&gt;MAX(Tablas!$P$1138:$P$1180),"",VLOOKUP(Tablas!A10,Tablas!$P$1138:$T$1180,2,FALSE)))</f>
        <v/>
      </c>
      <c r="X62" s="4785"/>
      <c r="Y62" s="4785"/>
      <c r="Z62" s="4785"/>
      <c r="AA62" s="4326"/>
      <c r="AB62" s="4786" t="str">
        <f>IF(SUM(Tablas!$P$1138:$P$1180)=0,"",IF(Tablas!A10&gt;MAX(Tablas!$P$1138:$P$1180),"",VLOOKUP(Tablas!A10,Tablas!$P$1138:$T$1180,4,FALSE)))</f>
        <v/>
      </c>
      <c r="AC62" s="4201"/>
      <c r="AD62" s="4201"/>
      <c r="AE62" s="4201"/>
      <c r="AF62" s="4201"/>
      <c r="AG62" s="4201"/>
      <c r="AH62" s="4201"/>
      <c r="AI62" s="4201"/>
      <c r="AJ62" s="4201"/>
      <c r="AK62" s="4787"/>
      <c r="AL62" s="2683" t="str">
        <f t="shared" si="14"/>
        <v/>
      </c>
      <c r="AM62" s="29"/>
      <c r="AN62" s="29"/>
      <c r="AO62" s="861" t="str">
        <f>"Conjuros"&amp;IF(AP62="","","_"&amp;SUBSTITUTE(AP62," ",""))</f>
        <v>Conjuros</v>
      </c>
      <c r="AP62" s="4714"/>
      <c r="AQ62" s="4714"/>
      <c r="AR62" s="4715"/>
      <c r="AS62" s="4715"/>
      <c r="AT62" s="4715"/>
      <c r="AU62" s="4715"/>
      <c r="AV62" s="2306"/>
      <c r="AW62" s="1472">
        <f>IF(AR62="",0,AV62*VLOOKUP(AR62,'Tablas Magia'!$D$6:$Z$680,11,FALSE)/2)</f>
        <v>0</v>
      </c>
      <c r="AX62" s="742"/>
      <c r="AY62" s="578"/>
      <c r="AZ62" s="1737"/>
      <c r="BA62" s="1737"/>
      <c r="BB62" s="3099"/>
      <c r="BC62" s="3099"/>
      <c r="BD62" s="1737"/>
      <c r="BE62" s="1758"/>
      <c r="BF62" s="1737"/>
      <c r="BG62" s="1737"/>
      <c r="BH62" s="1737"/>
      <c r="BI62" s="1737"/>
    </row>
    <row r="63" spans="1:61" ht="12" customHeight="1" thickBot="1" x14ac:dyDescent="0.25">
      <c r="A63" s="29"/>
      <c r="B63" s="489"/>
      <c r="C63" s="3631" t="s">
        <v>9611</v>
      </c>
      <c r="D63" s="3631"/>
      <c r="E63" s="3631"/>
      <c r="F63" s="3631"/>
      <c r="G63" s="3631"/>
      <c r="H63" s="3631"/>
      <c r="J63" s="3689" t="s">
        <v>1720</v>
      </c>
      <c r="K63" s="4797"/>
      <c r="L63" s="4797"/>
      <c r="M63" s="4798" t="s">
        <v>1512</v>
      </c>
      <c r="N63" s="4798"/>
      <c r="O63" s="4798"/>
      <c r="P63" s="4798"/>
      <c r="Q63" s="4799"/>
      <c r="S63" s="581"/>
      <c r="T63" s="488"/>
      <c r="U63" s="29"/>
      <c r="V63" s="677"/>
      <c r="W63" s="4784" t="str">
        <f>IF(SUM(Tablas!$P$1138:$S$1180)=0,"",IF(Tablas!A11&gt;MAX(Tablas!$P$1138:$P$1180),"",VLOOKUP(Tablas!A11,Tablas!$P$1138:$T$1180,2,FALSE)))</f>
        <v/>
      </c>
      <c r="X63" s="4785"/>
      <c r="Y63" s="4785"/>
      <c r="Z63" s="4785"/>
      <c r="AA63" s="4326"/>
      <c r="AB63" s="4786" t="str">
        <f>IF(SUM(Tablas!$P$1138:$P$1180)=0,"",IF(Tablas!A11&gt;MAX(Tablas!$P$1138:$P$1180),"",VLOOKUP(Tablas!A11,Tablas!$P$1138:$T$1180,4,FALSE)))</f>
        <v/>
      </c>
      <c r="AC63" s="4201"/>
      <c r="AD63" s="4201"/>
      <c r="AE63" s="4201"/>
      <c r="AF63" s="4201"/>
      <c r="AG63" s="4201"/>
      <c r="AH63" s="4201"/>
      <c r="AI63" s="4201"/>
      <c r="AJ63" s="4201"/>
      <c r="AK63" s="4787"/>
      <c r="AL63" s="2683" t="str">
        <f t="shared" si="14"/>
        <v/>
      </c>
      <c r="AM63" s="29"/>
      <c r="AN63" s="29"/>
      <c r="AO63" s="861" t="str">
        <f t="shared" ref="AO63:AO72" si="16">"Conjuros"&amp;IF(AP63="","","_"&amp;SUBSTITUTE(AP63," ",""))</f>
        <v>Conjuros</v>
      </c>
      <c r="AP63" s="4717"/>
      <c r="AQ63" s="4717"/>
      <c r="AR63" s="4718"/>
      <c r="AS63" s="4718"/>
      <c r="AT63" s="4718"/>
      <c r="AU63" s="4718"/>
      <c r="AV63" s="2307"/>
      <c r="AW63" s="2310">
        <f>IF(AR63="",0,AV63*VLOOKUP(AR63,'Tablas Magia'!$D$6:$Z$680,11,FALSE)/2)</f>
        <v>0</v>
      </c>
      <c r="AX63" s="742"/>
      <c r="AY63" s="578"/>
      <c r="AZ63" s="1737"/>
      <c r="BA63" s="1737"/>
      <c r="BB63" s="3099"/>
      <c r="BC63" s="3099"/>
      <c r="BD63" s="1737"/>
      <c r="BE63" s="1758"/>
      <c r="BF63" s="1737"/>
      <c r="BG63" s="1737"/>
      <c r="BH63" s="1737"/>
      <c r="BI63" s="1737"/>
    </row>
    <row r="64" spans="1:61" ht="12" customHeight="1" x14ac:dyDescent="0.2">
      <c r="A64" s="29"/>
      <c r="B64" s="489"/>
      <c r="C64" s="4800"/>
      <c r="D64" s="4801"/>
      <c r="E64" s="4801"/>
      <c r="F64" s="4801"/>
      <c r="G64" s="4801"/>
      <c r="H64" s="4802"/>
      <c r="J64" s="2178">
        <v>20</v>
      </c>
      <c r="K64" s="4788" t="s">
        <v>1723</v>
      </c>
      <c r="L64" s="4788"/>
      <c r="M64" s="4809" t="s">
        <v>1724</v>
      </c>
      <c r="N64" s="4809"/>
      <c r="O64" s="4809"/>
      <c r="P64" s="4809"/>
      <c r="Q64" s="4810"/>
      <c r="S64" s="581"/>
      <c r="T64" s="488"/>
      <c r="U64" s="29"/>
      <c r="V64" s="677"/>
      <c r="W64" s="4784" t="str">
        <f>IF(SUM(Tablas!$P$1138:$S$1180)=0,"",IF(Tablas!A12&gt;MAX(Tablas!$P$1138:$P$1180),"",VLOOKUP(Tablas!A12,Tablas!$P$1138:$T$1180,2,FALSE)))</f>
        <v/>
      </c>
      <c r="X64" s="4785"/>
      <c r="Y64" s="4785"/>
      <c r="Z64" s="4785"/>
      <c r="AA64" s="4326"/>
      <c r="AB64" s="4786" t="str">
        <f>IF(SUM(Tablas!$P$1138:$P$1180)=0,"",IF(Tablas!A12&gt;MAX(Tablas!$P$1138:$P$1180),"",VLOOKUP(Tablas!A12,Tablas!$P$1138:$T$1180,4,FALSE)))</f>
        <v/>
      </c>
      <c r="AC64" s="4201"/>
      <c r="AD64" s="4201"/>
      <c r="AE64" s="4201"/>
      <c r="AF64" s="4201"/>
      <c r="AG64" s="4201"/>
      <c r="AH64" s="4201"/>
      <c r="AI64" s="4201"/>
      <c r="AJ64" s="4201"/>
      <c r="AK64" s="4787"/>
      <c r="AL64" s="2683" t="str">
        <f t="shared" si="14"/>
        <v/>
      </c>
      <c r="AM64" s="29"/>
      <c r="AN64" s="29"/>
      <c r="AO64" s="861" t="str">
        <f t="shared" si="16"/>
        <v>Conjuros</v>
      </c>
      <c r="AP64" s="4714"/>
      <c r="AQ64" s="4714"/>
      <c r="AR64" s="4715"/>
      <c r="AS64" s="4715"/>
      <c r="AT64" s="4715"/>
      <c r="AU64" s="4715"/>
      <c r="AV64" s="2306"/>
      <c r="AW64" s="1472">
        <f>IF(AR64="",0,AV64*VLOOKUP(AR64,'Tablas Magia'!$D$6:$Z$680,11,FALSE)/2)</f>
        <v>0</v>
      </c>
      <c r="AX64" s="742"/>
      <c r="AY64" s="578"/>
      <c r="AZ64" s="1737"/>
      <c r="BA64" s="1737"/>
      <c r="BB64" s="3099"/>
      <c r="BC64" s="3099"/>
      <c r="BD64" s="1737"/>
      <c r="BE64" s="1737"/>
      <c r="BF64" s="1737"/>
      <c r="BG64" s="1737"/>
      <c r="BH64" s="1737"/>
      <c r="BI64" s="1737"/>
    </row>
    <row r="65" spans="1:61" ht="12" customHeight="1" x14ac:dyDescent="0.2">
      <c r="A65" s="29"/>
      <c r="B65" s="489"/>
      <c r="C65" s="4803"/>
      <c r="D65" s="4804"/>
      <c r="E65" s="4804"/>
      <c r="F65" s="4804"/>
      <c r="G65" s="4804"/>
      <c r="H65" s="4805"/>
      <c r="J65" s="2178">
        <v>40</v>
      </c>
      <c r="K65" s="4788" t="s">
        <v>1725</v>
      </c>
      <c r="L65" s="4788"/>
      <c r="M65" s="4789" t="s">
        <v>1726</v>
      </c>
      <c r="N65" s="4789"/>
      <c r="O65" s="4789"/>
      <c r="P65" s="4789"/>
      <c r="Q65" s="4790"/>
      <c r="S65" s="581"/>
      <c r="T65" s="488"/>
      <c r="U65" s="29"/>
      <c r="V65" s="677"/>
      <c r="W65" s="4784" t="str">
        <f>IF(SUM(Tablas!$P$1138:$S$1180)=0,"",IF(Tablas!A13&gt;MAX(Tablas!$P$1138:$P$1180),"",VLOOKUP(Tablas!A13,Tablas!$P$1138:$T$1180,2,FALSE)))</f>
        <v/>
      </c>
      <c r="X65" s="4785"/>
      <c r="Y65" s="4785"/>
      <c r="Z65" s="4785"/>
      <c r="AA65" s="4326"/>
      <c r="AB65" s="4786" t="str">
        <f>IF(SUM(Tablas!$P$1138:$P$1180)=0,"",IF(Tablas!A13&gt;MAX(Tablas!$P$1138:$P$1180),"",VLOOKUP(Tablas!A13,Tablas!$P$1138:$T$1180,4,FALSE)))</f>
        <v/>
      </c>
      <c r="AC65" s="4201"/>
      <c r="AD65" s="4201"/>
      <c r="AE65" s="4201"/>
      <c r="AF65" s="4201"/>
      <c r="AG65" s="4201"/>
      <c r="AH65" s="4201"/>
      <c r="AI65" s="4201"/>
      <c r="AJ65" s="4201"/>
      <c r="AK65" s="4787"/>
      <c r="AL65" s="2683" t="str">
        <f t="shared" si="14"/>
        <v/>
      </c>
      <c r="AM65" s="29"/>
      <c r="AN65" s="29"/>
      <c r="AO65" s="861" t="str">
        <f t="shared" si="16"/>
        <v>Conjuros</v>
      </c>
      <c r="AP65" s="4717"/>
      <c r="AQ65" s="4717"/>
      <c r="AR65" s="4718"/>
      <c r="AS65" s="4718"/>
      <c r="AT65" s="4718"/>
      <c r="AU65" s="4718"/>
      <c r="AV65" s="2307"/>
      <c r="AW65" s="2310">
        <f>IF(AR65="",0,AV65*VLOOKUP(AR65,'Tablas Magia'!$D$6:$Z$680,11,FALSE)/2)</f>
        <v>0</v>
      </c>
      <c r="AX65" s="741"/>
      <c r="AY65" s="578"/>
      <c r="AZ65" s="1737"/>
      <c r="BA65" s="1737"/>
      <c r="BB65" s="3099"/>
      <c r="BC65" s="3099"/>
      <c r="BD65" s="1737"/>
      <c r="BE65" s="1737"/>
      <c r="BF65" s="1737"/>
      <c r="BG65" s="1737"/>
      <c r="BH65" s="1737"/>
      <c r="BI65" s="1737"/>
    </row>
    <row r="66" spans="1:61" ht="12" customHeight="1" x14ac:dyDescent="0.2">
      <c r="A66" s="29"/>
      <c r="B66" s="489"/>
      <c r="C66" s="4803"/>
      <c r="D66" s="4804"/>
      <c r="E66" s="4804"/>
      <c r="F66" s="4804"/>
      <c r="G66" s="4804"/>
      <c r="H66" s="4805"/>
      <c r="J66" s="2178">
        <v>80</v>
      </c>
      <c r="K66" s="4788" t="s">
        <v>1728</v>
      </c>
      <c r="L66" s="4788"/>
      <c r="M66" s="4789" t="s">
        <v>1729</v>
      </c>
      <c r="N66" s="4789"/>
      <c r="O66" s="4789"/>
      <c r="P66" s="4789"/>
      <c r="Q66" s="4790"/>
      <c r="S66" s="581"/>
      <c r="T66" s="488"/>
      <c r="U66" s="29"/>
      <c r="V66" s="677"/>
      <c r="W66" s="4784" t="str">
        <f>IF(SUM(Tablas!$P$1138:$S$1180)=0,"",IF(Tablas!A14&gt;MAX(Tablas!$P$1138:$P$1180),"",VLOOKUP(Tablas!A14,Tablas!$P$1138:$T$1180,2,FALSE)))</f>
        <v/>
      </c>
      <c r="X66" s="4785"/>
      <c r="Y66" s="4785"/>
      <c r="Z66" s="4785"/>
      <c r="AA66" s="4326"/>
      <c r="AB66" s="4786" t="str">
        <f>IF(SUM(Tablas!$P$1138:$P$1180)=0,"",IF(Tablas!A14&gt;MAX(Tablas!$P$1138:$P$1180),"",VLOOKUP(Tablas!A14,Tablas!$P$1138:$T$1180,4,FALSE)))</f>
        <v/>
      </c>
      <c r="AC66" s="4201"/>
      <c r="AD66" s="4201"/>
      <c r="AE66" s="4201"/>
      <c r="AF66" s="4201"/>
      <c r="AG66" s="4201"/>
      <c r="AH66" s="4201"/>
      <c r="AI66" s="4201"/>
      <c r="AJ66" s="4201"/>
      <c r="AK66" s="4787"/>
      <c r="AL66" s="2683" t="str">
        <f t="shared" si="14"/>
        <v/>
      </c>
      <c r="AM66" s="29"/>
      <c r="AN66" s="29"/>
      <c r="AO66" s="861" t="str">
        <f t="shared" si="16"/>
        <v>Conjuros</v>
      </c>
      <c r="AP66" s="4714"/>
      <c r="AQ66" s="4714"/>
      <c r="AR66" s="4715"/>
      <c r="AS66" s="4715"/>
      <c r="AT66" s="4715"/>
      <c r="AU66" s="4715"/>
      <c r="AV66" s="2306"/>
      <c r="AW66" s="1472">
        <f>IF(AR66="",0,AV66*VLOOKUP(AR66,'Tablas Magia'!$D$6:$Z$680,11,FALSE)/2)</f>
        <v>0</v>
      </c>
      <c r="AX66" s="741"/>
      <c r="AY66" s="578"/>
      <c r="AZ66" s="1737"/>
      <c r="BA66" s="1737"/>
      <c r="BB66" s="3099"/>
      <c r="BC66" s="3099"/>
      <c r="BD66" s="1737"/>
      <c r="BE66" s="1737"/>
      <c r="BF66" s="1737"/>
      <c r="BG66" s="1737"/>
      <c r="BH66" s="1737"/>
      <c r="BI66" s="1737"/>
    </row>
    <row r="67" spans="1:61" ht="12" customHeight="1" x14ac:dyDescent="0.2">
      <c r="A67" s="29"/>
      <c r="B67" s="489"/>
      <c r="C67" s="4803"/>
      <c r="D67" s="4804"/>
      <c r="E67" s="4804"/>
      <c r="F67" s="4804"/>
      <c r="G67" s="4804"/>
      <c r="H67" s="4805"/>
      <c r="J67" s="2178">
        <v>120</v>
      </c>
      <c r="K67" s="4788" t="s">
        <v>1731</v>
      </c>
      <c r="L67" s="4788"/>
      <c r="M67" s="4789" t="str">
        <f>IF(Metamagia!$R$54+Metamagia!$U$54+Metamagia!$AA$54+Metamagia!$AA$59+Metamagia!$AA$64+Metamagia!$AD$48+Metamagia!$AG$46&gt;0,"Blancos hasta 100m. Zeón 10","Blancos hasta 100m")</f>
        <v>Blancos hasta 100m</v>
      </c>
      <c r="N67" s="4789"/>
      <c r="O67" s="4789"/>
      <c r="P67" s="4789"/>
      <c r="Q67" s="4790"/>
      <c r="S67" s="581"/>
      <c r="T67" s="488"/>
      <c r="U67" s="29"/>
      <c r="V67" s="677"/>
      <c r="W67" s="4784" t="str">
        <f>IF(SUM(Tablas!$P$1138:$S$1180)=0,"",IF(Tablas!A15&gt;MAX(Tablas!$P$1138:$P$1180),"",VLOOKUP(Tablas!A15,Tablas!$P$1138:$T$1180,2,FALSE)))</f>
        <v/>
      </c>
      <c r="X67" s="4785"/>
      <c r="Y67" s="4785"/>
      <c r="Z67" s="4785"/>
      <c r="AA67" s="4326"/>
      <c r="AB67" s="4786" t="str">
        <f>IF(SUM(Tablas!$P$1138:$P$1180)=0,"",IF(Tablas!A15&gt;MAX(Tablas!$P$1138:$P$1180),"",VLOOKUP(Tablas!A15,Tablas!$P$1138:$T$1180,4,FALSE)))</f>
        <v/>
      </c>
      <c r="AC67" s="4201"/>
      <c r="AD67" s="4201"/>
      <c r="AE67" s="4201"/>
      <c r="AF67" s="4201"/>
      <c r="AG67" s="4201"/>
      <c r="AH67" s="4201"/>
      <c r="AI67" s="4201"/>
      <c r="AJ67" s="4201"/>
      <c r="AK67" s="4787"/>
      <c r="AL67" s="2683" t="str">
        <f t="shared" si="14"/>
        <v/>
      </c>
      <c r="AM67" s="29"/>
      <c r="AN67" s="29"/>
      <c r="AO67" s="861" t="str">
        <f t="shared" si="16"/>
        <v>Conjuros</v>
      </c>
      <c r="AP67" s="4717"/>
      <c r="AQ67" s="4717"/>
      <c r="AR67" s="4718"/>
      <c r="AS67" s="4718"/>
      <c r="AT67" s="4718"/>
      <c r="AU67" s="4718"/>
      <c r="AV67" s="2307"/>
      <c r="AW67" s="2310">
        <f>IF(AR67="",0,AV67*VLOOKUP(AR67,'Tablas Magia'!$D$6:$Z$680,11,FALSE)/2)</f>
        <v>0</v>
      </c>
      <c r="AX67" s="741"/>
      <c r="AY67" s="578"/>
      <c r="AZ67" s="1737"/>
      <c r="BA67" s="1737"/>
      <c r="BB67" s="1737"/>
      <c r="BC67" s="1737"/>
      <c r="BD67" s="1737"/>
      <c r="BE67" s="1737"/>
      <c r="BF67" s="1737"/>
      <c r="BG67" s="1737"/>
      <c r="BH67" s="1737"/>
      <c r="BI67" s="1737"/>
    </row>
    <row r="68" spans="1:61" ht="12" customHeight="1" x14ac:dyDescent="0.2">
      <c r="A68" s="29"/>
      <c r="B68" s="489"/>
      <c r="C68" s="4803"/>
      <c r="D68" s="4804"/>
      <c r="E68" s="4804"/>
      <c r="F68" s="4804"/>
      <c r="G68" s="4804"/>
      <c r="H68" s="4805"/>
      <c r="J68" s="2178">
        <v>140</v>
      </c>
      <c r="K68" s="4788" t="s">
        <v>1733</v>
      </c>
      <c r="L68" s="4788"/>
      <c r="M68" s="4789" t="str">
        <f>IF(Metamagia!$R$54+Metamagia!$U$54+Metamagia!$AA$54+Metamagia!$AA$59+Metamagia!$AA$64+Metamagia!$AD$48+Metamagia!$AG$46&gt;1,"Blancos hasta 250m. Zeón 20","Blancos hasta 250m")</f>
        <v>Blancos hasta 250m</v>
      </c>
      <c r="N68" s="4789"/>
      <c r="O68" s="4789"/>
      <c r="P68" s="4789"/>
      <c r="Q68" s="4790"/>
      <c r="S68" s="581"/>
      <c r="T68" s="488"/>
      <c r="U68" s="29"/>
      <c r="V68" s="677"/>
      <c r="W68" s="4784" t="str">
        <f>IF(SUM(Tablas!$P$1138:$S$1180)=0,"",IF(Tablas!A16&gt;MAX(Tablas!$P$1138:$P$1180),"",VLOOKUP(Tablas!A16,Tablas!$P$1138:$T$1180,2,FALSE)))</f>
        <v/>
      </c>
      <c r="X68" s="4785"/>
      <c r="Y68" s="4785"/>
      <c r="Z68" s="4785"/>
      <c r="AA68" s="4326"/>
      <c r="AB68" s="4786" t="str">
        <f>IF(SUM(Tablas!$P$1138:$P$1180)=0,"",IF(Tablas!A16&gt;MAX(Tablas!$P$1138:$P$1180),"",VLOOKUP(Tablas!A16,Tablas!$P$1138:$T$1180,4,FALSE)))</f>
        <v/>
      </c>
      <c r="AC68" s="4201"/>
      <c r="AD68" s="4201"/>
      <c r="AE68" s="4201"/>
      <c r="AF68" s="4201"/>
      <c r="AG68" s="4201"/>
      <c r="AH68" s="4201"/>
      <c r="AI68" s="4201"/>
      <c r="AJ68" s="4201"/>
      <c r="AK68" s="4787"/>
      <c r="AL68" s="2683" t="str">
        <f t="shared" si="14"/>
        <v/>
      </c>
      <c r="AM68" s="29"/>
      <c r="AN68" s="29"/>
      <c r="AO68" s="861" t="str">
        <f t="shared" si="16"/>
        <v>Conjuros</v>
      </c>
      <c r="AP68" s="4714"/>
      <c r="AQ68" s="4714"/>
      <c r="AR68" s="4715"/>
      <c r="AS68" s="4715"/>
      <c r="AT68" s="4715"/>
      <c r="AU68" s="4715"/>
      <c r="AV68" s="2306"/>
      <c r="AW68" s="1472">
        <f>IF(AR68="",0,AV68*VLOOKUP(AR68,'Tablas Magia'!$D$6:$Z$680,11,FALSE)/2)</f>
        <v>0</v>
      </c>
      <c r="AX68" s="741"/>
      <c r="AY68" s="578"/>
      <c r="AZ68" s="1737"/>
      <c r="BA68" s="1737"/>
      <c r="BB68" s="1737"/>
      <c r="BC68" s="1737"/>
      <c r="BD68" s="1737"/>
      <c r="BE68" s="1737"/>
      <c r="BF68" s="1737"/>
      <c r="BG68" s="1737"/>
      <c r="BH68" s="1737"/>
      <c r="BI68" s="1737"/>
    </row>
    <row r="69" spans="1:61" ht="12" customHeight="1" x14ac:dyDescent="0.2">
      <c r="A69" s="29"/>
      <c r="B69" s="489"/>
      <c r="C69" s="4803"/>
      <c r="D69" s="4804"/>
      <c r="E69" s="4804"/>
      <c r="F69" s="4804"/>
      <c r="G69" s="4804"/>
      <c r="H69" s="4805"/>
      <c r="J69" s="2178">
        <v>180</v>
      </c>
      <c r="K69" s="4788" t="s">
        <v>1735</v>
      </c>
      <c r="L69" s="4788"/>
      <c r="M69" s="4789" t="str">
        <f>IF(Metamagia!$R$54+Metamagia!$U$54+Metamagia!$AA$54+Metamagia!$AA$59+Metamagia!$AA$64+Metamagia!$AD$48+Metamagia!$AG$46&gt;2,"Blancos hasta 500m. Zeón 40","Blancos hasta 500m")</f>
        <v>Blancos hasta 500m</v>
      </c>
      <c r="N69" s="4789"/>
      <c r="O69" s="4789"/>
      <c r="P69" s="4789"/>
      <c r="Q69" s="4790"/>
      <c r="S69" s="581"/>
      <c r="T69" s="488"/>
      <c r="U69" s="29"/>
      <c r="V69" s="677"/>
      <c r="W69" s="4784" t="str">
        <f>IF(SUM(Tablas!$P$1138:$S$1180)=0,"",IF(Tablas!A17&gt;MAX(Tablas!$P$1138:$P$1180),"",VLOOKUP(Tablas!A17,Tablas!$P$1138:$T$1180,2,FALSE)))</f>
        <v/>
      </c>
      <c r="X69" s="4785"/>
      <c r="Y69" s="4785"/>
      <c r="Z69" s="4785"/>
      <c r="AA69" s="4326"/>
      <c r="AB69" s="4786" t="str">
        <f>IF(SUM(Tablas!$P$1138:$P$1180)=0,"",IF(Tablas!A17&gt;MAX(Tablas!$P$1138:$P$1180),"",VLOOKUP(Tablas!A17,Tablas!$P$1138:$T$1180,4,FALSE)))</f>
        <v/>
      </c>
      <c r="AC69" s="4201"/>
      <c r="AD69" s="4201"/>
      <c r="AE69" s="4201"/>
      <c r="AF69" s="4201"/>
      <c r="AG69" s="4201"/>
      <c r="AH69" s="4201"/>
      <c r="AI69" s="4201"/>
      <c r="AJ69" s="4201"/>
      <c r="AK69" s="4787"/>
      <c r="AL69" s="2683" t="str">
        <f t="shared" si="14"/>
        <v/>
      </c>
      <c r="AM69" s="29"/>
      <c r="AN69" s="29"/>
      <c r="AO69" s="861" t="str">
        <f t="shared" si="16"/>
        <v>Conjuros</v>
      </c>
      <c r="AP69" s="4717"/>
      <c r="AQ69" s="4717"/>
      <c r="AR69" s="4718"/>
      <c r="AS69" s="4718"/>
      <c r="AT69" s="4718"/>
      <c r="AU69" s="4718"/>
      <c r="AV69" s="2307"/>
      <c r="AW69" s="2310">
        <f>IF(AR69="",0,AV69*VLOOKUP(AR69,'Tablas Magia'!$D$6:$Z$680,11,FALSE)/2)</f>
        <v>0</v>
      </c>
      <c r="AX69" s="741"/>
      <c r="AY69" s="578"/>
      <c r="AZ69" s="1737"/>
      <c r="BA69" s="1737"/>
      <c r="BB69" s="1737"/>
      <c r="BC69" s="1737"/>
      <c r="BD69" s="1737"/>
      <c r="BE69" s="1737"/>
      <c r="BF69" s="1737"/>
      <c r="BG69" s="1737"/>
      <c r="BH69" s="1737"/>
      <c r="BI69" s="1737"/>
    </row>
    <row r="70" spans="1:61" ht="12" customHeight="1" x14ac:dyDescent="0.2">
      <c r="A70" s="29"/>
      <c r="B70" s="489"/>
      <c r="C70" s="4803"/>
      <c r="D70" s="4804"/>
      <c r="E70" s="4804"/>
      <c r="F70" s="4804"/>
      <c r="G70" s="4804"/>
      <c r="H70" s="4805"/>
      <c r="J70" s="2178">
        <v>240</v>
      </c>
      <c r="K70" s="4788" t="s">
        <v>1737</v>
      </c>
      <c r="L70" s="4788"/>
      <c r="M70" s="4789" t="str">
        <f>IF(Metamagia!$R$54+Metamagia!$U$54+Metamagia!$AA$54+Metamagia!$AA$59+Metamagia!$AA$64+Metamagia!$AD$48+Metamagia!$AG$46&gt;3,"Hasta 1 km. Blanco localizado. Zeón 60","Hasta 1 km. Blanco localizado")</f>
        <v>Hasta 1 km. Blanco localizado</v>
      </c>
      <c r="N70" s="4789"/>
      <c r="O70" s="4789"/>
      <c r="P70" s="4789"/>
      <c r="Q70" s="4790"/>
      <c r="S70" s="581"/>
      <c r="T70" s="488"/>
      <c r="U70" s="29"/>
      <c r="V70" s="677"/>
      <c r="W70" s="4784" t="str">
        <f>IF(SUM(Tablas!$P$1138:$S$1180)=0,"",IF(Tablas!A18&gt;MAX(Tablas!$P$1138:$P$1180),"",VLOOKUP(Tablas!A18,Tablas!$P$1138:$T$1180,2,FALSE)))</f>
        <v/>
      </c>
      <c r="X70" s="4785"/>
      <c r="Y70" s="4785"/>
      <c r="Z70" s="4785"/>
      <c r="AA70" s="4326"/>
      <c r="AB70" s="4786" t="str">
        <f>IF(SUM(Tablas!$P$1138:$P$1180)=0,"",IF(Tablas!A18&gt;MAX(Tablas!$P$1138:$P$1180),"",VLOOKUP(Tablas!A18,Tablas!$P$1138:$T$1180,4,FALSE)))</f>
        <v/>
      </c>
      <c r="AC70" s="4201"/>
      <c r="AD70" s="4201"/>
      <c r="AE70" s="4201"/>
      <c r="AF70" s="4201"/>
      <c r="AG70" s="4201"/>
      <c r="AH70" s="4201"/>
      <c r="AI70" s="4201"/>
      <c r="AJ70" s="4201"/>
      <c r="AK70" s="4787"/>
      <c r="AL70" s="2683" t="str">
        <f t="shared" si="14"/>
        <v/>
      </c>
      <c r="AM70" s="29"/>
      <c r="AN70" s="29"/>
      <c r="AO70" s="861" t="str">
        <f t="shared" si="16"/>
        <v>Conjuros</v>
      </c>
      <c r="AP70" s="4714"/>
      <c r="AQ70" s="4714"/>
      <c r="AR70" s="4715"/>
      <c r="AS70" s="4715"/>
      <c r="AT70" s="4715"/>
      <c r="AU70" s="4715"/>
      <c r="AV70" s="2306"/>
      <c r="AW70" s="1472">
        <f>IF(AR70="",0,AV70*VLOOKUP(AR70,'Tablas Magia'!$D$6:$Z$680,11,FALSE)/2)</f>
        <v>0</v>
      </c>
      <c r="AX70" s="741"/>
      <c r="AY70" s="578"/>
      <c r="AZ70" s="1737"/>
      <c r="BA70" s="1737"/>
      <c r="BB70" s="1737"/>
      <c r="BC70" s="1737"/>
      <c r="BD70" s="1737"/>
      <c r="BE70" s="1737"/>
      <c r="BF70" s="1737"/>
      <c r="BG70" s="1737"/>
      <c r="BH70" s="1737"/>
      <c r="BI70" s="1737"/>
    </row>
    <row r="71" spans="1:61" ht="12" customHeight="1" x14ac:dyDescent="0.2">
      <c r="A71" s="29"/>
      <c r="B71" s="489"/>
      <c r="C71" s="4803"/>
      <c r="D71" s="4804"/>
      <c r="E71" s="4804"/>
      <c r="F71" s="4804"/>
      <c r="G71" s="4804"/>
      <c r="H71" s="4805"/>
      <c r="J71" s="2178">
        <v>280</v>
      </c>
      <c r="K71" s="4788" t="s">
        <v>1738</v>
      </c>
      <c r="L71" s="4788"/>
      <c r="M71" s="4789" t="str">
        <f>IF(Metamagia!$R$54+Metamagia!$U$54+Metamagia!$AA$54+Metamagia!$AA$59+Metamagia!$AA$64+Metamagia!$AD$48+Metamagia!$AG$46&gt;4,"Hasta 5 km. Blanco aprox. Zeón 80","Hasta 5 km. Blanco aproximado")</f>
        <v>Hasta 5 km. Blanco aproximado</v>
      </c>
      <c r="N71" s="4789"/>
      <c r="O71" s="4789"/>
      <c r="P71" s="4789"/>
      <c r="Q71" s="4790"/>
      <c r="S71" s="581"/>
      <c r="T71" s="488"/>
      <c r="U71" s="29"/>
      <c r="V71" s="677"/>
      <c r="W71" s="4784" t="str">
        <f>IF(SUM(Tablas!$P$1138:$S$1180)=0,"",IF(Tablas!A19&gt;MAX(Tablas!$P$1138:$P$1180),"",VLOOKUP(Tablas!A19,Tablas!$P$1138:$T$1180,2,FALSE)))</f>
        <v/>
      </c>
      <c r="X71" s="4785"/>
      <c r="Y71" s="4785"/>
      <c r="Z71" s="4785"/>
      <c r="AA71" s="4326"/>
      <c r="AB71" s="4786" t="str">
        <f>IF(SUM(Tablas!$P$1138:$P$1180)=0,"",IF(Tablas!A19&gt;MAX(Tablas!$P$1138:$P$1180),"",VLOOKUP(Tablas!A19,Tablas!$P$1138:$T$1180,4,FALSE)))</f>
        <v/>
      </c>
      <c r="AC71" s="4201"/>
      <c r="AD71" s="4201"/>
      <c r="AE71" s="4201"/>
      <c r="AF71" s="4201"/>
      <c r="AG71" s="4201"/>
      <c r="AH71" s="4201"/>
      <c r="AI71" s="4201"/>
      <c r="AJ71" s="4201"/>
      <c r="AK71" s="4787"/>
      <c r="AL71" s="2683" t="str">
        <f t="shared" si="14"/>
        <v/>
      </c>
      <c r="AM71" s="29"/>
      <c r="AN71" s="29"/>
      <c r="AO71" s="861" t="str">
        <f t="shared" si="16"/>
        <v>Conjuros</v>
      </c>
      <c r="AP71" s="4717"/>
      <c r="AQ71" s="4717"/>
      <c r="AR71" s="4718"/>
      <c r="AS71" s="4718"/>
      <c r="AT71" s="4718"/>
      <c r="AU71" s="4718"/>
      <c r="AV71" s="2307"/>
      <c r="AW71" s="2310">
        <f>IF(AR71="",0,AV71*VLOOKUP(AR71,'Tablas Magia'!$D$6:$Z$680,11,FALSE)/2)</f>
        <v>0</v>
      </c>
      <c r="AX71" s="741"/>
      <c r="AY71" s="578"/>
      <c r="AZ71" s="1737"/>
      <c r="BA71" s="1737"/>
      <c r="BB71" s="1737"/>
      <c r="BC71" s="1737"/>
      <c r="BD71" s="1737"/>
      <c r="BE71" s="1737"/>
      <c r="BF71" s="1737"/>
      <c r="BG71" s="1737"/>
      <c r="BH71" s="1737"/>
      <c r="BI71" s="1737"/>
    </row>
    <row r="72" spans="1:61" ht="12" customHeight="1" x14ac:dyDescent="0.2">
      <c r="A72" s="29"/>
      <c r="B72" s="489"/>
      <c r="C72" s="4803"/>
      <c r="D72" s="4804"/>
      <c r="E72" s="4804"/>
      <c r="F72" s="4804"/>
      <c r="G72" s="4804"/>
      <c r="H72" s="4805"/>
      <c r="J72" s="2178">
        <v>320</v>
      </c>
      <c r="K72" s="4788" t="s">
        <v>1740</v>
      </c>
      <c r="L72" s="4788"/>
      <c r="M72" s="4789" t="str">
        <f>IF(Metamagia!$R$54+Metamagia!$U$54+Metamagia!$AA$54+Metamagia!$AA$59+Metamagia!$AA$64+Metamagia!$AD$48+Metamagia!$AG$46&gt;5,"Zeón 100","-")</f>
        <v>-</v>
      </c>
      <c r="N72" s="4789"/>
      <c r="O72" s="4789"/>
      <c r="P72" s="4789"/>
      <c r="Q72" s="4790"/>
      <c r="S72" s="581"/>
      <c r="T72" s="488"/>
      <c r="U72" s="29"/>
      <c r="V72" s="677"/>
      <c r="W72" s="4784" t="str">
        <f>IF(SUM(Tablas!$P$1138:$S$1180)=0,"",IF(Tablas!A20&gt;MAX(Tablas!$P$1138:$P$1180),"",VLOOKUP(Tablas!A20,Tablas!$P$1138:$T$1180,2,FALSE)))</f>
        <v/>
      </c>
      <c r="X72" s="4785"/>
      <c r="Y72" s="4785"/>
      <c r="Z72" s="4785"/>
      <c r="AA72" s="4326"/>
      <c r="AB72" s="4786" t="str">
        <f>IF(SUM(Tablas!$P$1138:$P$1180)=0,"",IF(Tablas!A20&gt;MAX(Tablas!$P$1138:$P$1180),"",VLOOKUP(Tablas!A20,Tablas!$P$1138:$T$1180,4,FALSE)))</f>
        <v/>
      </c>
      <c r="AC72" s="4201"/>
      <c r="AD72" s="4201"/>
      <c r="AE72" s="4201"/>
      <c r="AF72" s="4201"/>
      <c r="AG72" s="4201"/>
      <c r="AH72" s="4201"/>
      <c r="AI72" s="4201"/>
      <c r="AJ72" s="4201"/>
      <c r="AK72" s="4787"/>
      <c r="AL72" s="2683" t="str">
        <f t="shared" si="14"/>
        <v/>
      </c>
      <c r="AM72" s="29"/>
      <c r="AN72" s="29"/>
      <c r="AO72" s="861" t="str">
        <f t="shared" si="16"/>
        <v>Conjuros</v>
      </c>
      <c r="AP72" s="4714"/>
      <c r="AQ72" s="4714"/>
      <c r="AR72" s="4715"/>
      <c r="AS72" s="4715"/>
      <c r="AT72" s="4715"/>
      <c r="AU72" s="4715"/>
      <c r="AV72" s="2306"/>
      <c r="AW72" s="1472">
        <f>IF(AR72="",0,AV72*VLOOKUP(AR72,'Tablas Magia'!$D$6:$Z$680,11,FALSE)/2)</f>
        <v>0</v>
      </c>
      <c r="AX72" s="741"/>
      <c r="AY72" s="578"/>
      <c r="AZ72" s="1737"/>
      <c r="BA72" s="1737"/>
      <c r="BB72" s="1737"/>
      <c r="BC72" s="1737"/>
      <c r="BD72" s="1737"/>
      <c r="BE72" s="1737"/>
      <c r="BF72" s="1737"/>
      <c r="BG72" s="1737"/>
      <c r="BH72" s="1737"/>
      <c r="BI72" s="1737"/>
    </row>
    <row r="73" spans="1:61" ht="12" customHeight="1" thickBot="1" x14ac:dyDescent="0.25">
      <c r="A73" s="29"/>
      <c r="B73" s="489"/>
      <c r="C73" s="4806"/>
      <c r="D73" s="4807"/>
      <c r="E73" s="4807"/>
      <c r="F73" s="4807"/>
      <c r="G73" s="4807"/>
      <c r="H73" s="4808"/>
      <c r="J73" s="2179">
        <v>440</v>
      </c>
      <c r="K73" s="4781" t="s">
        <v>1683</v>
      </c>
      <c r="L73" s="4781"/>
      <c r="M73" s="4782" t="str">
        <f>IF(Metamagia!$R$54+Metamagia!$U$54+Metamagia!$AA$54+Metamagia!$AA$59+Metamagia!$AA$64+Metamagia!$AD$48+Metamagia!$AG$46&gt;6,"Zeón 200","-")</f>
        <v>-</v>
      </c>
      <c r="N73" s="4782"/>
      <c r="O73" s="4782"/>
      <c r="P73" s="4782"/>
      <c r="Q73" s="4783"/>
      <c r="S73" s="581"/>
      <c r="T73" s="488"/>
      <c r="U73" s="29"/>
      <c r="V73" s="677"/>
      <c r="W73" s="4791" t="str">
        <f>IF(W72&lt;&gt;"","Más (Ver Metamagia)","")</f>
        <v/>
      </c>
      <c r="X73" s="4792"/>
      <c r="Y73" s="4792"/>
      <c r="Z73" s="4792"/>
      <c r="AA73" s="4793"/>
      <c r="AB73" s="4794" t="str">
        <f>IF(SUM(Tablas!$P$1138:$P$1180)=0,"",IF(Tablas!A21&gt;MAX(Tablas!$P$1138:$P$1180),"",VLOOKUP(Tablas!A21,Tablas!$P$1138:$T$1180,4,FALSE)))</f>
        <v/>
      </c>
      <c r="AC73" s="4795"/>
      <c r="AD73" s="4795"/>
      <c r="AE73" s="4795"/>
      <c r="AF73" s="4795"/>
      <c r="AG73" s="4795"/>
      <c r="AH73" s="4795"/>
      <c r="AI73" s="4795"/>
      <c r="AJ73" s="4795"/>
      <c r="AK73" s="4796"/>
      <c r="AL73" s="2683" t="str">
        <f t="shared" si="14"/>
        <v/>
      </c>
      <c r="AM73" s="29"/>
      <c r="AN73" s="29"/>
      <c r="AO73" s="732"/>
      <c r="AX73" s="741"/>
      <c r="AY73" s="578"/>
      <c r="AZ73" s="1737"/>
      <c r="BA73" s="1737"/>
      <c r="BB73" s="1737"/>
      <c r="BC73" s="1737"/>
      <c r="BD73" s="1737"/>
      <c r="BE73" s="1737"/>
      <c r="BF73" s="1737"/>
      <c r="BG73" s="1737"/>
      <c r="BH73" s="1737"/>
      <c r="BI73" s="1737"/>
    </row>
    <row r="74" spans="1:61" ht="12" customHeight="1" thickBot="1" x14ac:dyDescent="0.25">
      <c r="A74" s="29"/>
      <c r="B74" s="491"/>
      <c r="C74" s="577"/>
      <c r="D74" s="577"/>
      <c r="E74" s="577"/>
      <c r="F74" s="577"/>
      <c r="G74" s="577"/>
      <c r="H74" s="577"/>
      <c r="I74" s="577"/>
      <c r="J74" s="577"/>
      <c r="K74" s="577"/>
      <c r="L74" s="577"/>
      <c r="M74" s="577"/>
      <c r="N74" s="577"/>
      <c r="O74" s="577"/>
      <c r="P74" s="577"/>
      <c r="Q74" s="577"/>
      <c r="R74" s="577"/>
      <c r="S74" s="582"/>
      <c r="T74" s="488"/>
      <c r="U74" s="29"/>
      <c r="V74" s="678"/>
      <c r="W74" s="577"/>
      <c r="X74" s="577"/>
      <c r="Y74" s="577"/>
      <c r="Z74" s="577"/>
      <c r="AA74" s="577"/>
      <c r="AB74" s="577"/>
      <c r="AC74" s="577"/>
      <c r="AD74" s="577"/>
      <c r="AE74" s="577"/>
      <c r="AF74" s="577"/>
      <c r="AG74" s="577"/>
      <c r="AH74" s="577"/>
      <c r="AI74" s="577"/>
      <c r="AJ74" s="577"/>
      <c r="AK74" s="577"/>
      <c r="AL74" s="1342"/>
      <c r="AM74" s="29"/>
      <c r="AN74" s="29"/>
      <c r="AO74" s="733"/>
      <c r="AP74" s="577"/>
      <c r="AQ74" s="577"/>
      <c r="AR74" s="577"/>
      <c r="AS74" s="577"/>
      <c r="AT74" s="577"/>
      <c r="AU74" s="577"/>
      <c r="AV74" s="577"/>
      <c r="AW74" s="577"/>
      <c r="AX74" s="744"/>
      <c r="AY74" s="578"/>
      <c r="AZ74" s="1737"/>
      <c r="BA74" s="1737"/>
      <c r="BB74" s="1737"/>
      <c r="BC74" s="1737"/>
      <c r="BD74" s="1737"/>
      <c r="BE74" s="1737"/>
      <c r="BF74" s="1737"/>
      <c r="BG74" s="1737"/>
      <c r="BH74" s="1737"/>
      <c r="BI74" s="1737"/>
    </row>
    <row r="75" spans="1:61" ht="12" customHeight="1" x14ac:dyDescent="0.2">
      <c r="A75" s="29"/>
      <c r="B75" s="29"/>
      <c r="C75" s="29"/>
      <c r="D75" s="29"/>
      <c r="E75" s="29"/>
      <c r="F75" s="29"/>
      <c r="G75" s="29"/>
      <c r="H75" s="29"/>
      <c r="I75" s="29"/>
      <c r="J75" s="29"/>
      <c r="K75" s="29"/>
      <c r="L75" s="29"/>
      <c r="M75" s="29"/>
      <c r="N75" s="29"/>
      <c r="O75" s="29"/>
      <c r="P75" s="29"/>
      <c r="Q75" s="29"/>
      <c r="R75" s="29"/>
      <c r="S75" s="29"/>
      <c r="T75" s="488"/>
      <c r="U75" s="29"/>
      <c r="V75" s="29"/>
      <c r="W75" s="29"/>
      <c r="X75" s="29"/>
      <c r="Y75" s="29"/>
      <c r="Z75" s="29"/>
      <c r="AA75" s="29"/>
      <c r="AB75" s="29"/>
      <c r="AC75" s="29"/>
      <c r="AD75" s="29"/>
      <c r="AE75" s="29"/>
      <c r="AF75" s="29"/>
      <c r="AG75" s="29"/>
      <c r="AH75" s="29"/>
      <c r="AI75" s="29"/>
      <c r="AJ75" s="29"/>
      <c r="AK75" s="29"/>
      <c r="AL75" s="580"/>
      <c r="AM75" s="29"/>
      <c r="AN75" s="29"/>
      <c r="AO75" s="729"/>
      <c r="AP75" s="29"/>
      <c r="AQ75" s="29"/>
      <c r="AR75" s="29"/>
      <c r="AS75" s="29"/>
      <c r="AT75" s="29"/>
      <c r="AU75" s="29"/>
      <c r="AV75" s="29"/>
      <c r="AW75" s="29"/>
      <c r="AX75" s="578"/>
      <c r="AY75" s="578"/>
      <c r="AZ75" s="3054"/>
      <c r="BA75" s="1737"/>
      <c r="BB75" s="1737"/>
      <c r="BC75" s="1737"/>
      <c r="BD75" s="1737"/>
      <c r="BE75" s="1737"/>
      <c r="BF75" s="1737"/>
      <c r="BG75" s="1737"/>
      <c r="BH75" s="1737"/>
      <c r="BI75" s="1737"/>
    </row>
  </sheetData>
  <sheetProtection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673" priority="64" stopIfTrue="1" operator="greaterThan">
      <formula>$C$12</formula>
    </cfRule>
  </conditionalFormatting>
  <conditionalFormatting sqref="AK10">
    <cfRule type="cellIs" dxfId="672" priority="65" stopIfTrue="1" operator="equal">
      <formula>0</formula>
    </cfRule>
  </conditionalFormatting>
  <conditionalFormatting sqref="K18:L19">
    <cfRule type="cellIs" dxfId="671" priority="52" operator="lessThan">
      <formula>0</formula>
    </cfRule>
  </conditionalFormatting>
  <conditionalFormatting sqref="AP44:AW44">
    <cfRule type="expression" dxfId="670" priority="33">
      <formula>$AP$44&lt;&gt;""</formula>
    </cfRule>
  </conditionalFormatting>
  <conditionalFormatting sqref="AK12:AK50">
    <cfRule type="expression" dxfId="669" priority="1916" stopIfTrue="1">
      <formula>VLOOKUP(AE12,$C$15:$H$25,6,FALSE)&lt;AK12</formula>
    </cfRule>
  </conditionalFormatting>
  <conditionalFormatting sqref="AG12:AI50">
    <cfRule type="expression" dxfId="668" priority="3" stopIfTrue="1">
      <formula>AK12&lt;VLOOKUP($AG12,Tabla_Conjuros_LA,3,0)</formula>
    </cfRule>
  </conditionalFormatting>
  <conditionalFormatting sqref="AE12:AF50">
    <cfRule type="expression" dxfId="667" priority="1">
      <formula>ISNA(VLOOKUP(AE12,$C$15:$D$25,1,0))</formula>
    </cfRule>
  </conditionalFormatting>
  <conditionalFormatting sqref="AG12:AG50">
    <cfRule type="expression" dxfId="666" priority="5802" stopIfTrue="1">
      <formula>$AO12</formula>
    </cfRule>
  </conditionalFormatting>
  <conditionalFormatting sqref="AP55:AW55">
    <cfRule type="expression" dxfId="665" priority="9493">
      <formula>$BB$11</formula>
    </cfRule>
  </conditionalFormatting>
  <conditionalFormatting sqref="AP56:AQ58">
    <cfRule type="expression" dxfId="664" priority="9494">
      <formula>$BB$11</formula>
    </cfRule>
  </conditionalFormatting>
  <conditionalFormatting sqref="AP53:AW54">
    <cfRule type="expression" dxfId="663" priority="9495">
      <formula>$BC$11</formula>
    </cfRule>
  </conditionalFormatting>
  <conditionalFormatting sqref="AP60:AW72">
    <cfRule type="expression" dxfId="662" priority="9496" stopIfTrue="1">
      <formula>NOT($BA$11)</formula>
    </cfRule>
  </conditionalFormatting>
  <conditionalFormatting sqref="AP52:AW52">
    <cfRule type="expression" dxfId="661" priority="9497">
      <formula>$BC$11</formula>
    </cfRule>
  </conditionalFormatting>
  <conditionalFormatting sqref="AP56:AW58">
    <cfRule type="expression" dxfId="660" priority="9498">
      <formula>$BA$11</formula>
    </cfRule>
  </conditionalFormatting>
  <conditionalFormatting sqref="AP55:AU55">
    <cfRule type="expression" dxfId="659" priority="9499">
      <formula>$BA$11</formula>
    </cfRule>
  </conditionalFormatting>
  <conditionalFormatting sqref="AV55:AW55">
    <cfRule type="expression" dxfId="658" priority="9500">
      <formula>$BA$11</formula>
    </cfRule>
  </conditionalFormatting>
  <conditionalFormatting sqref="AP46:AW58">
    <cfRule type="expression" dxfId="657" priority="9501">
      <formula>AND(NOT($BA$11),NOT($BB$11),NOT($BC$11))</formula>
    </cfRule>
  </conditionalFormatting>
  <conditionalFormatting sqref="J61:Q61">
    <cfRule type="expression" dxfId="656"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554"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x14ac:dyDescent="0.25">
      <c r="A1" s="488">
        <v>5</v>
      </c>
      <c r="B1" s="95"/>
      <c r="C1" s="95"/>
      <c r="D1" s="95"/>
      <c r="E1" s="95"/>
      <c r="F1" s="95"/>
      <c r="G1" s="95"/>
      <c r="H1" s="95"/>
      <c r="I1" s="95"/>
      <c r="J1" s="95"/>
      <c r="K1" s="95"/>
      <c r="L1" s="95"/>
      <c r="M1" s="95"/>
      <c r="N1" s="95"/>
      <c r="O1" s="95"/>
      <c r="P1" s="95"/>
      <c r="Q1" s="95"/>
      <c r="R1" s="95"/>
      <c r="S1" s="95"/>
      <c r="T1" s="95"/>
      <c r="U1" s="95"/>
      <c r="V1" s="29"/>
      <c r="W1" s="29"/>
      <c r="X1" s="29"/>
      <c r="Y1" s="29"/>
      <c r="Z1" s="29"/>
      <c r="AA1" s="29"/>
      <c r="AB1" s="1748"/>
      <c r="AC1" s="1748"/>
      <c r="AD1" s="1748"/>
      <c r="AE1" s="1748"/>
      <c r="AF1" s="1748"/>
      <c r="AG1" s="1748"/>
      <c r="AH1" s="1748"/>
      <c r="AI1" s="1748"/>
      <c r="AJ1" s="1748"/>
      <c r="AK1" s="3044" t="s">
        <v>8741</v>
      </c>
    </row>
    <row r="2" spans="1:37" ht="12" customHeight="1" thickBot="1" x14ac:dyDescent="0.25">
      <c r="A2" s="488">
        <v>10</v>
      </c>
      <c r="B2" s="96"/>
      <c r="C2" s="97"/>
      <c r="D2" s="97"/>
      <c r="E2" s="97"/>
      <c r="F2" s="97"/>
      <c r="G2" s="97"/>
      <c r="H2" s="97"/>
      <c r="I2" s="97"/>
      <c r="J2" s="97"/>
      <c r="K2" s="97"/>
      <c r="L2" s="97"/>
      <c r="M2" s="97"/>
      <c r="N2" s="97"/>
      <c r="O2" s="97"/>
      <c r="P2" s="97"/>
      <c r="Q2" s="97"/>
      <c r="R2" s="97"/>
      <c r="S2" s="97"/>
      <c r="T2" s="97"/>
      <c r="U2" s="97"/>
      <c r="V2" s="46"/>
      <c r="W2" s="46"/>
      <c r="X2" s="46"/>
      <c r="Y2" s="46"/>
      <c r="Z2" s="46"/>
      <c r="AA2" s="46"/>
      <c r="AB2" s="1749"/>
      <c r="AC2" s="1749"/>
      <c r="AD2" s="1749"/>
      <c r="AE2" s="1749"/>
      <c r="AF2" s="1749"/>
      <c r="AG2" s="1749"/>
      <c r="AH2" s="1749"/>
      <c r="AI2" s="1750"/>
      <c r="AJ2" s="1748"/>
      <c r="AK2" s="1737"/>
    </row>
    <row r="3" spans="1:37" ht="12" customHeight="1" thickBot="1" x14ac:dyDescent="0.25">
      <c r="A3" s="488">
        <v>15</v>
      </c>
      <c r="B3" s="98"/>
      <c r="C3" s="3298" t="s">
        <v>10165</v>
      </c>
      <c r="D3" s="3298"/>
      <c r="E3" s="3298"/>
      <c r="F3" s="3298"/>
      <c r="G3" s="3298"/>
      <c r="H3" s="3298"/>
      <c r="I3" s="6"/>
      <c r="J3" s="99"/>
      <c r="K3" s="99"/>
      <c r="L3" s="99"/>
      <c r="M3" s="99"/>
      <c r="N3" s="99"/>
      <c r="O3" s="99"/>
      <c r="P3" s="99"/>
      <c r="Q3" s="99"/>
      <c r="R3" s="99"/>
      <c r="S3" s="99"/>
      <c r="T3" s="99"/>
      <c r="U3" s="99"/>
      <c r="V3" s="49"/>
      <c r="W3" s="49"/>
      <c r="X3" s="49"/>
      <c r="Y3" s="49"/>
      <c r="Z3" s="49"/>
      <c r="AA3" s="6"/>
      <c r="AB3" s="1751"/>
      <c r="AC3" s="1751"/>
      <c r="AD3" s="1751"/>
      <c r="AE3" s="1751"/>
      <c r="AF3" s="1751"/>
      <c r="AG3" s="1751"/>
      <c r="AH3" s="1752"/>
      <c r="AI3" s="1753"/>
      <c r="AJ3" s="1748"/>
      <c r="AK3" s="1737"/>
    </row>
    <row r="4" spans="1:37" ht="12" customHeight="1" thickBot="1" x14ac:dyDescent="0.25">
      <c r="A4" s="488">
        <v>20</v>
      </c>
      <c r="B4" s="98"/>
      <c r="C4" s="3298"/>
      <c r="D4" s="3298"/>
      <c r="E4" s="3298"/>
      <c r="F4" s="3298"/>
      <c r="G4" s="3298"/>
      <c r="H4" s="3298"/>
      <c r="I4" s="9"/>
      <c r="J4" s="95"/>
      <c r="K4" s="95"/>
      <c r="L4" s="95"/>
      <c r="M4" s="95"/>
      <c r="N4" s="95"/>
      <c r="O4" s="95"/>
      <c r="P4" s="95"/>
      <c r="Q4" s="95"/>
      <c r="R4" s="95"/>
      <c r="S4" s="95"/>
      <c r="T4" s="95"/>
      <c r="U4" s="95"/>
      <c r="V4" s="29"/>
      <c r="W4" s="29"/>
      <c r="X4" s="29"/>
      <c r="Y4" s="29"/>
      <c r="Z4" s="29"/>
      <c r="AA4" s="4249" t="s">
        <v>1323</v>
      </c>
      <c r="AB4" s="4973"/>
      <c r="AC4" s="4974" t="str">
        <f>IF(OR(General!$F$22="",General!$F$22=0),"",General!$F$22)</f>
        <v/>
      </c>
      <c r="AD4" s="4974"/>
      <c r="AE4" s="4974"/>
      <c r="AF4" s="4974"/>
      <c r="AG4" s="4974"/>
      <c r="AH4" s="1754"/>
      <c r="AI4" s="1753"/>
      <c r="AJ4" s="1748"/>
      <c r="AK4" s="1737"/>
    </row>
    <row r="5" spans="1:37" ht="12" customHeight="1" thickBot="1" x14ac:dyDescent="0.25">
      <c r="A5" s="488">
        <v>25</v>
      </c>
      <c r="B5" s="98"/>
      <c r="C5" s="3298"/>
      <c r="D5" s="3298"/>
      <c r="E5" s="3298"/>
      <c r="F5" s="3298"/>
      <c r="G5" s="3298"/>
      <c r="H5" s="3298"/>
      <c r="I5" s="9"/>
      <c r="J5" s="95"/>
      <c r="K5" s="95"/>
      <c r="L5" s="95"/>
      <c r="M5" s="95"/>
      <c r="N5" s="95"/>
      <c r="O5" s="95"/>
      <c r="P5" s="95"/>
      <c r="Q5" s="95"/>
      <c r="R5" s="95"/>
      <c r="S5" s="95"/>
      <c r="T5" s="95"/>
      <c r="U5" s="95"/>
      <c r="V5" s="29"/>
      <c r="W5" s="29"/>
      <c r="X5" s="29"/>
      <c r="Y5" s="29"/>
      <c r="Z5" s="29"/>
      <c r="AA5" s="4280" t="s">
        <v>1324</v>
      </c>
      <c r="AB5" s="4975"/>
      <c r="AC5" s="3140" t="str">
        <f>IF(LEN(PDs!$E$11)&lt;=General!$AO$5,PDs!$E$11,"… /"&amp;RIGHT(PDs!$E$11,General!$AO$5-FIND("/",RIGHT(PDs!$E$11,General!$AO$5))))</f>
        <v/>
      </c>
      <c r="AD5" s="3140"/>
      <c r="AE5" s="3140"/>
      <c r="AF5" s="2266" t="s">
        <v>1325</v>
      </c>
      <c r="AG5" s="2267" t="str">
        <f>Principal!$O$6</f>
        <v>0</v>
      </c>
      <c r="AH5" s="1755"/>
      <c r="AI5" s="1753"/>
      <c r="AJ5" s="1748"/>
      <c r="AK5" s="1737"/>
    </row>
    <row r="6" spans="1:37" ht="12" customHeight="1" thickBot="1" x14ac:dyDescent="0.25">
      <c r="A6" s="549"/>
      <c r="B6" s="100"/>
      <c r="C6" s="3298"/>
      <c r="D6" s="3298"/>
      <c r="E6" s="3298"/>
      <c r="F6" s="3298"/>
      <c r="G6" s="3298"/>
      <c r="H6" s="3298"/>
      <c r="I6" s="9"/>
      <c r="J6" s="95"/>
      <c r="K6" s="95"/>
      <c r="L6" s="95"/>
      <c r="M6" s="95"/>
      <c r="N6" s="95"/>
      <c r="O6" s="95"/>
      <c r="P6" s="95"/>
      <c r="Q6" s="95"/>
      <c r="R6" s="95"/>
      <c r="S6" s="95"/>
      <c r="T6" s="95"/>
      <c r="U6" s="95"/>
      <c r="V6" s="29"/>
      <c r="W6" s="29"/>
      <c r="X6" s="29"/>
      <c r="Y6" s="29"/>
      <c r="Z6" s="29"/>
      <c r="AA6" s="4309" t="s">
        <v>1743</v>
      </c>
      <c r="AB6" s="4976"/>
      <c r="AC6" s="4976"/>
      <c r="AD6" s="4976"/>
      <c r="AE6" s="4976"/>
      <c r="AF6" s="4976"/>
      <c r="AG6" s="4976"/>
      <c r="AH6" s="1755"/>
      <c r="AI6" s="1753"/>
      <c r="AJ6" s="1748"/>
      <c r="AK6" s="1737"/>
    </row>
    <row r="7" spans="1:37" ht="12" customHeight="1" thickBot="1" x14ac:dyDescent="0.25">
      <c r="A7" s="550"/>
      <c r="B7" s="101"/>
      <c r="C7" s="3298"/>
      <c r="D7" s="3298"/>
      <c r="E7" s="3298"/>
      <c r="F7" s="3298"/>
      <c r="G7" s="3298"/>
      <c r="H7" s="3298"/>
      <c r="I7" s="9"/>
      <c r="J7" s="95"/>
      <c r="K7" s="95"/>
      <c r="L7" s="95"/>
      <c r="M7" s="95"/>
      <c r="N7" s="95"/>
      <c r="O7" s="95"/>
      <c r="P7" s="95"/>
      <c r="Q7" s="95"/>
      <c r="R7" s="95"/>
      <c r="S7" s="95"/>
      <c r="T7" s="95"/>
      <c r="U7" s="95"/>
      <c r="V7" s="29"/>
      <c r="W7" s="29"/>
      <c r="X7" s="29"/>
      <c r="Y7" s="29"/>
      <c r="Z7" s="29"/>
      <c r="AA7" s="4309"/>
      <c r="AB7" s="4976"/>
      <c r="AC7" s="4976"/>
      <c r="AD7" s="4976"/>
      <c r="AE7" s="4976"/>
      <c r="AF7" s="4976"/>
      <c r="AG7" s="4976"/>
      <c r="AH7" s="1755"/>
      <c r="AI7" s="1753"/>
      <c r="AJ7" s="1748"/>
      <c r="AK7" s="1737"/>
    </row>
    <row r="8" spans="1:37" ht="12" customHeight="1" thickBot="1" x14ac:dyDescent="0.25">
      <c r="A8" s="550"/>
      <c r="B8" s="101"/>
      <c r="C8" s="3298"/>
      <c r="D8" s="3298"/>
      <c r="E8" s="3298"/>
      <c r="F8" s="3298"/>
      <c r="G8" s="3298"/>
      <c r="H8" s="3298"/>
      <c r="I8" s="12"/>
      <c r="J8" s="102"/>
      <c r="K8" s="102"/>
      <c r="L8" s="102"/>
      <c r="M8" s="102"/>
      <c r="N8" s="102"/>
      <c r="O8" s="102"/>
      <c r="P8" s="102"/>
      <c r="Q8" s="102"/>
      <c r="R8" s="102"/>
      <c r="S8" s="102"/>
      <c r="T8" s="102"/>
      <c r="U8" s="102"/>
      <c r="V8" s="44"/>
      <c r="W8" s="44"/>
      <c r="X8" s="44"/>
      <c r="Y8" s="44"/>
      <c r="Z8" s="44"/>
      <c r="AA8" s="12"/>
      <c r="AB8" s="1756"/>
      <c r="AC8" s="1756"/>
      <c r="AD8" s="1756"/>
      <c r="AE8" s="1756"/>
      <c r="AF8" s="1756"/>
      <c r="AG8" s="1756"/>
      <c r="AH8" s="1757"/>
      <c r="AI8" s="1753"/>
      <c r="AJ8" s="1748"/>
      <c r="AK8" s="1737"/>
    </row>
    <row r="9" spans="1:37" ht="12" customHeight="1" thickBot="1" x14ac:dyDescent="0.25">
      <c r="A9" s="551"/>
      <c r="B9" s="103"/>
      <c r="C9" s="26"/>
      <c r="D9" s="26"/>
      <c r="E9" s="26"/>
      <c r="AB9" s="1737"/>
      <c r="AC9" s="1737"/>
      <c r="AD9" s="1737"/>
      <c r="AE9" s="1737"/>
      <c r="AF9" s="1737"/>
      <c r="AG9" s="1737"/>
      <c r="AH9" s="1737"/>
      <c r="AI9" s="1753"/>
      <c r="AJ9" s="1748"/>
      <c r="AK9" s="1737"/>
    </row>
    <row r="10" spans="1:37" ht="12" customHeight="1" thickBot="1" x14ac:dyDescent="0.25">
      <c r="A10" s="552"/>
      <c r="B10" s="98"/>
      <c r="C10" s="26"/>
      <c r="D10" s="26"/>
      <c r="E10" s="26"/>
      <c r="F10" s="26"/>
      <c r="G10" s="26"/>
      <c r="H10" s="104"/>
      <c r="I10" s="4965" t="s">
        <v>1744</v>
      </c>
      <c r="J10" s="4965"/>
      <c r="K10" s="47"/>
      <c r="L10" s="26"/>
      <c r="M10" s="26"/>
      <c r="N10" s="26"/>
      <c r="X10" s="26"/>
      <c r="Y10" s="26"/>
      <c r="Z10" s="104"/>
      <c r="AA10" s="4965" t="s">
        <v>1745</v>
      </c>
      <c r="AB10" s="4966"/>
      <c r="AC10" s="918"/>
      <c r="AD10" s="1737"/>
      <c r="AE10" s="1737"/>
      <c r="AF10" s="579"/>
      <c r="AG10" s="1737"/>
      <c r="AH10" s="1737"/>
      <c r="AI10" s="1753"/>
      <c r="AJ10" s="1748"/>
      <c r="AK10" s="1737"/>
    </row>
    <row r="11" spans="1:37" ht="12" customHeight="1" thickBot="1" x14ac:dyDescent="0.25">
      <c r="A11" s="552"/>
      <c r="B11" s="98"/>
      <c r="C11" s="26"/>
      <c r="D11" s="26"/>
      <c r="E11" s="26"/>
      <c r="F11" s="4965" t="s">
        <v>1746</v>
      </c>
      <c r="G11" s="4965"/>
      <c r="H11" s="105"/>
      <c r="I11" s="4965"/>
      <c r="J11" s="4965"/>
      <c r="K11" s="106"/>
      <c r="L11" s="4965" t="s">
        <v>1747</v>
      </c>
      <c r="M11" s="4965"/>
      <c r="N11" s="104"/>
      <c r="X11" s="4965" t="s">
        <v>1748</v>
      </c>
      <c r="Y11" s="4965"/>
      <c r="Z11" s="105"/>
      <c r="AA11" s="4965"/>
      <c r="AB11" s="4966"/>
      <c r="AC11" s="1797"/>
      <c r="AD11" s="4966" t="s">
        <v>1748</v>
      </c>
      <c r="AE11" s="4966"/>
      <c r="AF11" s="918"/>
      <c r="AG11" s="1737"/>
      <c r="AH11" s="1737"/>
      <c r="AI11" s="1753"/>
      <c r="AJ11" s="1748"/>
      <c r="AK11" s="1737"/>
    </row>
    <row r="12" spans="1:37" ht="12" customHeight="1" thickBot="1" x14ac:dyDescent="0.25">
      <c r="A12" s="488"/>
      <c r="B12" s="98"/>
      <c r="C12" s="26"/>
      <c r="D12" s="26"/>
      <c r="E12" s="104"/>
      <c r="F12" s="4965"/>
      <c r="G12" s="4965"/>
      <c r="H12" s="108"/>
      <c r="I12" s="4965"/>
      <c r="J12" s="4965"/>
      <c r="K12" s="108"/>
      <c r="L12" s="4965"/>
      <c r="M12" s="4965"/>
      <c r="N12" s="104"/>
      <c r="X12" s="4965"/>
      <c r="Y12" s="4965"/>
      <c r="Z12" s="108"/>
      <c r="AA12" s="4965"/>
      <c r="AB12" s="4966"/>
      <c r="AC12" s="918"/>
      <c r="AD12" s="4966"/>
      <c r="AE12" s="4966"/>
      <c r="AF12" s="918"/>
      <c r="AG12" s="1737"/>
      <c r="AH12" s="1737"/>
      <c r="AI12" s="1753"/>
      <c r="AJ12" s="1748"/>
      <c r="AK12" s="1737"/>
    </row>
    <row r="13" spans="1:37" ht="12" customHeight="1" thickBot="1" x14ac:dyDescent="0.25">
      <c r="A13" s="488"/>
      <c r="B13" s="98"/>
      <c r="C13" s="26"/>
      <c r="D13" s="26"/>
      <c r="E13" s="104"/>
      <c r="F13" s="4965"/>
      <c r="G13" s="4965"/>
      <c r="H13" s="108"/>
      <c r="I13" s="109" t="str">
        <f>IF(PDs!$R$17&lt;Metamagia!K10,"Nv "&amp;Metamagia!K10,"")</f>
        <v/>
      </c>
      <c r="J13" s="1719"/>
      <c r="K13" s="108">
        <v>10</v>
      </c>
      <c r="L13" s="4965"/>
      <c r="M13" s="4965"/>
      <c r="N13" s="108"/>
      <c r="X13" s="4965"/>
      <c r="Y13" s="4965"/>
      <c r="Z13" s="108"/>
      <c r="AA13" s="109" t="str">
        <f>IF(PDs!$R$17&lt;Metamagia!AC10,"Nv "&amp;Metamagia!AC10,"")</f>
        <v/>
      </c>
      <c r="AB13" s="1759"/>
      <c r="AC13" s="918">
        <v>5</v>
      </c>
      <c r="AD13" s="4966"/>
      <c r="AE13" s="4966"/>
      <c r="AF13" s="918"/>
      <c r="AG13" s="1737"/>
      <c r="AH13" s="1737"/>
      <c r="AI13" s="1753"/>
      <c r="AJ13" s="1748"/>
      <c r="AK13" s="1737"/>
    </row>
    <row r="14" spans="1:37" ht="12" customHeight="1" thickBot="1" x14ac:dyDescent="0.25">
      <c r="A14" s="488"/>
      <c r="B14" s="98"/>
      <c r="F14" s="109" t="str">
        <f>IF(PDs!$R$17&lt;Metamagia!H11,"Nv "&amp;Metamagia!H11,"")</f>
        <v/>
      </c>
      <c r="G14" s="1719"/>
      <c r="H14" s="108">
        <v>5</v>
      </c>
      <c r="I14" s="90">
        <f>IF(J13&gt;0,1,0)</f>
        <v>0</v>
      </c>
      <c r="J14" s="110"/>
      <c r="K14" s="108"/>
      <c r="L14" s="109" t="str">
        <f>IF(PDs!$R$17&lt;Metamagia!N11,"Nv "&amp;Metamagia!N11,"")</f>
        <v/>
      </c>
      <c r="M14" s="1719"/>
      <c r="N14" s="108">
        <v>5</v>
      </c>
      <c r="X14" s="109" t="str">
        <f>IF(PDs!$R$17&lt;Metamagia!Z11,"Nv "&amp;Metamagia!Z11,"")</f>
        <v/>
      </c>
      <c r="Y14" s="1719"/>
      <c r="Z14" s="108">
        <v>5</v>
      </c>
      <c r="AA14" s="90">
        <f>IF(AB13&gt;0,1,0)</f>
        <v>0</v>
      </c>
      <c r="AB14" s="1760"/>
      <c r="AC14" s="918"/>
      <c r="AD14" s="1805" t="str">
        <f>IF(PDs!$R$17&lt;Metamagia!AF11,"Nv "&amp;Metamagia!AF11,"")</f>
        <v/>
      </c>
      <c r="AE14" s="1759"/>
      <c r="AF14" s="918">
        <v>5</v>
      </c>
      <c r="AG14" s="1737"/>
      <c r="AH14" s="1737"/>
      <c r="AI14" s="1753"/>
      <c r="AJ14" s="1748"/>
      <c r="AK14" s="1737"/>
    </row>
    <row r="15" spans="1:37" ht="12" customHeight="1" thickBot="1" x14ac:dyDescent="0.25">
      <c r="A15" s="488"/>
      <c r="B15" s="98"/>
      <c r="F15" s="90">
        <f>IF(G14&gt;0,1,0)</f>
        <v>0</v>
      </c>
      <c r="G15" s="96"/>
      <c r="H15" s="108"/>
      <c r="I15" s="4965" t="s">
        <v>1749</v>
      </c>
      <c r="J15" s="4965"/>
      <c r="K15" s="108"/>
      <c r="L15" s="111">
        <f>IF(M14&gt;0,1,0)</f>
        <v>0</v>
      </c>
      <c r="M15" s="26"/>
      <c r="N15" s="108"/>
      <c r="O15" s="26"/>
      <c r="P15" s="26"/>
      <c r="Q15" s="104"/>
      <c r="R15" s="4965" t="s">
        <v>1747</v>
      </c>
      <c r="S15" s="4965"/>
      <c r="T15" s="26"/>
      <c r="W15" s="47"/>
      <c r="X15" s="90">
        <f>IF(Y14&gt;0,1,0)</f>
        <v>0</v>
      </c>
      <c r="Y15" s="96"/>
      <c r="Z15" s="108"/>
      <c r="AA15" s="4965" t="s">
        <v>1750</v>
      </c>
      <c r="AB15" s="4966"/>
      <c r="AC15" s="918"/>
      <c r="AD15" s="1803">
        <f>IF(AE14&gt;0,1,0)</f>
        <v>0</v>
      </c>
      <c r="AE15" s="1737"/>
      <c r="AF15" s="918"/>
      <c r="AG15" s="1737"/>
      <c r="AH15" s="1737"/>
      <c r="AI15" s="1753"/>
      <c r="AJ15" s="1748"/>
      <c r="AK15" s="1737"/>
    </row>
    <row r="16" spans="1:37" ht="12" customHeight="1" thickBot="1" x14ac:dyDescent="0.25">
      <c r="A16" s="488"/>
      <c r="B16" s="98"/>
      <c r="F16" s="26"/>
      <c r="G16" s="112"/>
      <c r="H16" s="106"/>
      <c r="I16" s="4965"/>
      <c r="J16" s="4965"/>
      <c r="K16" s="113"/>
      <c r="L16" s="114"/>
      <c r="M16" s="26"/>
      <c r="N16" s="108"/>
      <c r="O16" s="26"/>
      <c r="P16" s="115"/>
      <c r="Q16" s="116"/>
      <c r="R16" s="4965"/>
      <c r="S16" s="4965"/>
      <c r="T16" s="104"/>
      <c r="W16" s="47"/>
      <c r="X16" s="26"/>
      <c r="Y16" s="112"/>
      <c r="Z16" s="106"/>
      <c r="AA16" s="4965"/>
      <c r="AB16" s="4966"/>
      <c r="AC16" s="924"/>
      <c r="AD16" s="1761"/>
      <c r="AE16" s="1737"/>
      <c r="AF16" s="918"/>
      <c r="AG16" s="1737"/>
      <c r="AH16" s="1737"/>
      <c r="AI16" s="1753"/>
      <c r="AJ16" s="1748"/>
      <c r="AK16" s="1737"/>
    </row>
    <row r="17" spans="1:37" ht="12" customHeight="1" x14ac:dyDescent="0.2">
      <c r="A17" s="488"/>
      <c r="B17" s="98"/>
      <c r="F17" s="26"/>
      <c r="G17" s="98"/>
      <c r="H17" s="108"/>
      <c r="I17" s="4965"/>
      <c r="J17" s="4965"/>
      <c r="K17" s="108"/>
      <c r="L17" s="117"/>
      <c r="M17" s="26"/>
      <c r="N17" s="108"/>
      <c r="O17" s="117"/>
      <c r="P17" s="26"/>
      <c r="Q17" s="104"/>
      <c r="R17" s="4965"/>
      <c r="S17" s="4965"/>
      <c r="T17" s="108"/>
      <c r="W17" s="47"/>
      <c r="X17" s="26"/>
      <c r="Y17" s="98"/>
      <c r="Z17" s="108"/>
      <c r="AA17" s="4965"/>
      <c r="AB17" s="4966"/>
      <c r="AC17" s="918"/>
      <c r="AD17" s="1753"/>
      <c r="AE17" s="1737"/>
      <c r="AF17" s="918"/>
      <c r="AG17" s="1737"/>
      <c r="AH17" s="1737"/>
      <c r="AI17" s="1753"/>
      <c r="AJ17" s="1748"/>
      <c r="AK17" s="1737"/>
    </row>
    <row r="18" spans="1:37" ht="12" customHeight="1" thickBot="1" x14ac:dyDescent="0.25">
      <c r="A18" s="488"/>
      <c r="B18" s="98"/>
      <c r="F18" s="26"/>
      <c r="G18" s="98"/>
      <c r="H18" s="108"/>
      <c r="I18" s="109" t="str">
        <f>IF(PDs!$R$17&lt;Metamagia!K15,"Nv "&amp;Metamagia!K15,"")</f>
        <v/>
      </c>
      <c r="J18" s="1719"/>
      <c r="K18" s="108">
        <v>10</v>
      </c>
      <c r="L18" s="117"/>
      <c r="M18" s="26"/>
      <c r="N18" s="108"/>
      <c r="O18" s="117"/>
      <c r="P18" s="26"/>
      <c r="Q18" s="104"/>
      <c r="R18" s="109" t="str">
        <f>IF(PDs!$R$17&lt;Metamagia!T15,"Nv "&amp;Metamagia!T15,"")</f>
        <v/>
      </c>
      <c r="S18" s="1719"/>
      <c r="T18" s="108">
        <v>5</v>
      </c>
      <c r="W18" s="47"/>
      <c r="X18" s="26"/>
      <c r="Y18" s="98"/>
      <c r="Z18" s="108"/>
      <c r="AA18" s="109" t="str">
        <f>IF(PDs!$R$17&lt;Metamagia!AC15,"Nv "&amp;Metamagia!AC15,"")</f>
        <v/>
      </c>
      <c r="AB18" s="1759"/>
      <c r="AC18" s="918">
        <v>5</v>
      </c>
      <c r="AD18" s="1753"/>
      <c r="AE18" s="1737"/>
      <c r="AF18" s="918"/>
      <c r="AG18" s="1737"/>
      <c r="AH18" s="1737"/>
      <c r="AI18" s="1753"/>
      <c r="AJ18" s="1748"/>
      <c r="AK18" s="1737"/>
    </row>
    <row r="19" spans="1:37" ht="12" customHeight="1" thickBot="1" x14ac:dyDescent="0.25">
      <c r="A19" s="488"/>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37"/>
      <c r="AC19" s="918"/>
      <c r="AD19" s="1761"/>
      <c r="AE19" s="1737"/>
      <c r="AF19" s="918"/>
      <c r="AG19" s="1737"/>
      <c r="AH19" s="1737"/>
      <c r="AI19" s="1753"/>
      <c r="AJ19" s="1748"/>
      <c r="AK19" s="1737"/>
    </row>
    <row r="20" spans="1:37" ht="12" customHeight="1" thickBot="1" x14ac:dyDescent="0.25">
      <c r="A20" s="488"/>
      <c r="B20" s="98"/>
      <c r="C20" s="4965" t="s">
        <v>1747</v>
      </c>
      <c r="D20" s="4965"/>
      <c r="E20" s="108"/>
      <c r="F20" s="4965" t="s">
        <v>1751</v>
      </c>
      <c r="G20" s="4965"/>
      <c r="H20" s="108">
        <v>3</v>
      </c>
      <c r="I20" s="4965" t="s">
        <v>1752</v>
      </c>
      <c r="J20" s="4965"/>
      <c r="K20" s="108">
        <v>4</v>
      </c>
      <c r="L20" s="4965" t="s">
        <v>1753</v>
      </c>
      <c r="M20" s="4965"/>
      <c r="N20" s="108">
        <v>2</v>
      </c>
      <c r="O20" s="4965" t="s">
        <v>1744</v>
      </c>
      <c r="P20" s="4965"/>
      <c r="Q20" s="108">
        <v>4</v>
      </c>
      <c r="R20" s="4965" t="s">
        <v>1752</v>
      </c>
      <c r="S20" s="4965"/>
      <c r="T20" s="108">
        <v>5</v>
      </c>
      <c r="U20" s="4965" t="s">
        <v>1750</v>
      </c>
      <c r="V20" s="4965"/>
      <c r="W20" s="47"/>
      <c r="X20" s="4965" t="s">
        <v>1754</v>
      </c>
      <c r="Y20" s="4965"/>
      <c r="Z20" s="108">
        <v>3</v>
      </c>
      <c r="AA20" s="4965" t="s">
        <v>1755</v>
      </c>
      <c r="AB20" s="4966"/>
      <c r="AC20" s="918">
        <v>5</v>
      </c>
      <c r="AD20" s="4966" t="s">
        <v>1756</v>
      </c>
      <c r="AE20" s="4966"/>
      <c r="AF20" s="918">
        <v>2</v>
      </c>
      <c r="AG20" s="4966" t="s">
        <v>1754</v>
      </c>
      <c r="AH20" s="4966"/>
      <c r="AI20" s="1800">
        <v>3</v>
      </c>
      <c r="AJ20" s="1748"/>
      <c r="AK20" s="1737"/>
    </row>
    <row r="21" spans="1:37" ht="12" customHeight="1" thickBot="1" x14ac:dyDescent="0.25">
      <c r="A21" s="488"/>
      <c r="B21" s="98"/>
      <c r="C21" s="4965"/>
      <c r="D21" s="4965"/>
      <c r="E21" s="105"/>
      <c r="F21" s="4965"/>
      <c r="G21" s="4965"/>
      <c r="H21" s="105"/>
      <c r="I21" s="4965"/>
      <c r="J21" s="4965"/>
      <c r="K21" s="105"/>
      <c r="L21" s="4965"/>
      <c r="M21" s="4965"/>
      <c r="N21" s="105"/>
      <c r="O21" s="4965"/>
      <c r="P21" s="4965"/>
      <c r="Q21" s="108"/>
      <c r="R21" s="4965"/>
      <c r="S21" s="4965"/>
      <c r="T21" s="108"/>
      <c r="U21" s="4965"/>
      <c r="V21" s="4965"/>
      <c r="W21" s="107"/>
      <c r="X21" s="4965"/>
      <c r="Y21" s="4965"/>
      <c r="Z21" s="105"/>
      <c r="AA21" s="4965"/>
      <c r="AB21" s="4966"/>
      <c r="AC21" s="1797"/>
      <c r="AD21" s="4966"/>
      <c r="AE21" s="4966"/>
      <c r="AF21" s="1797"/>
      <c r="AG21" s="4966"/>
      <c r="AH21" s="4966"/>
      <c r="AI21" s="1800"/>
      <c r="AJ21" s="1748"/>
      <c r="AK21" s="1737"/>
    </row>
    <row r="22" spans="1:37" ht="12" customHeight="1" x14ac:dyDescent="0.2">
      <c r="A22" s="488"/>
      <c r="B22" s="98"/>
      <c r="C22" s="4965"/>
      <c r="D22" s="4965"/>
      <c r="E22" s="108"/>
      <c r="F22" s="4965"/>
      <c r="G22" s="4965"/>
      <c r="H22" s="108"/>
      <c r="I22" s="4965"/>
      <c r="J22" s="4965"/>
      <c r="K22" s="108"/>
      <c r="L22" s="4965"/>
      <c r="M22" s="4965"/>
      <c r="N22" s="108"/>
      <c r="O22" s="4965"/>
      <c r="P22" s="4965"/>
      <c r="Q22" s="108"/>
      <c r="R22" s="4965"/>
      <c r="S22" s="4965"/>
      <c r="T22" s="108"/>
      <c r="U22" s="4965"/>
      <c r="V22" s="4965"/>
      <c r="W22" s="47"/>
      <c r="X22" s="4965"/>
      <c r="Y22" s="4965"/>
      <c r="Z22" s="108"/>
      <c r="AA22" s="4965"/>
      <c r="AB22" s="4966"/>
      <c r="AC22" s="918"/>
      <c r="AD22" s="4966"/>
      <c r="AE22" s="4966"/>
      <c r="AF22" s="918"/>
      <c r="AG22" s="4966"/>
      <c r="AH22" s="4966"/>
      <c r="AI22" s="1800"/>
      <c r="AJ22" s="1748"/>
      <c r="AK22" s="1737"/>
    </row>
    <row r="23" spans="1:37" ht="12" customHeight="1" thickBot="1" x14ac:dyDescent="0.25">
      <c r="A23" s="488"/>
      <c r="B23" s="98"/>
      <c r="C23" s="109" t="str">
        <f>IF(PDs!$R$17&lt;Metamagia!E20,"Nv "&amp;Metamagia!E20,"")</f>
        <v/>
      </c>
      <c r="D23" s="1719"/>
      <c r="E23" s="108">
        <v>5</v>
      </c>
      <c r="F23" s="109" t="str">
        <f>IF(PDs!$R$17&lt;Metamagia!H20,"Nv "&amp;Metamagia!H20,"")</f>
        <v>Nv 3</v>
      </c>
      <c r="G23" s="1719"/>
      <c r="H23" s="108">
        <v>10</v>
      </c>
      <c r="I23" s="109" t="str">
        <f>IF(PDs!$R$17&lt;Metamagia!K20,"Nv "&amp;Metamagia!K20,"")</f>
        <v>Nv 4</v>
      </c>
      <c r="J23" s="1719"/>
      <c r="K23" s="108">
        <v>10</v>
      </c>
      <c r="L23" s="109" t="str">
        <f>IF(PDs!$R$17&lt;Metamagia!N20,"Nv "&amp;Metamagia!N20,"")</f>
        <v>Nv 2</v>
      </c>
      <c r="M23" s="1719"/>
      <c r="N23" s="108">
        <v>5</v>
      </c>
      <c r="O23" s="109" t="str">
        <f>IF(PDs!$R$17&lt;Metamagia!Q20,"Nv "&amp;Metamagia!Q20,"")</f>
        <v>Nv 4</v>
      </c>
      <c r="P23" s="1719"/>
      <c r="Q23" s="108">
        <v>10</v>
      </c>
      <c r="R23" s="109" t="str">
        <f>IF(PDs!$R$17&lt;Metamagia!T20,"Nv "&amp;Metamagia!T20,"")</f>
        <v>Nv 5</v>
      </c>
      <c r="S23" s="1719"/>
      <c r="T23" s="108">
        <v>10</v>
      </c>
      <c r="U23" s="109" t="str">
        <f>IF(PDs!$R$17&lt;Metamagia!W20,"Nv "&amp;Metamagia!W20,"")</f>
        <v/>
      </c>
      <c r="V23" s="1719"/>
      <c r="W23" s="108">
        <v>5</v>
      </c>
      <c r="X23" s="109" t="str">
        <f>IF(PDs!$R$17&lt;Metamagia!Z20,"Nv "&amp;Metamagia!Z20,"")</f>
        <v>Nv 3</v>
      </c>
      <c r="Y23" s="1719"/>
      <c r="Z23" s="108">
        <v>5</v>
      </c>
      <c r="AA23" s="109" t="str">
        <f>IF(PDs!$R$17&lt;Metamagia!AC20,"Nv "&amp;Metamagia!AC20,"")</f>
        <v>Nv 5</v>
      </c>
      <c r="AB23" s="1759"/>
      <c r="AC23" s="918">
        <v>10</v>
      </c>
      <c r="AD23" s="1805" t="str">
        <f>IF(PDs!$R$17&lt;Metamagia!AF20,"Nv "&amp;Metamagia!AF20,"")</f>
        <v>Nv 2</v>
      </c>
      <c r="AE23" s="1759"/>
      <c r="AF23" s="918">
        <v>5</v>
      </c>
      <c r="AG23" s="1805" t="str">
        <f>IF(PDs!$R$17&lt;Metamagia!AI20,"Nv "&amp;Metamagia!AI20,"")</f>
        <v>Nv 3</v>
      </c>
      <c r="AH23" s="1759"/>
      <c r="AI23" s="1800">
        <v>5</v>
      </c>
      <c r="AJ23" s="1748"/>
      <c r="AK23" s="1737"/>
    </row>
    <row r="24" spans="1:37" ht="12" customHeight="1" thickBot="1" x14ac:dyDescent="0.25">
      <c r="A24" s="488"/>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37"/>
      <c r="AC24" s="918"/>
      <c r="AD24" s="1803">
        <f>IF(AE23&gt;0,1,0)</f>
        <v>0</v>
      </c>
      <c r="AE24" s="1737"/>
      <c r="AF24" s="918"/>
      <c r="AG24" s="679">
        <f>IF(AH23&gt;0,1,0)</f>
        <v>0</v>
      </c>
      <c r="AH24" s="1762"/>
      <c r="AI24" s="1800"/>
      <c r="AJ24" s="1748"/>
      <c r="AK24" s="1737"/>
    </row>
    <row r="25" spans="1:37" ht="12" customHeight="1" thickBot="1" x14ac:dyDescent="0.25">
      <c r="A25" s="488"/>
      <c r="B25" s="98"/>
      <c r="D25" s="35"/>
      <c r="E25" s="43"/>
      <c r="F25" s="114"/>
      <c r="G25" s="26"/>
      <c r="H25" s="108"/>
      <c r="I25" s="4965" t="s">
        <v>1753</v>
      </c>
      <c r="J25" s="4965"/>
      <c r="K25" s="108">
        <v>6</v>
      </c>
      <c r="L25" s="114"/>
      <c r="M25" s="26"/>
      <c r="N25" s="108"/>
      <c r="O25" s="26"/>
      <c r="P25" s="26"/>
      <c r="Q25" s="108"/>
      <c r="R25" s="4965" t="s">
        <v>1757</v>
      </c>
      <c r="S25" s="4965"/>
      <c r="T25" s="108">
        <v>2</v>
      </c>
      <c r="U25" s="36"/>
      <c r="W25" s="47"/>
      <c r="X25" s="114"/>
      <c r="Y25" s="26"/>
      <c r="Z25" s="108"/>
      <c r="AA25" s="4965" t="s">
        <v>1758</v>
      </c>
      <c r="AB25" s="4966"/>
      <c r="AC25" s="918">
        <v>8</v>
      </c>
      <c r="AD25" s="1761"/>
      <c r="AE25" s="1737"/>
      <c r="AF25" s="918"/>
      <c r="AG25" s="1737"/>
      <c r="AH25" s="1763"/>
      <c r="AI25" s="1800"/>
      <c r="AJ25" s="1748"/>
      <c r="AK25" s="1737"/>
    </row>
    <row r="26" spans="1:37" ht="12" customHeight="1" thickBot="1" x14ac:dyDescent="0.25">
      <c r="A26" s="488"/>
      <c r="B26" s="98"/>
      <c r="D26" s="35"/>
      <c r="E26" s="43"/>
      <c r="F26" s="4965" t="s">
        <v>1749</v>
      </c>
      <c r="G26" s="4965"/>
      <c r="H26" s="108">
        <v>6</v>
      </c>
      <c r="I26" s="4965"/>
      <c r="J26" s="4965"/>
      <c r="K26" s="108"/>
      <c r="L26" s="4965" t="s">
        <v>1751</v>
      </c>
      <c r="M26" s="4965"/>
      <c r="N26" s="108">
        <v>6</v>
      </c>
      <c r="O26" s="26"/>
      <c r="P26" s="26"/>
      <c r="Q26" s="108"/>
      <c r="R26" s="4965"/>
      <c r="S26" s="4965"/>
      <c r="T26" s="113"/>
      <c r="U26" s="69"/>
      <c r="W26" s="47"/>
      <c r="X26" s="4965" t="s">
        <v>1759</v>
      </c>
      <c r="Y26" s="4965"/>
      <c r="Z26" s="108">
        <v>7</v>
      </c>
      <c r="AA26" s="4965"/>
      <c r="AB26" s="4966"/>
      <c r="AC26" s="918"/>
      <c r="AD26" s="4966" t="s">
        <v>1760</v>
      </c>
      <c r="AE26" s="4966"/>
      <c r="AF26" s="918">
        <v>8</v>
      </c>
      <c r="AG26" s="1737"/>
      <c r="AH26" s="1763"/>
      <c r="AI26" s="1740"/>
      <c r="AJ26" s="1748"/>
      <c r="AK26" s="1737"/>
    </row>
    <row r="27" spans="1:37" ht="12" customHeight="1" thickBot="1" x14ac:dyDescent="0.25">
      <c r="A27" s="488"/>
      <c r="B27" s="98"/>
      <c r="D27" s="67"/>
      <c r="E27" s="43"/>
      <c r="F27" s="4965"/>
      <c r="G27" s="4965"/>
      <c r="H27" s="108"/>
      <c r="I27" s="4965"/>
      <c r="J27" s="4965"/>
      <c r="K27" s="108"/>
      <c r="L27" s="4965"/>
      <c r="M27" s="4965"/>
      <c r="N27" s="108"/>
      <c r="O27" s="26"/>
      <c r="P27" s="26"/>
      <c r="Q27" s="104"/>
      <c r="R27" s="4965"/>
      <c r="S27" s="4965"/>
      <c r="T27" s="108"/>
      <c r="W27" s="47"/>
      <c r="X27" s="4965"/>
      <c r="Y27" s="4965"/>
      <c r="Z27" s="108"/>
      <c r="AA27" s="4965"/>
      <c r="AB27" s="4966"/>
      <c r="AC27" s="918"/>
      <c r="AD27" s="4966"/>
      <c r="AE27" s="4966"/>
      <c r="AF27" s="918"/>
      <c r="AG27" s="1737"/>
      <c r="AH27" s="1764"/>
      <c r="AI27" s="1740"/>
      <c r="AJ27" s="1748"/>
      <c r="AK27" s="1737"/>
    </row>
    <row r="28" spans="1:37" ht="12" customHeight="1" thickBot="1" x14ac:dyDescent="0.25">
      <c r="A28" s="488"/>
      <c r="B28" s="98"/>
      <c r="C28" s="4965" t="s">
        <v>1746</v>
      </c>
      <c r="D28" s="4965"/>
      <c r="E28" s="108">
        <v>4</v>
      </c>
      <c r="F28" s="4965"/>
      <c r="G28" s="4965"/>
      <c r="H28" s="108"/>
      <c r="I28" s="109" t="str">
        <f>IF(PDs!$R$17&lt;Metamagia!K25,"Nv "&amp;Metamagia!K25,"")</f>
        <v>Nv 6</v>
      </c>
      <c r="J28" s="1719"/>
      <c r="K28" s="108">
        <v>10</v>
      </c>
      <c r="L28" s="4965"/>
      <c r="M28" s="4965"/>
      <c r="N28" s="108"/>
      <c r="O28" s="26"/>
      <c r="P28" s="26"/>
      <c r="Q28" s="104"/>
      <c r="R28" s="109" t="str">
        <f>IF(PDs!$R$17&lt;Metamagia!T25,"Nv "&amp;Metamagia!T25,"")</f>
        <v>Nv 2</v>
      </c>
      <c r="S28" s="1719"/>
      <c r="T28" s="108">
        <v>5</v>
      </c>
      <c r="W28" s="47"/>
      <c r="X28" s="4965"/>
      <c r="Y28" s="4965"/>
      <c r="Z28" s="108"/>
      <c r="AA28" s="109" t="str">
        <f>IF(PDs!$R$17&lt;Metamagia!AC25,"Nv "&amp;Metamagia!AC25,"")</f>
        <v>Nv 8</v>
      </c>
      <c r="AB28" s="1759"/>
      <c r="AC28" s="918">
        <v>5</v>
      </c>
      <c r="AD28" s="4966"/>
      <c r="AE28" s="4966"/>
      <c r="AF28" s="918"/>
      <c r="AG28" s="4966" t="s">
        <v>1756</v>
      </c>
      <c r="AH28" s="4966"/>
      <c r="AI28" s="1800">
        <v>4</v>
      </c>
      <c r="AJ28" s="1748"/>
      <c r="AK28" s="1737"/>
    </row>
    <row r="29" spans="1:37" ht="12" customHeight="1" thickBot="1" x14ac:dyDescent="0.25">
      <c r="A29" s="488"/>
      <c r="B29" s="98"/>
      <c r="C29" s="4965"/>
      <c r="D29" s="4965"/>
      <c r="E29" s="108"/>
      <c r="F29" s="109" t="str">
        <f>IF(PDs!$R$17&lt;Metamagia!H26,"Nv "&amp;Metamagia!H26,"")</f>
        <v>Nv 6</v>
      </c>
      <c r="G29" s="1719"/>
      <c r="H29" s="108">
        <v>10</v>
      </c>
      <c r="I29" s="90">
        <f>IF(J28&gt;0,1,0)</f>
        <v>0</v>
      </c>
      <c r="J29" s="26"/>
      <c r="K29" s="108"/>
      <c r="L29" s="109" t="str">
        <f>IF(PDs!$R$17&lt;Metamagia!N26,"Nv "&amp;Metamagia!N26,"")</f>
        <v>Nv 6</v>
      </c>
      <c r="M29" s="1719"/>
      <c r="N29" s="108">
        <v>10</v>
      </c>
      <c r="O29" s="26"/>
      <c r="R29" s="90">
        <f>IF(S28&gt;0,1,0)</f>
        <v>0</v>
      </c>
      <c r="T29" s="104"/>
      <c r="W29" s="47"/>
      <c r="X29" s="109" t="str">
        <f>IF(PDs!$R$17&lt;Metamagia!Z26,"Nv "&amp;Metamagia!Z26,"")</f>
        <v>Nv 7</v>
      </c>
      <c r="Y29" s="1719"/>
      <c r="Z29" s="108">
        <v>20</v>
      </c>
      <c r="AA29" s="90">
        <f>IF(AB28&gt;0,1,0)</f>
        <v>0</v>
      </c>
      <c r="AB29" s="1737"/>
      <c r="AC29" s="918"/>
      <c r="AD29" s="1805" t="str">
        <f>IF(PDs!$R$17&lt;Metamagia!AF26,"Nv "&amp;Metamagia!AF26,"")</f>
        <v>Nv 8</v>
      </c>
      <c r="AE29" s="1759"/>
      <c r="AF29" s="918">
        <v>25</v>
      </c>
      <c r="AG29" s="4966"/>
      <c r="AH29" s="4966"/>
      <c r="AI29" s="1800"/>
      <c r="AJ29" s="1748"/>
      <c r="AK29" s="1737"/>
    </row>
    <row r="30" spans="1:37" ht="12" customHeight="1" thickBot="1" x14ac:dyDescent="0.25">
      <c r="A30" s="488"/>
      <c r="B30" s="98"/>
      <c r="C30" s="4965"/>
      <c r="D30" s="4965"/>
      <c r="E30" s="108"/>
      <c r="F30" s="111">
        <f>IF(G29&gt;0,1,0)</f>
        <v>0</v>
      </c>
      <c r="G30" s="115"/>
      <c r="H30" s="106"/>
      <c r="I30" s="4965" t="s">
        <v>1752</v>
      </c>
      <c r="J30" s="4965"/>
      <c r="K30" s="121">
        <v>7</v>
      </c>
      <c r="L30" s="118">
        <f>IF(M29&gt;0,1,0)</f>
        <v>0</v>
      </c>
      <c r="M30" s="26"/>
      <c r="N30" s="108"/>
      <c r="W30" s="47"/>
      <c r="X30" s="111">
        <f>IF(Y29&gt;0,1,0)</f>
        <v>0</v>
      </c>
      <c r="Y30" s="115"/>
      <c r="Z30" s="106"/>
      <c r="AA30" s="4965" t="s">
        <v>1761</v>
      </c>
      <c r="AB30" s="4966"/>
      <c r="AC30" s="1798">
        <v>9</v>
      </c>
      <c r="AD30" s="1804">
        <f>IF(AE29&gt;0,1,0)</f>
        <v>0</v>
      </c>
      <c r="AE30" s="1737"/>
      <c r="AF30" s="918"/>
      <c r="AG30" s="4966"/>
      <c r="AH30" s="4966"/>
      <c r="AI30" s="1800"/>
      <c r="AJ30" s="1748"/>
      <c r="AK30" s="1737"/>
    </row>
    <row r="31" spans="1:37" ht="12" customHeight="1" thickBot="1" x14ac:dyDescent="0.25">
      <c r="A31" s="488"/>
      <c r="B31" s="98"/>
      <c r="C31" s="109" t="str">
        <f>IF(PDs!$R$17&lt;Metamagia!E28,"Nv "&amp;Metamagia!E28,"")</f>
        <v>Nv 4</v>
      </c>
      <c r="D31" s="1719"/>
      <c r="E31" s="108">
        <v>5</v>
      </c>
      <c r="F31" s="122"/>
      <c r="G31" s="26"/>
      <c r="H31" s="108"/>
      <c r="I31" s="4965"/>
      <c r="J31" s="4965"/>
      <c r="K31" s="123"/>
      <c r="L31" s="26"/>
      <c r="M31" s="26"/>
      <c r="N31" s="108"/>
      <c r="W31" s="47"/>
      <c r="X31" s="122"/>
      <c r="Y31" s="26"/>
      <c r="Z31" s="108"/>
      <c r="AA31" s="4965"/>
      <c r="AB31" s="4966"/>
      <c r="AC31" s="1799"/>
      <c r="AD31" s="1737"/>
      <c r="AE31" s="1737"/>
      <c r="AF31" s="918"/>
      <c r="AG31" s="1805" t="str">
        <f>IF(PDs!$R$17&lt;Metamagia!AI28,"Nv "&amp;Metamagia!AI28,"")</f>
        <v>Nv 4</v>
      </c>
      <c r="AH31" s="1759"/>
      <c r="AI31" s="1800">
        <v>5</v>
      </c>
      <c r="AJ31" s="1748"/>
      <c r="AK31" s="1737"/>
    </row>
    <row r="32" spans="1:37" ht="12" customHeight="1" thickBot="1" x14ac:dyDescent="0.25">
      <c r="A32" s="488"/>
      <c r="B32" s="98"/>
      <c r="C32" s="120">
        <f>IF(D31&gt;0,1,0)</f>
        <v>0</v>
      </c>
      <c r="D32" s="124"/>
      <c r="E32" s="125"/>
      <c r="F32" s="126"/>
      <c r="G32" s="26"/>
      <c r="H32" s="108"/>
      <c r="I32" s="4965"/>
      <c r="J32" s="4965"/>
      <c r="K32" s="123"/>
      <c r="L32" s="26"/>
      <c r="M32" s="26"/>
      <c r="N32" s="108"/>
      <c r="W32" s="47"/>
      <c r="X32" s="126"/>
      <c r="Y32" s="26"/>
      <c r="Z32" s="108"/>
      <c r="AA32" s="4965"/>
      <c r="AB32" s="4966"/>
      <c r="AC32" s="1799"/>
      <c r="AD32" s="1737"/>
      <c r="AE32" s="1737"/>
      <c r="AF32" s="918"/>
      <c r="AG32" s="1806">
        <f>IF(AH31&gt;0,1,0)</f>
        <v>0</v>
      </c>
      <c r="AH32" s="1765"/>
      <c r="AI32" s="1800"/>
      <c r="AJ32" s="1748"/>
      <c r="AK32" s="1737"/>
    </row>
    <row r="33" spans="1:37" ht="12" customHeight="1" thickBot="1" x14ac:dyDescent="0.25">
      <c r="A33" s="488"/>
      <c r="B33" s="98"/>
      <c r="D33" s="35"/>
      <c r="E33" s="43"/>
      <c r="F33" s="4965" t="s">
        <v>1762</v>
      </c>
      <c r="G33" s="4965"/>
      <c r="H33" s="108">
        <v>10</v>
      </c>
      <c r="I33" s="109" t="str">
        <f>IF(PDs!$R$17&lt;Metamagia!K30,"Nv "&amp;Metamagia!K30,"")</f>
        <v>Nv 7</v>
      </c>
      <c r="J33" s="1719"/>
      <c r="K33" s="123">
        <v>10</v>
      </c>
      <c r="L33" s="26"/>
      <c r="M33" s="26"/>
      <c r="N33" s="108"/>
      <c r="W33" s="47"/>
      <c r="X33" s="4965" t="s">
        <v>1763</v>
      </c>
      <c r="Y33" s="4965"/>
      <c r="Z33" s="108">
        <v>10</v>
      </c>
      <c r="AA33" s="109" t="str">
        <f>IF(PDs!$R$17&lt;Metamagia!AC30,"Nv "&amp;Metamagia!AC30,"")</f>
        <v>Nv 9</v>
      </c>
      <c r="AB33" s="1759"/>
      <c r="AC33" s="1799">
        <v>20</v>
      </c>
      <c r="AD33" s="1737"/>
      <c r="AE33" s="1737"/>
      <c r="AF33" s="918"/>
      <c r="AG33" s="1737"/>
      <c r="AH33" s="1763"/>
      <c r="AI33" s="1740"/>
      <c r="AJ33" s="1748"/>
      <c r="AK33" s="1737"/>
    </row>
    <row r="34" spans="1:37" ht="12" customHeight="1" thickBot="1" x14ac:dyDescent="0.25">
      <c r="A34" s="488"/>
      <c r="B34" s="98"/>
      <c r="D34" s="67"/>
      <c r="E34" s="43"/>
      <c r="F34" s="4965"/>
      <c r="G34" s="4965"/>
      <c r="H34" s="113"/>
      <c r="I34" s="111">
        <f>IF(J33&gt;0,1,0)</f>
        <v>0</v>
      </c>
      <c r="J34" s="26"/>
      <c r="K34" s="108"/>
      <c r="N34" s="43"/>
      <c r="X34" s="4965"/>
      <c r="Y34" s="4965"/>
      <c r="Z34" s="113"/>
      <c r="AA34" s="118">
        <f>IF(AB33&gt;0,1,0)</f>
        <v>0</v>
      </c>
      <c r="AB34" s="1762"/>
      <c r="AC34" s="918"/>
      <c r="AD34" s="1737"/>
      <c r="AE34" s="1737"/>
      <c r="AF34" s="579"/>
      <c r="AG34" s="1737"/>
      <c r="AH34" s="1764"/>
      <c r="AI34" s="1740"/>
      <c r="AJ34" s="1748"/>
      <c r="AK34" s="1737"/>
    </row>
    <row r="35" spans="1:37" ht="12" customHeight="1" thickBot="1" x14ac:dyDescent="0.25">
      <c r="A35" s="488"/>
      <c r="B35" s="98"/>
      <c r="C35" s="4965" t="s">
        <v>1749</v>
      </c>
      <c r="D35" s="4965"/>
      <c r="E35" s="108">
        <v>5</v>
      </c>
      <c r="F35" s="4965"/>
      <c r="G35" s="4965"/>
      <c r="H35" s="108"/>
      <c r="I35" s="97"/>
      <c r="J35" s="26"/>
      <c r="K35" s="108"/>
      <c r="N35" s="43"/>
      <c r="P35" s="3631" t="s">
        <v>1513</v>
      </c>
      <c r="Q35" s="3631"/>
      <c r="R35" s="3631"/>
      <c r="S35" s="3631"/>
      <c r="T35" s="3631"/>
      <c r="U35" s="3631"/>
      <c r="X35" s="4965"/>
      <c r="Y35" s="4965"/>
      <c r="Z35" s="108"/>
      <c r="AA35" s="26"/>
      <c r="AB35" s="1737"/>
      <c r="AC35" s="918"/>
      <c r="AD35" s="1737"/>
      <c r="AE35" s="1737"/>
      <c r="AF35" s="579"/>
      <c r="AG35" s="4966" t="s">
        <v>1764</v>
      </c>
      <c r="AH35" s="4966"/>
      <c r="AI35" s="1800">
        <v>5</v>
      </c>
      <c r="AJ35" s="1748"/>
      <c r="AK35" s="1737"/>
    </row>
    <row r="36" spans="1:37" ht="12" customHeight="1" thickBot="1" x14ac:dyDescent="0.25">
      <c r="A36" s="488"/>
      <c r="B36" s="98"/>
      <c r="C36" s="4965"/>
      <c r="D36" s="4965"/>
      <c r="E36" s="108"/>
      <c r="F36" s="109" t="str">
        <f>IF(PDs!$R$17&lt;Metamagia!H33,"Nv "&amp;Metamagia!H33,"")</f>
        <v>Nv 10</v>
      </c>
      <c r="G36" s="1719"/>
      <c r="H36" s="108">
        <v>20</v>
      </c>
      <c r="I36" s="26"/>
      <c r="J36" s="26"/>
      <c r="K36" s="108"/>
      <c r="N36" s="43"/>
      <c r="P36" s="4967" t="s">
        <v>1689</v>
      </c>
      <c r="Q36" s="4967"/>
      <c r="R36" s="4968" t="s">
        <v>1690</v>
      </c>
      <c r="S36" s="4968"/>
      <c r="T36" s="4969" t="s">
        <v>1691</v>
      </c>
      <c r="U36" s="4969"/>
      <c r="X36" s="109" t="str">
        <f>IF(PDs!$R$17&lt;Metamagia!Z33,"Nv "&amp;Metamagia!Z33,"")</f>
        <v>Nv 10</v>
      </c>
      <c r="Y36" s="1719"/>
      <c r="Z36" s="108">
        <v>20</v>
      </c>
      <c r="AA36" s="26"/>
      <c r="AB36" s="1737"/>
      <c r="AC36" s="918"/>
      <c r="AD36" s="1737"/>
      <c r="AE36" s="1737"/>
      <c r="AF36" s="579"/>
      <c r="AG36" s="4966"/>
      <c r="AH36" s="4966"/>
      <c r="AI36" s="1800"/>
      <c r="AJ36" s="1748"/>
      <c r="AK36" s="1737"/>
    </row>
    <row r="37" spans="1:37" ht="12" customHeight="1" thickBot="1" x14ac:dyDescent="0.25">
      <c r="A37" s="488"/>
      <c r="B37" s="98"/>
      <c r="C37" s="4965"/>
      <c r="D37" s="4965"/>
      <c r="E37" s="108"/>
      <c r="F37" s="90">
        <f>IF(G36&gt;0,1,0)</f>
        <v>0</v>
      </c>
      <c r="H37" s="43"/>
      <c r="I37" s="26"/>
      <c r="J37" s="26"/>
      <c r="K37" s="108"/>
      <c r="L37" s="4965" t="s">
        <v>1765</v>
      </c>
      <c r="M37" s="4965"/>
      <c r="N37" s="108">
        <v>10</v>
      </c>
      <c r="P37" s="4970">
        <f>Místicos!$C$12</f>
        <v>0</v>
      </c>
      <c r="Q37" s="4970"/>
      <c r="R37" s="4971">
        <f>Místicos!$E$12</f>
        <v>0</v>
      </c>
      <c r="S37" s="4971"/>
      <c r="T37" s="4972">
        <f>D23+D31+D38+D45+D53+G14+G23+G29+G36+G47+G53+G62+J13+J18+J23+J28+J33+J43+J48+J53+J58+J63+M14+M23+M29+M40+M47+M53+M62+P23+P53+S18+S23+S28+S48+S53+S58+V23+V53+Y14+Y23+Y29+Y36+Y47+Y53+Y62+AB13+AB18+AB23+AB28+AB33+AB43+AB48+AB53+AB58+AB63+AE14+AE23+AE29+AE40+AE47+AE53+AE62+AH23+AH31+AH38+AH45+AH53</f>
        <v>0</v>
      </c>
      <c r="U37" s="4972"/>
      <c r="X37" s="90">
        <f>IF(Y36&gt;0,1,0)</f>
        <v>0</v>
      </c>
      <c r="Z37" s="43"/>
      <c r="AA37" s="26"/>
      <c r="AB37" s="1737"/>
      <c r="AC37" s="1800"/>
      <c r="AD37" s="4966" t="s">
        <v>1766</v>
      </c>
      <c r="AE37" s="4966"/>
      <c r="AF37" s="918">
        <v>10</v>
      </c>
      <c r="AG37" s="4966"/>
      <c r="AH37" s="4966"/>
      <c r="AI37" s="1800"/>
      <c r="AJ37" s="1748"/>
      <c r="AK37" s="1737"/>
    </row>
    <row r="38" spans="1:37" ht="12" customHeight="1" thickBot="1" x14ac:dyDescent="0.25">
      <c r="A38" s="488"/>
      <c r="B38" s="98"/>
      <c r="C38" s="109" t="str">
        <f>IF(PDs!$R$17&lt;Metamagia!E35,"Nv "&amp;Metamagia!E35,"")</f>
        <v>Nv 5</v>
      </c>
      <c r="D38" s="1719"/>
      <c r="E38" s="108">
        <v>10</v>
      </c>
      <c r="H38" s="43"/>
      <c r="I38" s="26"/>
      <c r="J38" s="68"/>
      <c r="K38" s="127"/>
      <c r="L38" s="4965"/>
      <c r="M38" s="4965"/>
      <c r="N38" s="128"/>
      <c r="P38" s="4970"/>
      <c r="Q38" s="4970"/>
      <c r="R38" s="4971"/>
      <c r="S38" s="4971"/>
      <c r="T38" s="4972"/>
      <c r="U38" s="4972"/>
      <c r="W38" s="47"/>
      <c r="Z38" s="43"/>
      <c r="AA38" s="26"/>
      <c r="AB38" s="1766"/>
      <c r="AC38" s="1801"/>
      <c r="AD38" s="4966"/>
      <c r="AE38" s="4966"/>
      <c r="AF38" s="918"/>
      <c r="AG38" s="1805" t="str">
        <f>IF(PDs!$R$17&lt;Metamagia!AI35,"Nv "&amp;Metamagia!AI35,"")</f>
        <v>Nv 5</v>
      </c>
      <c r="AH38" s="1759"/>
      <c r="AI38" s="1800">
        <v>5</v>
      </c>
      <c r="AJ38" s="1748"/>
      <c r="AK38" s="1737"/>
    </row>
    <row r="39" spans="1:37" ht="12" customHeight="1" thickBot="1" x14ac:dyDescent="0.25">
      <c r="A39" s="488"/>
      <c r="B39" s="98"/>
      <c r="C39" s="120">
        <f>IF(D38&gt;0,1,0)</f>
        <v>0</v>
      </c>
      <c r="D39" s="96"/>
      <c r="E39" s="108"/>
      <c r="H39" s="43"/>
      <c r="I39" s="114"/>
      <c r="J39" s="26"/>
      <c r="K39" s="108"/>
      <c r="L39" s="4965"/>
      <c r="M39" s="4965"/>
      <c r="N39" s="108"/>
      <c r="W39" s="47"/>
      <c r="Z39" s="43"/>
      <c r="AA39" s="26"/>
      <c r="AB39" s="1764"/>
      <c r="AC39" s="1800"/>
      <c r="AD39" s="4966"/>
      <c r="AE39" s="4966"/>
      <c r="AF39" s="918"/>
      <c r="AG39" s="679">
        <f>IF(AH38&gt;0,1,0)</f>
        <v>0</v>
      </c>
      <c r="AH39" s="1763"/>
      <c r="AI39" s="1800"/>
      <c r="AJ39" s="1748"/>
      <c r="AK39" s="1737"/>
    </row>
    <row r="40" spans="1:37" ht="12" customHeight="1" thickBot="1" x14ac:dyDescent="0.25">
      <c r="A40" s="488"/>
      <c r="B40" s="98"/>
      <c r="C40" s="26"/>
      <c r="D40" s="98"/>
      <c r="E40" s="108"/>
      <c r="F40" s="129"/>
      <c r="G40" s="26"/>
      <c r="H40" s="108"/>
      <c r="I40" s="4965" t="s">
        <v>1767</v>
      </c>
      <c r="J40" s="4965"/>
      <c r="K40" s="108">
        <v>7</v>
      </c>
      <c r="L40" s="109" t="str">
        <f>IF(PDs!$R$17&lt;Metamagia!N37,"Nv "&amp;Metamagia!N37,"")</f>
        <v>Nv 10</v>
      </c>
      <c r="M40" s="1719"/>
      <c r="N40" s="108">
        <v>20</v>
      </c>
      <c r="W40" s="47"/>
      <c r="Z40" s="43"/>
      <c r="AA40" s="4965" t="s">
        <v>1768</v>
      </c>
      <c r="AB40" s="4966"/>
      <c r="AC40" s="918">
        <v>9</v>
      </c>
      <c r="AD40" s="1805" t="str">
        <f>IF(PDs!$R$17&lt;Metamagia!AF37,"Nv "&amp;Metamagia!AF37,"")</f>
        <v>Nv 10</v>
      </c>
      <c r="AE40" s="1759"/>
      <c r="AF40" s="918">
        <v>20</v>
      </c>
      <c r="AG40" s="1737"/>
      <c r="AH40" s="1763"/>
      <c r="AI40" s="1800"/>
      <c r="AJ40" s="1748"/>
      <c r="AK40" s="1737"/>
    </row>
    <row r="41" spans="1:37" ht="12" customHeight="1" thickBot="1" x14ac:dyDescent="0.25">
      <c r="A41" s="488"/>
      <c r="B41" s="98"/>
      <c r="D41" s="67"/>
      <c r="E41" s="43"/>
      <c r="F41" s="129"/>
      <c r="G41" s="26"/>
      <c r="H41" s="108"/>
      <c r="I41" s="4965"/>
      <c r="J41" s="4965"/>
      <c r="K41" s="108"/>
      <c r="L41" s="90">
        <f>IF(M40&gt;0,1,0)</f>
        <v>0</v>
      </c>
      <c r="M41" s="26"/>
      <c r="N41" s="108"/>
      <c r="W41" s="47"/>
      <c r="X41" s="129"/>
      <c r="Y41" s="26"/>
      <c r="Z41" s="108"/>
      <c r="AA41" s="4965"/>
      <c r="AB41" s="4966"/>
      <c r="AC41" s="918"/>
      <c r="AD41" s="679">
        <f>IF(AE40&gt;0,1,0)</f>
        <v>0</v>
      </c>
      <c r="AE41" s="1737"/>
      <c r="AF41" s="918"/>
      <c r="AG41" s="1737"/>
      <c r="AH41" s="1764"/>
      <c r="AI41" s="1740"/>
      <c r="AJ41" s="1748"/>
      <c r="AK41" s="1737"/>
    </row>
    <row r="42" spans="1:37" ht="12" customHeight="1" thickBot="1" x14ac:dyDescent="0.25">
      <c r="A42" s="488"/>
      <c r="B42" s="98"/>
      <c r="C42" s="4965" t="s">
        <v>1769</v>
      </c>
      <c r="D42" s="4965"/>
      <c r="E42" s="130">
        <v>2</v>
      </c>
      <c r="F42" s="26"/>
      <c r="G42" s="96"/>
      <c r="H42" s="131"/>
      <c r="I42" s="4965"/>
      <c r="J42" s="4965"/>
      <c r="K42" s="132"/>
      <c r="L42" s="133"/>
      <c r="M42" s="26"/>
      <c r="N42" s="108"/>
      <c r="W42" s="47"/>
      <c r="X42" s="26"/>
      <c r="Y42" s="96"/>
      <c r="Z42" s="131"/>
      <c r="AA42" s="4965"/>
      <c r="AB42" s="4966"/>
      <c r="AC42" s="1802"/>
      <c r="AD42" s="1750"/>
      <c r="AE42" s="1737"/>
      <c r="AF42" s="918"/>
      <c r="AG42" s="4966" t="s">
        <v>1770</v>
      </c>
      <c r="AH42" s="4966"/>
      <c r="AI42" s="1800">
        <v>3</v>
      </c>
      <c r="AJ42" s="1748"/>
      <c r="AK42" s="1737"/>
    </row>
    <row r="43" spans="1:37" ht="12" customHeight="1" thickBot="1" x14ac:dyDescent="0.25">
      <c r="A43" s="488"/>
      <c r="B43" s="98"/>
      <c r="C43" s="4965"/>
      <c r="D43" s="4965"/>
      <c r="E43" s="108"/>
      <c r="F43" s="26"/>
      <c r="G43" s="98"/>
      <c r="H43" s="119"/>
      <c r="I43" s="109" t="str">
        <f>IF(PDs!$R$17&lt;Metamagia!K40,"Nv "&amp;Metamagia!K40,"")</f>
        <v>Nv 7</v>
      </c>
      <c r="J43" s="1719"/>
      <c r="K43" s="128">
        <v>20</v>
      </c>
      <c r="L43" s="117"/>
      <c r="M43" s="26"/>
      <c r="N43" s="108"/>
      <c r="W43" s="47"/>
      <c r="X43" s="26"/>
      <c r="Y43" s="98"/>
      <c r="Z43" s="119"/>
      <c r="AA43" s="109" t="str">
        <f>IF(PDs!$R$17&lt;Metamagia!AC40,"Nv "&amp;Metamagia!AC40,"")</f>
        <v>Nv 9</v>
      </c>
      <c r="AB43" s="1759"/>
      <c r="AC43" s="823">
        <v>20</v>
      </c>
      <c r="AD43" s="1753"/>
      <c r="AE43" s="1737"/>
      <c r="AF43" s="918"/>
      <c r="AG43" s="4966"/>
      <c r="AH43" s="4966"/>
      <c r="AI43" s="1800"/>
      <c r="AJ43" s="1748"/>
      <c r="AK43" s="1737"/>
    </row>
    <row r="44" spans="1:37" ht="12" customHeight="1" thickBot="1" x14ac:dyDescent="0.25">
      <c r="A44" s="488"/>
      <c r="B44" s="98"/>
      <c r="C44" s="4965"/>
      <c r="D44" s="4965"/>
      <c r="E44" s="108"/>
      <c r="F44" s="4965" t="s">
        <v>1771</v>
      </c>
      <c r="G44" s="4965"/>
      <c r="H44" s="108">
        <v>6</v>
      </c>
      <c r="I44" s="90">
        <f>IF(J43&gt;0,1,0)</f>
        <v>0</v>
      </c>
      <c r="J44" s="26"/>
      <c r="K44" s="108"/>
      <c r="L44" s="4965" t="s">
        <v>1772</v>
      </c>
      <c r="M44" s="4965"/>
      <c r="N44" s="108">
        <v>9</v>
      </c>
      <c r="O44" s="26"/>
      <c r="W44" s="47"/>
      <c r="X44" s="4965" t="s">
        <v>1773</v>
      </c>
      <c r="Y44" s="4965"/>
      <c r="Z44" s="108">
        <v>8</v>
      </c>
      <c r="AA44" s="90">
        <f>IF(AB43&gt;0,1,0)</f>
        <v>0</v>
      </c>
      <c r="AB44" s="1737"/>
      <c r="AC44" s="918"/>
      <c r="AD44" s="4966" t="s">
        <v>1770</v>
      </c>
      <c r="AE44" s="4966"/>
      <c r="AF44" s="918">
        <v>10</v>
      </c>
      <c r="AG44" s="4966"/>
      <c r="AH44" s="4966"/>
      <c r="AI44" s="1800"/>
      <c r="AJ44" s="1748"/>
      <c r="AK44" s="1737"/>
    </row>
    <row r="45" spans="1:37" ht="12" customHeight="1" thickBot="1" x14ac:dyDescent="0.25">
      <c r="A45" s="488"/>
      <c r="B45" s="98"/>
      <c r="C45" s="109" t="str">
        <f>IF(PDs!$R$17&lt;Metamagia!E42,"Nv "&amp;Metamagia!E42,"")</f>
        <v>Nv 2</v>
      </c>
      <c r="D45" s="1719"/>
      <c r="E45" s="108">
        <v>5</v>
      </c>
      <c r="F45" s="4965"/>
      <c r="G45" s="4965"/>
      <c r="H45" s="108"/>
      <c r="I45" s="4965" t="s">
        <v>1772</v>
      </c>
      <c r="J45" s="4965"/>
      <c r="K45" s="108">
        <v>6</v>
      </c>
      <c r="L45" s="4965"/>
      <c r="M45" s="4965"/>
      <c r="N45" s="108"/>
      <c r="O45" s="26"/>
      <c r="P45" s="26"/>
      <c r="Q45" s="104"/>
      <c r="R45" s="4965" t="s">
        <v>1769</v>
      </c>
      <c r="S45" s="4965"/>
      <c r="T45" s="108">
        <v>2</v>
      </c>
      <c r="W45" s="47"/>
      <c r="X45" s="4965"/>
      <c r="Y45" s="4965"/>
      <c r="Z45" s="108"/>
      <c r="AA45" s="4965" t="s">
        <v>1774</v>
      </c>
      <c r="AB45" s="4966"/>
      <c r="AC45" s="918">
        <v>6</v>
      </c>
      <c r="AD45" s="4966"/>
      <c r="AE45" s="4966"/>
      <c r="AF45" s="918"/>
      <c r="AG45" s="1805" t="str">
        <f>IF(PDs!$R$17&lt;Metamagia!AI42,"Nv "&amp;Metamagia!AI42,"")</f>
        <v>Nv 3</v>
      </c>
      <c r="AH45" s="1759"/>
      <c r="AI45" s="1800">
        <v>5</v>
      </c>
      <c r="AJ45" s="1748"/>
      <c r="AK45" s="1737"/>
    </row>
    <row r="46" spans="1:37" ht="12" customHeight="1" thickBot="1" x14ac:dyDescent="0.25">
      <c r="A46" s="488"/>
      <c r="B46" s="98"/>
      <c r="C46" s="111">
        <f>IF(D45&gt;0,1,0)</f>
        <v>0</v>
      </c>
      <c r="D46" s="26"/>
      <c r="E46" s="108"/>
      <c r="F46" s="4965"/>
      <c r="G46" s="4965"/>
      <c r="H46" s="108"/>
      <c r="I46" s="4965"/>
      <c r="J46" s="4965"/>
      <c r="K46" s="108"/>
      <c r="L46" s="4965"/>
      <c r="M46" s="4965"/>
      <c r="N46" s="108"/>
      <c r="O46" s="26"/>
      <c r="P46" s="115"/>
      <c r="Q46" s="116"/>
      <c r="R46" s="4965"/>
      <c r="S46" s="4965"/>
      <c r="T46" s="108"/>
      <c r="W46" s="47"/>
      <c r="X46" s="4965"/>
      <c r="Y46" s="4965"/>
      <c r="Z46" s="108"/>
      <c r="AA46" s="4965"/>
      <c r="AB46" s="4966"/>
      <c r="AC46" s="918"/>
      <c r="AD46" s="4966"/>
      <c r="AE46" s="4966"/>
      <c r="AF46" s="918"/>
      <c r="AG46" s="1806">
        <f>IF(AH45&gt;0,1,0)</f>
        <v>0</v>
      </c>
      <c r="AH46" s="1762"/>
      <c r="AI46" s="1800"/>
      <c r="AJ46" s="1748"/>
      <c r="AK46" s="1737"/>
    </row>
    <row r="47" spans="1:37" ht="12" customHeight="1" thickBot="1" x14ac:dyDescent="0.25">
      <c r="A47" s="488"/>
      <c r="B47" s="98"/>
      <c r="C47" s="117"/>
      <c r="D47" s="26"/>
      <c r="E47" s="108"/>
      <c r="F47" s="109" t="str">
        <f>IF(PDs!$R$17&lt;Metamagia!H44,"Nv "&amp;Metamagia!H44,"")</f>
        <v>Nv 6</v>
      </c>
      <c r="G47" s="1719"/>
      <c r="H47" s="108">
        <v>10</v>
      </c>
      <c r="I47" s="4965"/>
      <c r="J47" s="4965"/>
      <c r="K47" s="108"/>
      <c r="L47" s="109" t="str">
        <f>IF(PDs!$R$17&lt;Metamagia!N44,"Nv "&amp;Metamagia!N44,"")</f>
        <v>Nv 9</v>
      </c>
      <c r="M47" s="1719"/>
      <c r="N47" s="108">
        <v>25</v>
      </c>
      <c r="O47" s="117"/>
      <c r="P47" s="26"/>
      <c r="Q47" s="104"/>
      <c r="R47" s="4965"/>
      <c r="S47" s="4965"/>
      <c r="T47" s="108"/>
      <c r="W47" s="134"/>
      <c r="X47" s="109" t="str">
        <f>IF(PDs!$R$17&lt;Metamagia!Z44,"Nv "&amp;Metamagia!Z44,"")</f>
        <v>Nv 8</v>
      </c>
      <c r="Y47" s="1719"/>
      <c r="Z47" s="108">
        <v>5</v>
      </c>
      <c r="AA47" s="4965"/>
      <c r="AB47" s="4966"/>
      <c r="AC47" s="918"/>
      <c r="AD47" s="1805" t="str">
        <f>IF(PDs!$R$17&lt;Metamagia!AF44,"Nv "&amp;Metamagia!AF44,"")</f>
        <v>Nv 10</v>
      </c>
      <c r="AE47" s="1759"/>
      <c r="AF47" s="918">
        <v>5</v>
      </c>
      <c r="AG47" s="1737"/>
      <c r="AH47" s="1763"/>
      <c r="AI47" s="1800"/>
      <c r="AJ47" s="1748"/>
      <c r="AK47" s="1737"/>
    </row>
    <row r="48" spans="1:37" ht="12" customHeight="1" thickBot="1" x14ac:dyDescent="0.25">
      <c r="A48" s="488"/>
      <c r="B48" s="98"/>
      <c r="C48" s="117"/>
      <c r="D48" s="26"/>
      <c r="E48" s="108"/>
      <c r="F48" s="111">
        <f>IF(G47&gt;0,1,0)</f>
        <v>0</v>
      </c>
      <c r="G48" s="26"/>
      <c r="H48" s="108"/>
      <c r="I48" s="109" t="str">
        <f>IF(PDs!$R$17&lt;Metamagia!K45,"Nv "&amp;Metamagia!K45,"")</f>
        <v>Nv 6</v>
      </c>
      <c r="J48" s="1719"/>
      <c r="K48" s="108">
        <v>15</v>
      </c>
      <c r="L48" s="90">
        <f>IF(M47&gt;0,1,0)</f>
        <v>0</v>
      </c>
      <c r="M48" s="96"/>
      <c r="N48" s="108"/>
      <c r="O48" s="117"/>
      <c r="P48" s="26"/>
      <c r="Q48" s="104"/>
      <c r="R48" s="109" t="str">
        <f>IF(PDs!$R$17&lt;Metamagia!T45,"Nv "&amp;Metamagia!T45,"")</f>
        <v>Nv 2</v>
      </c>
      <c r="S48" s="1719"/>
      <c r="T48" s="108">
        <v>5</v>
      </c>
      <c r="W48" s="47"/>
      <c r="X48" s="111">
        <f>IF(Y47&gt;0,1,0)</f>
        <v>0</v>
      </c>
      <c r="Y48" s="26"/>
      <c r="Z48" s="108"/>
      <c r="AA48" s="109" t="str">
        <f>IF(PDs!$R$17&lt;Metamagia!AC45,"Nv "&amp;Metamagia!AC45,"")</f>
        <v>Nv 6</v>
      </c>
      <c r="AB48" s="1759"/>
      <c r="AC48" s="918">
        <v>5</v>
      </c>
      <c r="AD48" s="679">
        <f>IF(AE47&gt;0,1,0)</f>
        <v>0</v>
      </c>
      <c r="AE48" s="1762"/>
      <c r="AF48" s="918"/>
      <c r="AG48" s="1737"/>
      <c r="AH48" s="1763"/>
      <c r="AI48" s="1800"/>
      <c r="AJ48" s="1748"/>
      <c r="AK48" s="1737"/>
    </row>
    <row r="49" spans="1:37" ht="12" customHeight="1" thickBot="1" x14ac:dyDescent="0.25">
      <c r="A49" s="488"/>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37"/>
      <c r="AC49" s="918"/>
      <c r="AD49" s="1737"/>
      <c r="AE49" s="1764"/>
      <c r="AF49" s="918"/>
      <c r="AG49" s="1766"/>
      <c r="AH49" s="1764"/>
      <c r="AI49" s="1800"/>
      <c r="AJ49" s="1748"/>
      <c r="AK49" s="1737"/>
    </row>
    <row r="50" spans="1:37" ht="12" customHeight="1" thickBot="1" x14ac:dyDescent="0.25">
      <c r="A50" s="488"/>
      <c r="B50" s="98"/>
      <c r="C50" s="4965" t="s">
        <v>1775</v>
      </c>
      <c r="D50" s="4965"/>
      <c r="E50" s="108"/>
      <c r="F50" s="4965" t="s">
        <v>1776</v>
      </c>
      <c r="G50" s="4965"/>
      <c r="H50" s="108">
        <v>3</v>
      </c>
      <c r="I50" s="4965" t="s">
        <v>1777</v>
      </c>
      <c r="J50" s="4965"/>
      <c r="K50" s="108">
        <v>3</v>
      </c>
      <c r="L50" s="4965" t="s">
        <v>1778</v>
      </c>
      <c r="M50" s="4965"/>
      <c r="N50" s="108">
        <v>3</v>
      </c>
      <c r="O50" s="4965" t="s">
        <v>1779</v>
      </c>
      <c r="P50" s="4965"/>
      <c r="Q50" s="104"/>
      <c r="R50" s="4965" t="s">
        <v>1770</v>
      </c>
      <c r="S50" s="4965"/>
      <c r="T50" s="108">
        <v>5</v>
      </c>
      <c r="U50" s="4965" t="s">
        <v>1770</v>
      </c>
      <c r="V50" s="4965"/>
      <c r="W50" s="108">
        <v>4</v>
      </c>
      <c r="X50" s="4965" t="s">
        <v>1780</v>
      </c>
      <c r="Y50" s="4965"/>
      <c r="Z50" s="108">
        <v>3</v>
      </c>
      <c r="AA50" s="4965" t="s">
        <v>1770</v>
      </c>
      <c r="AB50" s="4966"/>
      <c r="AC50" s="918">
        <v>6</v>
      </c>
      <c r="AD50" s="4966" t="s">
        <v>1781</v>
      </c>
      <c r="AE50" s="4966"/>
      <c r="AF50" s="918">
        <v>3</v>
      </c>
      <c r="AG50" s="4966" t="s">
        <v>1782</v>
      </c>
      <c r="AH50" s="4966"/>
      <c r="AI50" s="1800">
        <v>3</v>
      </c>
      <c r="AJ50" s="1748"/>
      <c r="AK50" s="1737"/>
    </row>
    <row r="51" spans="1:37" ht="12" customHeight="1" thickBot="1" x14ac:dyDescent="0.25">
      <c r="A51" s="488"/>
      <c r="B51" s="98"/>
      <c r="C51" s="4965"/>
      <c r="D51" s="4965"/>
      <c r="E51" s="105"/>
      <c r="F51" s="4965"/>
      <c r="G51" s="4965"/>
      <c r="H51" s="105"/>
      <c r="I51" s="4965"/>
      <c r="J51" s="4965"/>
      <c r="K51" s="105"/>
      <c r="L51" s="4965"/>
      <c r="M51" s="4965"/>
      <c r="N51" s="105"/>
      <c r="O51" s="4965"/>
      <c r="P51" s="4965"/>
      <c r="Q51" s="104"/>
      <c r="R51" s="4965"/>
      <c r="S51" s="4965"/>
      <c r="T51" s="108"/>
      <c r="U51" s="4965"/>
      <c r="V51" s="4965"/>
      <c r="W51" s="105"/>
      <c r="X51" s="4965"/>
      <c r="Y51" s="4965"/>
      <c r="Z51" s="105"/>
      <c r="AA51" s="4965"/>
      <c r="AB51" s="4966"/>
      <c r="AC51" s="1797"/>
      <c r="AD51" s="4966"/>
      <c r="AE51" s="4966"/>
      <c r="AF51" s="1797"/>
      <c r="AG51" s="4966"/>
      <c r="AH51" s="4966"/>
      <c r="AI51" s="1800"/>
      <c r="AJ51" s="1748"/>
      <c r="AK51" s="1737"/>
    </row>
    <row r="52" spans="1:37" ht="12" customHeight="1" x14ac:dyDescent="0.2">
      <c r="A52" s="488"/>
      <c r="B52" s="98"/>
      <c r="C52" s="4965"/>
      <c r="D52" s="4965"/>
      <c r="E52" s="108"/>
      <c r="F52" s="4965"/>
      <c r="G52" s="4965"/>
      <c r="H52" s="108"/>
      <c r="I52" s="4965"/>
      <c r="J52" s="4965"/>
      <c r="K52" s="108"/>
      <c r="L52" s="4965"/>
      <c r="M52" s="4965"/>
      <c r="N52" s="108"/>
      <c r="O52" s="4965"/>
      <c r="P52" s="4965"/>
      <c r="Q52" s="104"/>
      <c r="R52" s="4965"/>
      <c r="S52" s="4965"/>
      <c r="T52" s="108"/>
      <c r="U52" s="4965"/>
      <c r="V52" s="4965"/>
      <c r="W52" s="108"/>
      <c r="X52" s="4965"/>
      <c r="Y52" s="4965"/>
      <c r="Z52" s="108"/>
      <c r="AA52" s="4965"/>
      <c r="AB52" s="4966"/>
      <c r="AC52" s="918"/>
      <c r="AD52" s="4966"/>
      <c r="AE52" s="4966"/>
      <c r="AF52" s="918"/>
      <c r="AG52" s="4966"/>
      <c r="AH52" s="4966"/>
      <c r="AI52" s="1800"/>
      <c r="AJ52" s="1748"/>
      <c r="AK52" s="1737"/>
    </row>
    <row r="53" spans="1:37" ht="12" customHeight="1" thickBot="1" x14ac:dyDescent="0.25">
      <c r="A53" s="488"/>
      <c r="B53" s="98"/>
      <c r="C53" s="109" t="str">
        <f>IF(PDs!$R$17&lt;Metamagia!E50,"Nv "&amp;Metamagia!E50,"")</f>
        <v/>
      </c>
      <c r="D53" s="1719"/>
      <c r="E53" s="108">
        <v>5</v>
      </c>
      <c r="F53" s="109" t="str">
        <f>IF(PDs!$R$17&lt;Metamagia!H50,"Nv "&amp;Metamagia!H50,"")</f>
        <v>Nv 3</v>
      </c>
      <c r="G53" s="1719"/>
      <c r="H53" s="108">
        <v>10</v>
      </c>
      <c r="I53" s="109" t="str">
        <f>IF(PDs!$R$17&lt;Metamagia!K50,"Nv "&amp;Metamagia!K50,"")</f>
        <v>Nv 3</v>
      </c>
      <c r="J53" s="1719"/>
      <c r="K53" s="108">
        <v>5</v>
      </c>
      <c r="L53" s="109" t="str">
        <f>IF(PDs!$R$17&lt;Metamagia!N50,"Nv "&amp;Metamagia!N50,"")</f>
        <v>Nv 3</v>
      </c>
      <c r="M53" s="1719"/>
      <c r="N53" s="108">
        <v>10</v>
      </c>
      <c r="O53" s="109" t="str">
        <f>IF(PDs!$R$17&lt;Metamagia!Q50,"Nv "&amp;Metamagia!Q50,"")</f>
        <v/>
      </c>
      <c r="P53" s="1719"/>
      <c r="Q53" s="108">
        <v>5</v>
      </c>
      <c r="R53" s="109" t="str">
        <f>IF(PDs!$R$17&lt;Metamagia!T50,"Nv "&amp;Metamagia!T50,"")</f>
        <v>Nv 5</v>
      </c>
      <c r="S53" s="1719"/>
      <c r="T53" s="108">
        <v>5</v>
      </c>
      <c r="U53" s="109" t="str">
        <f>IF(PDs!$R$17&lt;Metamagia!W50,"Nv "&amp;Metamagia!W50,"")</f>
        <v>Nv 4</v>
      </c>
      <c r="V53" s="1719"/>
      <c r="W53" s="108">
        <v>5</v>
      </c>
      <c r="X53" s="109" t="str">
        <f>IF(PDs!$R$17&lt;Metamagia!Z50,"Nv "&amp;Metamagia!Z50,"")</f>
        <v>Nv 3</v>
      </c>
      <c r="Y53" s="1719"/>
      <c r="Z53" s="108">
        <v>5</v>
      </c>
      <c r="AA53" s="109" t="str">
        <f>IF(PDs!$R$17&lt;Metamagia!AC50,"Nv "&amp;Metamagia!AC50,"")</f>
        <v>Nv 6</v>
      </c>
      <c r="AB53" s="1759"/>
      <c r="AC53" s="918">
        <v>5</v>
      </c>
      <c r="AD53" s="1805" t="str">
        <f>IF(PDs!$R$17&lt;Metamagia!AF50,"Nv "&amp;Metamagia!AF50,"")</f>
        <v>Nv 3</v>
      </c>
      <c r="AE53" s="1759"/>
      <c r="AF53" s="918">
        <v>5</v>
      </c>
      <c r="AG53" s="1805" t="str">
        <f>IF(PDs!$R$17&lt;Metamagia!AI50,"Nv "&amp;Metamagia!AI50,"")</f>
        <v>Nv 3</v>
      </c>
      <c r="AH53" s="1759"/>
      <c r="AI53" s="1800">
        <v>5</v>
      </c>
      <c r="AJ53" s="1748"/>
      <c r="AK53" s="1737"/>
    </row>
    <row r="54" spans="1:37" ht="12" customHeight="1" thickBot="1" x14ac:dyDescent="0.25">
      <c r="A54" s="488"/>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37"/>
      <c r="AC54" s="918"/>
      <c r="AD54" s="679">
        <f>IF(AE53&gt;0,1,0)</f>
        <v>0</v>
      </c>
      <c r="AE54" s="1762"/>
      <c r="AF54" s="918"/>
      <c r="AG54" s="679">
        <f>IF(AH53&gt;0,1,0)</f>
        <v>0</v>
      </c>
      <c r="AH54" s="1737"/>
      <c r="AI54" s="1800"/>
      <c r="AJ54" s="1748"/>
      <c r="AK54" s="1737"/>
    </row>
    <row r="55" spans="1:37" ht="12" customHeight="1" thickBot="1" x14ac:dyDescent="0.25">
      <c r="A55" s="488"/>
      <c r="B55" s="98"/>
      <c r="C55" s="136"/>
      <c r="D55" s="136"/>
      <c r="E55" s="104"/>
      <c r="F55" s="137"/>
      <c r="G55" s="138"/>
      <c r="H55" s="139"/>
      <c r="I55" s="4965" t="s">
        <v>1783</v>
      </c>
      <c r="J55" s="4965"/>
      <c r="K55" s="108"/>
      <c r="L55" s="26"/>
      <c r="M55" s="98"/>
      <c r="N55" s="108"/>
      <c r="O55" s="26"/>
      <c r="P55" s="26"/>
      <c r="Q55" s="104"/>
      <c r="R55" s="4965" t="s">
        <v>1773</v>
      </c>
      <c r="S55" s="4965"/>
      <c r="T55" s="108">
        <v>5</v>
      </c>
      <c r="U55" s="36"/>
      <c r="W55" s="47"/>
      <c r="X55" s="137"/>
      <c r="Y55" s="138"/>
      <c r="Z55" s="139"/>
      <c r="AA55" s="4965" t="s">
        <v>1770</v>
      </c>
      <c r="AB55" s="4966"/>
      <c r="AC55" s="918"/>
      <c r="AD55" s="1737"/>
      <c r="AE55" s="1763"/>
      <c r="AF55" s="918"/>
      <c r="AG55" s="1737"/>
      <c r="AH55" s="1737"/>
      <c r="AI55" s="1800"/>
      <c r="AJ55" s="1748"/>
      <c r="AK55" s="1737"/>
    </row>
    <row r="56" spans="1:37" ht="12" customHeight="1" thickBot="1" x14ac:dyDescent="0.25">
      <c r="A56" s="488"/>
      <c r="B56" s="35"/>
      <c r="C56" s="42"/>
      <c r="D56" s="42"/>
      <c r="E56" s="47"/>
      <c r="F56" s="140"/>
      <c r="G56" s="141"/>
      <c r="H56" s="142"/>
      <c r="I56" s="4965"/>
      <c r="J56" s="4965"/>
      <c r="K56" s="113"/>
      <c r="L56" s="69"/>
      <c r="M56" s="35"/>
      <c r="N56" s="108"/>
      <c r="O56" s="26"/>
      <c r="P56" s="26"/>
      <c r="Q56" s="104"/>
      <c r="R56" s="4965"/>
      <c r="S56" s="4965"/>
      <c r="T56" s="113"/>
      <c r="U56" s="69"/>
      <c r="W56" s="47"/>
      <c r="X56" s="140"/>
      <c r="Y56" s="141"/>
      <c r="Z56" s="142"/>
      <c r="AA56" s="4965"/>
      <c r="AB56" s="4966"/>
      <c r="AC56" s="924"/>
      <c r="AD56" s="1761"/>
      <c r="AE56" s="1763"/>
      <c r="AF56" s="918"/>
      <c r="AG56" s="1737"/>
      <c r="AH56" s="1737"/>
      <c r="AI56" s="1740"/>
      <c r="AJ56" s="1748"/>
      <c r="AK56" s="1737"/>
    </row>
    <row r="57" spans="1:37" ht="12" customHeight="1" x14ac:dyDescent="0.2">
      <c r="A57" s="488"/>
      <c r="B57" s="35"/>
      <c r="C57" s="42"/>
      <c r="D57" s="42"/>
      <c r="E57" s="47"/>
      <c r="F57" s="143"/>
      <c r="G57" s="144"/>
      <c r="H57" s="108"/>
      <c r="I57" s="4965"/>
      <c r="J57" s="4965"/>
      <c r="K57" s="108"/>
      <c r="M57" s="35"/>
      <c r="N57" s="108"/>
      <c r="O57" s="26"/>
      <c r="P57" s="26"/>
      <c r="Q57" s="104"/>
      <c r="R57" s="4965"/>
      <c r="S57" s="4965"/>
      <c r="T57" s="108"/>
      <c r="W57" s="47"/>
      <c r="X57" s="143"/>
      <c r="Y57" s="144"/>
      <c r="Z57" s="108"/>
      <c r="AA57" s="4965"/>
      <c r="AB57" s="4966"/>
      <c r="AC57" s="918"/>
      <c r="AD57" s="1737"/>
      <c r="AE57" s="1763"/>
      <c r="AF57" s="918"/>
      <c r="AG57" s="1737"/>
      <c r="AH57" s="1737"/>
      <c r="AI57" s="1740"/>
      <c r="AJ57" s="1748"/>
      <c r="AK57" s="1737"/>
    </row>
    <row r="58" spans="1:37" ht="12" customHeight="1" thickBot="1" x14ac:dyDescent="0.25">
      <c r="A58" s="488"/>
      <c r="B58" s="35"/>
      <c r="C58" s="42"/>
      <c r="D58" s="42"/>
      <c r="E58" s="86"/>
      <c r="F58" s="145"/>
      <c r="G58" s="144"/>
      <c r="H58" s="108"/>
      <c r="I58" s="109" t="str">
        <f>IF(PDs!$R$17&lt;Metamagia!K55,"Nv "&amp;Metamagia!K55,"")</f>
        <v/>
      </c>
      <c r="J58" s="1719"/>
      <c r="K58" s="108">
        <v>10</v>
      </c>
      <c r="M58" s="67"/>
      <c r="N58" s="108"/>
      <c r="O58" s="26"/>
      <c r="P58" s="26"/>
      <c r="Q58" s="134"/>
      <c r="R58" s="109" t="str">
        <f>IF(PDs!$R$17&lt;Metamagia!T55,"Nv "&amp;Metamagia!T55,"")</f>
        <v>Nv 5</v>
      </c>
      <c r="S58" s="1719"/>
      <c r="T58" s="108">
        <v>5</v>
      </c>
      <c r="W58" s="47"/>
      <c r="X58" s="145"/>
      <c r="Y58" s="144"/>
      <c r="Z58" s="108"/>
      <c r="AA58" s="109" t="str">
        <f>IF(PDs!$R$17&lt;Metamagia!AC55,"Nv "&amp;Metamagia!AC55,"")</f>
        <v/>
      </c>
      <c r="AB58" s="1759"/>
      <c r="AC58" s="918">
        <v>5</v>
      </c>
      <c r="AD58" s="1737"/>
      <c r="AE58" s="1764"/>
      <c r="AF58" s="918"/>
      <c r="AG58" s="1737"/>
      <c r="AH58" s="1737"/>
      <c r="AI58" s="1740"/>
      <c r="AJ58" s="1748"/>
      <c r="AK58" s="1737"/>
    </row>
    <row r="59" spans="1:37" ht="12" customHeight="1" thickBot="1" x14ac:dyDescent="0.25">
      <c r="A59" s="488"/>
      <c r="B59" s="35"/>
      <c r="C59" s="42"/>
      <c r="D59" s="42"/>
      <c r="E59" s="86"/>
      <c r="F59" s="4965" t="s">
        <v>1784</v>
      </c>
      <c r="G59" s="4965"/>
      <c r="H59" s="108"/>
      <c r="I59" s="118">
        <f>IF(J58&gt;0,1,0)</f>
        <v>0</v>
      </c>
      <c r="K59" s="108"/>
      <c r="L59" s="4965" t="s">
        <v>1769</v>
      </c>
      <c r="M59" s="4965"/>
      <c r="N59" s="108"/>
      <c r="Q59" s="47"/>
      <c r="R59" s="90">
        <f>IF(S58&gt;0,1,0)</f>
        <v>0</v>
      </c>
      <c r="T59" s="47"/>
      <c r="W59" s="47"/>
      <c r="X59" s="4965" t="s">
        <v>1773</v>
      </c>
      <c r="Y59" s="4965"/>
      <c r="Z59" s="108"/>
      <c r="AA59" s="118">
        <f>IF(AB58&gt;0,1,0)</f>
        <v>0</v>
      </c>
      <c r="AB59" s="1737"/>
      <c r="AC59" s="918"/>
      <c r="AD59" s="4966" t="s">
        <v>1782</v>
      </c>
      <c r="AE59" s="4966"/>
      <c r="AF59" s="918"/>
      <c r="AG59" s="1737"/>
      <c r="AH59" s="1737"/>
      <c r="AI59" s="1740"/>
      <c r="AJ59" s="1748"/>
      <c r="AK59" s="1737"/>
    </row>
    <row r="60" spans="1:37" ht="12" customHeight="1" thickBot="1" x14ac:dyDescent="0.25">
      <c r="A60" s="553"/>
      <c r="B60" s="146"/>
      <c r="C60" s="42"/>
      <c r="D60" s="42"/>
      <c r="E60" s="86"/>
      <c r="F60" s="4965"/>
      <c r="G60" s="4965"/>
      <c r="H60" s="105"/>
      <c r="I60" s="4965" t="s">
        <v>1777</v>
      </c>
      <c r="J60" s="4965"/>
      <c r="K60" s="107"/>
      <c r="L60" s="4965"/>
      <c r="M60" s="4965"/>
      <c r="N60" s="108"/>
      <c r="T60" s="47"/>
      <c r="W60" s="47"/>
      <c r="X60" s="4965"/>
      <c r="Y60" s="4965"/>
      <c r="Z60" s="105"/>
      <c r="AA60" s="4965" t="s">
        <v>1770</v>
      </c>
      <c r="AB60" s="4966"/>
      <c r="AC60" s="1797"/>
      <c r="AD60" s="4966"/>
      <c r="AE60" s="4966"/>
      <c r="AF60" s="918"/>
      <c r="AG60" s="1737"/>
      <c r="AH60" s="1737"/>
      <c r="AI60" s="1740"/>
      <c r="AJ60" s="1748"/>
      <c r="AK60" s="1737"/>
    </row>
    <row r="61" spans="1:37" ht="12" customHeight="1" thickBot="1" x14ac:dyDescent="0.25">
      <c r="A61" s="553"/>
      <c r="B61" s="146"/>
      <c r="C61" s="42"/>
      <c r="D61" s="42"/>
      <c r="E61" s="86"/>
      <c r="F61" s="4965"/>
      <c r="G61" s="4965"/>
      <c r="H61" s="108"/>
      <c r="I61" s="4965"/>
      <c r="J61" s="4965"/>
      <c r="K61" s="47"/>
      <c r="L61" s="4965"/>
      <c r="M61" s="4965"/>
      <c r="N61" s="108"/>
      <c r="T61" s="47"/>
      <c r="W61" s="47"/>
      <c r="X61" s="4965"/>
      <c r="Y61" s="4965"/>
      <c r="Z61" s="108"/>
      <c r="AA61" s="4965"/>
      <c r="AB61" s="4966"/>
      <c r="AC61" s="918"/>
      <c r="AD61" s="4966"/>
      <c r="AE61" s="4966"/>
      <c r="AF61" s="918"/>
      <c r="AG61" s="1737"/>
      <c r="AH61" s="1737"/>
      <c r="AI61" s="1740"/>
      <c r="AJ61" s="1748"/>
      <c r="AK61" s="1737"/>
    </row>
    <row r="62" spans="1:37" ht="12" customHeight="1" thickBot="1" x14ac:dyDescent="0.25">
      <c r="A62" s="553"/>
      <c r="B62" s="146"/>
      <c r="C62" s="42"/>
      <c r="D62" s="42"/>
      <c r="F62" s="109" t="str">
        <f>IF(PDs!$R$17&lt;Metamagia!H59,"Nv "&amp;Metamagia!H59,"")</f>
        <v/>
      </c>
      <c r="G62" s="1719"/>
      <c r="H62" s="108">
        <v>5</v>
      </c>
      <c r="I62" s="4965"/>
      <c r="J62" s="4965"/>
      <c r="K62" s="47"/>
      <c r="L62" s="109" t="str">
        <f>IF(PDs!$R$17&lt;Metamagia!N59,"Nv "&amp;Metamagia!N59,"")</f>
        <v/>
      </c>
      <c r="M62" s="1719"/>
      <c r="N62" s="108">
        <v>5</v>
      </c>
      <c r="T62" s="47"/>
      <c r="W62" s="134"/>
      <c r="X62" s="109" t="str">
        <f>IF(PDs!$R$17&lt;Metamagia!Z59,"Nv "&amp;Metamagia!Z59,"")</f>
        <v/>
      </c>
      <c r="Y62" s="1719"/>
      <c r="Z62" s="108">
        <v>5</v>
      </c>
      <c r="AA62" s="4965"/>
      <c r="AB62" s="4966"/>
      <c r="AC62" s="918"/>
      <c r="AD62" s="1805" t="str">
        <f>IF(PDs!$R$17&lt;Metamagia!AF59,"Nv "&amp;Metamagia!AF59,"")</f>
        <v/>
      </c>
      <c r="AE62" s="1759"/>
      <c r="AF62" s="918">
        <v>5</v>
      </c>
      <c r="AG62" s="1737"/>
      <c r="AH62" s="1737"/>
      <c r="AI62" s="1753"/>
      <c r="AJ62" s="1748"/>
      <c r="AK62" s="1737"/>
    </row>
    <row r="63" spans="1:37" ht="12" customHeight="1" thickBot="1" x14ac:dyDescent="0.25">
      <c r="A63" s="553"/>
      <c r="B63" s="146"/>
      <c r="C63" s="42"/>
      <c r="D63" s="42"/>
      <c r="F63" s="90">
        <f>IF(G62&gt;0,1,0)</f>
        <v>0</v>
      </c>
      <c r="G63" s="144"/>
      <c r="H63" s="47"/>
      <c r="I63" s="109" t="str">
        <f>IF(PDs!$R$17&lt;Metamagia!K60,"Nv "&amp;Metamagia!K60,"")</f>
        <v/>
      </c>
      <c r="J63" s="1719"/>
      <c r="K63" s="108">
        <v>5</v>
      </c>
      <c r="L63" s="90">
        <f>IF(M62&gt;0,1,0)</f>
        <v>0</v>
      </c>
      <c r="N63" s="43"/>
      <c r="X63" s="90">
        <f>IF(Y62&gt;0,1,0)</f>
        <v>0</v>
      </c>
      <c r="Y63" s="144"/>
      <c r="Z63" s="47"/>
      <c r="AA63" s="109" t="str">
        <f>IF(PDs!$R$17&lt;Metamagia!AC60,"Nv "&amp;Metamagia!AC60,"")</f>
        <v/>
      </c>
      <c r="AB63" s="1759"/>
      <c r="AC63" s="918">
        <v>5</v>
      </c>
      <c r="AD63" s="679">
        <f>IF(AE62&gt;0,1,0)</f>
        <v>0</v>
      </c>
      <c r="AE63" s="1737"/>
      <c r="AF63" s="1758"/>
      <c r="AG63" s="1737"/>
      <c r="AH63" s="1737"/>
      <c r="AI63" s="1753"/>
      <c r="AJ63" s="1748"/>
      <c r="AK63" s="1737"/>
    </row>
    <row r="64" spans="1:37" ht="12" customHeight="1" x14ac:dyDescent="0.2">
      <c r="A64" s="553"/>
      <c r="B64" s="146"/>
      <c r="D64" s="42"/>
      <c r="E64" s="42"/>
      <c r="G64" s="147"/>
      <c r="H64" s="148"/>
      <c r="I64" s="90">
        <f>IF(J63&gt;0,1,0)</f>
        <v>0</v>
      </c>
      <c r="K64" s="47"/>
      <c r="Z64" s="47"/>
      <c r="AA64" s="90">
        <f>IF(AB63&gt;0,1,0)</f>
        <v>0</v>
      </c>
      <c r="AB64" s="1737"/>
      <c r="AC64" s="1737"/>
      <c r="AD64" s="1737"/>
      <c r="AE64" s="1737"/>
      <c r="AF64" s="1737"/>
      <c r="AG64" s="1737"/>
      <c r="AH64" s="1737"/>
      <c r="AI64" s="1753"/>
      <c r="AJ64" s="1748"/>
      <c r="AK64" s="1737"/>
    </row>
    <row r="65" spans="1:37" ht="12" customHeight="1" thickBot="1" x14ac:dyDescent="0.25">
      <c r="A65" s="553"/>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66"/>
      <c r="AC65" s="1766"/>
      <c r="AD65" s="1766"/>
      <c r="AE65" s="1766"/>
      <c r="AF65" s="1766"/>
      <c r="AG65" s="1766"/>
      <c r="AH65" s="1766"/>
      <c r="AI65" s="1761"/>
      <c r="AJ65" s="1748"/>
      <c r="AK65" s="1737"/>
    </row>
    <row r="66" spans="1:37" ht="12" customHeight="1" x14ac:dyDescent="0.2">
      <c r="A66" s="488"/>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48"/>
      <c r="AC66" s="1748"/>
      <c r="AD66" s="1748"/>
      <c r="AE66" s="1748"/>
      <c r="AF66" s="1748"/>
      <c r="AG66" s="1748"/>
      <c r="AH66" s="1748"/>
      <c r="AI66" s="1748"/>
      <c r="AJ66" s="1748"/>
      <c r="AK66" s="3054"/>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4" priority="74" stopIfTrue="1" operator="greaterThan">
      <formula>$P$37</formula>
    </cfRule>
  </conditionalFormatting>
  <conditionalFormatting sqref="F11:G13">
    <cfRule type="expression" dxfId="653" priority="69" stopIfTrue="1">
      <formula>$G$14&gt;0</formula>
    </cfRule>
  </conditionalFormatting>
  <conditionalFormatting sqref="AA60:AB62">
    <cfRule type="expression" dxfId="652" priority="68" stopIfTrue="1">
      <formula>$AB$63&gt;0</formula>
    </cfRule>
  </conditionalFormatting>
  <conditionalFormatting sqref="AD59:AE61">
    <cfRule type="expression" dxfId="651" priority="67" stopIfTrue="1">
      <formula>$AE$62&gt;0</formula>
    </cfRule>
  </conditionalFormatting>
  <conditionalFormatting sqref="X59:Y61">
    <cfRule type="expression" dxfId="650" priority="66" stopIfTrue="1">
      <formula>$Y$62&gt;0</formula>
    </cfRule>
  </conditionalFormatting>
  <conditionalFormatting sqref="AA55:AB57">
    <cfRule type="expression" dxfId="649" priority="65" stopIfTrue="1">
      <formula>$AB$58&gt;0</formula>
    </cfRule>
  </conditionalFormatting>
  <conditionalFormatting sqref="AD50:AE52">
    <cfRule type="expression" dxfId="648" priority="64" stopIfTrue="1">
      <formula>$AE$53&gt;0</formula>
    </cfRule>
  </conditionalFormatting>
  <conditionalFormatting sqref="AG50:AH52">
    <cfRule type="expression" dxfId="647" priority="63" stopIfTrue="1">
      <formula>$AH$53&gt;0</formula>
    </cfRule>
  </conditionalFormatting>
  <conditionalFormatting sqref="AG42:AH44">
    <cfRule type="expression" dxfId="646" priority="62" stopIfTrue="1">
      <formula>$AH$45&gt;0</formula>
    </cfRule>
  </conditionalFormatting>
  <conditionalFormatting sqref="AD44:AE46">
    <cfRule type="expression" dxfId="645" priority="61" stopIfTrue="1">
      <formula>$AE$47&gt;0</formula>
    </cfRule>
  </conditionalFormatting>
  <conditionalFormatting sqref="AA50:AB52">
    <cfRule type="expression" dxfId="644" priority="60" stopIfTrue="1">
      <formula>$AB$53&gt;0</formula>
    </cfRule>
  </conditionalFormatting>
  <conditionalFormatting sqref="X50:Y52">
    <cfRule type="expression" dxfId="643" priority="59" stopIfTrue="1">
      <formula>$Y$53&gt;0</formula>
    </cfRule>
  </conditionalFormatting>
  <conditionalFormatting sqref="AA45:AB47">
    <cfRule type="expression" dxfId="642" priority="58" stopIfTrue="1">
      <formula>$AB$48&gt;0</formula>
    </cfRule>
  </conditionalFormatting>
  <conditionalFormatting sqref="U50:V52">
    <cfRule type="expression" dxfId="641" priority="57" stopIfTrue="1">
      <formula>$V$53&gt;0</formula>
    </cfRule>
  </conditionalFormatting>
  <conditionalFormatting sqref="X44:Y46">
    <cfRule type="expression" dxfId="640" priority="56" stopIfTrue="1">
      <formula>$Y$47&gt;0</formula>
    </cfRule>
  </conditionalFormatting>
  <conditionalFormatting sqref="AA40:AB42">
    <cfRule type="expression" dxfId="639" priority="55" stopIfTrue="1">
      <formula>$AB$43&gt;0</formula>
    </cfRule>
  </conditionalFormatting>
  <conditionalFormatting sqref="AD37:AE39">
    <cfRule type="expression" dxfId="638" priority="54" stopIfTrue="1">
      <formula>$AE$40&gt;0</formula>
    </cfRule>
  </conditionalFormatting>
  <conditionalFormatting sqref="AG35:AH37">
    <cfRule type="expression" dxfId="637" priority="53" stopIfTrue="1">
      <formula>$AH$38&gt;0</formula>
    </cfRule>
  </conditionalFormatting>
  <conditionalFormatting sqref="R45:S47">
    <cfRule type="expression" dxfId="636" priority="52" stopIfTrue="1">
      <formula>$S$48&gt;0</formula>
    </cfRule>
  </conditionalFormatting>
  <conditionalFormatting sqref="R50:S52">
    <cfRule type="expression" dxfId="635" priority="51" stopIfTrue="1">
      <formula>$S$53&gt;0</formula>
    </cfRule>
  </conditionalFormatting>
  <conditionalFormatting sqref="R55:S57">
    <cfRule type="expression" dxfId="634" priority="50" stopIfTrue="1">
      <formula>$S$58&gt;0</formula>
    </cfRule>
  </conditionalFormatting>
  <conditionalFormatting sqref="O50:P52">
    <cfRule type="expression" dxfId="633" priority="49" stopIfTrue="1">
      <formula>$P$53&gt;0</formula>
    </cfRule>
  </conditionalFormatting>
  <conditionalFormatting sqref="L59:M61">
    <cfRule type="expression" dxfId="632" priority="48" stopIfTrue="1">
      <formula>$M$62&gt;0</formula>
    </cfRule>
  </conditionalFormatting>
  <conditionalFormatting sqref="I60:J62">
    <cfRule type="expression" dxfId="631" priority="47" stopIfTrue="1">
      <formula>$J$63&gt;0</formula>
    </cfRule>
  </conditionalFormatting>
  <conditionalFormatting sqref="F59:G61">
    <cfRule type="expression" dxfId="630" priority="46" stopIfTrue="1">
      <formula>$G$62&gt;0</formula>
    </cfRule>
  </conditionalFormatting>
  <conditionalFormatting sqref="I55:J57">
    <cfRule type="expression" dxfId="629" priority="45" stopIfTrue="1">
      <formula>$J$58&gt;0</formula>
    </cfRule>
  </conditionalFormatting>
  <conditionalFormatting sqref="L50:M52">
    <cfRule type="expression" dxfId="628" priority="44" stopIfTrue="1">
      <formula>$M$53&gt;0</formula>
    </cfRule>
  </conditionalFormatting>
  <conditionalFormatting sqref="I50:J52">
    <cfRule type="expression" dxfId="627" priority="43" stopIfTrue="1">
      <formula>$J$53&gt;0</formula>
    </cfRule>
  </conditionalFormatting>
  <conditionalFormatting sqref="F50:G52">
    <cfRule type="expression" dxfId="626" priority="42" stopIfTrue="1">
      <formula>$G$53&gt;0</formula>
    </cfRule>
  </conditionalFormatting>
  <conditionalFormatting sqref="C50:D52">
    <cfRule type="expression" dxfId="625" priority="41" stopIfTrue="1">
      <formula>$D$53&gt;0</formula>
    </cfRule>
  </conditionalFormatting>
  <conditionalFormatting sqref="L44:M46">
    <cfRule type="expression" dxfId="624" priority="40" stopIfTrue="1">
      <formula>$M$47&gt;0</formula>
    </cfRule>
  </conditionalFormatting>
  <conditionalFormatting sqref="I45:J47">
    <cfRule type="expression" dxfId="623" priority="39" stopIfTrue="1">
      <formula>$J$48&gt;0</formula>
    </cfRule>
  </conditionalFormatting>
  <conditionalFormatting sqref="F44:G46">
    <cfRule type="expression" dxfId="622" priority="38" stopIfTrue="1">
      <formula>$G$47&gt;0</formula>
    </cfRule>
  </conditionalFormatting>
  <conditionalFormatting sqref="C42:D44">
    <cfRule type="expression" dxfId="621" priority="34" stopIfTrue="1">
      <formula>$D$45&gt;0</formula>
    </cfRule>
    <cfRule type="expression" dxfId="620" priority="37" stopIfTrue="1">
      <formula>$D$45&gt;0</formula>
    </cfRule>
  </conditionalFormatting>
  <conditionalFormatting sqref="I40:J42">
    <cfRule type="expression" dxfId="619" priority="36" stopIfTrue="1">
      <formula>$J$43&gt;0</formula>
    </cfRule>
  </conditionalFormatting>
  <conditionalFormatting sqref="L37:M39">
    <cfRule type="expression" dxfId="618" priority="35" stopIfTrue="1">
      <formula>$M$40&gt;0</formula>
    </cfRule>
  </conditionalFormatting>
  <conditionalFormatting sqref="C35:D37">
    <cfRule type="expression" dxfId="617" priority="33" stopIfTrue="1">
      <formula>$D$38&gt;0</formula>
    </cfRule>
  </conditionalFormatting>
  <conditionalFormatting sqref="F33:G35">
    <cfRule type="expression" dxfId="616" priority="32" stopIfTrue="1">
      <formula>$G$36&gt;0</formula>
    </cfRule>
  </conditionalFormatting>
  <conditionalFormatting sqref="I30:J32">
    <cfRule type="expression" dxfId="615" priority="31" stopIfTrue="1">
      <formula>$J$33&gt;0</formula>
    </cfRule>
  </conditionalFormatting>
  <conditionalFormatting sqref="C28:D30">
    <cfRule type="expression" dxfId="614" priority="30" stopIfTrue="1">
      <formula>$D$31&gt;0</formula>
    </cfRule>
  </conditionalFormatting>
  <conditionalFormatting sqref="F26:G28">
    <cfRule type="expression" dxfId="613" priority="29" stopIfTrue="1">
      <formula>$G$29&gt;0</formula>
    </cfRule>
  </conditionalFormatting>
  <conditionalFormatting sqref="I25:J27">
    <cfRule type="expression" dxfId="612" priority="28" stopIfTrue="1">
      <formula>$J$28&gt;0</formula>
    </cfRule>
  </conditionalFormatting>
  <conditionalFormatting sqref="L26:M28">
    <cfRule type="expression" dxfId="611" priority="27" stopIfTrue="1">
      <formula>$M$29&gt;0</formula>
    </cfRule>
  </conditionalFormatting>
  <conditionalFormatting sqref="C20:D22">
    <cfRule type="expression" dxfId="610" priority="26" stopIfTrue="1">
      <formula>$D$23&gt;0</formula>
    </cfRule>
  </conditionalFormatting>
  <conditionalFormatting sqref="F20:G22">
    <cfRule type="expression" dxfId="609" priority="25" stopIfTrue="1">
      <formula>$G$23&gt;0</formula>
    </cfRule>
  </conditionalFormatting>
  <conditionalFormatting sqref="I20:J22">
    <cfRule type="expression" dxfId="608" priority="24" stopIfTrue="1">
      <formula>$J$23&gt;0</formula>
    </cfRule>
  </conditionalFormatting>
  <conditionalFormatting sqref="I10:J12">
    <cfRule type="expression" dxfId="607" priority="23" stopIfTrue="1">
      <formula>$J$13&gt;0</formula>
    </cfRule>
  </conditionalFormatting>
  <conditionalFormatting sqref="I15:J17">
    <cfRule type="expression" dxfId="606" priority="22" stopIfTrue="1">
      <formula>$J$18&gt;0</formula>
    </cfRule>
  </conditionalFormatting>
  <conditionalFormatting sqref="L11:M13">
    <cfRule type="expression" dxfId="605" priority="21" stopIfTrue="1">
      <formula>$M$14&gt;0</formula>
    </cfRule>
  </conditionalFormatting>
  <conditionalFormatting sqref="L20:M22">
    <cfRule type="expression" dxfId="604" priority="20" stopIfTrue="1">
      <formula>$M$23&gt;0</formula>
    </cfRule>
  </conditionalFormatting>
  <conditionalFormatting sqref="O20:P22">
    <cfRule type="expression" dxfId="603" priority="19" stopIfTrue="1">
      <formula>$P$23&gt;0</formula>
    </cfRule>
  </conditionalFormatting>
  <conditionalFormatting sqref="R15:S17">
    <cfRule type="expression" dxfId="602" priority="18" stopIfTrue="1">
      <formula>$S$18&gt;0</formula>
    </cfRule>
  </conditionalFormatting>
  <conditionalFormatting sqref="R20:S22">
    <cfRule type="expression" dxfId="601" priority="17" stopIfTrue="1">
      <formula>$S$23&gt;0</formula>
    </cfRule>
  </conditionalFormatting>
  <conditionalFormatting sqref="R25:S27">
    <cfRule type="expression" dxfId="600" priority="16" stopIfTrue="1">
      <formula>$S$28&gt;0</formula>
    </cfRule>
  </conditionalFormatting>
  <conditionalFormatting sqref="U20:V22">
    <cfRule type="expression" dxfId="599" priority="15" stopIfTrue="1">
      <formula>$V$23&gt;0</formula>
    </cfRule>
  </conditionalFormatting>
  <conditionalFormatting sqref="X11:Y13">
    <cfRule type="expression" dxfId="598" priority="14" stopIfTrue="1">
      <formula>$Y$14&gt;0</formula>
    </cfRule>
  </conditionalFormatting>
  <conditionalFormatting sqref="X20:Y22">
    <cfRule type="expression" dxfId="597" priority="13" stopIfTrue="1">
      <formula>$Y$23&gt;0</formula>
    </cfRule>
  </conditionalFormatting>
  <conditionalFormatting sqref="X26:Y28">
    <cfRule type="expression" dxfId="596" priority="12" stopIfTrue="1">
      <formula>$Y$29&gt;0</formula>
    </cfRule>
  </conditionalFormatting>
  <conditionalFormatting sqref="X33:Y35">
    <cfRule type="expression" dxfId="595" priority="11" stopIfTrue="1">
      <formula>$Y$36&gt;0</formula>
    </cfRule>
  </conditionalFormatting>
  <conditionalFormatting sqref="AA10:AB12">
    <cfRule type="expression" dxfId="594" priority="10" stopIfTrue="1">
      <formula>$AB$13&gt;0</formula>
    </cfRule>
  </conditionalFormatting>
  <conditionalFormatting sqref="AA15:AB17">
    <cfRule type="expression" dxfId="593" priority="9" stopIfTrue="1">
      <formula>$AB$18&gt;0</formula>
    </cfRule>
  </conditionalFormatting>
  <conditionalFormatting sqref="AA20:AB22">
    <cfRule type="expression" dxfId="592" priority="8" stopIfTrue="1">
      <formula>$AB$23&gt;0</formula>
    </cfRule>
  </conditionalFormatting>
  <conditionalFormatting sqref="AA25:AB27">
    <cfRule type="expression" dxfId="591" priority="7" stopIfTrue="1">
      <formula>$AB$28&gt;0</formula>
    </cfRule>
  </conditionalFormatting>
  <conditionalFormatting sqref="AA30:AB32">
    <cfRule type="expression" dxfId="590" priority="6" stopIfTrue="1">
      <formula>$AB$33&gt;0</formula>
    </cfRule>
  </conditionalFormatting>
  <conditionalFormatting sqref="AD11:AE13">
    <cfRule type="expression" dxfId="589" priority="5" stopIfTrue="1">
      <formula>$AE$14&gt;0</formula>
    </cfRule>
  </conditionalFormatting>
  <conditionalFormatting sqref="AD20:AE22">
    <cfRule type="expression" dxfId="588" priority="4" stopIfTrue="1">
      <formula>$AE$23&gt;0</formula>
    </cfRule>
  </conditionalFormatting>
  <conditionalFormatting sqref="AD26:AE28">
    <cfRule type="expression" dxfId="587" priority="3" stopIfTrue="1">
      <formula>$AE$29&gt;0</formula>
    </cfRule>
  </conditionalFormatting>
  <conditionalFormatting sqref="AG20:AH22">
    <cfRule type="expression" dxfId="586" priority="2" stopIfTrue="1">
      <formula>$AH$23&gt;0</formula>
    </cfRule>
  </conditionalFormatting>
  <conditionalFormatting sqref="AG28:AH30">
    <cfRule type="expression" dxfId="58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D5" sqref="D5:E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81" customWidth="1"/>
    <col min="21" max="21" width="1.7109375" style="332" customWidth="1"/>
    <col min="22" max="22" width="3.85546875" style="332" customWidth="1"/>
    <col min="23"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55"/>
      <c r="U1" s="2029"/>
      <c r="V1" s="3044" t="s">
        <v>8741</v>
      </c>
      <c r="W1" s="3088"/>
      <c r="X1" s="3088"/>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30"/>
      <c r="U2" s="2029"/>
      <c r="V2" s="3088"/>
      <c r="W2" s="3088"/>
      <c r="X2" s="3088"/>
    </row>
    <row r="3" spans="1:24" ht="12" customHeight="1" thickBot="1" x14ac:dyDescent="0.25">
      <c r="A3" s="330"/>
      <c r="B3" s="335"/>
      <c r="C3" s="336"/>
      <c r="D3" s="337"/>
      <c r="E3" s="337"/>
      <c r="F3" s="337"/>
      <c r="G3" s="337"/>
      <c r="H3" s="337"/>
      <c r="I3" s="5064" t="str">
        <f>"Sheele ("&amp;VLOOKUP(Sheele!D5,'Tablas Sheele'!C5:G12,5,FALSE)&amp;")"</f>
        <v>Sheele (Haley)</v>
      </c>
      <c r="J3" s="5064"/>
      <c r="K3" s="5064"/>
      <c r="L3" s="2921"/>
      <c r="M3" s="2921"/>
      <c r="N3" s="2921"/>
      <c r="O3" s="5121" t="s">
        <v>10165</v>
      </c>
      <c r="P3" s="5121"/>
      <c r="Q3" s="5121"/>
      <c r="R3" s="5121"/>
      <c r="S3" s="2923"/>
      <c r="T3" s="2031"/>
      <c r="U3" s="2029"/>
      <c r="V3" s="3088"/>
      <c r="W3" s="3088"/>
      <c r="X3" s="3088"/>
    </row>
    <row r="4" spans="1:24" ht="12" customHeight="1" thickBot="1" x14ac:dyDescent="0.25">
      <c r="A4" s="330"/>
      <c r="B4" s="335"/>
      <c r="C4" s="338"/>
      <c r="D4" s="5048" t="s">
        <v>2795</v>
      </c>
      <c r="E4" s="5049"/>
      <c r="F4" s="5049" t="s">
        <v>2796</v>
      </c>
      <c r="G4" s="5050"/>
      <c r="H4" s="2924"/>
      <c r="I4" s="5065"/>
      <c r="J4" s="5065"/>
      <c r="K4" s="5065"/>
      <c r="L4" s="5067" t="s">
        <v>1325</v>
      </c>
      <c r="M4" s="5067"/>
      <c r="N4" s="2925">
        <f>VALUE(PDs!R17)</f>
        <v>0</v>
      </c>
      <c r="O4" s="5122"/>
      <c r="P4" s="5122"/>
      <c r="Q4" s="5122"/>
      <c r="R4" s="5122"/>
      <c r="S4" s="2926"/>
      <c r="T4" s="2031"/>
      <c r="U4" s="2029"/>
      <c r="V4" s="3088"/>
      <c r="W4" s="3088"/>
      <c r="X4" s="3088"/>
    </row>
    <row r="5" spans="1:24" ht="12" customHeight="1" thickBot="1" x14ac:dyDescent="0.25">
      <c r="A5" s="330"/>
      <c r="B5" s="335"/>
      <c r="C5" s="338"/>
      <c r="D5" s="5051" t="s">
        <v>1603</v>
      </c>
      <c r="E5" s="5052"/>
      <c r="F5" s="5052" t="s">
        <v>1381</v>
      </c>
      <c r="G5" s="5053"/>
      <c r="H5" s="2924"/>
      <c r="I5" s="5065"/>
      <c r="J5" s="5065"/>
      <c r="K5" s="5065"/>
      <c r="L5" s="5067" t="s">
        <v>9618</v>
      </c>
      <c r="M5" s="5067"/>
      <c r="N5" s="2927">
        <f>ROUNDUP(IF(N4=0,5,10*N4)/2,0)</f>
        <v>3</v>
      </c>
      <c r="O5" s="5122"/>
      <c r="P5" s="5122"/>
      <c r="Q5" s="5122"/>
      <c r="R5" s="5122"/>
      <c r="S5" s="2926"/>
      <c r="T5" s="2031"/>
      <c r="U5" s="2029"/>
      <c r="V5" s="3088"/>
      <c r="W5" s="3088"/>
      <c r="X5" s="3088"/>
    </row>
    <row r="6" spans="1:24" ht="12" customHeight="1" thickBot="1" x14ac:dyDescent="0.25">
      <c r="A6" s="330"/>
      <c r="B6" s="335"/>
      <c r="C6" s="339"/>
      <c r="D6" s="340"/>
      <c r="E6" s="340"/>
      <c r="F6" s="340"/>
      <c r="G6" s="340"/>
      <c r="H6" s="340"/>
      <c r="I6" s="5066"/>
      <c r="J6" s="5066"/>
      <c r="K6" s="5066"/>
      <c r="L6" s="2922"/>
      <c r="M6" s="2922"/>
      <c r="N6" s="2922"/>
      <c r="O6" s="5123"/>
      <c r="P6" s="5123"/>
      <c r="Q6" s="5123"/>
      <c r="R6" s="5123"/>
      <c r="S6" s="2928"/>
      <c r="T6" s="2031"/>
      <c r="U6" s="2029"/>
      <c r="V6" s="3088" t="str">
        <f>"Mejoras_"&amp;D5</f>
        <v>Mejoras_Aire</v>
      </c>
      <c r="W6" s="3088"/>
      <c r="X6" s="3088"/>
    </row>
    <row r="7" spans="1:24" ht="12" customHeight="1" thickBot="1" x14ac:dyDescent="0.25">
      <c r="A7" s="330"/>
      <c r="B7" s="335"/>
      <c r="C7" s="2501"/>
      <c r="D7" s="2501"/>
      <c r="E7" s="2501"/>
      <c r="F7" s="2501"/>
      <c r="G7" s="2501"/>
      <c r="H7" s="2501"/>
      <c r="I7" s="2501"/>
      <c r="J7" s="2501"/>
      <c r="K7" s="2501"/>
      <c r="L7" s="2501"/>
      <c r="M7" s="2501"/>
      <c r="N7" s="2501"/>
      <c r="O7" s="2501"/>
      <c r="P7" s="2501"/>
      <c r="Q7" s="2501"/>
      <c r="R7" s="2501"/>
      <c r="S7" s="2929"/>
      <c r="T7" s="2031"/>
      <c r="U7" s="2029"/>
      <c r="V7" s="3088"/>
      <c r="W7" s="3088"/>
      <c r="X7" s="3088"/>
    </row>
    <row r="8" spans="1:24" ht="12" customHeight="1" thickBot="1" x14ac:dyDescent="0.25">
      <c r="A8" s="330"/>
      <c r="B8" s="335"/>
      <c r="C8" s="5061" t="s">
        <v>1364</v>
      </c>
      <c r="D8" s="341"/>
      <c r="E8" s="2930" t="s">
        <v>1365</v>
      </c>
      <c r="F8" s="2931" t="s">
        <v>1366</v>
      </c>
      <c r="G8" s="2932" t="s">
        <v>1349</v>
      </c>
      <c r="H8" s="2933" t="s">
        <v>1367</v>
      </c>
      <c r="I8" s="2501"/>
      <c r="J8" s="4415" t="s">
        <v>1369</v>
      </c>
      <c r="K8" s="4416"/>
      <c r="L8" s="4417"/>
      <c r="M8" s="2501"/>
      <c r="N8" s="5146" t="s">
        <v>1395</v>
      </c>
      <c r="O8" s="5147"/>
      <c r="P8" s="5147"/>
      <c r="Q8" s="5148" t="s">
        <v>6576</v>
      </c>
      <c r="R8" s="5148"/>
      <c r="S8" s="2325">
        <f>IF(VALUE($N$4)&lt;2,0,5*($N$4-1)-SUMIF(R10:R65,"&gt;0"))</f>
        <v>0</v>
      </c>
      <c r="T8" s="2031"/>
      <c r="U8" s="2029"/>
      <c r="V8" s="3088" t="s">
        <v>10441</v>
      </c>
      <c r="W8" s="3088"/>
      <c r="X8" s="3088">
        <f>IFERROR(VLOOKUP("Hab. Mejoradas ("&amp;SUBSTITUTE(SUBSTITUTE(D5,"Naturaleza","Nat."),"Oscuridad","Osc.")&amp;")",'Tablas Sheele'!$C$110:$F$197,4,0),0)</f>
        <v>0</v>
      </c>
    </row>
    <row r="9" spans="1:24" ht="12" customHeight="1" x14ac:dyDescent="0.2">
      <c r="A9" s="330"/>
      <c r="B9" s="335"/>
      <c r="C9" s="5062"/>
      <c r="D9" s="343" t="s">
        <v>1373</v>
      </c>
      <c r="E9" s="2934">
        <f>HLOOKUP($D$5,'Tablas Sheele'!$G$17:$N$25,'Tablas Sheele'!E18,)</f>
        <v>8</v>
      </c>
      <c r="F9" s="2234"/>
      <c r="G9" s="2920">
        <f>E9+'Tablas Sheele'!D18+IF('Tablas Sheele'!F142&gt;0,2,0)+F9</f>
        <v>8</v>
      </c>
      <c r="H9" s="514">
        <f>IF(G9&lt;1,0,VLOOKUP(G9,Tablas!$C$14:$D$33,2))</f>
        <v>10</v>
      </c>
      <c r="I9" s="2929"/>
      <c r="J9" s="5149">
        <f>IF('Tablas Sheele'!F107&gt;0, L27*4, L27*2)+IF('Tablas Sheele'!F148&gt;0,250,0)</f>
        <v>50</v>
      </c>
      <c r="K9" s="5152"/>
      <c r="L9" s="5153"/>
      <c r="M9" s="2935">
        <f>MATCH(J14,INDEX(Tabla_Regen,,2),0)</f>
        <v>1</v>
      </c>
      <c r="N9" s="349" t="s">
        <v>1399</v>
      </c>
      <c r="O9" s="5008" t="s">
        <v>1375</v>
      </c>
      <c r="P9" s="5182"/>
      <c r="Q9" s="2903" t="s">
        <v>1365</v>
      </c>
      <c r="R9" s="2470" t="s">
        <v>2813</v>
      </c>
      <c r="S9" s="2329" t="s">
        <v>1349</v>
      </c>
      <c r="T9" s="2031"/>
      <c r="U9" s="2029"/>
      <c r="V9" s="3100" t="s">
        <v>8613</v>
      </c>
      <c r="W9" s="3100" t="s">
        <v>2618</v>
      </c>
      <c r="X9" s="3100" t="s">
        <v>7287</v>
      </c>
    </row>
    <row r="10" spans="1:24" ht="12" customHeight="1" x14ac:dyDescent="0.2">
      <c r="A10" s="330"/>
      <c r="B10" s="335"/>
      <c r="C10" s="5062"/>
      <c r="D10" s="343" t="s">
        <v>1498</v>
      </c>
      <c r="E10" s="2934">
        <f>HLOOKUP($D$5,'Tablas Sheele'!$G$17:$N$25,'Tablas Sheele'!E19,)</f>
        <v>2</v>
      </c>
      <c r="F10" s="2235"/>
      <c r="G10" s="2920">
        <f>E10+'Tablas Sheele'!D19+F10</f>
        <v>2</v>
      </c>
      <c r="H10" s="514">
        <f>IF(G10&lt;1,0,VLOOKUP(G10,Tablas!$C$14:$D$33,2))</f>
        <v>-20</v>
      </c>
      <c r="I10" s="2929"/>
      <c r="J10" s="5150"/>
      <c r="K10" s="5154"/>
      <c r="L10" s="5155"/>
      <c r="M10" s="2501"/>
      <c r="N10" s="3446" t="s">
        <v>1404</v>
      </c>
      <c r="O10" s="3450" t="s">
        <v>1405</v>
      </c>
      <c r="P10" s="3450"/>
      <c r="Q10" s="2897">
        <f>IF(HLOOKUP(Sheele!$D$5,'Tablas Sheele'!$C$29:$K$86,'Tablas Sheele'!B30,FALSE)=0,"",HLOOKUP(Sheele!$D$5,'Tablas Sheele'!$C$29:$K$86,'Tablas Sheele'!B30,FALSE)+IF($X$8&gt;0,40+20*($X$8-1),0)+V10)</f>
        <v>60</v>
      </c>
      <c r="R10" s="2238"/>
      <c r="S10" s="467">
        <f>IF(W10,IF(OR(Principal!Q22="-",X10&lt;0),"-",MIN(Principal!Q22,X10)),X10)</f>
        <v>60</v>
      </c>
      <c r="T10" s="2031"/>
      <c r="U10" s="2029"/>
      <c r="V10" s="3100"/>
      <c r="W10" s="3100"/>
      <c r="X10" s="3100">
        <f t="shared" ref="X10:X41" si="0">IF(AND(Q10="",R10=""),-30,IF(Q10="",0,Q10)+10*R10)</f>
        <v>60</v>
      </c>
    </row>
    <row r="11" spans="1:24" ht="12" customHeight="1" thickBot="1" x14ac:dyDescent="0.25">
      <c r="A11" s="330"/>
      <c r="B11" s="335"/>
      <c r="C11" s="5062"/>
      <c r="D11" s="343" t="s">
        <v>1378</v>
      </c>
      <c r="E11" s="2934">
        <f>HLOOKUP($D$5,'Tablas Sheele'!$G$17:$N$25,'Tablas Sheele'!E20,)</f>
        <v>8</v>
      </c>
      <c r="F11" s="2235"/>
      <c r="G11" s="2920">
        <f>E11+'Tablas Sheele'!D20+IF('Tablas Sheele'!F142&gt;0,2,0)+F11</f>
        <v>8</v>
      </c>
      <c r="H11" s="514">
        <f>IF(G11&lt;1,0,VLOOKUP(G11,Tablas!$C$14:$D$33,2))</f>
        <v>10</v>
      </c>
      <c r="I11" s="2501"/>
      <c r="J11" s="5151"/>
      <c r="K11" s="5156"/>
      <c r="L11" s="5157"/>
      <c r="M11" s="2501"/>
      <c r="N11" s="3447"/>
      <c r="O11" s="3453" t="s">
        <v>1406</v>
      </c>
      <c r="P11" s="3453"/>
      <c r="Q11" s="2897" t="str">
        <f>IF(HLOOKUP(Sheele!$D$5,'Tablas Sheele'!$C$29:$K$86,'Tablas Sheele'!B31,FALSE)=0,"",HLOOKUP(Sheele!$D$5,'Tablas Sheele'!$C$29:$K$86,'Tablas Sheele'!B31,FALSE)+IF($X$8&gt;0,40+20*($X$8-1),0)+V11)</f>
        <v/>
      </c>
      <c r="R11" s="2239"/>
      <c r="S11" s="467">
        <f>IF(W11,IF(OR(Principal!Q23="-",X11&lt;0),"-",MIN(Principal!Q23,X11)),X11)</f>
        <v>-30</v>
      </c>
      <c r="T11" s="2031"/>
      <c r="U11" s="2029"/>
      <c r="V11" s="3100"/>
      <c r="W11" s="3100"/>
      <c r="X11" s="3100">
        <f t="shared" si="0"/>
        <v>-30</v>
      </c>
    </row>
    <row r="12" spans="1:24" ht="12" customHeight="1" thickBot="1" x14ac:dyDescent="0.25">
      <c r="A12" s="330"/>
      <c r="B12" s="279"/>
      <c r="C12" s="5062"/>
      <c r="D12" s="343" t="s">
        <v>1383</v>
      </c>
      <c r="E12" s="2934">
        <f>HLOOKUP($D$5,'Tablas Sheele'!$G$17:$N$25,'Tablas Sheele'!E21,)</f>
        <v>2</v>
      </c>
      <c r="F12" s="2235"/>
      <c r="G12" s="2920">
        <f>E12+'Tablas Sheele'!D21+IF('Tablas Sheele'!F142&gt;0,2,0)+F12</f>
        <v>2</v>
      </c>
      <c r="H12" s="514">
        <f>IF(G12&lt;1,0,VLOOKUP(G12,Tablas!$C$14:$D$33,2))</f>
        <v>-20</v>
      </c>
      <c r="I12" s="2929"/>
      <c r="J12" s="2349"/>
      <c r="K12" s="2349"/>
      <c r="L12" s="2349"/>
      <c r="M12" s="2501"/>
      <c r="N12" s="3447"/>
      <c r="O12" s="3453" t="s">
        <v>1409</v>
      </c>
      <c r="P12" s="3453"/>
      <c r="Q12" s="2897" t="str">
        <f>IF(HLOOKUP(Sheele!$D$5,'Tablas Sheele'!$C$29:$K$86,'Tablas Sheele'!B32,FALSE)=0,"",HLOOKUP(Sheele!$D$5,'Tablas Sheele'!$C$29:$K$86,'Tablas Sheele'!B32,FALSE)+IF($X$8&gt;0,40+20*($X$8-1),0)+V12)</f>
        <v/>
      </c>
      <c r="R12" s="2239"/>
      <c r="S12" s="467">
        <f>IF(W12,IF(OR(Principal!Q24="-",X12&lt;0),"-",MIN(Principal!Q24,X12)),X12)</f>
        <v>-30</v>
      </c>
      <c r="T12" s="2031"/>
      <c r="U12" s="2029"/>
      <c r="V12" s="3100"/>
      <c r="W12" s="3100"/>
      <c r="X12" s="3100">
        <f t="shared" si="0"/>
        <v>-30</v>
      </c>
    </row>
    <row r="13" spans="1:24" ht="12" customHeight="1" thickBot="1" x14ac:dyDescent="0.25">
      <c r="A13" s="330"/>
      <c r="B13" s="344"/>
      <c r="C13" s="5062"/>
      <c r="D13" s="343" t="s">
        <v>1386</v>
      </c>
      <c r="E13" s="2934">
        <f>HLOOKUP($D$5,'Tablas Sheele'!$G$17:$N$25,'Tablas Sheele'!E22,)</f>
        <v>8</v>
      </c>
      <c r="F13" s="2235"/>
      <c r="G13" s="2920">
        <f>E13+'Tablas Sheele'!D22+F13</f>
        <v>8</v>
      </c>
      <c r="H13" s="514">
        <f>IF(G13&lt;1,0,VLOOKUP(G13,Tablas!$C$14:$D$33,2))</f>
        <v>10</v>
      </c>
      <c r="I13" s="2501"/>
      <c r="J13" s="4415" t="s">
        <v>1368</v>
      </c>
      <c r="K13" s="4416"/>
      <c r="L13" s="4417"/>
      <c r="M13" s="2501"/>
      <c r="N13" s="3447"/>
      <c r="O13" s="3453" t="s">
        <v>1413</v>
      </c>
      <c r="P13" s="3453"/>
      <c r="Q13" s="2897" t="str">
        <f>IF(HLOOKUP(Sheele!$D$5,'Tablas Sheele'!$C$29:$K$86,'Tablas Sheele'!B33,FALSE)=0,"",HLOOKUP(Sheele!$D$5,'Tablas Sheele'!$C$29:$K$86,'Tablas Sheele'!B33,FALSE)+IF($X$8&gt;0,40+20*($X$8-1),0)+V13)</f>
        <v/>
      </c>
      <c r="R13" s="2239"/>
      <c r="S13" s="467">
        <f>IF(W13,IF(OR(Principal!Q25="-",X13&lt;0),"-",MIN(Principal!Q25,X13)),X13)</f>
        <v>-30</v>
      </c>
      <c r="T13" s="2031"/>
      <c r="U13" s="2029"/>
      <c r="V13" s="3100"/>
      <c r="W13" s="3100"/>
      <c r="X13" s="3100">
        <f t="shared" si="0"/>
        <v>-30</v>
      </c>
    </row>
    <row r="14" spans="1:24" ht="12" customHeight="1" x14ac:dyDescent="0.2">
      <c r="A14" s="330"/>
      <c r="B14" s="344"/>
      <c r="C14" s="5062"/>
      <c r="D14" s="343" t="s">
        <v>1389</v>
      </c>
      <c r="E14" s="2934">
        <f>HLOOKUP($D$5,'Tablas Sheele'!$G$17:$N$25,'Tablas Sheele'!E23,)</f>
        <v>6</v>
      </c>
      <c r="F14" s="2235"/>
      <c r="G14" s="2920">
        <f>E14+'Tablas Sheele'!D23+F14</f>
        <v>6</v>
      </c>
      <c r="H14" s="514">
        <f>IF(G14&lt;1,0,VLOOKUP(G14,Tablas!$C$14:$D$33,2))</f>
        <v>5</v>
      </c>
      <c r="I14" s="2501"/>
      <c r="J14" s="5138">
        <f>MIN(20,VLOOKUP(G10,Tablas!C37:G65,2)+L16)</f>
        <v>0</v>
      </c>
      <c r="K14" s="5068" t="str">
        <f>IF(D5='Tablas Sheele'!C11,"5 PV / asalto",IF('Tablas Sheele'!F131&gt;0,"10 PV / asalto",INDEX(Tablas!I38:I65,M9)&amp;INDEX(Tabla_Regen,M9,4)))</f>
        <v>Ninguna</v>
      </c>
      <c r="L14" s="5069"/>
      <c r="M14" s="2501"/>
      <c r="N14" s="3447"/>
      <c r="O14" s="3453" t="s">
        <v>1416</v>
      </c>
      <c r="P14" s="3453"/>
      <c r="Q14" s="2897" t="str">
        <f>IF(HLOOKUP(Sheele!$D$5,'Tablas Sheele'!$C$29:$K$86,'Tablas Sheele'!B34,FALSE)=0,"",HLOOKUP(Sheele!$D$5,'Tablas Sheele'!$C$29:$K$86,'Tablas Sheele'!B34,FALSE)+IF($X$8&gt;0,40+20*($X$8-1),0)+V14)</f>
        <v/>
      </c>
      <c r="R14" s="2239"/>
      <c r="S14" s="467">
        <f>IF(W14,IF(OR(Principal!Q26="-",X14&lt;0),"-",MIN(Principal!Q26,X14)),X14)</f>
        <v>-30</v>
      </c>
      <c r="T14" s="2031"/>
      <c r="U14" s="2029"/>
      <c r="V14" s="3100"/>
      <c r="W14" s="3100"/>
      <c r="X14" s="3100">
        <f t="shared" si="0"/>
        <v>-30</v>
      </c>
    </row>
    <row r="15" spans="1:24" ht="12" customHeight="1" x14ac:dyDescent="0.2">
      <c r="A15" s="330"/>
      <c r="B15" s="344"/>
      <c r="C15" s="5062"/>
      <c r="D15" s="343" t="s">
        <v>1391</v>
      </c>
      <c r="E15" s="1713">
        <f>HLOOKUP($D$5,'Tablas Sheele'!$G$17:$N$25,'Tablas Sheele'!E24,)</f>
        <v>8</v>
      </c>
      <c r="F15" s="2236"/>
      <c r="G15" s="2920">
        <f>E15+'Tablas Sheele'!D24+F15</f>
        <v>8</v>
      </c>
      <c r="H15" s="514">
        <f>IF(G15&lt;1,0,VLOOKUP(G15,Tablas!$C$14:$D$33,2))</f>
        <v>10</v>
      </c>
      <c r="I15" s="2501"/>
      <c r="J15" s="5139"/>
      <c r="K15" s="5041" t="str">
        <f>VLOOKUP(J14,Tablas!D38:G65,4)</f>
        <v>Ninguna</v>
      </c>
      <c r="L15" s="5042"/>
      <c r="M15" s="2501"/>
      <c r="N15" s="3447"/>
      <c r="O15" s="3453" t="s">
        <v>1419</v>
      </c>
      <c r="P15" s="3453"/>
      <c r="Q15" s="2897" t="str">
        <f>IF(HLOOKUP(Sheele!$D$5,'Tablas Sheele'!$C$29:$K$86,'Tablas Sheele'!B35,FALSE)=0,"",HLOOKUP(Sheele!$D$5,'Tablas Sheele'!$C$29:$K$86,'Tablas Sheele'!B35,FALSE)+IF($X$8&gt;0,40+20*($X$8-1),0)+V15)</f>
        <v/>
      </c>
      <c r="R15" s="2239"/>
      <c r="S15" s="467">
        <f>IF(W15,IF(OR(Principal!Q27="-",X15&lt;0),"-",MIN(Principal!Q27,X15)),X15)</f>
        <v>-30</v>
      </c>
      <c r="T15" s="2031"/>
      <c r="U15" s="2029"/>
      <c r="V15" s="3100"/>
      <c r="W15" s="3100"/>
      <c r="X15" s="3100">
        <f t="shared" si="0"/>
        <v>-30</v>
      </c>
    </row>
    <row r="16" spans="1:24" ht="12" customHeight="1" thickBot="1" x14ac:dyDescent="0.25">
      <c r="A16" s="330"/>
      <c r="B16" s="344"/>
      <c r="C16" s="5063"/>
      <c r="D16" s="345" t="s">
        <v>1392</v>
      </c>
      <c r="E16" s="2936">
        <f>HLOOKUP($D$5,'Tablas Sheele'!$G$17:$N$25,'Tablas Sheele'!E25,)</f>
        <v>6</v>
      </c>
      <c r="F16" s="2237"/>
      <c r="G16" s="346">
        <f>E16+'Tablas Sheele'!D25+F16</f>
        <v>6</v>
      </c>
      <c r="H16" s="2906">
        <f>IF(G16&lt;1,0,VLOOKUP(G16,Tablas!$C$14:$D$33,2))</f>
        <v>5</v>
      </c>
      <c r="I16" s="2501"/>
      <c r="J16" s="3491" t="s">
        <v>1379</v>
      </c>
      <c r="K16" s="3492"/>
      <c r="L16" s="2282"/>
      <c r="M16" s="2501"/>
      <c r="N16" s="3448"/>
      <c r="O16" s="4987" t="s">
        <v>6278</v>
      </c>
      <c r="P16" s="4988"/>
      <c r="Q16" s="2937" t="str">
        <f>IF(HLOOKUP(Sheele!$D$5,'Tablas Sheele'!$C$29:$K$86,'Tablas Sheele'!B36,FALSE)=0,"",HLOOKUP(Sheele!$D$5,'Tablas Sheele'!$C$29:$K$86,'Tablas Sheele'!B36,FALSE)+IF($X$8&gt;0,40+20*($X$8-1),0)+V16)</f>
        <v/>
      </c>
      <c r="R16" s="2240"/>
      <c r="S16" s="2938">
        <f>IF(W16,IF(OR(Principal!Q28="-",X16&lt;0),"-",MIN(Principal!Q28,X16)),X16)</f>
        <v>-30</v>
      </c>
      <c r="T16" s="2031"/>
      <c r="U16" s="2029"/>
      <c r="V16" s="3100"/>
      <c r="W16" s="3100"/>
      <c r="X16" s="3100">
        <f t="shared" si="0"/>
        <v>-30</v>
      </c>
    </row>
    <row r="17" spans="1:24" ht="12" customHeight="1" thickBot="1" x14ac:dyDescent="0.25">
      <c r="A17" s="330"/>
      <c r="B17" s="344"/>
      <c r="C17" s="2501"/>
      <c r="D17" s="2501"/>
      <c r="E17" s="2501"/>
      <c r="F17" s="2501"/>
      <c r="G17" s="2501"/>
      <c r="H17" s="2501"/>
      <c r="I17" s="2501"/>
      <c r="J17" s="2501"/>
      <c r="K17" s="2501"/>
      <c r="L17" s="2501"/>
      <c r="M17" s="2501"/>
      <c r="N17" s="3447" t="s">
        <v>1422</v>
      </c>
      <c r="O17" s="3453" t="s">
        <v>1423</v>
      </c>
      <c r="P17" s="3453"/>
      <c r="Q17" s="2897" t="str">
        <f>IF(HLOOKUP(Sheele!$D$5,'Tablas Sheele'!$C$29:$K$86,'Tablas Sheele'!B37,FALSE)=0,"",HLOOKUP(Sheele!$D$5,'Tablas Sheele'!$C$29:$K$86,'Tablas Sheele'!B37,FALSE)+IF($X$8&gt;0,40+20*($X$8-1),0)+V17)</f>
        <v/>
      </c>
      <c r="R17" s="2238"/>
      <c r="S17" s="467">
        <f>IF(W17,IF(OR(Principal!Q29="-",X17&lt;0),"-",MIN(Principal!Q29,X17)),X17)</f>
        <v>-30</v>
      </c>
      <c r="T17" s="2031"/>
      <c r="U17" s="2029"/>
      <c r="V17" s="3100"/>
      <c r="W17" s="3100"/>
      <c r="X17" s="3100">
        <f t="shared" si="0"/>
        <v>-30</v>
      </c>
    </row>
    <row r="18" spans="1:24" ht="12" customHeight="1" thickBot="1" x14ac:dyDescent="0.25">
      <c r="A18" s="330"/>
      <c r="B18" s="344"/>
      <c r="C18" s="3115" t="s">
        <v>8400</v>
      </c>
      <c r="D18" s="3116"/>
      <c r="E18" s="3116"/>
      <c r="F18" s="3116"/>
      <c r="G18" s="3116"/>
      <c r="H18" s="3117"/>
      <c r="I18" s="2501"/>
      <c r="J18" s="5043" t="s">
        <v>1387</v>
      </c>
      <c r="K18" s="5044"/>
      <c r="L18" s="5045"/>
      <c r="M18" s="2501"/>
      <c r="N18" s="3447"/>
      <c r="O18" s="3453" t="s">
        <v>1425</v>
      </c>
      <c r="P18" s="3453"/>
      <c r="Q18" s="2897" t="str">
        <f>IF(HLOOKUP(Sheele!$D$5,'Tablas Sheele'!$C$29:$K$86,'Tablas Sheele'!B38,FALSE)=0,"",HLOOKUP(Sheele!$D$5,'Tablas Sheele'!$C$29:$K$86,'Tablas Sheele'!B38,FALSE)+IF($X$8&gt;0,40+20*($X$8-1),0)+V18)</f>
        <v/>
      </c>
      <c r="R18" s="2239"/>
      <c r="S18" s="467">
        <f>IF(W18,IF(OR(Principal!Q30="-",X18&lt;0),"-",MIN(Principal!Q30,X18)),X18)</f>
        <v>-30</v>
      </c>
      <c r="T18" s="2031"/>
      <c r="U18" s="2029"/>
      <c r="V18" s="3100"/>
      <c r="W18" s="3100"/>
      <c r="X18" s="3100">
        <f t="shared" si="0"/>
        <v>-30</v>
      </c>
    </row>
    <row r="19" spans="1:24" ht="12" customHeight="1" x14ac:dyDescent="0.2">
      <c r="A19" s="330"/>
      <c r="B19" s="344"/>
      <c r="C19" s="3728" t="str">
        <f>INDEX(Tabla_Regen,MATCH($J$14,INDEX(Tabla_Regen,,2),0),6)</f>
        <v/>
      </c>
      <c r="D19" s="3729"/>
      <c r="E19" s="3729"/>
      <c r="F19" s="3729"/>
      <c r="G19" s="3729"/>
      <c r="H19" s="3730"/>
      <c r="I19" s="2501"/>
      <c r="J19" s="5036">
        <f>MIN(20,G9+L25)</f>
        <v>8</v>
      </c>
      <c r="K19" s="5039" t="s">
        <v>1577</v>
      </c>
      <c r="L19" s="5040"/>
      <c r="M19" s="2501"/>
      <c r="N19" s="3447"/>
      <c r="O19" s="3453" t="s">
        <v>1428</v>
      </c>
      <c r="P19" s="3453"/>
      <c r="Q19" s="2897" t="str">
        <f>IF(HLOOKUP(Sheele!$D$5,'Tablas Sheele'!$C$29:$K$86,'Tablas Sheele'!B39,FALSE)=0,"",HLOOKUP(Sheele!$D$5,'Tablas Sheele'!$C$29:$K$86,'Tablas Sheele'!B39,FALSE)+IF($X$8&gt;0,40+20*($X$8-1),0)+V19)</f>
        <v/>
      </c>
      <c r="R19" s="2239"/>
      <c r="S19" s="467">
        <f>IF(W19,IF(OR(Principal!Q31="-",X19&lt;0),"-",MIN(Principal!Q31,X19)),X19)</f>
        <v>-30</v>
      </c>
      <c r="T19" s="2031"/>
      <c r="U19" s="2029"/>
      <c r="V19" s="3100"/>
      <c r="W19" s="3100"/>
      <c r="X19" s="3100">
        <f t="shared" si="0"/>
        <v>-30</v>
      </c>
    </row>
    <row r="20" spans="1:24" ht="12" customHeight="1" thickBot="1" x14ac:dyDescent="0.25">
      <c r="A20" s="330"/>
      <c r="B20" s="344"/>
      <c r="C20" s="3731"/>
      <c r="D20" s="3732"/>
      <c r="E20" s="3732"/>
      <c r="F20" s="3732"/>
      <c r="G20" s="3732"/>
      <c r="H20" s="3733"/>
      <c r="I20" s="2501"/>
      <c r="J20" s="5036"/>
      <c r="K20" s="5037" t="str">
        <f>IF(J19&lt;1,"",VLOOKUP(J19,Tabla_TipoMovimiento,2,FALSE))</f>
        <v>28 m / asalto</v>
      </c>
      <c r="L20" s="5038"/>
      <c r="M20" s="2501"/>
      <c r="N20" s="3447"/>
      <c r="O20" s="3453" t="s">
        <v>1430</v>
      </c>
      <c r="P20" s="3453"/>
      <c r="Q20" s="2897" t="str">
        <f>IF(HLOOKUP(Sheele!$D$5,'Tablas Sheele'!$C$29:$K$86,'Tablas Sheele'!B40,FALSE)=0,"",HLOOKUP(Sheele!$D$5,'Tablas Sheele'!$C$29:$K$86,'Tablas Sheele'!B40,FALSE)+IF($X$8&gt;0,40+20*($X$8-1),0)+V20)</f>
        <v/>
      </c>
      <c r="R20" s="2239"/>
      <c r="S20" s="467">
        <f>IF(W20,IF(OR(Principal!Q32="-",X20&lt;0),"-",MIN(Principal!Q32,X20)),X20)</f>
        <v>-30</v>
      </c>
      <c r="T20" s="2031"/>
      <c r="U20" s="2029"/>
      <c r="V20" s="3100"/>
      <c r="W20" s="3100"/>
      <c r="X20" s="3100">
        <f t="shared" si="0"/>
        <v>-30</v>
      </c>
    </row>
    <row r="21" spans="1:24" ht="12" customHeight="1" thickBot="1" x14ac:dyDescent="0.25">
      <c r="A21" s="330"/>
      <c r="B21" s="335"/>
      <c r="C21" s="2501"/>
      <c r="D21" s="2501"/>
      <c r="E21" s="2501"/>
      <c r="F21" s="2501"/>
      <c r="G21" s="2501"/>
      <c r="H21" s="2501"/>
      <c r="I21" s="2501"/>
      <c r="J21" s="5046">
        <f>MIN(20,IF('Tablas Sheele'!F116&gt;0,14,VLOOKUP(C69,'Tablas Sheele'!C203:M242,10,FALSE))+L25)</f>
        <v>10</v>
      </c>
      <c r="K21" s="5034" t="s">
        <v>1626</v>
      </c>
      <c r="L21" s="5035"/>
      <c r="M21" s="2501"/>
      <c r="N21" s="3447"/>
      <c r="O21" s="3453" t="s">
        <v>816</v>
      </c>
      <c r="P21" s="3453"/>
      <c r="Q21" s="2897" t="str">
        <f>IF(HLOOKUP(Sheele!$D$5,'Tablas Sheele'!$C$29:$K$86,'Tablas Sheele'!B41,FALSE)=0,"",HLOOKUP(Sheele!$D$5,'Tablas Sheele'!$C$29:$K$86,'Tablas Sheele'!B41,FALSE)+IF($X$8&gt;0,40+20*($X$8-1),0)+V21)</f>
        <v/>
      </c>
      <c r="R21" s="2239"/>
      <c r="S21" s="467">
        <f>IF(W21,IF(OR(Principal!Q33="-",X21&lt;0),"-",MIN(Principal!Q33,X21)),X21)</f>
        <v>-30</v>
      </c>
      <c r="T21" s="2031"/>
      <c r="U21" s="2029"/>
      <c r="V21" s="3100"/>
      <c r="W21" s="3100"/>
      <c r="X21" s="3100">
        <f t="shared" si="0"/>
        <v>-30</v>
      </c>
    </row>
    <row r="22" spans="1:24" ht="12" customHeight="1" x14ac:dyDescent="0.2">
      <c r="A22" s="330"/>
      <c r="B22" s="335"/>
      <c r="C22" s="5172" t="s">
        <v>2809</v>
      </c>
      <c r="D22" s="5173"/>
      <c r="E22" s="5173"/>
      <c r="F22" s="5173"/>
      <c r="G22" s="5173"/>
      <c r="H22" s="4993">
        <f>IF(F5='Tablas Sheele'!L4,0,$N$4+IF($F$5='Tablas Sheele'!L6,2,0)+IF(Tablas!G392&gt;0,2,0)-COUNTIF(C24:H35,"*")-SUM($F$36:$F$39,$H$36:$H$39))</f>
        <v>0</v>
      </c>
      <c r="I22" s="2501"/>
      <c r="J22" s="5047"/>
      <c r="K22" s="5037" t="str">
        <f>IF(J21&lt;1,"",VLOOKUP(J21,Tabla_TipoMovimiento,2,FALSE))</f>
        <v>35 m / asalto</v>
      </c>
      <c r="L22" s="5038"/>
      <c r="M22" s="2501"/>
      <c r="N22" s="3447"/>
      <c r="O22" s="3453" t="s">
        <v>817</v>
      </c>
      <c r="P22" s="3453"/>
      <c r="Q22" s="2897" t="str">
        <f>IF(HLOOKUP(Sheele!$D$5,'Tablas Sheele'!$C$29:$K$86,'Tablas Sheele'!B42,FALSE)=0,"",HLOOKUP(Sheele!$D$5,'Tablas Sheele'!$C$29:$K$86,'Tablas Sheele'!B42,FALSE)+IF($X$8&gt;0,40+20*($X$8-1),0)+V22)</f>
        <v/>
      </c>
      <c r="R22" s="2239"/>
      <c r="S22" s="467">
        <f>IF(W22,IF(OR(Principal!Q34="-",X22&lt;0),"-",MIN(Principal!Q34,X22)),X22)</f>
        <v>-30</v>
      </c>
      <c r="T22" s="2031"/>
      <c r="U22" s="2029"/>
      <c r="V22" s="3100"/>
      <c r="W22" s="3100"/>
      <c r="X22" s="3100">
        <f t="shared" si="0"/>
        <v>-30</v>
      </c>
    </row>
    <row r="23" spans="1:24" ht="12" customHeight="1" x14ac:dyDescent="0.2">
      <c r="A23" s="330"/>
      <c r="B23" s="335"/>
      <c r="C23" s="5174"/>
      <c r="D23" s="5175"/>
      <c r="E23" s="5175"/>
      <c r="F23" s="5175"/>
      <c r="G23" s="5175"/>
      <c r="H23" s="4994"/>
      <c r="I23" s="2501"/>
      <c r="J23" s="5046" t="str">
        <f>IF('Tablas Sheele'!F127&gt;0,MIN(20,15+L25),IF(D5='Tablas Sheele'!C6,MIN(20,10+L25),IF('Tablas Sheele'!F152&gt;0,J19,"-")))</f>
        <v>-</v>
      </c>
      <c r="K23" s="5034" t="str">
        <f>IF(D5='Tablas Sheele'!C6,"Acuático",IF('Tablas Sheele'!F152&gt;0,"Subterráneo","Otros"))</f>
        <v>Otros</v>
      </c>
      <c r="L23" s="5035"/>
      <c r="M23" s="2501"/>
      <c r="N23" s="3447"/>
      <c r="O23" s="4987" t="s">
        <v>818</v>
      </c>
      <c r="P23" s="4988"/>
      <c r="Q23" s="2937" t="str">
        <f>IF(HLOOKUP(Sheele!$D$5,'Tablas Sheele'!$C$29:$K$86,'Tablas Sheele'!B43,FALSE)=0,"",HLOOKUP(Sheele!$D$5,'Tablas Sheele'!$C$29:$K$86,'Tablas Sheele'!B43,FALSE)+IF($X$8&gt;0,40+20*($X$8-1),0)+V23)</f>
        <v/>
      </c>
      <c r="R23" s="2241"/>
      <c r="S23" s="2938">
        <f>IF(W23,IF(OR(Principal!Q35="-",X23&lt;0),"-",MIN(Principal!Q35,X23)),X23)</f>
        <v>-30</v>
      </c>
      <c r="T23" s="2031"/>
      <c r="U23" s="2029"/>
      <c r="V23" s="3100"/>
      <c r="W23" s="3100"/>
      <c r="X23" s="3100">
        <f t="shared" si="0"/>
        <v>-30</v>
      </c>
    </row>
    <row r="24" spans="1:24" ht="12" customHeight="1" x14ac:dyDescent="0.2">
      <c r="A24" s="330"/>
      <c r="B24" s="335"/>
      <c r="C24" s="5018"/>
      <c r="D24" s="5019"/>
      <c r="E24" s="5019"/>
      <c r="F24" s="5134"/>
      <c r="G24" s="5019"/>
      <c r="H24" s="5135"/>
      <c r="I24" s="2501"/>
      <c r="J24" s="5047"/>
      <c r="K24" s="5037" t="str">
        <f>IF(J23="-","-",VLOOKUP(J23,Tabla_TipoMovimiento,2,FALSE))</f>
        <v>-</v>
      </c>
      <c r="L24" s="5038"/>
      <c r="M24" s="2501"/>
      <c r="N24" s="3446" t="s">
        <v>1431</v>
      </c>
      <c r="O24" s="3453" t="s">
        <v>1432</v>
      </c>
      <c r="P24" s="3453"/>
      <c r="Q24" s="2897">
        <f>IF(HLOOKUP(Sheele!$D$5,'Tablas Sheele'!$C$29:$K$86,'Tablas Sheele'!B44,FALSE)=0,"",HLOOKUP(Sheele!$D$5,'Tablas Sheele'!$C$29:$K$86,'Tablas Sheele'!B44,FALSE)+IF($X$8&gt;0,40+20*($X$8-1),0)+V24)</f>
        <v>30</v>
      </c>
      <c r="R24" s="2238"/>
      <c r="S24" s="467">
        <f>IF(W24,IF(OR(Principal!Q36="-",X24&lt;0),"-",MIN(Principal!Q36,X24)),X24)</f>
        <v>30</v>
      </c>
      <c r="T24" s="2031"/>
      <c r="U24" s="2029"/>
      <c r="V24" s="3101">
        <f>IF('Tablas Sheele'!$F$160&gt;0,100,0)</f>
        <v>0</v>
      </c>
      <c r="W24" s="3100"/>
      <c r="X24" s="3100">
        <f t="shared" si="0"/>
        <v>30</v>
      </c>
    </row>
    <row r="25" spans="1:24" ht="12" customHeight="1" thickBot="1" x14ac:dyDescent="0.25">
      <c r="A25" s="330"/>
      <c r="B25" s="335"/>
      <c r="C25" s="5020"/>
      <c r="D25" s="5021"/>
      <c r="E25" s="5022"/>
      <c r="F25" s="5136"/>
      <c r="G25" s="5021"/>
      <c r="H25" s="5137"/>
      <c r="I25" s="2349"/>
      <c r="J25" s="3491" t="s">
        <v>1379</v>
      </c>
      <c r="K25" s="3492"/>
      <c r="L25" s="2282"/>
      <c r="M25" s="2501"/>
      <c r="N25" s="3447"/>
      <c r="O25" s="3453" t="s">
        <v>1433</v>
      </c>
      <c r="P25" s="3453"/>
      <c r="Q25" s="2897">
        <f>IF(HLOOKUP(Sheele!$D$5,'Tablas Sheele'!$C$29:$K$86,'Tablas Sheele'!B45,FALSE)=0,"",HLOOKUP(Sheele!$D$5,'Tablas Sheele'!$C$29:$K$86,'Tablas Sheele'!B45,FALSE)+IF($X$8&gt;0,40+20*($X$8-1),0)+V25)</f>
        <v>10</v>
      </c>
      <c r="R25" s="2239"/>
      <c r="S25" s="467">
        <f>IF(W25,IF(OR(Principal!Q37="-",X25&lt;0),"-",MIN(Principal!Q37,X25)),X25)</f>
        <v>10</v>
      </c>
      <c r="T25" s="2031"/>
      <c r="U25" s="2029"/>
      <c r="V25" s="3101">
        <f>IF('Tablas Sheele'!$F$160&gt;0,100,0)</f>
        <v>0</v>
      </c>
      <c r="W25" s="3100"/>
      <c r="X25" s="3100">
        <f t="shared" si="0"/>
        <v>10</v>
      </c>
    </row>
    <row r="26" spans="1:24" ht="12" customHeight="1" thickBot="1" x14ac:dyDescent="0.25">
      <c r="A26" s="330"/>
      <c r="B26" s="335"/>
      <c r="C26" s="5020"/>
      <c r="D26" s="5021"/>
      <c r="E26" s="5022"/>
      <c r="F26" s="5136"/>
      <c r="G26" s="5021"/>
      <c r="H26" s="5137"/>
      <c r="I26" s="2349"/>
      <c r="J26" s="2501"/>
      <c r="K26" s="2501"/>
      <c r="L26" s="2501"/>
      <c r="M26" s="2501"/>
      <c r="N26" s="3448"/>
      <c r="O26" s="4987" t="s">
        <v>1434</v>
      </c>
      <c r="P26" s="4988"/>
      <c r="Q26" s="2937" t="str">
        <f>IF(HLOOKUP(Sheele!$D$5,'Tablas Sheele'!$C$29:$K$86,'Tablas Sheele'!B46,FALSE)=0,"",HLOOKUP(Sheele!$D$5,'Tablas Sheele'!$C$29:$K$86,'Tablas Sheele'!B46,FALSE)+IF($X$8&gt;0,40+20*($X$8-1),0)+V26)</f>
        <v/>
      </c>
      <c r="R26" s="2240"/>
      <c r="S26" s="2938">
        <f>IF(W26,IF(OR(Principal!Q38="-",X26&lt;0),"-",MIN(Principal!Q38,X26)),X26)</f>
        <v>-30</v>
      </c>
      <c r="T26" s="2031"/>
      <c r="U26" s="2029"/>
      <c r="V26" s="3100"/>
      <c r="W26" s="3100"/>
      <c r="X26" s="3100">
        <f t="shared" si="0"/>
        <v>-30</v>
      </c>
    </row>
    <row r="27" spans="1:24" ht="12" customHeight="1" x14ac:dyDescent="0.2">
      <c r="A27" s="330"/>
      <c r="B27" s="335"/>
      <c r="C27" s="5020"/>
      <c r="D27" s="5021"/>
      <c r="E27" s="5022"/>
      <c r="F27" s="5136"/>
      <c r="G27" s="5021"/>
      <c r="H27" s="5137"/>
      <c r="I27" s="2349"/>
      <c r="J27" s="5023" t="s">
        <v>10011</v>
      </c>
      <c r="K27" s="347" t="s">
        <v>1558</v>
      </c>
      <c r="L27" s="2939">
        <f>25+5*N4</f>
        <v>25</v>
      </c>
      <c r="M27" s="2501"/>
      <c r="N27" s="3447" t="s">
        <v>1435</v>
      </c>
      <c r="O27" s="3453" t="s">
        <v>1436</v>
      </c>
      <c r="P27" s="3453"/>
      <c r="Q27" s="2897" t="str">
        <f>IF(HLOOKUP(Sheele!$D$5,'Tablas Sheele'!$C$29:$K$86,'Tablas Sheele'!B47,FALSE)=0,"",HLOOKUP(Sheele!$D$5,'Tablas Sheele'!$C$29:$K$86,'Tablas Sheele'!B47,FALSE)+IF($X$8&gt;0,40+20*($X$8-1),0)+V27)</f>
        <v/>
      </c>
      <c r="R27" s="2242"/>
      <c r="S27" s="467">
        <f>IF(W27,IF(OR(Principal!Q39="-",X27&lt;0),"-",MIN(Principal!Q39,X27)),X27)</f>
        <v>-30</v>
      </c>
      <c r="T27" s="2031"/>
      <c r="U27" s="2029"/>
      <c r="V27" s="3100"/>
      <c r="W27" s="3100"/>
      <c r="X27" s="3100">
        <f t="shared" si="0"/>
        <v>-30</v>
      </c>
    </row>
    <row r="28" spans="1:24" ht="12" customHeight="1" x14ac:dyDescent="0.2">
      <c r="A28" s="330"/>
      <c r="B28" s="335"/>
      <c r="C28" s="5020"/>
      <c r="D28" s="5021"/>
      <c r="E28" s="5022"/>
      <c r="F28" s="5136"/>
      <c r="G28" s="5021"/>
      <c r="H28" s="5137"/>
      <c r="I28" s="2349"/>
      <c r="J28" s="5024"/>
      <c r="K28" s="2474" t="s">
        <v>1459</v>
      </c>
      <c r="L28" s="348">
        <f>Principal!J58-Principal!I58+IF('Tablas Sheele'!F$164&gt;0,50,0)</f>
        <v>20</v>
      </c>
      <c r="M28" s="2501"/>
      <c r="N28" s="3447"/>
      <c r="O28" s="3453" t="str">
        <f>IF($D$5='Tablas Sheele'!$C$8,"Ciencia (geología)","Ciencia")</f>
        <v>Ciencia</v>
      </c>
      <c r="P28" s="3453"/>
      <c r="Q28" s="2897" t="str">
        <f>IF(HLOOKUP(Sheele!$D$5,'Tablas Sheele'!$C$29:$K$86,'Tablas Sheele'!B48,FALSE)=0,"",HLOOKUP(Sheele!$D$5,'Tablas Sheele'!$C$29:$K$86,'Tablas Sheele'!B48,FALSE)+IF($X$8&gt;0,40+20*($X$8-1),0)+V28)</f>
        <v/>
      </c>
      <c r="R28" s="2239"/>
      <c r="S28" s="467" t="str">
        <f>IF(W28,IF(OR(Principal!Q40="-",X28&lt;0),"-",MIN(Principal!Q40,X28)),X28)</f>
        <v>-</v>
      </c>
      <c r="T28" s="2031"/>
      <c r="U28" s="2029"/>
      <c r="V28" s="3100"/>
      <c r="W28" s="3100">
        <v>1</v>
      </c>
      <c r="X28" s="3100">
        <f t="shared" si="0"/>
        <v>-30</v>
      </c>
    </row>
    <row r="29" spans="1:24" ht="12" customHeight="1" x14ac:dyDescent="0.2">
      <c r="A29" s="330"/>
      <c r="B29" s="335"/>
      <c r="C29" s="5020"/>
      <c r="D29" s="5021"/>
      <c r="E29" s="5022"/>
      <c r="F29" s="5136"/>
      <c r="G29" s="5021"/>
      <c r="H29" s="5137"/>
      <c r="I29" s="2349"/>
      <c r="J29" s="5024"/>
      <c r="K29" s="2474" t="s">
        <v>1461</v>
      </c>
      <c r="L29" s="348">
        <f>Principal!J59-Principal!I59+IF('Tablas Sheele'!F$164&gt;0,50,0)</f>
        <v>20</v>
      </c>
      <c r="M29" s="2501"/>
      <c r="N29" s="3447"/>
      <c r="O29" s="3453" t="s">
        <v>2567</v>
      </c>
      <c r="P29" s="3453"/>
      <c r="Q29" s="2897" t="str">
        <f>IF(HLOOKUP(Sheele!$D$5,'Tablas Sheele'!$C$29:$K$86,'Tablas Sheele'!B49,FALSE)=0,"",HLOOKUP(Sheele!$D$5,'Tablas Sheele'!$C$29:$K$86,'Tablas Sheele'!B49,FALSE)+IF($X$8&gt;0,40+20*($X$8-1),0)+V29)</f>
        <v/>
      </c>
      <c r="R29" s="2239"/>
      <c r="S29" s="467">
        <f>IF(W29,IF(OR(Principal!Q41="-",X29&lt;0),"-",MIN(Principal!Q41,X29)),X29)</f>
        <v>-30</v>
      </c>
      <c r="T29" s="2031"/>
      <c r="U29" s="2029"/>
      <c r="V29" s="3100"/>
      <c r="W29" s="3100"/>
      <c r="X29" s="3100">
        <f t="shared" si="0"/>
        <v>-30</v>
      </c>
    </row>
    <row r="30" spans="1:24" ht="12" customHeight="1" x14ac:dyDescent="0.2">
      <c r="A30" s="330"/>
      <c r="B30" s="335"/>
      <c r="C30" s="5020"/>
      <c r="D30" s="5021"/>
      <c r="E30" s="5022"/>
      <c r="F30" s="5136"/>
      <c r="G30" s="5021"/>
      <c r="H30" s="5137"/>
      <c r="I30" s="2349"/>
      <c r="J30" s="5024"/>
      <c r="K30" s="2474" t="s">
        <v>1463</v>
      </c>
      <c r="L30" s="348">
        <f>Principal!J60-Principal!I60+IF('Tablas Sheele'!F$164&gt;0,50,0)</f>
        <v>20</v>
      </c>
      <c r="M30" s="2501"/>
      <c r="N30" s="3447"/>
      <c r="O30" s="3453" t="s">
        <v>1438</v>
      </c>
      <c r="P30" s="3453"/>
      <c r="Q30" s="2897" t="str">
        <f>IF(HLOOKUP(Sheele!$D$5,'Tablas Sheele'!$C$29:$K$86,'Tablas Sheele'!B50,FALSE)=0,"",HLOOKUP(Sheele!$D$5,'Tablas Sheele'!$C$29:$K$86,'Tablas Sheele'!B50,FALSE)+IF($X$8&gt;0,40+20*($X$8-1),0)+V30)</f>
        <v/>
      </c>
      <c r="R30" s="2239"/>
      <c r="S30" s="467">
        <f>IF(W30,IF(OR(Principal!Q42="-",X30&lt;0),"-",MIN(Principal!Q42,X30)),X30)</f>
        <v>-30</v>
      </c>
      <c r="T30" s="2031"/>
      <c r="U30" s="2029"/>
      <c r="V30" s="3100"/>
      <c r="W30" s="3100"/>
      <c r="X30" s="3100">
        <f t="shared" si="0"/>
        <v>-30</v>
      </c>
    </row>
    <row r="31" spans="1:24" ht="12" customHeight="1" x14ac:dyDescent="0.2">
      <c r="A31" s="330"/>
      <c r="B31" s="335"/>
      <c r="C31" s="5020"/>
      <c r="D31" s="5021"/>
      <c r="E31" s="5022"/>
      <c r="F31" s="5136"/>
      <c r="G31" s="5021"/>
      <c r="H31" s="5137"/>
      <c r="I31" s="2349"/>
      <c r="J31" s="5024"/>
      <c r="K31" s="2474" t="s">
        <v>1465</v>
      </c>
      <c r="L31" s="348">
        <f>Principal!J61-Principal!I61+IF('Tablas Sheele'!F$164&gt;0,50,0)</f>
        <v>20</v>
      </c>
      <c r="M31" s="2501"/>
      <c r="N31" s="3447"/>
      <c r="O31" s="3453" t="s">
        <v>1440</v>
      </c>
      <c r="P31" s="3453"/>
      <c r="Q31" s="2897" t="str">
        <f>IF(HLOOKUP(Sheele!$D$5,'Tablas Sheele'!$C$29:$K$86,'Tablas Sheele'!B51,FALSE)=0,"",HLOOKUP(Sheele!$D$5,'Tablas Sheele'!$C$29:$K$86,'Tablas Sheele'!B51,FALSE)+IF($X$8&gt;0,40+20*($X$8-1),0)+V31)</f>
        <v/>
      </c>
      <c r="R31" s="2239"/>
      <c r="S31" s="467" t="str">
        <f>IF(W31,IF(OR(Principal!Q43="-",X31&lt;0),"-",MIN(Principal!Q43,X31)),X31)</f>
        <v>-</v>
      </c>
      <c r="T31" s="2032"/>
      <c r="U31" s="2029"/>
      <c r="V31" s="3100"/>
      <c r="W31" s="3100">
        <v>1</v>
      </c>
      <c r="X31" s="3100">
        <f t="shared" si="0"/>
        <v>-30</v>
      </c>
    </row>
    <row r="32" spans="1:24" ht="12" customHeight="1" thickBot="1" x14ac:dyDescent="0.25">
      <c r="A32" s="330"/>
      <c r="B32" s="335"/>
      <c r="C32" s="5020"/>
      <c r="D32" s="5021"/>
      <c r="E32" s="5022"/>
      <c r="F32" s="5136"/>
      <c r="G32" s="5021"/>
      <c r="H32" s="5137"/>
      <c r="I32" s="2349"/>
      <c r="J32" s="5025"/>
      <c r="K32" s="2475" t="s">
        <v>1467</v>
      </c>
      <c r="L32" s="2940">
        <f>Principal!J62-Principal!I62+IF('Tablas Sheele'!F$164&gt;0,50,0)</f>
        <v>20</v>
      </c>
      <c r="M32" s="2501"/>
      <c r="N32" s="3447"/>
      <c r="O32" s="3453" t="s">
        <v>819</v>
      </c>
      <c r="P32" s="3453"/>
      <c r="Q32" s="2897" t="str">
        <f>IF(HLOOKUP(Sheele!$D$5,'Tablas Sheele'!$C$29:$K$86,'Tablas Sheele'!B52,FALSE)=0,"",HLOOKUP(Sheele!$D$5,'Tablas Sheele'!$C$29:$K$86,'Tablas Sheele'!B52,FALSE)+IF($X$8&gt;0,40+20*($X$8-1),0)+V32)</f>
        <v/>
      </c>
      <c r="R32" s="2239"/>
      <c r="S32" s="467">
        <f>IF(W32,IF(OR(Principal!Q44="-",X32&lt;0),"-",MIN(Principal!Q44,X32)),X32)</f>
        <v>-30</v>
      </c>
      <c r="T32" s="2031"/>
      <c r="U32" s="2029"/>
      <c r="V32" s="3100"/>
      <c r="W32" s="3100"/>
      <c r="X32" s="3100">
        <f t="shared" si="0"/>
        <v>-30</v>
      </c>
    </row>
    <row r="33" spans="1:24" ht="12" customHeight="1" thickBot="1" x14ac:dyDescent="0.25">
      <c r="A33" s="330"/>
      <c r="B33" s="335"/>
      <c r="C33" s="5020"/>
      <c r="D33" s="5021"/>
      <c r="E33" s="5022"/>
      <c r="F33" s="5136"/>
      <c r="G33" s="5021"/>
      <c r="H33" s="5137"/>
      <c r="I33" s="2349"/>
      <c r="J33" s="2501"/>
      <c r="K33" s="2501"/>
      <c r="L33" s="2501"/>
      <c r="M33" s="2501"/>
      <c r="N33" s="3447"/>
      <c r="O33" s="3453" t="s">
        <v>1443</v>
      </c>
      <c r="P33" s="3453"/>
      <c r="Q33" s="2897" t="str">
        <f>IF(HLOOKUP(Sheele!$D$5,'Tablas Sheele'!$C$29:$K$86,'Tablas Sheele'!B53,FALSE)=0,"",HLOOKUP(Sheele!$D$5,'Tablas Sheele'!$C$29:$K$86,'Tablas Sheele'!B53,FALSE)+IF($X$8&gt;0,40+20*($X$8-1),0)+V33)</f>
        <v/>
      </c>
      <c r="R33" s="2239"/>
      <c r="S33" s="467" t="str">
        <f>IF(W33,IF(OR(Principal!Q45="-",X33&lt;0),"-",MIN(Principal!Q45,X33)),X33)</f>
        <v>-</v>
      </c>
      <c r="T33" s="2031"/>
      <c r="U33" s="2029"/>
      <c r="V33" s="3100"/>
      <c r="W33" s="3100">
        <v>1</v>
      </c>
      <c r="X33" s="3100">
        <f t="shared" si="0"/>
        <v>-30</v>
      </c>
    </row>
    <row r="34" spans="1:24" ht="12" customHeight="1" x14ac:dyDescent="0.2">
      <c r="A34" s="330"/>
      <c r="B34" s="350"/>
      <c r="C34" s="5179"/>
      <c r="D34" s="5180"/>
      <c r="E34" s="5181"/>
      <c r="F34" s="5136"/>
      <c r="G34" s="5021"/>
      <c r="H34" s="5137"/>
      <c r="I34" s="2349"/>
      <c r="J34" s="5078" t="s">
        <v>2812</v>
      </c>
      <c r="K34" s="5079"/>
      <c r="L34" s="5080"/>
      <c r="M34" s="2501"/>
      <c r="N34" s="3447"/>
      <c r="O34" s="3453" t="s">
        <v>1444</v>
      </c>
      <c r="P34" s="3453"/>
      <c r="Q34" s="2897" t="str">
        <f>IF(HLOOKUP(Sheele!$D$5,'Tablas Sheele'!$C$29:$K$86,'Tablas Sheele'!B54,FALSE)=0,"",HLOOKUP(Sheele!$D$5,'Tablas Sheele'!$C$29:$K$86,'Tablas Sheele'!B54,FALSE)+IF($X$8&gt;0,40+20*($X$8-1),0)+V34)</f>
        <v/>
      </c>
      <c r="R34" s="2239"/>
      <c r="S34" s="467">
        <f>IF(W34,IF(OR(Principal!Q46="-",X34&lt;0),"-",MIN(Principal!Q46,X34)),X34)</f>
        <v>-30</v>
      </c>
      <c r="T34" s="2031"/>
      <c r="U34" s="2029"/>
      <c r="V34" s="3100"/>
      <c r="W34" s="3100"/>
      <c r="X34" s="3100">
        <f t="shared" si="0"/>
        <v>-30</v>
      </c>
    </row>
    <row r="35" spans="1:24" ht="12" customHeight="1" x14ac:dyDescent="0.2">
      <c r="A35" s="330"/>
      <c r="B35" s="350"/>
      <c r="C35" s="5115"/>
      <c r="D35" s="5116"/>
      <c r="E35" s="5117"/>
      <c r="F35" s="5140"/>
      <c r="G35" s="5141"/>
      <c r="H35" s="5142"/>
      <c r="I35" s="2349"/>
      <c r="J35" s="5081" t="s">
        <v>10012</v>
      </c>
      <c r="K35" s="5082"/>
      <c r="L35" s="5083"/>
      <c r="M35" s="2501"/>
      <c r="N35" s="3447"/>
      <c r="O35" s="3453" t="s">
        <v>1445</v>
      </c>
      <c r="P35" s="3453"/>
      <c r="Q35" s="2897" t="str">
        <f>IF(HLOOKUP(Sheele!$D$5,'Tablas Sheele'!$C$29:$K$86,'Tablas Sheele'!B55,FALSE)=0,"",HLOOKUP(Sheele!$D$5,'Tablas Sheele'!$C$29:$K$86,'Tablas Sheele'!B55,FALSE)+IF($X$8&gt;0,40+20*($X$8-1),0)+V35)</f>
        <v/>
      </c>
      <c r="R35" s="2239"/>
      <c r="S35" s="467">
        <f>IF(W35,IF(OR(Principal!Q47="-",X35&lt;0),"-",MIN(Principal!Q47,X35)),X35)</f>
        <v>-30</v>
      </c>
      <c r="T35" s="2031"/>
      <c r="U35" s="2029"/>
      <c r="V35" s="3100"/>
      <c r="W35" s="3100"/>
      <c r="X35" s="3100">
        <f t="shared" si="0"/>
        <v>-30</v>
      </c>
    </row>
    <row r="36" spans="1:24" ht="12" customHeight="1" x14ac:dyDescent="0.2">
      <c r="A36" s="330"/>
      <c r="B36" s="350"/>
      <c r="C36" s="5166" t="s">
        <v>2814</v>
      </c>
      <c r="D36" s="5167"/>
      <c r="E36" s="2476" t="s">
        <v>1373</v>
      </c>
      <c r="F36" s="2434"/>
      <c r="G36" s="2444" t="s">
        <v>1386</v>
      </c>
      <c r="H36" s="2899"/>
      <c r="I36" s="2349"/>
      <c r="J36" s="5084">
        <f>20+10*ROUNDDOWN(Controlar_final/50,0)+MIN(100,25*'Tablas Sheele'!F108)</f>
        <v>20</v>
      </c>
      <c r="K36" s="5085"/>
      <c r="L36" s="5086"/>
      <c r="M36" s="2501"/>
      <c r="N36" s="3447"/>
      <c r="O36" s="3453" t="s">
        <v>1446</v>
      </c>
      <c r="P36" s="3453"/>
      <c r="Q36" s="2897" t="str">
        <f>IF(HLOOKUP(Sheele!$D$5,'Tablas Sheele'!$C$29:$K$86,'Tablas Sheele'!B56,FALSE)=0,"",HLOOKUP(Sheele!$D$5,'Tablas Sheele'!$C$29:$K$86,'Tablas Sheele'!B56,FALSE)+IF($X$8&gt;0,40+20*($X$8-1),0)+V36)</f>
        <v/>
      </c>
      <c r="R36" s="2239"/>
      <c r="S36" s="467">
        <f>IF(W36,IF(OR(Principal!Q48="-",X36&lt;0),"-",MIN(Principal!Q48,X36)),X36)</f>
        <v>-30</v>
      </c>
      <c r="T36" s="2032"/>
      <c r="U36" s="2029"/>
      <c r="V36" s="3100"/>
      <c r="W36" s="3100"/>
      <c r="X36" s="3100">
        <f t="shared" si="0"/>
        <v>-30</v>
      </c>
    </row>
    <row r="37" spans="1:24" ht="12" customHeight="1" thickBot="1" x14ac:dyDescent="0.25">
      <c r="A37" s="330"/>
      <c r="B37" s="350"/>
      <c r="C37" s="5168"/>
      <c r="D37" s="5169"/>
      <c r="E37" s="2476" t="str">
        <f>IF(OR($J$58="Ánima",$J$58="Ánima, Elemental",$J$58="No muerto, Espectro"),"-","CON")</f>
        <v>CON</v>
      </c>
      <c r="F37" s="2433"/>
      <c r="G37" s="2444" t="s">
        <v>1389</v>
      </c>
      <c r="H37" s="2900"/>
      <c r="I37" s="2349"/>
      <c r="J37" s="5087"/>
      <c r="K37" s="5088"/>
      <c r="L37" s="5089"/>
      <c r="M37" s="2501"/>
      <c r="N37" s="3447"/>
      <c r="O37" s="3453" t="s">
        <v>1447</v>
      </c>
      <c r="P37" s="3453"/>
      <c r="Q37" s="2897" t="str">
        <f>IF(HLOOKUP(Sheele!$D$5,'Tablas Sheele'!$C$29:$K$86,'Tablas Sheele'!B57,FALSE)=0,"",HLOOKUP(Sheele!$D$5,'Tablas Sheele'!$C$29:$K$86,'Tablas Sheele'!B57,FALSE)+IF($X$8&gt;0,40+20*($X$8-1),0)+V37)</f>
        <v/>
      </c>
      <c r="R37" s="2239"/>
      <c r="S37" s="467" t="str">
        <f>IF(W37,IF(OR(Principal!Q49="-",X37&lt;0),"-",MIN(Principal!Q49,X37)),X37)</f>
        <v>-</v>
      </c>
      <c r="T37" s="2032"/>
      <c r="U37" s="2029"/>
      <c r="V37" s="3100"/>
      <c r="W37" s="3100">
        <v>1</v>
      </c>
      <c r="X37" s="3100">
        <f t="shared" si="0"/>
        <v>-30</v>
      </c>
    </row>
    <row r="38" spans="1:24" ht="12" customHeight="1" x14ac:dyDescent="0.2">
      <c r="A38" s="330"/>
      <c r="B38" s="350"/>
      <c r="C38" s="5168"/>
      <c r="D38" s="5169"/>
      <c r="E38" s="2476" t="s">
        <v>1378</v>
      </c>
      <c r="F38" s="2433"/>
      <c r="G38" s="2444" t="s">
        <v>1391</v>
      </c>
      <c r="H38" s="2900"/>
      <c r="I38" s="2349"/>
      <c r="J38" s="5158" t="s">
        <v>10423</v>
      </c>
      <c r="K38" s="5159"/>
      <c r="L38" s="5160"/>
      <c r="M38" s="2501"/>
      <c r="N38" s="3447"/>
      <c r="O38" s="4987" t="s">
        <v>1448</v>
      </c>
      <c r="P38" s="4988"/>
      <c r="Q38" s="2937">
        <f>IF(HLOOKUP(Sheele!$D$5,'Tablas Sheele'!$C$29:$K$86,'Tablas Sheele'!B58,FALSE)=0,"",HLOOKUP(Sheele!$D$5,'Tablas Sheele'!$C$29:$K$86,'Tablas Sheele'!B58,FALSE)+IF($X$8&gt;0,40+20*($X$8-1),0)+V38)</f>
        <v>80</v>
      </c>
      <c r="R38" s="2241"/>
      <c r="S38" s="1781" t="str">
        <f>IF(W38,IF(OR(Principal!Q50="-",X38&lt;0),"-",MIN(Principal!Q50,X38)),X38)</f>
        <v>-</v>
      </c>
      <c r="T38" s="2032"/>
      <c r="U38" s="2029"/>
      <c r="V38" s="3100"/>
      <c r="W38" s="3100">
        <v>1</v>
      </c>
      <c r="X38" s="3100">
        <f t="shared" si="0"/>
        <v>80</v>
      </c>
    </row>
    <row r="39" spans="1:24" ht="12" customHeight="1" thickBot="1" x14ac:dyDescent="0.25">
      <c r="A39" s="330"/>
      <c r="B39" s="350"/>
      <c r="C39" s="5170"/>
      <c r="D39" s="5171"/>
      <c r="E39" s="2477" t="s">
        <v>1383</v>
      </c>
      <c r="F39" s="2902"/>
      <c r="G39" s="2919" t="s">
        <v>1392</v>
      </c>
      <c r="H39" s="2901"/>
      <c r="I39" s="2349"/>
      <c r="J39" s="5161"/>
      <c r="K39" s="5162"/>
      <c r="L39" s="5163"/>
      <c r="M39" s="2501"/>
      <c r="N39" s="3446" t="s">
        <v>1449</v>
      </c>
      <c r="O39" s="3453" t="s">
        <v>1450</v>
      </c>
      <c r="P39" s="3453"/>
      <c r="Q39" s="2897" t="str">
        <f>IF(HLOOKUP(Sheele!$D$5,'Tablas Sheele'!$C$29:$K$86,'Tablas Sheele'!B59,FALSE)=0,"",HLOOKUP(Sheele!$D$5,'Tablas Sheele'!$C$29:$K$86,'Tablas Sheele'!B59,FALSE)+IF($X$8&gt;0,40+20*($X$8-1),0)+V39)</f>
        <v/>
      </c>
      <c r="R39" s="2238"/>
      <c r="S39" s="467">
        <f>IF(W39,IF(OR(Principal!Q51="-",X39&lt;0),"-",MIN(Principal!Q51,X39)),X39)</f>
        <v>-30</v>
      </c>
      <c r="T39" s="2330"/>
      <c r="U39" s="2029"/>
      <c r="V39" s="3100"/>
      <c r="W39" s="3100"/>
      <c r="X39" s="3100">
        <f t="shared" si="0"/>
        <v>-30</v>
      </c>
    </row>
    <row r="40" spans="1:24" ht="12" customHeight="1" thickBot="1" x14ac:dyDescent="0.25">
      <c r="A40" s="330"/>
      <c r="B40" s="350"/>
      <c r="C40" s="2501"/>
      <c r="D40" s="2501"/>
      <c r="E40" s="2501"/>
      <c r="F40" s="2501"/>
      <c r="G40" s="2501"/>
      <c r="H40" s="2501"/>
      <c r="I40" s="2349"/>
      <c r="J40" s="2349"/>
      <c r="K40" s="2349"/>
      <c r="L40" s="2349"/>
      <c r="M40" s="2501"/>
      <c r="N40" s="3447"/>
      <c r="O40" s="3453" t="s">
        <v>1451</v>
      </c>
      <c r="P40" s="3453"/>
      <c r="Q40" s="2897" t="str">
        <f>IF(HLOOKUP(Sheele!$D$5,'Tablas Sheele'!$C$29:$K$86,'Tablas Sheele'!B60,FALSE)=0,"",HLOOKUP(Sheele!$D$5,'Tablas Sheele'!$C$29:$K$86,'Tablas Sheele'!B60,FALSE)+IF($X$8&gt;0,40+20*($X$8-1),0)+V40)</f>
        <v/>
      </c>
      <c r="R40" s="2239"/>
      <c r="S40" s="467">
        <f>IF(W40,IF(OR(Principal!Q52="-",X40&lt;0),"-",MIN(Principal!Q52,X40)),X40)</f>
        <v>-30</v>
      </c>
      <c r="T40" s="2330"/>
      <c r="U40" s="2029"/>
      <c r="V40" s="3100"/>
      <c r="W40" s="3100"/>
      <c r="X40" s="3100">
        <f t="shared" si="0"/>
        <v>-30</v>
      </c>
    </row>
    <row r="41" spans="1:24" ht="12" customHeight="1" x14ac:dyDescent="0.2">
      <c r="A41" s="330"/>
      <c r="B41" s="350"/>
      <c r="C41" s="5172" t="s">
        <v>2797</v>
      </c>
      <c r="D41" s="5173"/>
      <c r="E41" s="5173"/>
      <c r="F41" s="5173"/>
      <c r="G41" s="5173"/>
      <c r="H41" s="5173"/>
      <c r="I41" s="5173"/>
      <c r="J41" s="5173"/>
      <c r="K41" s="5173"/>
      <c r="L41" s="5176"/>
      <c r="M41" s="2501"/>
      <c r="N41" s="3448"/>
      <c r="O41" s="4987" t="s">
        <v>1454</v>
      </c>
      <c r="P41" s="4988"/>
      <c r="Q41" s="2937" t="str">
        <f>IF(HLOOKUP(Sheele!$D$5,'Tablas Sheele'!$C$29:$K$86,'Tablas Sheele'!B61,FALSE)=0,"",HLOOKUP(Sheele!$D$5,'Tablas Sheele'!$C$29:$K$86,'Tablas Sheele'!B61,FALSE)+IF($X$8&gt;0,40+20*($X$8-1),0)+V41)</f>
        <v/>
      </c>
      <c r="R41" s="2240"/>
      <c r="S41" s="2938">
        <f>IF(W41,IF(OR(Principal!Q53="-",X41&lt;0),"-",MIN(Principal!Q53,X41)),X41)</f>
        <v>-30</v>
      </c>
      <c r="T41" s="2032"/>
      <c r="U41" s="2029"/>
      <c r="V41" s="3100"/>
      <c r="W41" s="3100"/>
      <c r="X41" s="3100">
        <f t="shared" si="0"/>
        <v>-30</v>
      </c>
    </row>
    <row r="42" spans="1:24" ht="12" customHeight="1" x14ac:dyDescent="0.2">
      <c r="A42" s="330"/>
      <c r="B42" s="350"/>
      <c r="C42" s="5168"/>
      <c r="D42" s="5177"/>
      <c r="E42" s="5177"/>
      <c r="F42" s="5177"/>
      <c r="G42" s="5177"/>
      <c r="H42" s="5177"/>
      <c r="I42" s="5177"/>
      <c r="J42" s="5177"/>
      <c r="K42" s="5177"/>
      <c r="L42" s="5178"/>
      <c r="M42" s="2501"/>
      <c r="N42" s="3447" t="s">
        <v>1457</v>
      </c>
      <c r="O42" s="3453" t="s">
        <v>1458</v>
      </c>
      <c r="P42" s="3453"/>
      <c r="Q42" s="2897" t="str">
        <f>IF(HLOOKUP(Sheele!$D$5,'Tablas Sheele'!$C$29:$K$86,'Tablas Sheele'!B62,FALSE)=0,"",HLOOKUP(Sheele!$D$5,'Tablas Sheele'!$C$29:$K$86,'Tablas Sheele'!B62,FALSE)+IF($X$8&gt;0,40+20*($X$8-1),0)+V42)</f>
        <v/>
      </c>
      <c r="R42" s="2242"/>
      <c r="S42" s="467">
        <f>IF(W42,IF(OR(Principal!Q54="-",X42&lt;0),"-",MIN(Principal!Q54,X42)),X42)</f>
        <v>-30</v>
      </c>
      <c r="T42" s="2032"/>
      <c r="U42" s="2029"/>
      <c r="V42" s="3100"/>
      <c r="W42" s="3100"/>
      <c r="X42" s="3100">
        <f t="shared" ref="X42:X65" si="1">IF(AND(Q42="",R42=""),-30,IF(Q42="",0,Q42)+10*R42)</f>
        <v>-30</v>
      </c>
    </row>
    <row r="43" spans="1:24" ht="12" customHeight="1" x14ac:dyDescent="0.2">
      <c r="A43" s="330"/>
      <c r="B43" s="335"/>
      <c r="C43" s="5032" t="s">
        <v>1508</v>
      </c>
      <c r="D43" s="5027"/>
      <c r="E43" s="5027"/>
      <c r="F43" s="5027"/>
      <c r="G43" s="5027"/>
      <c r="H43" s="5026" t="s">
        <v>2798</v>
      </c>
      <c r="I43" s="5027"/>
      <c r="J43" s="5027"/>
      <c r="K43" s="5027"/>
      <c r="L43" s="5028"/>
      <c r="M43" s="2501"/>
      <c r="N43" s="3447"/>
      <c r="O43" s="3453" t="s">
        <v>1460</v>
      </c>
      <c r="P43" s="3453"/>
      <c r="Q43" s="2897" t="str">
        <f>IF(HLOOKUP(Sheele!$D$5,'Tablas Sheele'!$C$29:$K$86,'Tablas Sheele'!B63,FALSE)=0,"",HLOOKUP(Sheele!$D$5,'Tablas Sheele'!$C$29:$K$86,'Tablas Sheele'!B63,FALSE)+IF($X$8&gt;0,40+20*($X$8-1),0)+V43)</f>
        <v/>
      </c>
      <c r="R43" s="2239"/>
      <c r="S43" s="467">
        <f>IF(W43,IF(OR(Principal!Q55="-",X43&lt;0),"-",MIN(Principal!Q55,X43)),X43)</f>
        <v>-30</v>
      </c>
      <c r="T43" s="2031"/>
      <c r="U43" s="2029"/>
      <c r="V43" s="3100"/>
      <c r="W43" s="3100"/>
      <c r="X43" s="3100">
        <f t="shared" si="1"/>
        <v>-30</v>
      </c>
    </row>
    <row r="44" spans="1:24" ht="12" customHeight="1" x14ac:dyDescent="0.2">
      <c r="A44" s="330"/>
      <c r="B44" s="335"/>
      <c r="C44" s="5033"/>
      <c r="D44" s="5030"/>
      <c r="E44" s="5030"/>
      <c r="F44" s="5030"/>
      <c r="G44" s="5030"/>
      <c r="H44" s="5029"/>
      <c r="I44" s="5030"/>
      <c r="J44" s="5030"/>
      <c r="K44" s="5030"/>
      <c r="L44" s="5031"/>
      <c r="M44" s="2501"/>
      <c r="N44" s="3447"/>
      <c r="O44" s="3453" t="s">
        <v>1462</v>
      </c>
      <c r="P44" s="3453"/>
      <c r="Q44" s="2897" t="str">
        <f>IF(HLOOKUP(Sheele!$D$5,'Tablas Sheele'!$C$29:$K$86,'Tablas Sheele'!B64,FALSE)=0,"",HLOOKUP(Sheele!$D$5,'Tablas Sheele'!$C$29:$K$86,'Tablas Sheele'!B64,FALSE)+IF($X$8&gt;0,40+20*($X$8-1),0)+V44)</f>
        <v/>
      </c>
      <c r="R44" s="2239"/>
      <c r="S44" s="467">
        <f>IF(W44,IF(OR(Principal!Q56="-",X44&lt;0),"-",MIN(Principal!Q56,X44)),X44)</f>
        <v>-30</v>
      </c>
      <c r="T44" s="2032"/>
      <c r="U44" s="2029"/>
      <c r="V44" s="3101">
        <f>IF('Tablas Sheele'!$F$166&gt;0,100,0)</f>
        <v>0</v>
      </c>
      <c r="W44" s="3100"/>
      <c r="X44" s="3100">
        <f t="shared" si="1"/>
        <v>-30</v>
      </c>
    </row>
    <row r="45" spans="1:24" ht="12" customHeight="1" x14ac:dyDescent="0.2">
      <c r="A45" s="330"/>
      <c r="B45" s="335"/>
      <c r="C45" s="5100" t="s">
        <v>2799</v>
      </c>
      <c r="D45" s="5101"/>
      <c r="E45" s="5102"/>
      <c r="F45" s="5164">
        <f>IF(L27*2+20*'Tablas Sheele'!F103&gt;200, IF(L27*2&gt;=200,L27*2+10*'Tablas Sheele'!F103,200+1/2*(20*'Tablas Sheele'!F103-(200-L27*2))),L27*2+20*'Tablas Sheele'!F103 )</f>
        <v>50</v>
      </c>
      <c r="G45" s="5165"/>
      <c r="H45" s="5128" t="s">
        <v>2800</v>
      </c>
      <c r="I45" s="5101"/>
      <c r="J45" s="5102"/>
      <c r="K45" s="5058">
        <f>IF('Tablas Sheele'!F175&gt;0,MAX(Sheele!F45,H11),H11)</f>
        <v>10</v>
      </c>
      <c r="L45" s="5059"/>
      <c r="M45" s="2501"/>
      <c r="N45" s="3447"/>
      <c r="O45" s="3453" t="s">
        <v>1464</v>
      </c>
      <c r="P45" s="3453"/>
      <c r="Q45" s="2897">
        <f>IF(HLOOKUP(Sheele!$D$5,'Tablas Sheele'!$C$29:$K$86,'Tablas Sheele'!B65,FALSE)=0,"",HLOOKUP(Sheele!$D$5,'Tablas Sheele'!$C$29:$K$86,'Tablas Sheele'!B65,FALSE)+IF($X$8&gt;0,40+20*($X$8-1),0)+V45)</f>
        <v>40</v>
      </c>
      <c r="R45" s="2239"/>
      <c r="S45" s="467">
        <f>IF(W45,IF(OR(Principal!Q57="-",X45&lt;0),"-",MIN(Principal!Q57,X45)),X45)</f>
        <v>40</v>
      </c>
      <c r="T45" s="2031"/>
      <c r="U45" s="2029"/>
      <c r="V45" s="3102"/>
      <c r="W45" s="3100"/>
      <c r="X45" s="3100">
        <f t="shared" si="1"/>
        <v>40</v>
      </c>
    </row>
    <row r="46" spans="1:24" ht="12" customHeight="1" x14ac:dyDescent="0.2">
      <c r="A46" s="330"/>
      <c r="B46" s="335"/>
      <c r="C46" s="5103"/>
      <c r="D46" s="5104"/>
      <c r="E46" s="5105"/>
      <c r="F46" s="5096"/>
      <c r="G46" s="5097"/>
      <c r="H46" s="5129"/>
      <c r="I46" s="5104"/>
      <c r="J46" s="5105"/>
      <c r="K46" s="4444"/>
      <c r="L46" s="5060"/>
      <c r="M46" s="2501"/>
      <c r="N46" s="3447"/>
      <c r="O46" s="3453" t="s">
        <v>1466</v>
      </c>
      <c r="P46" s="3453"/>
      <c r="Q46" s="2897" t="str">
        <f>IF(HLOOKUP(Sheele!$D$5,'Tablas Sheele'!$C$29:$K$86,'Tablas Sheele'!B66,FALSE)=0,"",HLOOKUP(Sheele!$D$5,'Tablas Sheele'!$C$29:$K$86,'Tablas Sheele'!B66,FALSE)+IF($X$8&gt;0,40+20*($X$8-1),0)+V46)</f>
        <v/>
      </c>
      <c r="R46" s="2239"/>
      <c r="S46" s="467">
        <f>IF(W46,IF(OR(Principal!Q58="-",X46&lt;0),"-",MIN(Principal!Q58,X46)),X46)</f>
        <v>-30</v>
      </c>
      <c r="T46" s="2031"/>
      <c r="U46" s="2029"/>
      <c r="V46" s="3101">
        <f>IF('Tablas Sheele'!$F$166&gt;0,100,0)</f>
        <v>0</v>
      </c>
      <c r="W46" s="3100"/>
      <c r="X46" s="3100">
        <f t="shared" si="1"/>
        <v>-30</v>
      </c>
    </row>
    <row r="47" spans="1:24" ht="12" customHeight="1" x14ac:dyDescent="0.2">
      <c r="A47" s="330"/>
      <c r="B47" s="335"/>
      <c r="C47" s="5106" t="s">
        <v>2803</v>
      </c>
      <c r="D47" s="5107"/>
      <c r="E47" s="5108"/>
      <c r="F47" s="5094">
        <f>IF(L27*2+20*'Tablas Sheele'!F103&gt;200, IF(L27*2&gt;=200,L27*2+10*'Tablas Sheele'!F103,200+1/2*(20*'Tablas Sheele'!F103-(200-L27*2))),L27*2+20*'Tablas Sheele'!F103 )+IF('Tablas Sheele'!F186&gt;0,40,0)</f>
        <v>50</v>
      </c>
      <c r="G47" s="5095"/>
      <c r="H47" s="5130" t="s">
        <v>2804</v>
      </c>
      <c r="I47" s="5107"/>
      <c r="J47" s="5108"/>
      <c r="K47" s="5054">
        <f>IF('Tablas Sheele'!F175&gt;0,MAX(Sheele!F47,H9),IF(D5="Aire",MAX(F47,H9),H9))</f>
        <v>50</v>
      </c>
      <c r="L47" s="5055"/>
      <c r="M47" s="2501"/>
      <c r="N47" s="3447"/>
      <c r="O47" s="3453" t="s">
        <v>1468</v>
      </c>
      <c r="P47" s="3453"/>
      <c r="Q47" s="2897" t="str">
        <f>IF(HLOOKUP(Sheele!$D$5,'Tablas Sheele'!$C$29:$K$86,'Tablas Sheele'!B67,FALSE)=0,"",HLOOKUP(Sheele!$D$5,'Tablas Sheele'!$C$29:$K$86,'Tablas Sheele'!B67,FALSE)+IF($X$8&gt;0,40+20*($X$8-1),0)+V47)</f>
        <v/>
      </c>
      <c r="R47" s="2239"/>
      <c r="S47" s="467">
        <f>IF(W47,IF(OR(Principal!Q59="-",X47&lt;0),"-",MIN(Principal!Q59,X47)),X47)</f>
        <v>-30</v>
      </c>
      <c r="T47" s="2032"/>
      <c r="U47" s="2029"/>
      <c r="V47" s="3100"/>
      <c r="W47" s="3100"/>
      <c r="X47" s="3100">
        <f t="shared" si="1"/>
        <v>-30</v>
      </c>
    </row>
    <row r="48" spans="1:24" ht="12" customHeight="1" x14ac:dyDescent="0.2">
      <c r="A48" s="330"/>
      <c r="B48" s="335"/>
      <c r="C48" s="5106"/>
      <c r="D48" s="5107"/>
      <c r="E48" s="5108"/>
      <c r="F48" s="5094"/>
      <c r="G48" s="5095"/>
      <c r="H48" s="5130"/>
      <c r="I48" s="5107"/>
      <c r="J48" s="5108"/>
      <c r="K48" s="5056"/>
      <c r="L48" s="5057"/>
      <c r="M48" s="2501"/>
      <c r="N48" s="3447"/>
      <c r="O48" s="4987" t="s">
        <v>1469</v>
      </c>
      <c r="P48" s="4988"/>
      <c r="Q48" s="2937" t="str">
        <f>IF(HLOOKUP(Sheele!$D$5,'Tablas Sheele'!$C$29:$K$86,'Tablas Sheele'!B68,FALSE)=0,"",HLOOKUP(Sheele!$D$5,'Tablas Sheele'!$C$29:$K$86,'Tablas Sheele'!B68,FALSE)+IF($X$8&gt;0,40+20*($X$8-1),0)+V48)</f>
        <v/>
      </c>
      <c r="R48" s="2241"/>
      <c r="S48" s="1781" t="str">
        <f>IF(W48,IF(OR(Principal!Q60="-",X48&lt;0),"-",MIN(Principal!Q60,X48)),X48)</f>
        <v>-</v>
      </c>
      <c r="T48" s="2031"/>
      <c r="U48" s="2029"/>
      <c r="V48" s="3100"/>
      <c r="W48" s="3100">
        <v>1</v>
      </c>
      <c r="X48" s="3100">
        <f t="shared" si="1"/>
        <v>-30</v>
      </c>
    </row>
    <row r="49" spans="1:24" ht="12" customHeight="1" x14ac:dyDescent="0.2">
      <c r="A49" s="330"/>
      <c r="B49" s="335"/>
      <c r="C49" s="5103" t="s">
        <v>2805</v>
      </c>
      <c r="D49" s="5104"/>
      <c r="E49" s="5105"/>
      <c r="F49" s="5090" t="str">
        <f>IF(D5="Naturaleza","Esencia",D5)</f>
        <v>Aire</v>
      </c>
      <c r="G49" s="5091"/>
      <c r="H49" s="5104" t="s">
        <v>2806</v>
      </c>
      <c r="I49" s="5104"/>
      <c r="J49" s="5105"/>
      <c r="K49" s="5076">
        <f>IF('Tablas Sheele'!F175&gt;0,MAX(Sheele!F47,H11),H11)</f>
        <v>10</v>
      </c>
      <c r="L49" s="5077"/>
      <c r="M49" s="2501"/>
      <c r="N49" s="3446" t="s">
        <v>1470</v>
      </c>
      <c r="O49" s="3453" t="s">
        <v>1471</v>
      </c>
      <c r="P49" s="3453"/>
      <c r="Q49" s="2897" t="str">
        <f>IF(HLOOKUP(Sheele!$D$5,'Tablas Sheele'!$C$29:$K$86,'Tablas Sheele'!B69,FALSE)=0,"",HLOOKUP(Sheele!$D$5,'Tablas Sheele'!$C$29:$K$86,'Tablas Sheele'!B69,FALSE)+IF($X$8&gt;0,40+20*($X$8-1),0)+V49)</f>
        <v/>
      </c>
      <c r="R49" s="2238"/>
      <c r="S49" s="467">
        <f>IF(W49,IF(OR(Principal!Q61="-",X49&lt;0),"-",MIN(Principal!Q61,X49)),X49)</f>
        <v>-30</v>
      </c>
      <c r="T49" s="2032"/>
      <c r="U49" s="2029"/>
      <c r="V49" s="3100"/>
      <c r="W49" s="3100"/>
      <c r="X49" s="3100">
        <f t="shared" si="1"/>
        <v>-30</v>
      </c>
    </row>
    <row r="50" spans="1:24" ht="12" customHeight="1" x14ac:dyDescent="0.2">
      <c r="A50" s="330"/>
      <c r="B50" s="335"/>
      <c r="C50" s="5103"/>
      <c r="D50" s="5104"/>
      <c r="E50" s="5105"/>
      <c r="F50" s="5092">
        <f>IF(20+10*'Tablas Sheele'!F104&lt;=50,20+10*'Tablas Sheele'!F104,50+1/2*(10*'Tablas Sheele'!F104-(50-20)))</f>
        <v>20</v>
      </c>
      <c r="G50" s="5093"/>
      <c r="H50" s="5104"/>
      <c r="I50" s="5104"/>
      <c r="J50" s="5105"/>
      <c r="K50" s="4444"/>
      <c r="L50" s="5060"/>
      <c r="M50" s="2501"/>
      <c r="N50" s="3447"/>
      <c r="O50" s="3453" t="s">
        <v>1472</v>
      </c>
      <c r="P50" s="3453"/>
      <c r="Q50" s="2897">
        <f>IF(HLOOKUP(Sheele!$D$5,'Tablas Sheele'!$C$29:$K$86,'Tablas Sheele'!B70,FALSE)=0,"",HLOOKUP(Sheele!$D$5,'Tablas Sheele'!$C$29:$K$86,'Tablas Sheele'!B70,FALSE)+IF($X$8&gt;0,40+20*($X$8-1),0)+V50)</f>
        <v>40</v>
      </c>
      <c r="R50" s="2239"/>
      <c r="S50" s="467" t="str">
        <f>IF(W50,IF(OR(Principal!Q62="-",X50&lt;0),"-",MIN(Principal!Q62,X50)),X50)</f>
        <v>-</v>
      </c>
      <c r="T50" s="2032"/>
      <c r="U50" s="2029"/>
      <c r="V50" s="3100"/>
      <c r="W50" s="3100">
        <v>1</v>
      </c>
      <c r="X50" s="3100">
        <f t="shared" si="1"/>
        <v>40</v>
      </c>
    </row>
    <row r="51" spans="1:24" ht="12" customHeight="1" x14ac:dyDescent="0.2">
      <c r="A51" s="330"/>
      <c r="B51" s="335"/>
      <c r="C51" s="5106" t="s">
        <v>2808</v>
      </c>
      <c r="D51" s="5107"/>
      <c r="E51" s="5108"/>
      <c r="F51" s="5094">
        <f>Místicos!L12</f>
        <v>0</v>
      </c>
      <c r="G51" s="5095"/>
      <c r="H51" s="5130" t="s">
        <v>1393</v>
      </c>
      <c r="I51" s="5107"/>
      <c r="J51" s="5108"/>
      <c r="K51" s="5072">
        <f>Turno_SinArmas_final+IF('Tablas Sheele'!F120,50,0)</f>
        <v>40</v>
      </c>
      <c r="L51" s="5073"/>
      <c r="M51" s="2501"/>
      <c r="N51" s="3447"/>
      <c r="O51" s="3453" t="s">
        <v>1473</v>
      </c>
      <c r="P51" s="3453"/>
      <c r="Q51" s="2897" t="str">
        <f>IF(HLOOKUP(Sheele!$D$5,'Tablas Sheele'!$C$29:$K$86,'Tablas Sheele'!B71,FALSE)=0,"",HLOOKUP(Sheele!$D$5,'Tablas Sheele'!$C$29:$K$86,'Tablas Sheele'!B71,FALSE)+IF($X$8&gt;0,40+20*($X$8-1),0)+V51)</f>
        <v/>
      </c>
      <c r="R51" s="2239"/>
      <c r="S51" s="467" t="str">
        <f>IF(W51,IF(OR(Principal!Q63="-",X51&lt;0),"-",MIN(Principal!Q63,X51)),X51)</f>
        <v>-</v>
      </c>
      <c r="T51" s="2032"/>
      <c r="U51" s="2029"/>
      <c r="V51" s="3100"/>
      <c r="W51" s="3100">
        <v>1</v>
      </c>
      <c r="X51" s="3100">
        <f t="shared" si="1"/>
        <v>-30</v>
      </c>
    </row>
    <row r="52" spans="1:24" ht="12" customHeight="1" x14ac:dyDescent="0.2">
      <c r="A52" s="330"/>
      <c r="B52" s="335"/>
      <c r="C52" s="5106"/>
      <c r="D52" s="5107"/>
      <c r="E52" s="5108"/>
      <c r="F52" s="5094"/>
      <c r="G52" s="5095"/>
      <c r="H52" s="5130"/>
      <c r="I52" s="5107"/>
      <c r="J52" s="5108"/>
      <c r="K52" s="5074"/>
      <c r="L52" s="5075"/>
      <c r="M52" s="2501"/>
      <c r="N52" s="3447"/>
      <c r="O52" s="3453" t="s">
        <v>813</v>
      </c>
      <c r="P52" s="3453"/>
      <c r="Q52" s="2897" t="str">
        <f>IF(HLOOKUP(Sheele!$D$5,'Tablas Sheele'!$C$29:$K$86,'Tablas Sheele'!B72,FALSE)=0,"",HLOOKUP(Sheele!$D$5,'Tablas Sheele'!$C$29:$K$86,'Tablas Sheele'!B72,FALSE)+IF($X$8&gt;0,40+20*($X$8-1),0)+V52)</f>
        <v/>
      </c>
      <c r="R52" s="2239"/>
      <c r="S52" s="467">
        <f>IF(W52,IF(OR(Principal!Q64="-",X52&lt;0),"-",MIN(Principal!Q64,X52)),X52)</f>
        <v>-30</v>
      </c>
      <c r="T52" s="2032"/>
      <c r="U52" s="2029"/>
      <c r="V52" s="3100"/>
      <c r="W52" s="3100"/>
      <c r="X52" s="3100">
        <f t="shared" si="1"/>
        <v>-30</v>
      </c>
    </row>
    <row r="53" spans="1:24" ht="12" customHeight="1" x14ac:dyDescent="0.2">
      <c r="A53" s="330"/>
      <c r="B53" s="335"/>
      <c r="C53" s="5109" t="s">
        <v>2810</v>
      </c>
      <c r="D53" s="5110"/>
      <c r="E53" s="5111"/>
      <c r="F53" s="5096">
        <f>5*'Tablas Sheele'!F105</f>
        <v>0</v>
      </c>
      <c r="G53" s="5097"/>
      <c r="H53" s="5129" t="s">
        <v>10422</v>
      </c>
      <c r="I53" s="5104"/>
      <c r="J53" s="5105"/>
      <c r="K53" s="5124">
        <f>VLOOKUP(G11+G9,Tabla_NumAcciones,2)</f>
        <v>3</v>
      </c>
      <c r="L53" s="5125"/>
      <c r="M53" s="2501"/>
      <c r="N53" s="3447"/>
      <c r="O53" s="3453" t="s">
        <v>814</v>
      </c>
      <c r="P53" s="3453"/>
      <c r="Q53" s="2897" t="str">
        <f>IF(HLOOKUP(Sheele!$D$5,'Tablas Sheele'!$C$29:$K$86,'Tablas Sheele'!B73,FALSE)=0,"",HLOOKUP(Sheele!$D$5,'Tablas Sheele'!$C$29:$K$86,'Tablas Sheele'!B73,FALSE)+IF($X$8&gt;0,40+20*($X$8-1),0)+V53)</f>
        <v/>
      </c>
      <c r="R53" s="2239"/>
      <c r="S53" s="467">
        <f>IF(W53,IF(OR(Principal!Q65="-",X53&lt;0),"-",MIN(Principal!Q65,X53)),X53)</f>
        <v>-30</v>
      </c>
      <c r="T53" s="2032"/>
      <c r="U53" s="2029"/>
      <c r="V53" s="3100"/>
      <c r="W53" s="3100"/>
      <c r="X53" s="3100">
        <f t="shared" si="1"/>
        <v>-30</v>
      </c>
    </row>
    <row r="54" spans="1:24" ht="12" customHeight="1" thickBot="1" x14ac:dyDescent="0.25">
      <c r="A54" s="330"/>
      <c r="B54" s="335"/>
      <c r="C54" s="5112"/>
      <c r="D54" s="5113"/>
      <c r="E54" s="5114"/>
      <c r="F54" s="5098"/>
      <c r="G54" s="5099"/>
      <c r="H54" s="5131"/>
      <c r="I54" s="5132"/>
      <c r="J54" s="5133"/>
      <c r="K54" s="5126"/>
      <c r="L54" s="5127"/>
      <c r="M54" s="2501"/>
      <c r="N54" s="3447"/>
      <c r="O54" s="3453" t="s">
        <v>815</v>
      </c>
      <c r="P54" s="3453"/>
      <c r="Q54" s="2897" t="str">
        <f>IF(HLOOKUP(Sheele!$D$5,'Tablas Sheele'!$C$29:$K$86,'Tablas Sheele'!B74,FALSE)=0,"",HLOOKUP(Sheele!$D$5,'Tablas Sheele'!$C$29:$K$86,'Tablas Sheele'!B74,FALSE)+IF($X$8&gt;0,40+20*($X$8-1),0)+V54)</f>
        <v/>
      </c>
      <c r="R54" s="2239"/>
      <c r="S54" s="467">
        <f>IF(W54,IF(OR(Principal!Q66="-",X54&lt;0),"-",MIN(Principal!Q66,X54)),X54)</f>
        <v>-30</v>
      </c>
      <c r="T54" s="2032"/>
      <c r="U54" s="2029"/>
      <c r="V54" s="3100"/>
      <c r="W54" s="3100"/>
      <c r="X54" s="3100">
        <f t="shared" si="1"/>
        <v>-30</v>
      </c>
    </row>
    <row r="55" spans="1:24" ht="12" customHeight="1" thickBot="1" x14ac:dyDescent="0.25">
      <c r="A55" s="330"/>
      <c r="B55" s="335"/>
      <c r="C55" s="2501"/>
      <c r="D55" s="2501"/>
      <c r="E55" s="2501"/>
      <c r="F55" s="2501"/>
      <c r="G55" s="2501"/>
      <c r="H55" s="2501"/>
      <c r="I55" s="2501"/>
      <c r="J55" s="2501"/>
      <c r="K55" s="2501"/>
      <c r="L55" s="2501"/>
      <c r="M55" s="2501"/>
      <c r="N55" s="3447"/>
      <c r="O55" s="3453" t="s">
        <v>1474</v>
      </c>
      <c r="P55" s="3453"/>
      <c r="Q55" s="2897" t="str">
        <f>IF(HLOOKUP(Sheele!$D$5,'Tablas Sheele'!$C$29:$K$86,'Tablas Sheele'!B75,FALSE)=0,"",HLOOKUP(Sheele!$D$5,'Tablas Sheele'!$C$29:$K$86,'Tablas Sheele'!B75,FALSE)+IF($X$8&gt;0,40+20*($X$8-1),0)+V55)</f>
        <v/>
      </c>
      <c r="R55" s="2239"/>
      <c r="S55" s="467" t="str">
        <f>IF(W55,IF(OR(Principal!Q67="-",X55&lt;0),"-",MIN(Principal!Q67,X55)),X55)</f>
        <v>-</v>
      </c>
      <c r="T55" s="2032"/>
      <c r="U55" s="2029"/>
      <c r="V55" s="3100"/>
      <c r="W55" s="3100">
        <v>1</v>
      </c>
      <c r="X55" s="3100">
        <f t="shared" si="1"/>
        <v>-30</v>
      </c>
    </row>
    <row r="56" spans="1:24" ht="12" customHeight="1" x14ac:dyDescent="0.2">
      <c r="A56" s="330"/>
      <c r="B56" s="335"/>
      <c r="C56" s="5172" t="s">
        <v>10013</v>
      </c>
      <c r="D56" s="5173"/>
      <c r="E56" s="5173"/>
      <c r="F56" s="5173"/>
      <c r="G56" s="5173"/>
      <c r="H56" s="5173"/>
      <c r="I56" s="5173"/>
      <c r="J56" s="5173"/>
      <c r="K56" s="5173"/>
      <c r="L56" s="5176"/>
      <c r="M56" s="2501"/>
      <c r="N56" s="3447"/>
      <c r="O56" s="3453" t="s">
        <v>1476</v>
      </c>
      <c r="P56" s="3453"/>
      <c r="Q56" s="2897">
        <f>IF(HLOOKUP(Sheele!$D$5,'Tablas Sheele'!$C$29:$K$86,'Tablas Sheele'!B76,FALSE)=0,"",HLOOKUP(Sheele!$D$5,'Tablas Sheele'!$C$29:$K$86,'Tablas Sheele'!B76,FALSE)+IF($X$8&gt;0,40+20*($X$8-1),0)+V56)</f>
        <v>20</v>
      </c>
      <c r="R56" s="2239"/>
      <c r="S56" s="467">
        <f>IF(W56,IF(OR(Principal!Q68="-",X56&lt;0),"-",MIN(Principal!Q68,X56)),X56)</f>
        <v>20</v>
      </c>
      <c r="T56" s="2032"/>
      <c r="U56" s="2029"/>
      <c r="V56" s="3100"/>
      <c r="W56" s="3100"/>
      <c r="X56" s="3100">
        <f t="shared" si="1"/>
        <v>20</v>
      </c>
    </row>
    <row r="57" spans="1:24" ht="12" customHeight="1" x14ac:dyDescent="0.2">
      <c r="A57" s="330"/>
      <c r="B57" s="335"/>
      <c r="C57" s="5174"/>
      <c r="D57" s="5175"/>
      <c r="E57" s="5175"/>
      <c r="F57" s="5175"/>
      <c r="G57" s="5175"/>
      <c r="H57" s="5175"/>
      <c r="I57" s="5175"/>
      <c r="J57" s="5175"/>
      <c r="K57" s="5175"/>
      <c r="L57" s="5204"/>
      <c r="M57" s="2501"/>
      <c r="N57" s="3447"/>
      <c r="O57" s="3453" t="s">
        <v>6279</v>
      </c>
      <c r="P57" s="3453"/>
      <c r="Q57" s="2897" t="str">
        <f>IF(HLOOKUP(Sheele!$D$5,'Tablas Sheele'!$C$29:$K$86,'Tablas Sheele'!B77,FALSE)=0,"",HLOOKUP(Sheele!$D$5,'Tablas Sheele'!$C$29:$K$86,'Tablas Sheele'!B77,FALSE)+IF($X$8&gt;0,40+20*($X$8-1),0)+V57)</f>
        <v/>
      </c>
      <c r="R57" s="2239"/>
      <c r="S57" s="467">
        <f>IF(W57,IF(OR(Principal!Q69="-",X57&lt;0),"-",MIN(Principal!Q69,X57)),X57)</f>
        <v>-30</v>
      </c>
      <c r="T57" s="2032"/>
      <c r="U57" s="2029"/>
      <c r="V57" s="3100"/>
      <c r="W57" s="3100"/>
      <c r="X57" s="3100">
        <f t="shared" si="1"/>
        <v>-30</v>
      </c>
    </row>
    <row r="58" spans="1:24" ht="12" customHeight="1" x14ac:dyDescent="0.2">
      <c r="A58" s="330"/>
      <c r="B58" s="335"/>
      <c r="C58" s="5014" t="s">
        <v>1403</v>
      </c>
      <c r="D58" s="5015"/>
      <c r="E58" s="4989" t="str">
        <f>IF('Tablas Sheele'!F98&gt;0,N4+'Tablas Sheele'!F101,"-")</f>
        <v>-</v>
      </c>
      <c r="F58" s="4990"/>
      <c r="G58" s="5198" t="s">
        <v>2801</v>
      </c>
      <c r="H58" s="5199"/>
      <c r="I58" s="5202" t="str">
        <f>IF('Tablas Sheele'!F98&gt;0,150,"-")</f>
        <v>-</v>
      </c>
      <c r="J58" s="5198" t="s">
        <v>2802</v>
      </c>
      <c r="K58" s="5199"/>
      <c r="L58" s="5196" t="str">
        <f>IF('Tablas Sheele'!F98&gt;0,MAX(10,25+E58*5-'Tablas Sheele'!F99*10)&amp;" / asalto","-")</f>
        <v>-</v>
      </c>
      <c r="M58" s="2501"/>
      <c r="N58" s="3447"/>
      <c r="O58" s="3453" t="s">
        <v>6280</v>
      </c>
      <c r="P58" s="3453"/>
      <c r="Q58" s="2897" t="str">
        <f>IF(HLOOKUP(Sheele!$D$5,'Tablas Sheele'!$C$29:$K$86,'Tablas Sheele'!B78,FALSE)=0,"",HLOOKUP(Sheele!$D$5,'Tablas Sheele'!$C$29:$K$86,'Tablas Sheele'!B78,FALSE)+IF($X$8&gt;0,40+20*($X$8-1),0)+V58)</f>
        <v/>
      </c>
      <c r="R58" s="2239"/>
      <c r="S58" s="467">
        <f>IF(W58,IF(OR(Principal!Q70="-",X58&lt;0),"-",MIN(Principal!Q70,X58)),X58)</f>
        <v>-30</v>
      </c>
      <c r="T58" s="2032"/>
      <c r="U58" s="2029"/>
      <c r="V58" s="3100"/>
      <c r="W58" s="3100"/>
      <c r="X58" s="3100">
        <f t="shared" si="1"/>
        <v>-30</v>
      </c>
    </row>
    <row r="59" spans="1:24" ht="12" customHeight="1" thickBot="1" x14ac:dyDescent="0.25">
      <c r="A59" s="330"/>
      <c r="B59" s="335"/>
      <c r="C59" s="5016"/>
      <c r="D59" s="5017"/>
      <c r="E59" s="4991"/>
      <c r="F59" s="4992"/>
      <c r="G59" s="5200"/>
      <c r="H59" s="5201"/>
      <c r="I59" s="5203"/>
      <c r="J59" s="5200"/>
      <c r="K59" s="5201"/>
      <c r="L59" s="5197"/>
      <c r="M59" s="2501"/>
      <c r="N59" s="3447"/>
      <c r="O59" s="3453" t="s">
        <v>6281</v>
      </c>
      <c r="P59" s="3453"/>
      <c r="Q59" s="2897" t="str">
        <f>IF(HLOOKUP(Sheele!$D$5,'Tablas Sheele'!$C$29:$K$86,'Tablas Sheele'!B79,FALSE)=0,"",HLOOKUP(Sheele!$D$5,'Tablas Sheele'!$C$29:$K$86,'Tablas Sheele'!B79,FALSE)+IF($X$8&gt;0,40+20*($X$8-1),0)+V59)</f>
        <v/>
      </c>
      <c r="R59" s="2239"/>
      <c r="S59" s="467">
        <f>IF(W59,IF(OR(Principal!Q71="-",X59&lt;0),"-",MIN(Principal!Q71,X59)),X59)</f>
        <v>-30</v>
      </c>
      <c r="T59" s="2330"/>
      <c r="U59" s="2029"/>
      <c r="V59" s="3100"/>
      <c r="W59" s="3100"/>
      <c r="X59" s="3100">
        <f t="shared" si="1"/>
        <v>-30</v>
      </c>
    </row>
    <row r="60" spans="1:24" ht="12" customHeight="1" x14ac:dyDescent="0.2">
      <c r="A60" s="330"/>
      <c r="B60" s="335"/>
      <c r="C60" s="5187" t="str">
        <f>"Crea una ficha independiente de criatura con Gnosis "&amp;IF('Tablas Sheele'!F100&gt;0,30,20)</f>
        <v>Crea una ficha independiente de criatura con Gnosis 20</v>
      </c>
      <c r="D60" s="5188"/>
      <c r="E60" s="5188"/>
      <c r="F60" s="5188"/>
      <c r="G60" s="5188"/>
      <c r="H60" s="5188"/>
      <c r="I60" s="5188"/>
      <c r="J60" s="5188"/>
      <c r="K60" s="5188"/>
      <c r="L60" s="5189"/>
      <c r="M60" s="2501"/>
      <c r="N60" s="3448"/>
      <c r="O60" s="4979" t="s">
        <v>6282</v>
      </c>
      <c r="P60" s="4980"/>
      <c r="Q60" s="2937" t="str">
        <f>IF(HLOOKUP(Sheele!$D$5,'Tablas Sheele'!$C$29:$K$86,'Tablas Sheele'!B80,FALSE)=0,"",HLOOKUP(Sheele!$D$5,'Tablas Sheele'!$C$29:$K$86,'Tablas Sheele'!B80,FALSE)+IF($X$8&gt;0,40+20*($X$8-1),0)+V60)</f>
        <v/>
      </c>
      <c r="R60" s="2240"/>
      <c r="S60" s="467">
        <f>IF(W60,IF(OR(Principal!Q72="-",X60&lt;0),"-",MIN(Principal!Q72,X60)),X60)</f>
        <v>-30</v>
      </c>
      <c r="T60" s="2031"/>
      <c r="U60" s="2029"/>
      <c r="V60" s="3100"/>
      <c r="W60" s="3100"/>
      <c r="X60" s="3100">
        <f t="shared" si="1"/>
        <v>-30</v>
      </c>
    </row>
    <row r="61" spans="1:24" ht="12" customHeight="1" x14ac:dyDescent="0.2">
      <c r="A61" s="330"/>
      <c r="B61" s="335"/>
      <c r="C61" s="5190"/>
      <c r="D61" s="5191"/>
      <c r="E61" s="5191"/>
      <c r="F61" s="5191"/>
      <c r="G61" s="5191"/>
      <c r="H61" s="5191"/>
      <c r="I61" s="5191"/>
      <c r="J61" s="5191"/>
      <c r="K61" s="5191"/>
      <c r="L61" s="5192"/>
      <c r="M61" s="2501"/>
      <c r="N61" s="3447" t="s">
        <v>1477</v>
      </c>
      <c r="O61" s="3453" t="str">
        <f>IF(PDs!P183="","-",PDs!P183)</f>
        <v>-</v>
      </c>
      <c r="P61" s="3453"/>
      <c r="Q61" s="2897" t="str">
        <f>IF(HLOOKUP(Sheele!$D$5,'Tablas Sheele'!$C$29:$K$86,'Tablas Sheele'!B81,FALSE)=0,"",HLOOKUP(Sheele!$D$5,'Tablas Sheele'!$C$29:$K$86,'Tablas Sheele'!B81,FALSE)+IF($X$8&gt;0,40+20*($X$8-1),0)+V61)</f>
        <v/>
      </c>
      <c r="R61" s="2242"/>
      <c r="S61" s="2328">
        <f>IF(W61,IF(OR(Principal!Q73="-",X61&lt;0),"-",MIN(Principal!Q73,X61)),X61)</f>
        <v>-30</v>
      </c>
      <c r="T61" s="2330"/>
      <c r="U61" s="2029"/>
      <c r="V61" s="3100"/>
      <c r="W61" s="3100"/>
      <c r="X61" s="3100">
        <f t="shared" si="1"/>
        <v>-30</v>
      </c>
    </row>
    <row r="62" spans="1:24" ht="12" customHeight="1" x14ac:dyDescent="0.2">
      <c r="A62" s="330"/>
      <c r="B62" s="335"/>
      <c r="C62" s="5190" t="s">
        <v>2807</v>
      </c>
      <c r="D62" s="5191"/>
      <c r="E62" s="5191"/>
      <c r="F62" s="5191"/>
      <c r="G62" s="5191"/>
      <c r="H62" s="5191"/>
      <c r="I62" s="5191"/>
      <c r="J62" s="5191"/>
      <c r="K62" s="5191"/>
      <c r="L62" s="5192"/>
      <c r="M62" s="2501"/>
      <c r="N62" s="3447"/>
      <c r="O62" s="3453" t="str">
        <f>IF(PDs!P184="","-",PDs!P184)</f>
        <v>-</v>
      </c>
      <c r="P62" s="3453"/>
      <c r="Q62" s="2897" t="str">
        <f>IF(HLOOKUP(Sheele!$D$5,'Tablas Sheele'!$C$29:$K$86,'Tablas Sheele'!B82,FALSE)=0,"",HLOOKUP(Sheele!$D$5,'Tablas Sheele'!$C$29:$K$86,'Tablas Sheele'!B82,FALSE)+IF($X$8&gt;0,40+20*($X$8-1),0)+V62)</f>
        <v/>
      </c>
      <c r="R62" s="2239"/>
      <c r="S62" s="467">
        <f>IF(W62,IF(OR(Principal!Q74="-",X62&lt;0),"-",MIN(Principal!Q74,X62)),X62)</f>
        <v>-30</v>
      </c>
      <c r="T62" s="2031"/>
      <c r="U62" s="2029"/>
      <c r="V62" s="3100"/>
      <c r="W62" s="3100"/>
      <c r="X62" s="3100">
        <f t="shared" si="1"/>
        <v>-30</v>
      </c>
    </row>
    <row r="63" spans="1:24" ht="12" customHeight="1" x14ac:dyDescent="0.2">
      <c r="A63" s="330"/>
      <c r="B63" s="279"/>
      <c r="C63" s="5190"/>
      <c r="D63" s="5191"/>
      <c r="E63" s="5191"/>
      <c r="F63" s="5191"/>
      <c r="G63" s="5191"/>
      <c r="H63" s="5191"/>
      <c r="I63" s="5191"/>
      <c r="J63" s="5191"/>
      <c r="K63" s="5191"/>
      <c r="L63" s="5192"/>
      <c r="M63" s="2501"/>
      <c r="N63" s="3447"/>
      <c r="O63" s="3453" t="str">
        <f>IF(PDs!P185="","-",PDs!P185)</f>
        <v>-</v>
      </c>
      <c r="P63" s="3453"/>
      <c r="Q63" s="2897" t="str">
        <f>IF(HLOOKUP(Sheele!$D$5,'Tablas Sheele'!$C$29:$K$86,'Tablas Sheele'!B83,FALSE)=0,"",HLOOKUP(Sheele!$D$5,'Tablas Sheele'!$C$29:$K$86,'Tablas Sheele'!B83,FALSE)+IF($X$8&gt;0,40+20*($X$8-1),0)+V63)</f>
        <v/>
      </c>
      <c r="R63" s="2239"/>
      <c r="S63" s="467">
        <f>IF(W63,IF(OR(Principal!Q75="-",X63&lt;0),"-",MIN(Principal!Q75,X63)),X63)</f>
        <v>-30</v>
      </c>
      <c r="T63" s="2031"/>
      <c r="U63" s="2029"/>
      <c r="V63" s="3100"/>
      <c r="W63" s="3100"/>
      <c r="X63" s="3100">
        <f t="shared" si="1"/>
        <v>-30</v>
      </c>
    </row>
    <row r="64" spans="1:24" ht="12" customHeight="1" x14ac:dyDescent="0.2">
      <c r="A64" s="330"/>
      <c r="B64" s="279"/>
      <c r="C64" s="5190" t="s">
        <v>10014</v>
      </c>
      <c r="D64" s="5191"/>
      <c r="E64" s="5191"/>
      <c r="F64" s="5191"/>
      <c r="G64" s="5191"/>
      <c r="H64" s="5191"/>
      <c r="I64" s="5191"/>
      <c r="J64" s="5191"/>
      <c r="K64" s="5191"/>
      <c r="L64" s="5192"/>
      <c r="M64" s="2501"/>
      <c r="N64" s="3447"/>
      <c r="O64" s="3453" t="str">
        <f>IF(PDs!P186="","-",PDs!P186)</f>
        <v>-</v>
      </c>
      <c r="P64" s="3453"/>
      <c r="Q64" s="2897" t="str">
        <f>IF(HLOOKUP(Sheele!$D$5,'Tablas Sheele'!$C$29:$K$86,'Tablas Sheele'!B84,FALSE)=0,"",HLOOKUP(Sheele!$D$5,'Tablas Sheele'!$C$29:$K$86,'Tablas Sheele'!B84,FALSE)+IF($X$8&gt;0,40+20*($X$8-1),0)+V64)</f>
        <v/>
      </c>
      <c r="R64" s="2239"/>
      <c r="S64" s="467">
        <f>IF(W64,IF(OR(Principal!Q76="-",X64&lt;0),"-",MIN(Principal!Q76,X64)),X64)</f>
        <v>-30</v>
      </c>
      <c r="T64" s="2031"/>
      <c r="U64" s="2029"/>
      <c r="V64" s="3100"/>
      <c r="W64" s="3100"/>
      <c r="X64" s="3100">
        <f t="shared" si="1"/>
        <v>-30</v>
      </c>
    </row>
    <row r="65" spans="1:24" ht="12" customHeight="1" thickBot="1" x14ac:dyDescent="0.25">
      <c r="A65" s="330"/>
      <c r="B65" s="279"/>
      <c r="C65" s="5193"/>
      <c r="D65" s="5194"/>
      <c r="E65" s="5194"/>
      <c r="F65" s="5194"/>
      <c r="G65" s="5194"/>
      <c r="H65" s="5194"/>
      <c r="I65" s="5194"/>
      <c r="J65" s="5194"/>
      <c r="K65" s="5194"/>
      <c r="L65" s="5195"/>
      <c r="M65" s="2501"/>
      <c r="N65" s="3578"/>
      <c r="O65" s="3579" t="str">
        <f>IF(PDs!P187="","-",PDs!P187)</f>
        <v>-</v>
      </c>
      <c r="P65" s="3579"/>
      <c r="Q65" s="2898" t="str">
        <f>IF(HLOOKUP(Sheele!$D$5,'Tablas Sheele'!$C$29:$K$86,'Tablas Sheele'!B85,FALSE)=0,"",HLOOKUP(Sheele!$D$5,'Tablas Sheele'!$C$29:$K$86,'Tablas Sheele'!B85,FALSE)+IF($X$8&gt;0,40+20*($X$8-1),0)+V65)</f>
        <v/>
      </c>
      <c r="R65" s="2243"/>
      <c r="S65" s="468">
        <f>IF(W65,IF(OR(Principal!Q77="-",X65&lt;0),"-",MIN(Principal!Q77,X65)),X65)</f>
        <v>-30</v>
      </c>
      <c r="T65" s="2031"/>
      <c r="U65" s="2029"/>
      <c r="V65" s="3100"/>
      <c r="W65" s="3100"/>
      <c r="X65" s="3100">
        <f t="shared" si="1"/>
        <v>-30</v>
      </c>
    </row>
    <row r="66" spans="1:24" ht="12" customHeight="1" thickBot="1" x14ac:dyDescent="0.25">
      <c r="A66" s="330"/>
      <c r="B66" s="279"/>
      <c r="C66" s="2501"/>
      <c r="D66" s="2501"/>
      <c r="E66" s="2501"/>
      <c r="F66" s="2501"/>
      <c r="G66" s="2501"/>
      <c r="H66" s="2501"/>
      <c r="I66" s="2501"/>
      <c r="J66" s="2501"/>
      <c r="K66" s="2501"/>
      <c r="L66" s="2501"/>
      <c r="M66" s="2501"/>
      <c r="N66" s="2501"/>
      <c r="O66" s="2501"/>
      <c r="P66" s="2501"/>
      <c r="Q66" s="2501"/>
      <c r="R66" s="2501"/>
      <c r="S66" s="2929"/>
      <c r="T66" s="2031"/>
      <c r="U66" s="2029"/>
      <c r="V66" s="3088"/>
      <c r="W66" s="3088"/>
      <c r="X66" s="3088"/>
    </row>
    <row r="67" spans="1:24" ht="12" customHeight="1" x14ac:dyDescent="0.2">
      <c r="A67" s="2905"/>
      <c r="B67" s="279"/>
      <c r="C67" s="5143" t="s">
        <v>2815</v>
      </c>
      <c r="D67" s="5144"/>
      <c r="E67" s="5144"/>
      <c r="F67" s="5144"/>
      <c r="G67" s="5144"/>
      <c r="H67" s="5144"/>
      <c r="I67" s="5144"/>
      <c r="J67" s="5144"/>
      <c r="K67" s="5144"/>
      <c r="L67" s="5144"/>
      <c r="M67" s="5144"/>
      <c r="N67" s="5144"/>
      <c r="O67" s="5144"/>
      <c r="P67" s="5144"/>
      <c r="Q67" s="5144"/>
      <c r="R67" s="5144"/>
      <c r="S67" s="5145"/>
      <c r="T67" s="2031"/>
      <c r="U67" s="2029"/>
      <c r="V67" s="3100"/>
      <c r="W67" s="3100"/>
      <c r="X67" s="3100"/>
    </row>
    <row r="68" spans="1:24" ht="12" customHeight="1" x14ac:dyDescent="0.2">
      <c r="A68" s="330"/>
      <c r="B68" s="279"/>
      <c r="C68" s="5006" t="s">
        <v>2816</v>
      </c>
      <c r="D68" s="5007"/>
      <c r="E68" s="2470" t="s">
        <v>2662</v>
      </c>
      <c r="F68" s="2903" t="s">
        <v>2817</v>
      </c>
      <c r="G68" s="2470" t="s">
        <v>1566</v>
      </c>
      <c r="H68" s="5008" t="s">
        <v>1549</v>
      </c>
      <c r="I68" s="5009"/>
      <c r="J68" s="5009"/>
      <c r="K68" s="5009"/>
      <c r="L68" s="5009"/>
      <c r="M68" s="5009"/>
      <c r="N68" s="5009"/>
      <c r="O68" s="5009"/>
      <c r="P68" s="5009"/>
      <c r="Q68" s="5009"/>
      <c r="R68" s="5009"/>
      <c r="S68" s="5010"/>
      <c r="T68" s="2031"/>
      <c r="U68" s="2029"/>
      <c r="V68" s="3088"/>
      <c r="W68" s="3088"/>
      <c r="X68" s="3088"/>
    </row>
    <row r="69" spans="1:24" ht="12" customHeight="1" x14ac:dyDescent="0.2">
      <c r="A69" s="2905"/>
      <c r="B69" s="279"/>
      <c r="C69" s="5118" t="str">
        <f>INDEX('Tablas Sheele'!$C$203:$C$242,MATCH(Sheele!$D$5,'Tablas Sheele'!$C$203:$C$242,0)+'Tablas Sheele'!A1)</f>
        <v>Vuelo Místico 10</v>
      </c>
      <c r="D69" s="5119"/>
      <c r="E69" s="2904" t="str">
        <f>IF($C69=" ","","-")</f>
        <v>-</v>
      </c>
      <c r="F69" s="2904" t="str">
        <f>IF($C69=" ","","-")</f>
        <v>-</v>
      </c>
      <c r="G69" s="2471" t="str">
        <f>IF($C69=" ","","-")</f>
        <v>-</v>
      </c>
      <c r="H69" s="5011" t="str">
        <f>IF(C69=" ","",VLOOKUP(C69,'Tablas Sheele'!$C$203:$J$242,3,FALSE))</f>
        <v>Puede volar con Tipo de Movimiento 10</v>
      </c>
      <c r="I69" s="5012"/>
      <c r="J69" s="5012"/>
      <c r="K69" s="5012"/>
      <c r="L69" s="5012"/>
      <c r="M69" s="5012"/>
      <c r="N69" s="5012"/>
      <c r="O69" s="5012"/>
      <c r="P69" s="5012"/>
      <c r="Q69" s="5012"/>
      <c r="R69" s="5012"/>
      <c r="S69" s="5013"/>
      <c r="T69" s="2031"/>
      <c r="U69" s="2029"/>
      <c r="V69" s="3088"/>
      <c r="W69" s="3088"/>
      <c r="X69" s="3088"/>
    </row>
    <row r="70" spans="1:24" ht="12" customHeight="1" x14ac:dyDescent="0.2">
      <c r="A70" s="2905"/>
      <c r="B70" s="279"/>
      <c r="C70" s="4977" t="str">
        <f>INDEX('Tablas Sheele'!$C$203:$C$242,MATCH(Sheele!$D$5,'Tablas Sheele'!$C$203:$C$242,0)+'Tablas Sheele'!A2)</f>
        <v>Movimiento Defensivo</v>
      </c>
      <c r="D70" s="4978"/>
      <c r="E70" s="2472" t="str">
        <f>IF($C70=" ","","-")</f>
        <v>-</v>
      </c>
      <c r="F70" s="2472" t="str">
        <f>IF($C70=" ","",IF(C70='Tablas Sheele'!C215,Sheele!F45,"-"))</f>
        <v>-</v>
      </c>
      <c r="G70" s="351" t="str">
        <f>IF($C70=" ","","-")</f>
        <v>-</v>
      </c>
      <c r="H70" s="4981" t="str">
        <f>IF(C70=" ","",VLOOKUP(C70,'Tablas Sheele'!$C$203:$J$242,3,FALSE))</f>
        <v>Usa su Proyección Mágica como Esquiva.</v>
      </c>
      <c r="I70" s="4982"/>
      <c r="J70" s="4982"/>
      <c r="K70" s="4982"/>
      <c r="L70" s="4982"/>
      <c r="M70" s="4982"/>
      <c r="N70" s="4982"/>
      <c r="O70" s="4982"/>
      <c r="P70" s="4982"/>
      <c r="Q70" s="4982"/>
      <c r="R70" s="4982"/>
      <c r="S70" s="4983"/>
      <c r="T70" s="2031"/>
      <c r="U70" s="2029"/>
      <c r="V70" s="3088"/>
      <c r="W70" s="3088"/>
      <c r="X70" s="3088"/>
    </row>
    <row r="71" spans="1:24" ht="12" customHeight="1" x14ac:dyDescent="0.2">
      <c r="A71" s="2905"/>
      <c r="B71" s="279"/>
      <c r="C71" s="4977" t="str">
        <f>INDEX('Tablas Sheele'!$C$203:$C$242,MATCH(Sheele!$D$5,'Tablas Sheele'!$C$203:$C$242,0)+'Tablas Sheele'!A3)</f>
        <v xml:space="preserve"> </v>
      </c>
      <c r="D71" s="4978"/>
      <c r="E71" s="2472" t="str">
        <f>IF($C71=" ","","-")</f>
        <v/>
      </c>
      <c r="F71" s="2472" t="str">
        <f>IF($C71=" ","","-")</f>
        <v/>
      </c>
      <c r="G71" s="351" t="str">
        <f>IF($C71=" ","","-")</f>
        <v/>
      </c>
      <c r="H71" s="4981" t="str">
        <f>IF(C71=" ","",VLOOKUP(C71,'Tablas Sheele'!$C$203:$J$242,3,FALSE))</f>
        <v/>
      </c>
      <c r="I71" s="4982"/>
      <c r="J71" s="4982"/>
      <c r="K71" s="4982"/>
      <c r="L71" s="4982"/>
      <c r="M71" s="4982"/>
      <c r="N71" s="4982"/>
      <c r="O71" s="4982"/>
      <c r="P71" s="4982"/>
      <c r="Q71" s="4982"/>
      <c r="R71" s="4982"/>
      <c r="S71" s="4983"/>
      <c r="T71" s="2031"/>
      <c r="U71" s="2029"/>
      <c r="V71" s="3088"/>
      <c r="W71" s="3088"/>
      <c r="X71" s="3088"/>
    </row>
    <row r="72" spans="1:24" ht="12" customHeight="1" x14ac:dyDescent="0.2">
      <c r="A72" s="2905"/>
      <c r="B72" s="279"/>
      <c r="C72" s="5207" t="str">
        <f>INDEX('Tablas Sheele'!$C$203:$C$242,MATCH(Sheele!$D$5,'Tablas Sheele'!$C$203:$C$242,0)+'Tablas Sheele'!A4)</f>
        <v xml:space="preserve"> </v>
      </c>
      <c r="D72" s="5208"/>
      <c r="E72" s="2941" t="str">
        <f>IF($C72=" ","","-")</f>
        <v/>
      </c>
      <c r="F72" s="2941" t="str">
        <f>IF($C72=" ","","-")</f>
        <v/>
      </c>
      <c r="G72" s="2942" t="str">
        <f>IF($C72=" ","","-")</f>
        <v/>
      </c>
      <c r="H72" s="5003" t="str">
        <f>IF(C72=" ","",VLOOKUP(C72,'Tablas Sheele'!$C$203:$J$242,3,FALSE))</f>
        <v/>
      </c>
      <c r="I72" s="5004"/>
      <c r="J72" s="5004"/>
      <c r="K72" s="5004"/>
      <c r="L72" s="5004"/>
      <c r="M72" s="5004"/>
      <c r="N72" s="5004"/>
      <c r="O72" s="5004"/>
      <c r="P72" s="5004"/>
      <c r="Q72" s="5004"/>
      <c r="R72" s="5004"/>
      <c r="S72" s="5005"/>
      <c r="T72" s="2031"/>
      <c r="U72" s="2029"/>
      <c r="V72" s="3088"/>
      <c r="W72" s="3088"/>
      <c r="X72" s="3088"/>
    </row>
    <row r="73" spans="1:24" ht="12" customHeight="1" x14ac:dyDescent="0.2">
      <c r="A73" s="2905"/>
      <c r="B73" s="279"/>
      <c r="C73" s="5118" t="str">
        <f>IF(COUNTA($C$72:C72)&lt;='Tablas Sheele'!$H$198,VLOOKUP('Tablas Sheele'!A1,'Tablas Sheele'!$B$110:$R$197,3,FALSE),"")</f>
        <v/>
      </c>
      <c r="D73" s="5119"/>
      <c r="E73" s="2904" t="str">
        <f>IF($C73="","",VLOOKUP('Tablas Sheele'!$A1,'Tablas Sheele'!$B$110:$R197,8,FALSE))</f>
        <v/>
      </c>
      <c r="F73" s="2904" t="str">
        <f>IF($C73="","",VLOOKUP('Tablas Sheele'!$A1,'Tablas Sheele'!$B$110:$R197,9,FALSE))</f>
        <v/>
      </c>
      <c r="G73" s="2471" t="str">
        <f>IF($C73="","",VLOOKUP('Tablas Sheele'!$A1,'Tablas Sheele'!$B$110:$R197,10,FALSE))</f>
        <v/>
      </c>
      <c r="H73" s="5120" t="str">
        <f>IF($C73="","",VLOOKUP('Tablas Sheele'!$A1,'Tablas Sheele'!$B$110:$R197,11,FALSE))</f>
        <v/>
      </c>
      <c r="I73" s="5001"/>
      <c r="J73" s="5001"/>
      <c r="K73" s="5001"/>
      <c r="L73" s="5001"/>
      <c r="M73" s="5001"/>
      <c r="N73" s="5001"/>
      <c r="O73" s="5001"/>
      <c r="P73" s="5001"/>
      <c r="Q73" s="5001"/>
      <c r="R73" s="5001"/>
      <c r="S73" s="5002"/>
      <c r="T73" s="2031"/>
      <c r="U73" s="2029"/>
      <c r="V73" s="3088"/>
      <c r="W73" s="3088"/>
      <c r="X73" s="3088"/>
    </row>
    <row r="74" spans="1:24" ht="12" customHeight="1" x14ac:dyDescent="0.2">
      <c r="A74" s="2905"/>
      <c r="B74" s="279"/>
      <c r="C74" s="4977" t="str">
        <f>IF(COUNTA($C$72:C73)&lt;='Tablas Sheele'!$H$198,VLOOKUP('Tablas Sheele'!A2,'Tablas Sheele'!$B$110:$R$197,3,FALSE),"")</f>
        <v/>
      </c>
      <c r="D74" s="4978"/>
      <c r="E74" s="2472" t="str">
        <f>IF($C74="","",VLOOKUP('Tablas Sheele'!$A2,'Tablas Sheele'!$B$110:$R198,8,FALSE))</f>
        <v/>
      </c>
      <c r="F74" s="2472" t="str">
        <f>IF($C74="","",VLOOKUP('Tablas Sheele'!$A2,'Tablas Sheele'!$B$110:$R198,9,FALSE))</f>
        <v/>
      </c>
      <c r="G74" s="351" t="str">
        <f>IF($C74="","",VLOOKUP('Tablas Sheele'!$A2,'Tablas Sheele'!$B$110:$R198,10,FALSE))</f>
        <v/>
      </c>
      <c r="H74" s="4984" t="str">
        <f>IF($C74="","",VLOOKUP('Tablas Sheele'!$A2,'Tablas Sheele'!$B$110:$R198,11,FALSE))</f>
        <v/>
      </c>
      <c r="I74" s="4985"/>
      <c r="J74" s="4985"/>
      <c r="K74" s="4985"/>
      <c r="L74" s="4985"/>
      <c r="M74" s="4985"/>
      <c r="N74" s="4985"/>
      <c r="O74" s="4985"/>
      <c r="P74" s="4985"/>
      <c r="Q74" s="4985"/>
      <c r="R74" s="4985"/>
      <c r="S74" s="4986"/>
      <c r="T74" s="2031"/>
      <c r="U74" s="2029"/>
      <c r="V74" s="3088"/>
      <c r="W74" s="3088"/>
      <c r="X74" s="3088"/>
    </row>
    <row r="75" spans="1:24" ht="12" customHeight="1" x14ac:dyDescent="0.2">
      <c r="A75" s="2905"/>
      <c r="B75" s="279"/>
      <c r="C75" s="4977" t="str">
        <f>IF(COUNTA($C$72:C74)&lt;='Tablas Sheele'!$H$198,VLOOKUP('Tablas Sheele'!A3,'Tablas Sheele'!$B$110:$R$197,3,FALSE),"")</f>
        <v/>
      </c>
      <c r="D75" s="4978"/>
      <c r="E75" s="2472" t="str">
        <f>IF($C75="","",VLOOKUP('Tablas Sheele'!$A3,'Tablas Sheele'!$B$110:$R199,8,FALSE))</f>
        <v/>
      </c>
      <c r="F75" s="2472" t="str">
        <f>IF($C75="","",VLOOKUP('Tablas Sheele'!$A3,'Tablas Sheele'!$B$110:$R199,9,FALSE))</f>
        <v/>
      </c>
      <c r="G75" s="351" t="str">
        <f>IF($C75="","",VLOOKUP('Tablas Sheele'!$A3,'Tablas Sheele'!$B$110:$R199,10,FALSE))</f>
        <v/>
      </c>
      <c r="H75" s="4984" t="str">
        <f>IF($C75="","",VLOOKUP('Tablas Sheele'!$A3,'Tablas Sheele'!$B$110:$R199,11,FALSE))</f>
        <v/>
      </c>
      <c r="I75" s="4985"/>
      <c r="J75" s="4985"/>
      <c r="K75" s="4985"/>
      <c r="L75" s="4985"/>
      <c r="M75" s="4985"/>
      <c r="N75" s="4985"/>
      <c r="O75" s="4985"/>
      <c r="P75" s="4985"/>
      <c r="Q75" s="4985"/>
      <c r="R75" s="4985"/>
      <c r="S75" s="4986"/>
      <c r="T75" s="2031"/>
      <c r="U75" s="2029"/>
      <c r="V75" s="3088"/>
      <c r="W75" s="3088"/>
      <c r="X75" s="3088"/>
    </row>
    <row r="76" spans="1:24" ht="12" customHeight="1" x14ac:dyDescent="0.2">
      <c r="A76" s="2905"/>
      <c r="B76" s="279"/>
      <c r="C76" s="4977" t="str">
        <f>IF(COUNTA($C$72:C75)&lt;='Tablas Sheele'!$H$198,VLOOKUP('Tablas Sheele'!A4,'Tablas Sheele'!$B$110:$R$197,3,FALSE),"")</f>
        <v/>
      </c>
      <c r="D76" s="4978"/>
      <c r="E76" s="2472" t="str">
        <f>IF($C76="","",VLOOKUP('Tablas Sheele'!$A4,'Tablas Sheele'!$B$110:$R200,8,FALSE))</f>
        <v/>
      </c>
      <c r="F76" s="2472" t="str">
        <f>IF($C76="","",VLOOKUP('Tablas Sheele'!$A4,'Tablas Sheele'!$B$110:$R200,9,FALSE))</f>
        <v/>
      </c>
      <c r="G76" s="351" t="str">
        <f>IF($C76="","",VLOOKUP('Tablas Sheele'!$A4,'Tablas Sheele'!$B$110:$R200,10,FALSE))</f>
        <v/>
      </c>
      <c r="H76" s="4984" t="str">
        <f>IF($C76="","",VLOOKUP('Tablas Sheele'!$A4,'Tablas Sheele'!$B$110:$R200,11,FALSE))</f>
        <v/>
      </c>
      <c r="I76" s="4985"/>
      <c r="J76" s="4985"/>
      <c r="K76" s="4985"/>
      <c r="L76" s="4985"/>
      <c r="M76" s="4985"/>
      <c r="N76" s="4985"/>
      <c r="O76" s="4985"/>
      <c r="P76" s="4985"/>
      <c r="Q76" s="4985"/>
      <c r="R76" s="4985"/>
      <c r="S76" s="4986"/>
      <c r="T76" s="2031"/>
      <c r="U76" s="2029"/>
      <c r="V76" s="3088"/>
      <c r="W76" s="3088"/>
      <c r="X76" s="3088"/>
    </row>
    <row r="77" spans="1:24" ht="12" customHeight="1" x14ac:dyDescent="0.2">
      <c r="A77" s="2905"/>
      <c r="B77" s="279"/>
      <c r="C77" s="4977" t="str">
        <f>IF(COUNTA($C$72:C76)&lt;='Tablas Sheele'!$H$198,VLOOKUP('Tablas Sheele'!A5,'Tablas Sheele'!$B$110:$R$197,3,FALSE),"")</f>
        <v/>
      </c>
      <c r="D77" s="4978"/>
      <c r="E77" s="2472" t="str">
        <f>IF($C77="","",VLOOKUP('Tablas Sheele'!$A5,'Tablas Sheele'!$B$110:$R201,8,FALSE))</f>
        <v/>
      </c>
      <c r="F77" s="2472" t="str">
        <f>IF($C77="","",VLOOKUP('Tablas Sheele'!$A5,'Tablas Sheele'!$B$110:$R201,9,FALSE))</f>
        <v/>
      </c>
      <c r="G77" s="351" t="str">
        <f>IF($C77="","",VLOOKUP('Tablas Sheele'!$A5,'Tablas Sheele'!$B$110:$R201,10,FALSE))</f>
        <v/>
      </c>
      <c r="H77" s="4984" t="str">
        <f>IF($C77="","",VLOOKUP('Tablas Sheele'!$A5,'Tablas Sheele'!$B$110:$R201,11,FALSE))</f>
        <v/>
      </c>
      <c r="I77" s="4985"/>
      <c r="J77" s="4985"/>
      <c r="K77" s="4985"/>
      <c r="L77" s="4985"/>
      <c r="M77" s="4985"/>
      <c r="N77" s="4985"/>
      <c r="O77" s="4985"/>
      <c r="P77" s="4985"/>
      <c r="Q77" s="4985"/>
      <c r="R77" s="4985"/>
      <c r="S77" s="4986"/>
      <c r="T77" s="2031"/>
      <c r="U77" s="2029"/>
      <c r="V77" s="3088"/>
      <c r="W77" s="3088"/>
      <c r="X77" s="3088"/>
    </row>
    <row r="78" spans="1:24" ht="12" customHeight="1" x14ac:dyDescent="0.2">
      <c r="A78" s="2905"/>
      <c r="B78" s="279"/>
      <c r="C78" s="4977" t="str">
        <f>IF(COUNTA($C$72:C77)&lt;='Tablas Sheele'!$H$198,VLOOKUP('Tablas Sheele'!A6,'Tablas Sheele'!$B$110:$R$197,3,FALSE),"")</f>
        <v/>
      </c>
      <c r="D78" s="4978"/>
      <c r="E78" s="2472" t="str">
        <f>IF($C78="","",VLOOKUP('Tablas Sheele'!$A6,'Tablas Sheele'!$B$110:$R202,8,FALSE))</f>
        <v/>
      </c>
      <c r="F78" s="2472" t="str">
        <f>IF($C78="","",VLOOKUP('Tablas Sheele'!$A6,'Tablas Sheele'!$B$110:$R202,9,FALSE))</f>
        <v/>
      </c>
      <c r="G78" s="351" t="str">
        <f>IF($C78="","",VLOOKUP('Tablas Sheele'!$A6,'Tablas Sheele'!$B$110:$R202,10,FALSE))</f>
        <v/>
      </c>
      <c r="H78" s="4984" t="str">
        <f>IF($C78="","",VLOOKUP('Tablas Sheele'!$A6,'Tablas Sheele'!$B$110:$R202,11,FALSE))</f>
        <v/>
      </c>
      <c r="I78" s="4985"/>
      <c r="J78" s="4985"/>
      <c r="K78" s="4985"/>
      <c r="L78" s="4985"/>
      <c r="M78" s="4985"/>
      <c r="N78" s="4985"/>
      <c r="O78" s="4985"/>
      <c r="P78" s="4985"/>
      <c r="Q78" s="4985"/>
      <c r="R78" s="4985"/>
      <c r="S78" s="4986"/>
      <c r="T78" s="2031"/>
      <c r="U78" s="2029"/>
      <c r="V78" s="3088"/>
      <c r="W78" s="3088"/>
      <c r="X78" s="3088"/>
    </row>
    <row r="79" spans="1:24" ht="12" customHeight="1" x14ac:dyDescent="0.2">
      <c r="A79" s="2905"/>
      <c r="B79" s="279"/>
      <c r="C79" s="4977" t="str">
        <f>IF(COUNTA($C$72:C78)&lt;='Tablas Sheele'!$H$198,VLOOKUP('Tablas Sheele'!A7,'Tablas Sheele'!$B$110:$R$197,3,FALSE),"")</f>
        <v/>
      </c>
      <c r="D79" s="4978"/>
      <c r="E79" s="2472" t="str">
        <f>IF($C79="","",VLOOKUP('Tablas Sheele'!$A7,'Tablas Sheele'!$B$110:$R203,8,FALSE))</f>
        <v/>
      </c>
      <c r="F79" s="2472" t="str">
        <f>IF($C79="","",VLOOKUP('Tablas Sheele'!$A7,'Tablas Sheele'!$B$110:$R203,9,FALSE))</f>
        <v/>
      </c>
      <c r="G79" s="351" t="str">
        <f>IF($C79="","",VLOOKUP('Tablas Sheele'!$A7,'Tablas Sheele'!$B$110:$R203,10,FALSE))</f>
        <v/>
      </c>
      <c r="H79" s="4984" t="str">
        <f>IF($C79="","",VLOOKUP('Tablas Sheele'!$A7,'Tablas Sheele'!$B$110:$R203,11,FALSE))</f>
        <v/>
      </c>
      <c r="I79" s="4985"/>
      <c r="J79" s="4985"/>
      <c r="K79" s="4985"/>
      <c r="L79" s="4985"/>
      <c r="M79" s="4985"/>
      <c r="N79" s="4985"/>
      <c r="O79" s="4985"/>
      <c r="P79" s="4985"/>
      <c r="Q79" s="4985"/>
      <c r="R79" s="4985"/>
      <c r="S79" s="4986"/>
      <c r="T79" s="2031"/>
      <c r="U79" s="2029"/>
      <c r="V79" s="3088"/>
      <c r="W79" s="3088"/>
      <c r="X79" s="3088"/>
    </row>
    <row r="80" spans="1:24" ht="12" customHeight="1" x14ac:dyDescent="0.2">
      <c r="A80" s="2905"/>
      <c r="B80" s="279"/>
      <c r="C80" s="4977" t="str">
        <f>IF(COUNTA($C$72:C79)&lt;='Tablas Sheele'!$H$198,VLOOKUP('Tablas Sheele'!A8,'Tablas Sheele'!$B$110:$R$197,3,FALSE),"")</f>
        <v/>
      </c>
      <c r="D80" s="4978"/>
      <c r="E80" s="2472" t="str">
        <f>IF($C80="","",VLOOKUP('Tablas Sheele'!$A8,'Tablas Sheele'!$B$110:$R204,8,FALSE))</f>
        <v/>
      </c>
      <c r="F80" s="2472" t="str">
        <f>IF($C80="","",VLOOKUP('Tablas Sheele'!$A8,'Tablas Sheele'!$B$110:$R204,9,FALSE))</f>
        <v/>
      </c>
      <c r="G80" s="351" t="str">
        <f>IF($C80="","",VLOOKUP('Tablas Sheele'!$A8,'Tablas Sheele'!$B$110:$R204,10,FALSE))</f>
        <v/>
      </c>
      <c r="H80" s="4984" t="str">
        <f>IF($C80="","",VLOOKUP('Tablas Sheele'!$A8,'Tablas Sheele'!$B$110:$R204,11,FALSE))</f>
        <v/>
      </c>
      <c r="I80" s="4985"/>
      <c r="J80" s="4985"/>
      <c r="K80" s="4985"/>
      <c r="L80" s="4985"/>
      <c r="M80" s="4985"/>
      <c r="N80" s="4985"/>
      <c r="O80" s="4985"/>
      <c r="P80" s="4985"/>
      <c r="Q80" s="4985"/>
      <c r="R80" s="4985"/>
      <c r="S80" s="4986"/>
      <c r="T80" s="2031"/>
      <c r="U80" s="2029"/>
      <c r="V80" s="3088"/>
      <c r="W80" s="3088"/>
      <c r="X80" s="3088"/>
    </row>
    <row r="81" spans="1:24" ht="12" customHeight="1" x14ac:dyDescent="0.2">
      <c r="A81" s="2905"/>
      <c r="B81" s="279"/>
      <c r="C81" s="4977" t="str">
        <f>IF(COUNTA($C$72:C80)&lt;='Tablas Sheele'!$H$198,VLOOKUP('Tablas Sheele'!A9,'Tablas Sheele'!$B$110:$R$197,3,FALSE),"")</f>
        <v/>
      </c>
      <c r="D81" s="4978"/>
      <c r="E81" s="2472" t="str">
        <f>IF($C81="","",VLOOKUP('Tablas Sheele'!$A9,'Tablas Sheele'!$B$110:$R205,8,FALSE))</f>
        <v/>
      </c>
      <c r="F81" s="2472" t="str">
        <f>IF($C81="","",VLOOKUP('Tablas Sheele'!$A9,'Tablas Sheele'!$B$110:$R205,9,FALSE))</f>
        <v/>
      </c>
      <c r="G81" s="351" t="str">
        <f>IF($C81="","",VLOOKUP('Tablas Sheele'!$A9,'Tablas Sheele'!$B$110:$R205,10,FALSE))</f>
        <v/>
      </c>
      <c r="H81" s="4984" t="str">
        <f>IF($C81="","",VLOOKUP('Tablas Sheele'!$A9,'Tablas Sheele'!$B$110:$R205,11,FALSE))</f>
        <v/>
      </c>
      <c r="I81" s="4985"/>
      <c r="J81" s="4985"/>
      <c r="K81" s="4985"/>
      <c r="L81" s="4985"/>
      <c r="M81" s="4985"/>
      <c r="N81" s="4985"/>
      <c r="O81" s="4985"/>
      <c r="P81" s="4985"/>
      <c r="Q81" s="4985"/>
      <c r="R81" s="4985"/>
      <c r="S81" s="4986"/>
      <c r="T81" s="2031"/>
      <c r="U81" s="2029"/>
      <c r="V81" s="3088"/>
      <c r="W81" s="3088"/>
      <c r="X81" s="3088"/>
    </row>
    <row r="82" spans="1:24" ht="12" customHeight="1" x14ac:dyDescent="0.2">
      <c r="A82" s="2905"/>
      <c r="B82" s="279"/>
      <c r="C82" s="5209" t="s">
        <v>2635</v>
      </c>
      <c r="D82" s="5210"/>
      <c r="E82" s="4998" t="s">
        <v>1549</v>
      </c>
      <c r="F82" s="4999"/>
      <c r="G82" s="4999"/>
      <c r="H82" s="4999"/>
      <c r="I82" s="4999"/>
      <c r="J82" s="4999"/>
      <c r="K82" s="4999"/>
      <c r="L82" s="4999"/>
      <c r="M82" s="4999"/>
      <c r="N82" s="4999"/>
      <c r="O82" s="4999"/>
      <c r="P82" s="4999"/>
      <c r="Q82" s="4999"/>
      <c r="R82" s="4999"/>
      <c r="S82" s="5000"/>
      <c r="T82" s="2031"/>
      <c r="U82" s="2029"/>
      <c r="V82" s="3088"/>
      <c r="W82" s="3088"/>
      <c r="X82" s="3088"/>
    </row>
    <row r="83" spans="1:24" ht="12" customHeight="1" x14ac:dyDescent="0.2">
      <c r="A83" s="2905"/>
      <c r="B83" s="279"/>
      <c r="C83" s="5211" t="str">
        <f>IF(COUNTA($C$82:C82)&lt;='Tablas Sheele'!$H$109,VLOOKUP('Tablas Sheele'!A1,'Tablas Sheele'!$B$91:$D$108,3,FALSE),"")</f>
        <v/>
      </c>
      <c r="D83" s="5212"/>
      <c r="E83" s="5001" t="str">
        <f>IF($C83="","",VLOOKUP(C83,'Tablas Sheele'!D92:Q108,9,FALSE))</f>
        <v/>
      </c>
      <c r="F83" s="5001"/>
      <c r="G83" s="5001"/>
      <c r="H83" s="5001"/>
      <c r="I83" s="5001"/>
      <c r="J83" s="5001"/>
      <c r="K83" s="5001"/>
      <c r="L83" s="5001"/>
      <c r="M83" s="5001"/>
      <c r="N83" s="5001"/>
      <c r="O83" s="5001"/>
      <c r="P83" s="5001"/>
      <c r="Q83" s="5001"/>
      <c r="R83" s="5001"/>
      <c r="S83" s="5002"/>
      <c r="T83" s="2031"/>
      <c r="U83" s="2029"/>
      <c r="V83" s="3088"/>
      <c r="W83" s="3088"/>
      <c r="X83" s="3088"/>
    </row>
    <row r="84" spans="1:24" ht="12" customHeight="1" x14ac:dyDescent="0.2">
      <c r="A84" s="2905"/>
      <c r="B84" s="279"/>
      <c r="C84" s="5070" t="str">
        <f>IF(COUNTA($C$82:C83)&lt;='Tablas Sheele'!$H$109,VLOOKUP('Tablas Sheele'!A2,'Tablas Sheele'!$B$91:$D$108,3,FALSE),"")</f>
        <v/>
      </c>
      <c r="D84" s="5071"/>
      <c r="E84" s="4984" t="str">
        <f>IF($C84="","",VLOOKUP(C84,'Tablas Sheele'!D93:Q109,9,FALSE))</f>
        <v/>
      </c>
      <c r="F84" s="4985"/>
      <c r="G84" s="4985"/>
      <c r="H84" s="4985"/>
      <c r="I84" s="4985"/>
      <c r="J84" s="4985"/>
      <c r="K84" s="4985"/>
      <c r="L84" s="4985"/>
      <c r="M84" s="4985"/>
      <c r="N84" s="4985"/>
      <c r="O84" s="4985"/>
      <c r="P84" s="4985"/>
      <c r="Q84" s="4985"/>
      <c r="R84" s="4985"/>
      <c r="S84" s="4986"/>
      <c r="T84" s="2031"/>
      <c r="U84" s="2029"/>
      <c r="V84" s="3088"/>
      <c r="W84" s="3088"/>
      <c r="X84" s="3088"/>
    </row>
    <row r="85" spans="1:24" ht="12" customHeight="1" x14ac:dyDescent="0.2">
      <c r="A85" s="2905"/>
      <c r="B85" s="279"/>
      <c r="C85" s="5070" t="str">
        <f>IF(COUNTA($C$82:C84)&lt;='Tablas Sheele'!$H$109,VLOOKUP('Tablas Sheele'!A3,'Tablas Sheele'!$B$91:$D$108,3,FALSE),"")</f>
        <v/>
      </c>
      <c r="D85" s="5071"/>
      <c r="E85" s="4984" t="str">
        <f>IF($C85="","",VLOOKUP(C85,'Tablas Sheele'!D94:Q110,9,FALSE))</f>
        <v/>
      </c>
      <c r="F85" s="4985"/>
      <c r="G85" s="4985"/>
      <c r="H85" s="4985"/>
      <c r="I85" s="4985"/>
      <c r="J85" s="4985"/>
      <c r="K85" s="4985"/>
      <c r="L85" s="4985"/>
      <c r="M85" s="4985"/>
      <c r="N85" s="4985"/>
      <c r="O85" s="4985"/>
      <c r="P85" s="4985"/>
      <c r="Q85" s="4985"/>
      <c r="R85" s="4985"/>
      <c r="S85" s="4986"/>
      <c r="T85" s="2031"/>
      <c r="U85" s="2029"/>
      <c r="V85" s="3088"/>
      <c r="W85" s="3088"/>
      <c r="X85" s="3088"/>
    </row>
    <row r="86" spans="1:24" ht="12" customHeight="1" x14ac:dyDescent="0.2">
      <c r="A86" s="2905"/>
      <c r="B86" s="279"/>
      <c r="C86" s="5070" t="str">
        <f>IF(COUNTA($C$82:C85)&lt;='Tablas Sheele'!$H$109,VLOOKUP('Tablas Sheele'!A4,'Tablas Sheele'!$B$91:$D$108,3,FALSE),"")</f>
        <v/>
      </c>
      <c r="D86" s="5071"/>
      <c r="E86" s="4984" t="str">
        <f>IF($C86="","",VLOOKUP(C86,'Tablas Sheele'!D95:Q111,9,FALSE))</f>
        <v/>
      </c>
      <c r="F86" s="4985"/>
      <c r="G86" s="4985"/>
      <c r="H86" s="4985"/>
      <c r="I86" s="4985"/>
      <c r="J86" s="4985"/>
      <c r="K86" s="4985"/>
      <c r="L86" s="4985"/>
      <c r="M86" s="4985"/>
      <c r="N86" s="4985"/>
      <c r="O86" s="4985"/>
      <c r="P86" s="4985"/>
      <c r="Q86" s="4985"/>
      <c r="R86" s="4985"/>
      <c r="S86" s="4986"/>
      <c r="T86" s="2031"/>
      <c r="U86" s="2029"/>
      <c r="V86" s="3088"/>
      <c r="W86" s="3088"/>
      <c r="X86" s="3088"/>
    </row>
    <row r="87" spans="1:24" ht="12" customHeight="1" thickBot="1" x14ac:dyDescent="0.25">
      <c r="A87" s="2905"/>
      <c r="B87" s="279"/>
      <c r="C87" s="5205" t="str">
        <f>IF(COUNTA($C$82:C86)&lt;='Tablas Sheele'!$H$109,VLOOKUP('Tablas Sheele'!A5,'Tablas Sheele'!$B$91:$D$108,3,FALSE),"")</f>
        <v/>
      </c>
      <c r="D87" s="5206"/>
      <c r="E87" s="4995" t="str">
        <f>IF($C87="","",VLOOKUP(C87,'Tablas Sheele'!D96:Q112,9,FALSE))</f>
        <v/>
      </c>
      <c r="F87" s="4996"/>
      <c r="G87" s="4996"/>
      <c r="H87" s="4996"/>
      <c r="I87" s="4996"/>
      <c r="J87" s="4996"/>
      <c r="K87" s="4996"/>
      <c r="L87" s="4996"/>
      <c r="M87" s="4996"/>
      <c r="N87" s="4996"/>
      <c r="O87" s="4996"/>
      <c r="P87" s="4996"/>
      <c r="Q87" s="4996"/>
      <c r="R87" s="4996"/>
      <c r="S87" s="4997"/>
      <c r="T87" s="2031"/>
      <c r="U87" s="2029"/>
      <c r="V87" s="3088"/>
      <c r="W87" s="3088"/>
      <c r="X87" s="3088"/>
    </row>
    <row r="88" spans="1:24" ht="12" customHeight="1" thickBot="1" x14ac:dyDescent="0.25">
      <c r="A88" s="2905"/>
      <c r="B88" s="280"/>
      <c r="C88" s="424"/>
      <c r="D88" s="424"/>
      <c r="E88" s="424"/>
      <c r="F88" s="424"/>
      <c r="G88" s="424"/>
      <c r="H88" s="424"/>
      <c r="I88" s="424"/>
      <c r="J88" s="424"/>
      <c r="K88" s="424"/>
      <c r="L88" s="424"/>
      <c r="M88" s="424"/>
      <c r="N88" s="424"/>
      <c r="O88" s="424"/>
      <c r="P88" s="424"/>
      <c r="Q88" s="424"/>
      <c r="R88" s="424"/>
      <c r="S88" s="2945"/>
      <c r="T88" s="2946"/>
      <c r="U88" s="2029"/>
      <c r="V88" s="3088"/>
      <c r="W88" s="3088"/>
      <c r="X88" s="3088"/>
    </row>
    <row r="89" spans="1:24" ht="9" customHeight="1" thickBot="1" x14ac:dyDescent="0.25">
      <c r="A89" s="2905"/>
      <c r="B89" s="2518"/>
      <c r="C89" s="1433"/>
      <c r="D89" s="1433"/>
      <c r="E89" s="1433"/>
      <c r="F89" s="1433"/>
      <c r="G89" s="1433"/>
      <c r="H89" s="1433"/>
      <c r="I89" s="1433"/>
      <c r="J89" s="1433"/>
      <c r="K89" s="1433"/>
      <c r="L89" s="1433"/>
      <c r="M89" s="1433"/>
      <c r="N89" s="1433"/>
      <c r="O89" s="1433"/>
      <c r="P89" s="1433"/>
      <c r="Q89" s="1433"/>
      <c r="R89" s="1433"/>
      <c r="S89" s="1715"/>
      <c r="T89" s="2943"/>
      <c r="U89" s="2944"/>
      <c r="V89" s="3088"/>
      <c r="W89" s="3088"/>
      <c r="X89" s="3088"/>
    </row>
    <row r="90" spans="1:24" ht="12" customHeight="1" thickBot="1" x14ac:dyDescent="0.25">
      <c r="A90" s="2905"/>
      <c r="B90" s="397"/>
      <c r="C90" s="398"/>
      <c r="D90" s="398"/>
      <c r="E90" s="398"/>
      <c r="F90" s="398"/>
      <c r="G90" s="398"/>
      <c r="H90" s="398"/>
      <c r="I90" s="398"/>
      <c r="J90" s="398"/>
      <c r="K90" s="398"/>
      <c r="L90" s="398"/>
      <c r="M90" s="398"/>
      <c r="N90" s="398"/>
      <c r="O90" s="398"/>
      <c r="P90" s="398"/>
      <c r="Q90" s="398"/>
      <c r="R90" s="398"/>
      <c r="S90" s="398"/>
      <c r="T90" s="2030"/>
      <c r="U90" s="2029"/>
      <c r="V90" s="3088"/>
      <c r="W90" s="3088"/>
      <c r="X90" s="3088"/>
    </row>
    <row r="91" spans="1:24" ht="12" customHeight="1" thickBot="1" x14ac:dyDescent="0.25">
      <c r="A91" s="330"/>
      <c r="B91" s="279"/>
      <c r="C91" s="4415" t="s">
        <v>9607</v>
      </c>
      <c r="D91" s="4416"/>
      <c r="E91" s="4416"/>
      <c r="F91" s="4416"/>
      <c r="G91" s="4416"/>
      <c r="H91" s="4416"/>
      <c r="I91" s="4416"/>
      <c r="J91" s="4416"/>
      <c r="K91" s="4416"/>
      <c r="L91" s="4416"/>
      <c r="M91" s="4416"/>
      <c r="N91" s="4416"/>
      <c r="O91" s="4416"/>
      <c r="P91" s="4416"/>
      <c r="Q91" s="4416"/>
      <c r="R91" s="4416"/>
      <c r="S91" s="4417"/>
      <c r="T91" s="2031"/>
      <c r="U91" s="2029"/>
      <c r="V91" s="3088"/>
      <c r="W91" s="3088"/>
      <c r="X91" s="3088"/>
    </row>
    <row r="92" spans="1:24" ht="12" customHeight="1" x14ac:dyDescent="0.2">
      <c r="A92" s="330"/>
      <c r="B92" s="279"/>
      <c r="C92" s="5183"/>
      <c r="D92" s="5184"/>
      <c r="E92" s="5184"/>
      <c r="F92" s="5184"/>
      <c r="G92" s="5184"/>
      <c r="H92" s="5184"/>
      <c r="I92" s="5184"/>
      <c r="J92" s="5184"/>
      <c r="K92" s="5184"/>
      <c r="L92" s="5184"/>
      <c r="M92" s="5184"/>
      <c r="N92" s="5184"/>
      <c r="O92" s="5184"/>
      <c r="P92" s="5184"/>
      <c r="Q92" s="5184"/>
      <c r="R92" s="5184"/>
      <c r="S92" s="5185"/>
      <c r="T92" s="2032"/>
      <c r="U92" s="2029"/>
      <c r="V92" s="3088"/>
      <c r="W92" s="3088"/>
      <c r="X92" s="3088"/>
    </row>
    <row r="93" spans="1:24" ht="12" customHeight="1" x14ac:dyDescent="0.2">
      <c r="A93" s="2905"/>
      <c r="B93" s="279"/>
      <c r="C93" s="4372"/>
      <c r="D93" s="5186"/>
      <c r="E93" s="5186"/>
      <c r="F93" s="5186"/>
      <c r="G93" s="5186"/>
      <c r="H93" s="5186"/>
      <c r="I93" s="5186"/>
      <c r="J93" s="5186"/>
      <c r="K93" s="5186"/>
      <c r="L93" s="5186"/>
      <c r="M93" s="5186"/>
      <c r="N93" s="5186"/>
      <c r="O93" s="5186"/>
      <c r="P93" s="5186"/>
      <c r="Q93" s="5186"/>
      <c r="R93" s="5186"/>
      <c r="S93" s="4374"/>
      <c r="T93" s="2032"/>
      <c r="U93" s="2029"/>
      <c r="V93" s="3088"/>
      <c r="W93" s="3088"/>
      <c r="X93" s="3088"/>
    </row>
    <row r="94" spans="1:24" ht="12" customHeight="1" x14ac:dyDescent="0.2">
      <c r="A94" s="2905"/>
      <c r="B94" s="279"/>
      <c r="C94" s="4372"/>
      <c r="D94" s="5186"/>
      <c r="E94" s="5186"/>
      <c r="F94" s="5186"/>
      <c r="G94" s="5186"/>
      <c r="H94" s="5186"/>
      <c r="I94" s="5186"/>
      <c r="J94" s="5186"/>
      <c r="K94" s="5186"/>
      <c r="L94" s="5186"/>
      <c r="M94" s="5186"/>
      <c r="N94" s="5186"/>
      <c r="O94" s="5186"/>
      <c r="P94" s="5186"/>
      <c r="Q94" s="5186"/>
      <c r="R94" s="5186"/>
      <c r="S94" s="4374"/>
      <c r="T94" s="2032"/>
      <c r="U94" s="2029"/>
      <c r="V94" s="3088"/>
      <c r="W94" s="3088"/>
      <c r="X94" s="3088"/>
    </row>
    <row r="95" spans="1:24" ht="12" customHeight="1" x14ac:dyDescent="0.2">
      <c r="A95" s="2905"/>
      <c r="B95" s="279"/>
      <c r="C95" s="4372"/>
      <c r="D95" s="5186"/>
      <c r="E95" s="5186"/>
      <c r="F95" s="5186"/>
      <c r="G95" s="5186"/>
      <c r="H95" s="5186"/>
      <c r="I95" s="5186"/>
      <c r="J95" s="5186"/>
      <c r="K95" s="5186"/>
      <c r="L95" s="5186"/>
      <c r="M95" s="5186"/>
      <c r="N95" s="5186"/>
      <c r="O95" s="5186"/>
      <c r="P95" s="5186"/>
      <c r="Q95" s="5186"/>
      <c r="R95" s="5186"/>
      <c r="S95" s="4374"/>
      <c r="T95" s="2032"/>
      <c r="U95" s="2029"/>
      <c r="V95" s="3088"/>
      <c r="W95" s="3088"/>
      <c r="X95" s="3088"/>
    </row>
    <row r="96" spans="1:24" ht="12" customHeight="1" x14ac:dyDescent="0.2">
      <c r="A96" s="2905"/>
      <c r="B96" s="279"/>
      <c r="C96" s="4372"/>
      <c r="D96" s="5186"/>
      <c r="E96" s="5186"/>
      <c r="F96" s="5186"/>
      <c r="G96" s="5186"/>
      <c r="H96" s="5186"/>
      <c r="I96" s="5186"/>
      <c r="J96" s="5186"/>
      <c r="K96" s="5186"/>
      <c r="L96" s="5186"/>
      <c r="M96" s="5186"/>
      <c r="N96" s="5186"/>
      <c r="O96" s="5186"/>
      <c r="P96" s="5186"/>
      <c r="Q96" s="5186"/>
      <c r="R96" s="5186"/>
      <c r="S96" s="4374"/>
      <c r="T96" s="2032"/>
      <c r="U96" s="2029"/>
      <c r="V96" s="3088"/>
      <c r="W96" s="3088"/>
      <c r="X96" s="3088"/>
    </row>
    <row r="97" spans="1:24" ht="12" customHeight="1" x14ac:dyDescent="0.2">
      <c r="A97" s="2905"/>
      <c r="B97" s="279"/>
      <c r="C97" s="4372"/>
      <c r="D97" s="5186"/>
      <c r="E97" s="5186"/>
      <c r="F97" s="5186"/>
      <c r="G97" s="5186"/>
      <c r="H97" s="5186"/>
      <c r="I97" s="5186"/>
      <c r="J97" s="5186"/>
      <c r="K97" s="5186"/>
      <c r="L97" s="5186"/>
      <c r="M97" s="5186"/>
      <c r="N97" s="5186"/>
      <c r="O97" s="5186"/>
      <c r="P97" s="5186"/>
      <c r="Q97" s="5186"/>
      <c r="R97" s="5186"/>
      <c r="S97" s="4374"/>
      <c r="T97" s="2032"/>
      <c r="U97" s="2029"/>
      <c r="V97" s="3088"/>
      <c r="W97" s="3088"/>
      <c r="X97" s="3088"/>
    </row>
    <row r="98" spans="1:24" ht="12" customHeight="1" x14ac:dyDescent="0.2">
      <c r="A98" s="2905"/>
      <c r="B98" s="279"/>
      <c r="C98" s="4372"/>
      <c r="D98" s="5186"/>
      <c r="E98" s="5186"/>
      <c r="F98" s="5186"/>
      <c r="G98" s="5186"/>
      <c r="H98" s="5186"/>
      <c r="I98" s="5186"/>
      <c r="J98" s="5186"/>
      <c r="K98" s="5186"/>
      <c r="L98" s="5186"/>
      <c r="M98" s="5186"/>
      <c r="N98" s="5186"/>
      <c r="O98" s="5186"/>
      <c r="P98" s="5186"/>
      <c r="Q98" s="5186"/>
      <c r="R98" s="5186"/>
      <c r="S98" s="4374"/>
      <c r="T98" s="2032"/>
      <c r="U98" s="2029"/>
      <c r="V98" s="3088"/>
      <c r="W98" s="3088"/>
      <c r="X98" s="3088"/>
    </row>
    <row r="99" spans="1:24" ht="12" customHeight="1" thickBot="1" x14ac:dyDescent="0.25">
      <c r="A99" s="2905"/>
      <c r="B99" s="279"/>
      <c r="C99" s="4375"/>
      <c r="D99" s="4376"/>
      <c r="E99" s="4376"/>
      <c r="F99" s="4376"/>
      <c r="G99" s="4376"/>
      <c r="H99" s="4376"/>
      <c r="I99" s="4376"/>
      <c r="J99" s="4376"/>
      <c r="K99" s="4376"/>
      <c r="L99" s="4376"/>
      <c r="M99" s="4376"/>
      <c r="N99" s="4376"/>
      <c r="O99" s="4376"/>
      <c r="P99" s="4376"/>
      <c r="Q99" s="4376"/>
      <c r="R99" s="4376"/>
      <c r="S99" s="4377"/>
      <c r="T99" s="2032"/>
      <c r="U99" s="2029"/>
      <c r="V99" s="3088"/>
      <c r="W99" s="3088"/>
      <c r="X99" s="3088"/>
    </row>
    <row r="100" spans="1:24" ht="12" customHeight="1" thickBot="1" x14ac:dyDescent="0.25">
      <c r="A100" s="330"/>
      <c r="B100" s="352"/>
      <c r="C100" s="353"/>
      <c r="D100" s="353"/>
      <c r="E100" s="353"/>
      <c r="F100" s="353"/>
      <c r="G100" s="353"/>
      <c r="H100" s="353"/>
      <c r="I100" s="353"/>
      <c r="J100" s="353"/>
      <c r="K100" s="353"/>
      <c r="L100" s="353"/>
      <c r="M100" s="353"/>
      <c r="N100" s="353"/>
      <c r="O100" s="353"/>
      <c r="P100" s="353"/>
      <c r="Q100" s="353"/>
      <c r="R100" s="353"/>
      <c r="S100" s="353"/>
      <c r="T100" s="2033"/>
      <c r="U100" s="2029"/>
      <c r="V100" s="3088"/>
      <c r="W100" s="3088"/>
      <c r="X100" s="3088"/>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29"/>
      <c r="V101" s="3054"/>
      <c r="W101" s="3088"/>
      <c r="X101" s="3088"/>
    </row>
  </sheetData>
  <sheetProtection selectLockedCells="1"/>
  <protectedRanges>
    <protectedRange sqref="G5 E9:E16 E5" name="Características"/>
    <protectedRange sqref="C24:E33 F24:H35 I25:I39" name="Ventajas_2"/>
  </protectedRanges>
  <mergeCells count="206">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N61:N65"/>
    <mergeCell ref="O61:P61"/>
    <mergeCell ref="O64:P64"/>
    <mergeCell ref="O9:P9"/>
    <mergeCell ref="O10:P10"/>
    <mergeCell ref="O11:P11"/>
    <mergeCell ref="L5:M5"/>
    <mergeCell ref="O3:R6"/>
    <mergeCell ref="K53:L54"/>
    <mergeCell ref="H45:J46"/>
    <mergeCell ref="H47:J48"/>
    <mergeCell ref="H49:J50"/>
    <mergeCell ref="H51:J52"/>
    <mergeCell ref="H53:J54"/>
    <mergeCell ref="F24:H24"/>
    <mergeCell ref="F25:H25"/>
    <mergeCell ref="F26:H26"/>
    <mergeCell ref="F27:H27"/>
    <mergeCell ref="F28:H28"/>
    <mergeCell ref="F29:H29"/>
    <mergeCell ref="F30:H30"/>
    <mergeCell ref="F31:H31"/>
    <mergeCell ref="F32:H32"/>
    <mergeCell ref="F33:H33"/>
    <mergeCell ref="O14:P14"/>
    <mergeCell ref="J14:J15"/>
    <mergeCell ref="C19:H20"/>
    <mergeCell ref="O21:P21"/>
    <mergeCell ref="F34:H34"/>
    <mergeCell ref="F35:H35"/>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O56:P56"/>
    <mergeCell ref="O65:P65"/>
    <mergeCell ref="E86:S86"/>
    <mergeCell ref="C73:D73"/>
    <mergeCell ref="H73:S73"/>
    <mergeCell ref="C79:D79"/>
    <mergeCell ref="H79:S79"/>
    <mergeCell ref="D4:E4"/>
    <mergeCell ref="F4:G4"/>
    <mergeCell ref="D5:E5"/>
    <mergeCell ref="F5:G5"/>
    <mergeCell ref="K47:L48"/>
    <mergeCell ref="K45:L46"/>
    <mergeCell ref="N10:N16"/>
    <mergeCell ref="O16:P16"/>
    <mergeCell ref="O12:P12"/>
    <mergeCell ref="C18:H18"/>
    <mergeCell ref="J25:K25"/>
    <mergeCell ref="O13:P13"/>
    <mergeCell ref="O24:P24"/>
    <mergeCell ref="K24:L24"/>
    <mergeCell ref="J23:J24"/>
    <mergeCell ref="K23:L23"/>
    <mergeCell ref="O22:P22"/>
    <mergeCell ref="O23:P23"/>
    <mergeCell ref="O20:P20"/>
    <mergeCell ref="C8:C16"/>
    <mergeCell ref="J13:L13"/>
    <mergeCell ref="I3:K6"/>
    <mergeCell ref="L4:M4"/>
    <mergeCell ref="K14:L14"/>
    <mergeCell ref="K21:L21"/>
    <mergeCell ref="O15:P15"/>
    <mergeCell ref="J19:J20"/>
    <mergeCell ref="O19:P19"/>
    <mergeCell ref="K22:L22"/>
    <mergeCell ref="K19:L19"/>
    <mergeCell ref="O17:P17"/>
    <mergeCell ref="K20:L20"/>
    <mergeCell ref="O18:P18"/>
    <mergeCell ref="N17:N23"/>
    <mergeCell ref="J16:K16"/>
    <mergeCell ref="K15:L15"/>
    <mergeCell ref="J18:L18"/>
    <mergeCell ref="J21:J22"/>
    <mergeCell ref="O25:P25"/>
    <mergeCell ref="O26:P26"/>
    <mergeCell ref="N24:N26"/>
    <mergeCell ref="O27:P27"/>
    <mergeCell ref="C68:D68"/>
    <mergeCell ref="H68:S68"/>
    <mergeCell ref="H69:S69"/>
    <mergeCell ref="O30:P30"/>
    <mergeCell ref="O31:P31"/>
    <mergeCell ref="O35:P35"/>
    <mergeCell ref="O36:P36"/>
    <mergeCell ref="C58:D59"/>
    <mergeCell ref="C24:E24"/>
    <mergeCell ref="C26:E26"/>
    <mergeCell ref="C27:E27"/>
    <mergeCell ref="C28:E28"/>
    <mergeCell ref="C29:E29"/>
    <mergeCell ref="O54:P54"/>
    <mergeCell ref="O55:P55"/>
    <mergeCell ref="O48:P48"/>
    <mergeCell ref="O43:P43"/>
    <mergeCell ref="J27:J32"/>
    <mergeCell ref="H43:L44"/>
    <mergeCell ref="C43:G44"/>
    <mergeCell ref="H22:H23"/>
    <mergeCell ref="O29:P29"/>
    <mergeCell ref="O28:P28"/>
    <mergeCell ref="N27:N38"/>
    <mergeCell ref="O62:P62"/>
    <mergeCell ref="O63:P63"/>
    <mergeCell ref="E87:S87"/>
    <mergeCell ref="E84:S84"/>
    <mergeCell ref="E85:S85"/>
    <mergeCell ref="E82:S82"/>
    <mergeCell ref="E83:S83"/>
    <mergeCell ref="O47:P47"/>
    <mergeCell ref="O45:P45"/>
    <mergeCell ref="O46:P46"/>
    <mergeCell ref="H77:S77"/>
    <mergeCell ref="O32:P32"/>
    <mergeCell ref="O39:P39"/>
    <mergeCell ref="O33:P33"/>
    <mergeCell ref="H72:S72"/>
    <mergeCell ref="O34:P34"/>
    <mergeCell ref="H75:S75"/>
    <mergeCell ref="O40:P40"/>
    <mergeCell ref="N39:N41"/>
    <mergeCell ref="N42:N48"/>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H80:S80"/>
    <mergeCell ref="O42:P42"/>
    <mergeCell ref="O41:P41"/>
    <mergeCell ref="E58:F59"/>
    <mergeCell ref="C74:D74"/>
    <mergeCell ref="H74:S74"/>
  </mergeCells>
  <conditionalFormatting sqref="H22">
    <cfRule type="cellIs" dxfId="584" priority="56" stopIfTrue="1" operator="lessThan">
      <formula>0</formula>
    </cfRule>
  </conditionalFormatting>
  <conditionalFormatting sqref="S8">
    <cfRule type="cellIs" dxfId="583" priority="6" stopIfTrue="1" operator="lessThan">
      <formula>0</formula>
    </cfRule>
  </conditionalFormatting>
  <conditionalFormatting sqref="R10:R65">
    <cfRule type="cellIs" dxfId="582" priority="9767" operator="greaterThan">
      <formula>VALUE($N$4)-1</formula>
    </cfRule>
  </conditionalFormatting>
  <conditionalFormatting sqref="C58 E58">
    <cfRule type="expression" dxfId="581" priority="9769" stopIfTrue="1">
      <formula>AND(ISNUMBER($E$58),$E$58&gt;$N$4+3)</formula>
    </cfRule>
  </conditionalFormatting>
  <dataValidations count="4">
    <dataValidation type="list" allowBlank="1" showInputMessage="1" showErrorMessage="1" sqref="D5:E5">
      <formula1>Tipo_Sheele</formula1>
    </dataValidation>
    <dataValidation type="list" allowBlank="1" showInputMessage="1" showErrorMessage="1" sqref="F5:G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66675</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9"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8"/>
      <c r="AM1" s="29"/>
      <c r="AR1" s="3044" t="s">
        <v>8741</v>
      </c>
      <c r="AS1" s="1737"/>
    </row>
    <row r="2" spans="1:45" ht="12" customHeight="1" thickBot="1" x14ac:dyDescent="0.25">
      <c r="A2" s="29"/>
      <c r="B2" s="672"/>
      <c r="C2" s="673"/>
      <c r="D2" s="673"/>
      <c r="E2" s="673"/>
      <c r="F2" s="673"/>
      <c r="G2" s="673"/>
      <c r="H2" s="673"/>
      <c r="I2" s="673"/>
      <c r="J2" s="673"/>
      <c r="K2" s="673"/>
      <c r="L2" s="673"/>
      <c r="M2" s="673"/>
      <c r="N2" s="673"/>
      <c r="O2" s="673"/>
      <c r="P2" s="673"/>
      <c r="Q2" s="673"/>
      <c r="R2" s="1044"/>
      <c r="S2" s="523"/>
      <c r="T2" s="523"/>
      <c r="U2" s="672"/>
      <c r="V2" s="673"/>
      <c r="W2" s="673"/>
      <c r="X2" s="673"/>
      <c r="Y2" s="673"/>
      <c r="Z2" s="673"/>
      <c r="AA2" s="673"/>
      <c r="AB2" s="673"/>
      <c r="AC2" s="673"/>
      <c r="AD2" s="673"/>
      <c r="AE2" s="673"/>
      <c r="AF2" s="673"/>
      <c r="AG2" s="673"/>
      <c r="AH2" s="673"/>
      <c r="AI2" s="673"/>
      <c r="AJ2" s="673"/>
      <c r="AK2" s="673"/>
      <c r="AL2" s="740"/>
      <c r="AM2" s="29"/>
      <c r="AR2" s="1737"/>
      <c r="AS2" s="1737"/>
    </row>
    <row r="3" spans="1:45" ht="12" customHeight="1" thickBot="1" x14ac:dyDescent="0.25">
      <c r="A3" s="29"/>
      <c r="B3" s="489"/>
      <c r="C3" s="3298" t="s">
        <v>10165</v>
      </c>
      <c r="D3" s="3298"/>
      <c r="E3" s="3298"/>
      <c r="F3" s="3298"/>
      <c r="G3" s="3298"/>
      <c r="H3" s="3298"/>
      <c r="I3" s="6"/>
      <c r="J3" s="6"/>
      <c r="K3" s="6"/>
      <c r="L3" s="6"/>
      <c r="M3" s="6"/>
      <c r="N3" s="6"/>
      <c r="O3" s="6"/>
      <c r="P3" s="6"/>
      <c r="Q3" s="7"/>
      <c r="R3" s="36"/>
      <c r="S3" s="29"/>
      <c r="T3" s="29"/>
      <c r="U3" s="489"/>
      <c r="V3" s="5358" t="s">
        <v>10165</v>
      </c>
      <c r="W3" s="5359"/>
      <c r="X3" s="5359"/>
      <c r="Y3" s="5359"/>
      <c r="Z3" s="5359"/>
      <c r="AA3" s="5359"/>
      <c r="AB3" s="522"/>
      <c r="AC3" s="522"/>
      <c r="AD3" s="522"/>
      <c r="AE3" s="522"/>
      <c r="AF3" s="522"/>
      <c r="AG3" s="522"/>
      <c r="AH3" s="522"/>
      <c r="AI3" s="522"/>
      <c r="AJ3" s="522"/>
      <c r="AK3" s="524"/>
      <c r="AL3" s="741"/>
      <c r="AM3" s="29"/>
      <c r="AR3" s="1737"/>
      <c r="AS3" s="1737"/>
    </row>
    <row r="4" spans="1:45" ht="12" customHeight="1" thickBot="1" x14ac:dyDescent="0.25">
      <c r="A4" s="29"/>
      <c r="B4" s="489"/>
      <c r="C4" s="3298"/>
      <c r="D4" s="3298"/>
      <c r="E4" s="3298"/>
      <c r="F4" s="3298"/>
      <c r="G4" s="3298"/>
      <c r="H4" s="3298"/>
      <c r="I4" s="9"/>
      <c r="J4" s="4249" t="s">
        <v>1323</v>
      </c>
      <c r="K4" s="4249"/>
      <c r="L4" s="4307" t="str">
        <f>IF(OR(General!$F$22="",General!$F$22=0),"",General!$F$22)</f>
        <v/>
      </c>
      <c r="M4" s="4307"/>
      <c r="N4" s="4307"/>
      <c r="O4" s="4307"/>
      <c r="P4" s="4307"/>
      <c r="Q4" s="2258"/>
      <c r="R4" s="36"/>
      <c r="S4" s="29"/>
      <c r="T4" s="29"/>
      <c r="U4" s="489"/>
      <c r="V4" s="5360"/>
      <c r="W4" s="3298"/>
      <c r="X4" s="3298"/>
      <c r="Y4" s="3298"/>
      <c r="Z4" s="3298"/>
      <c r="AA4" s="3298"/>
      <c r="AB4" s="9"/>
      <c r="AC4" s="4249" t="s">
        <v>1323</v>
      </c>
      <c r="AD4" s="4249"/>
      <c r="AE4" s="4307" t="str">
        <f>IF(OR(General!$F$22="",General!$F$22=0),"",General!$F$22)</f>
        <v/>
      </c>
      <c r="AF4" s="4307"/>
      <c r="AG4" s="4307"/>
      <c r="AH4" s="4307"/>
      <c r="AI4" s="4307"/>
      <c r="AJ4" s="790"/>
      <c r="AK4" s="709"/>
      <c r="AL4" s="741"/>
      <c r="AM4" s="29"/>
      <c r="AP4" s="39"/>
      <c r="AQ4" s="39"/>
      <c r="AR4" s="1737"/>
      <c r="AS4" s="1737"/>
    </row>
    <row r="5" spans="1:45" ht="12" customHeight="1" thickBot="1" x14ac:dyDescent="0.25">
      <c r="A5" s="29"/>
      <c r="B5" s="489"/>
      <c r="C5" s="3298"/>
      <c r="D5" s="3298"/>
      <c r="E5" s="3298"/>
      <c r="F5" s="3298"/>
      <c r="G5" s="3298"/>
      <c r="H5" s="3298"/>
      <c r="I5" s="9"/>
      <c r="J5" s="4280" t="s">
        <v>1324</v>
      </c>
      <c r="K5" s="4280"/>
      <c r="L5" s="3140" t="str">
        <f>IF(LEN(PDs!$E$11)&lt;=General!$AO$5,PDs!$E$11,"… /"&amp;RIGHT(PDs!$E$11,General!$AO$5-FIND("/",RIGHT(PDs!$E$11,General!$AO$5))))</f>
        <v/>
      </c>
      <c r="M5" s="3140"/>
      <c r="N5" s="3140"/>
      <c r="O5" s="2259" t="s">
        <v>1325</v>
      </c>
      <c r="P5" s="2251" t="str">
        <f>Principal!$O$6</f>
        <v>0</v>
      </c>
      <c r="Q5" s="2268"/>
      <c r="R5" s="36"/>
      <c r="S5" s="29"/>
      <c r="T5" s="29"/>
      <c r="U5" s="489"/>
      <c r="V5" s="5360"/>
      <c r="W5" s="3298"/>
      <c r="X5" s="3298"/>
      <c r="Y5" s="3298"/>
      <c r="Z5" s="3298"/>
      <c r="AA5" s="3298"/>
      <c r="AB5" s="9"/>
      <c r="AC5" s="4280" t="s">
        <v>1324</v>
      </c>
      <c r="AD5" s="4280"/>
      <c r="AE5" s="3140" t="str">
        <f>IF(LEN(PDs!$E$11)&lt;=General!$AO$5,PDs!$E$11,"… /"&amp;RIGHT(PDs!$E$11,General!$AO$5-FIND("/",RIGHT(PDs!$E$11,General!$AO$5))))</f>
        <v/>
      </c>
      <c r="AF5" s="3140"/>
      <c r="AG5" s="3140"/>
      <c r="AH5" s="2259" t="s">
        <v>1325</v>
      </c>
      <c r="AI5" s="2251" t="str">
        <f>Principal!$O$6</f>
        <v>0</v>
      </c>
      <c r="AJ5" s="9"/>
      <c r="AK5" s="710"/>
      <c r="AL5" s="741"/>
      <c r="AM5" s="29"/>
      <c r="AN5" s="167"/>
      <c r="AO5" s="167"/>
      <c r="AP5" s="1464"/>
      <c r="AQ5" s="1464"/>
      <c r="AR5" s="1737"/>
      <c r="AS5" s="1737"/>
    </row>
    <row r="6" spans="1:45" ht="12" customHeight="1" thickBot="1" x14ac:dyDescent="0.25">
      <c r="A6" s="29"/>
      <c r="B6" s="489"/>
      <c r="C6" s="3298"/>
      <c r="D6" s="3298"/>
      <c r="E6" s="3298"/>
      <c r="F6" s="3298"/>
      <c r="G6" s="3298"/>
      <c r="H6" s="3298"/>
      <c r="I6" s="9"/>
      <c r="J6" s="4309" t="s">
        <v>1785</v>
      </c>
      <c r="K6" s="4309"/>
      <c r="L6" s="4309"/>
      <c r="M6" s="4309"/>
      <c r="N6" s="4309"/>
      <c r="O6" s="4309"/>
      <c r="P6" s="4309"/>
      <c r="Q6" s="11"/>
      <c r="R6" s="36"/>
      <c r="S6" s="29"/>
      <c r="T6" s="29"/>
      <c r="U6" s="489"/>
      <c r="V6" s="5360"/>
      <c r="W6" s="3298"/>
      <c r="X6" s="3298"/>
      <c r="Y6" s="3298"/>
      <c r="Z6" s="3298"/>
      <c r="AA6" s="3298"/>
      <c r="AB6" s="9"/>
      <c r="AC6" s="4309" t="s">
        <v>1786</v>
      </c>
      <c r="AD6" s="4309"/>
      <c r="AE6" s="4309"/>
      <c r="AF6" s="4309"/>
      <c r="AG6" s="4309"/>
      <c r="AH6" s="4309"/>
      <c r="AI6" s="4309"/>
      <c r="AJ6" s="9"/>
      <c r="AK6" s="710"/>
      <c r="AL6" s="741"/>
      <c r="AM6" s="29"/>
      <c r="AN6" s="58"/>
      <c r="AO6" s="58"/>
      <c r="AP6" s="1465"/>
      <c r="AQ6" s="1465"/>
      <c r="AR6" s="1737"/>
      <c r="AS6" s="1737"/>
    </row>
    <row r="7" spans="1:45" ht="12" customHeight="1" thickBot="1" x14ac:dyDescent="0.25">
      <c r="A7" s="29"/>
      <c r="B7" s="489"/>
      <c r="C7" s="3298"/>
      <c r="D7" s="3298"/>
      <c r="E7" s="3298"/>
      <c r="F7" s="3298"/>
      <c r="G7" s="3298"/>
      <c r="H7" s="3298"/>
      <c r="I7" s="9"/>
      <c r="J7" s="4309"/>
      <c r="K7" s="4309"/>
      <c r="L7" s="4309"/>
      <c r="M7" s="4309"/>
      <c r="N7" s="4309"/>
      <c r="O7" s="4309"/>
      <c r="P7" s="4309"/>
      <c r="Q7" s="11"/>
      <c r="R7" s="36"/>
      <c r="S7" s="29"/>
      <c r="T7" s="29"/>
      <c r="U7" s="489"/>
      <c r="V7" s="5360"/>
      <c r="W7" s="3298"/>
      <c r="X7" s="3298"/>
      <c r="Y7" s="3298"/>
      <c r="Z7" s="3298"/>
      <c r="AA7" s="3298"/>
      <c r="AB7" s="9"/>
      <c r="AC7" s="4309"/>
      <c r="AD7" s="4309"/>
      <c r="AE7" s="4309"/>
      <c r="AF7" s="4309"/>
      <c r="AG7" s="4309"/>
      <c r="AH7" s="4309"/>
      <c r="AI7" s="4309"/>
      <c r="AJ7" s="9"/>
      <c r="AK7" s="710"/>
      <c r="AL7" s="741"/>
      <c r="AM7" s="29"/>
      <c r="AN7" s="167"/>
      <c r="AO7" s="167"/>
      <c r="AP7" s="1464"/>
      <c r="AQ7" s="1464"/>
      <c r="AR7" s="3103" t="s">
        <v>9619</v>
      </c>
      <c r="AS7" s="3103" t="b">
        <f>COUNTIF($AD$17:$AH$62,"Incrementar Habilidad")=0</f>
        <v>1</v>
      </c>
    </row>
    <row r="8" spans="1:45" ht="12" customHeight="1" thickBot="1" x14ac:dyDescent="0.25">
      <c r="A8" s="29"/>
      <c r="B8" s="489"/>
      <c r="C8" s="3298"/>
      <c r="D8" s="3298"/>
      <c r="E8" s="3298"/>
      <c r="F8" s="3298"/>
      <c r="G8" s="3298"/>
      <c r="H8" s="3298"/>
      <c r="I8" s="12"/>
      <c r="J8" s="12"/>
      <c r="K8" s="12"/>
      <c r="L8" s="12"/>
      <c r="M8" s="12"/>
      <c r="N8" s="12"/>
      <c r="O8" s="12"/>
      <c r="P8" s="12"/>
      <c r="Q8" s="13"/>
      <c r="R8" s="36"/>
      <c r="S8" s="29"/>
      <c r="T8" s="29"/>
      <c r="U8" s="489"/>
      <c r="V8" s="5361"/>
      <c r="W8" s="5362"/>
      <c r="X8" s="5362"/>
      <c r="Y8" s="5362"/>
      <c r="Z8" s="5362"/>
      <c r="AA8" s="5362"/>
      <c r="AB8" s="711"/>
      <c r="AC8" s="711"/>
      <c r="AD8" s="711"/>
      <c r="AE8" s="711"/>
      <c r="AF8" s="711"/>
      <c r="AG8" s="711"/>
      <c r="AH8" s="711"/>
      <c r="AI8" s="711"/>
      <c r="AJ8" s="711"/>
      <c r="AK8" s="712"/>
      <c r="AL8" s="741"/>
      <c r="AM8" s="29"/>
      <c r="AN8" s="58"/>
      <c r="AO8" s="58"/>
      <c r="AP8" s="1465"/>
      <c r="AQ8" s="1465"/>
      <c r="AR8" s="1737"/>
      <c r="AS8" s="1737"/>
    </row>
    <row r="9" spans="1:45" ht="12" customHeight="1" thickBot="1" x14ac:dyDescent="0.25">
      <c r="A9" s="29"/>
      <c r="B9" s="489"/>
      <c r="R9" s="36"/>
      <c r="S9" s="29"/>
      <c r="T9" s="29"/>
      <c r="U9" s="489"/>
      <c r="AL9" s="741"/>
      <c r="AM9" s="29"/>
      <c r="AN9" s="1466"/>
      <c r="AO9" s="1466"/>
      <c r="AP9" s="1467"/>
      <c r="AQ9" s="1467"/>
      <c r="AR9" s="1758" t="str">
        <f>IF(COUNTIF(AD17:AH62,"Incrementar Habilidad")&gt;1,"AGI_DES_AMBOS","AGI_DES")</f>
        <v>AGI_DES</v>
      </c>
      <c r="AS9" s="1737"/>
    </row>
    <row r="10" spans="1:45" ht="12" customHeight="1" thickBot="1" x14ac:dyDescent="0.25">
      <c r="A10" s="29"/>
      <c r="B10" s="489"/>
      <c r="C10" s="5363" t="s">
        <v>1787</v>
      </c>
      <c r="D10" s="5363"/>
      <c r="E10" s="5363"/>
      <c r="F10" s="5363"/>
      <c r="G10" s="17"/>
      <c r="H10" s="3639" t="s">
        <v>1788</v>
      </c>
      <c r="I10" s="3640"/>
      <c r="J10" s="3460"/>
      <c r="K10" s="3561"/>
      <c r="L10" s="1614" t="s">
        <v>1789</v>
      </c>
      <c r="M10" s="1615"/>
      <c r="O10" s="3631" t="s">
        <v>1790</v>
      </c>
      <c r="P10" s="3631"/>
      <c r="Q10" s="3631"/>
      <c r="R10" s="36"/>
      <c r="S10" s="29"/>
      <c r="T10" s="29"/>
      <c r="U10" s="489"/>
      <c r="V10" s="3639" t="s">
        <v>1791</v>
      </c>
      <c r="W10" s="3640"/>
      <c r="X10" s="3640"/>
      <c r="Y10" s="3640"/>
      <c r="Z10" s="3640"/>
      <c r="AA10" s="1775" t="s">
        <v>1792</v>
      </c>
      <c r="AB10" s="1776" t="s">
        <v>1367</v>
      </c>
      <c r="AC10" s="111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364" t="s">
        <v>8292</v>
      </c>
      <c r="AE10" s="5365"/>
      <c r="AF10" s="5365"/>
      <c r="AG10" s="5365"/>
      <c r="AH10" s="5366"/>
      <c r="AI10" s="5376" t="s">
        <v>1238</v>
      </c>
      <c r="AJ10" s="5377"/>
      <c r="AK10" s="5378"/>
      <c r="AL10" s="741"/>
      <c r="AM10" s="29"/>
      <c r="AN10" s="954"/>
      <c r="AO10" s="5385" t="s">
        <v>8715</v>
      </c>
      <c r="AP10" s="5386"/>
      <c r="AQ10" s="1468"/>
      <c r="AR10" s="3104" t="s">
        <v>1378</v>
      </c>
      <c r="AS10" s="1737"/>
    </row>
    <row r="11" spans="1:45" ht="12" customHeight="1" x14ac:dyDescent="0.2">
      <c r="A11" s="29"/>
      <c r="B11" s="489"/>
      <c r="C11" s="5352" t="s">
        <v>1793</v>
      </c>
      <c r="D11" s="5352"/>
      <c r="E11" s="5353" t="s">
        <v>1794</v>
      </c>
      <c r="F11" s="5353"/>
      <c r="H11" s="5346">
        <f>IF(VOL=0,0,VLOOKUP(VOL,Tabla_PotPsi,2))+IF(M10=0,0,VLOOKUP(M10,Tabla_PotPsitporCV,2))+J13+MIN(0,Mod_ATA)</f>
        <v>0</v>
      </c>
      <c r="I11" s="5347"/>
      <c r="J11" s="1612" t="str">
        <f>IF(J13=0,"","Sumar")</f>
        <v/>
      </c>
      <c r="K11" s="1613" t="str">
        <f>IF(J13=0,"",TRUNC(J13/5,0))</f>
        <v/>
      </c>
      <c r="L11" s="5372" t="str">
        <f>IF(J13=0,"","a la Fatiga")</f>
        <v/>
      </c>
      <c r="M11" s="5373"/>
      <c r="O11" s="154" t="s">
        <v>1393</v>
      </c>
      <c r="P11" s="1104" t="s">
        <v>1564</v>
      </c>
      <c r="Q11" s="15" t="s">
        <v>1693</v>
      </c>
      <c r="R11" s="36"/>
      <c r="S11" s="29"/>
      <c r="T11" s="29"/>
      <c r="U11" s="675">
        <f>IF(V11=0,0,1)</f>
        <v>0</v>
      </c>
      <c r="V11" s="5367"/>
      <c r="W11" s="5368"/>
      <c r="X11" s="5368"/>
      <c r="Y11" s="5368"/>
      <c r="Z11" s="5368"/>
      <c r="AA11" s="5223"/>
      <c r="AB11" s="5340" t="str">
        <f>IF(AA11=0,"",IF(AA11*10&lt;100,AA11*10,100))</f>
        <v/>
      </c>
      <c r="AD11" s="5367"/>
      <c r="AE11" s="5368"/>
      <c r="AF11" s="5368"/>
      <c r="AG11" s="5368"/>
      <c r="AH11" s="5368"/>
      <c r="AI11" s="5379" t="str">
        <f>IF(AD11="","-",IF(AL11="-","Ventaja no escogida",IF(INDEX(Tabla_Dificultades,MATCH(AL11,INDEX(Tabla_Dificultades,,2),0),1)&lt;INDEX(Tabla_Dificultades,MATCH(AL12,INDEX(Tabla_Dificultades,,2),0),1),"Poder no válido",AL11)))</f>
        <v>-</v>
      </c>
      <c r="AJ11" s="5380"/>
      <c r="AK11" s="5381"/>
      <c r="AL11" s="1073" t="str">
        <f>IF(Tablas!$G$331&gt;0,"DIF",IF(Tablas!$G$332&gt;0,"MDF",IF(Tablas!$G$333&gt;0,"ABS","-")))</f>
        <v>-</v>
      </c>
      <c r="AM11" s="29"/>
      <c r="AN11" s="954"/>
      <c r="AO11" s="5387"/>
      <c r="AP11" s="5388"/>
      <c r="AQ11" s="1467"/>
      <c r="AR11" s="3105" t="s">
        <v>1373</v>
      </c>
      <c r="AS11" s="1737"/>
    </row>
    <row r="12" spans="1:45" ht="12" customHeight="1" thickBot="1" x14ac:dyDescent="0.25">
      <c r="A12" s="29"/>
      <c r="B12" s="489"/>
      <c r="C12" s="5343">
        <f>CV_final</f>
        <v>0</v>
      </c>
      <c r="D12" s="5343"/>
      <c r="E12" s="5344">
        <f>F18+F15+F16+F17+F19</f>
        <v>0</v>
      </c>
      <c r="F12" s="5344"/>
      <c r="H12" s="5346"/>
      <c r="I12" s="5347"/>
      <c r="J12" s="5348" t="str">
        <f>IF(SUM(Tablas!$G$458:$G$470)+SUM(Tablas!$H$1398:$H$1410),"+1 grado: Des. Psíquico.","")</f>
        <v/>
      </c>
      <c r="K12" s="5349"/>
      <c r="L12" s="5349"/>
      <c r="M12" s="5350"/>
      <c r="O12" s="5351">
        <f>Turno_Nat_final</f>
        <v>40</v>
      </c>
      <c r="P12" s="5345">
        <f>IF(PDs!E113="Tabla de Proyección Psíquica",Proyecciónpsíquica_final-PDs!V112+PDs!V25,Proyecciónpsíquica_final)</f>
        <v>0</v>
      </c>
      <c r="Q12" s="5354">
        <f>IF(PDs!E113="Tabla de Proyección Psíquica",Proyecciónpsíquica_final-PDs!V112+MAX(PDs!V26,PDs!V27),Proyecciónpsíquica_final)</f>
        <v>0</v>
      </c>
      <c r="R12" s="36"/>
      <c r="S12" s="29"/>
      <c r="T12" s="29"/>
      <c r="U12" s="675"/>
      <c r="V12" s="5323" t="str">
        <f>IF(V11=0,"",VLOOKUP(V11,Tabla_PoderesPsi,2,FALSE))</f>
        <v/>
      </c>
      <c r="W12" s="5324"/>
      <c r="X12" s="5324"/>
      <c r="Y12" s="1665" t="s">
        <v>1325</v>
      </c>
      <c r="Z12" s="1666" t="str">
        <f>IF(V11=0,"",VLOOKUP(V11,Tabla_PoderesPsi,3,FALSE))</f>
        <v/>
      </c>
      <c r="AA12" s="5223"/>
      <c r="AB12" s="5225"/>
      <c r="AD12" s="5250" t="str">
        <f>IF(AD11=0,"",VLOOKUP(AD11,Tabla_PoderesPsi,2,FALSE))</f>
        <v/>
      </c>
      <c r="AE12" s="3627"/>
      <c r="AF12" s="3627"/>
      <c r="AG12" s="1103" t="s">
        <v>1325</v>
      </c>
      <c r="AH12" s="457" t="str">
        <f>IF(AD11=0,"",VLOOKUP(AD11,Tabla_PoderesPsi,3,FALSE))</f>
        <v/>
      </c>
      <c r="AI12" s="5382"/>
      <c r="AJ12" s="5383"/>
      <c r="AK12" s="5384"/>
      <c r="AL12" s="1073" t="e">
        <f>INDEX(Lista_Dificultades,1+COUNTIF(INDEX('Tablas psiquica'!$I$7:$R$145,MATCH(AD11,Poderes_psi,0),),"*Fatiga*"))</f>
        <v>#N/A</v>
      </c>
      <c r="AM12" s="29"/>
      <c r="AN12" s="1469"/>
      <c r="AO12" s="5389"/>
      <c r="AP12" s="5390"/>
      <c r="AQ12" s="1468"/>
      <c r="AR12" s="3105" t="s">
        <v>7191</v>
      </c>
      <c r="AS12" s="1737"/>
    </row>
    <row r="13" spans="1:45" ht="12" customHeight="1" thickBot="1" x14ac:dyDescent="0.25">
      <c r="A13" s="29"/>
      <c r="B13" s="489"/>
      <c r="C13" s="5343"/>
      <c r="D13" s="5343"/>
      <c r="E13" s="5344"/>
      <c r="F13" s="5344"/>
      <c r="H13" s="3491" t="s">
        <v>1795</v>
      </c>
      <c r="I13" s="3492"/>
      <c r="J13" s="2244"/>
      <c r="K13" s="5355" t="s">
        <v>1796</v>
      </c>
      <c r="L13" s="5356"/>
      <c r="M13" s="1616"/>
      <c r="O13" s="5351"/>
      <c r="P13" s="5345"/>
      <c r="Q13" s="5354"/>
      <c r="R13" s="36"/>
      <c r="S13" s="29"/>
      <c r="T13" s="29"/>
      <c r="U13" s="675">
        <f>IF(V13=0,0,1)</f>
        <v>0</v>
      </c>
      <c r="V13" s="5326"/>
      <c r="W13" s="5327"/>
      <c r="X13" s="5327"/>
      <c r="Y13" s="5327"/>
      <c r="Z13" s="5327"/>
      <c r="AA13" s="5328"/>
      <c r="AB13" s="5330" t="str">
        <f>IF(AA13=0,"",IF(AA13*10&lt;100,AA13*10,100))</f>
        <v/>
      </c>
      <c r="AL13" s="741"/>
      <c r="AM13" s="29"/>
      <c r="AN13" s="1466"/>
      <c r="AO13" s="1466"/>
      <c r="AP13" s="1467"/>
      <c r="AQ13" s="1467"/>
      <c r="AR13" s="1737"/>
      <c r="AS13" s="1737"/>
    </row>
    <row r="14" spans="1:45" ht="12" customHeight="1" thickBot="1" x14ac:dyDescent="0.25">
      <c r="A14" s="29"/>
      <c r="B14" s="489"/>
      <c r="C14" s="5369" t="s">
        <v>1797</v>
      </c>
      <c r="D14" s="5369"/>
      <c r="E14" s="5369"/>
      <c r="F14" s="155" t="s">
        <v>1792</v>
      </c>
      <c r="R14" s="36"/>
      <c r="S14" s="29"/>
      <c r="T14" s="29"/>
      <c r="U14" s="675"/>
      <c r="V14" s="5370" t="str">
        <f>IF(V13=0,"",VLOOKUP(V13,Tabla_PoderesPsi,2,FALSE))</f>
        <v/>
      </c>
      <c r="W14" s="5371"/>
      <c r="X14" s="5371"/>
      <c r="Y14" s="1771" t="s">
        <v>1325</v>
      </c>
      <c r="Z14" s="1772" t="str">
        <f>IF(V13=0,"",VLOOKUP(V13,Tabla_PoderesPsi,3,FALSE))</f>
        <v/>
      </c>
      <c r="AA14" s="5329"/>
      <c r="AB14" s="5331"/>
      <c r="AL14" s="741"/>
      <c r="AM14" s="29"/>
      <c r="AN14" s="58"/>
      <c r="AO14" s="1732"/>
      <c r="AP14" s="1733"/>
      <c r="AQ14" s="1733"/>
      <c r="AR14" s="1737" t="s">
        <v>9624</v>
      </c>
      <c r="AS14" s="1737"/>
    </row>
    <row r="15" spans="1:45" ht="12" customHeight="1" thickBot="1" x14ac:dyDescent="0.25">
      <c r="A15" s="29"/>
      <c r="B15" s="489"/>
      <c r="C15" s="3654" t="s">
        <v>1785</v>
      </c>
      <c r="D15" s="3654"/>
      <c r="E15" s="3654"/>
      <c r="F15" s="81">
        <f>IF(C25=0,0,1)+IF(C27=0,0,1)+IF(C29=0,0,1)+IF(C31=0,0,1)+IF(C33=0,0,1)+IF(C35=0,0,1)</f>
        <v>0</v>
      </c>
      <c r="H15" s="3631" t="s">
        <v>1798</v>
      </c>
      <c r="I15" s="3631"/>
      <c r="J15" s="3631"/>
      <c r="K15" s="3631"/>
      <c r="L15" s="3631"/>
      <c r="M15" s="3631"/>
      <c r="O15" s="3631" t="s">
        <v>1799</v>
      </c>
      <c r="P15" s="3631"/>
      <c r="Q15" s="3631"/>
      <c r="R15" s="36"/>
      <c r="S15" s="29"/>
      <c r="T15" s="29"/>
      <c r="U15" s="675">
        <f>IF(V15=0,0,1)</f>
        <v>0</v>
      </c>
      <c r="V15" s="5221"/>
      <c r="W15" s="5222"/>
      <c r="X15" s="5222"/>
      <c r="Y15" s="5222"/>
      <c r="Z15" s="5222"/>
      <c r="AA15" s="5223"/>
      <c r="AB15" s="5225" t="str">
        <f>IF(AA15=0,"",IF(AA15*10&lt;100,AA15*10,100))</f>
        <v/>
      </c>
      <c r="AL15" s="1782" t="s">
        <v>7176</v>
      </c>
      <c r="AM15" s="29"/>
      <c r="AN15" s="58"/>
      <c r="AO15" s="1734"/>
      <c r="AP15" s="1735"/>
      <c r="AQ15" s="1735"/>
      <c r="AR15" s="1737"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37"/>
    </row>
    <row r="16" spans="1:45" ht="12" customHeight="1" thickBot="1" x14ac:dyDescent="0.25">
      <c r="A16" s="29"/>
      <c r="B16" s="489"/>
      <c r="C16" s="5332" t="s">
        <v>1786</v>
      </c>
      <c r="D16" s="5332"/>
      <c r="E16" s="5332"/>
      <c r="F16" s="156">
        <f>SUM(U11:U63)</f>
        <v>0</v>
      </c>
      <c r="G16" s="157"/>
      <c r="H16" s="5336" t="s">
        <v>7177</v>
      </c>
      <c r="I16" s="5337">
        <f>F20-SUM(AI11:AI64)</f>
        <v>0</v>
      </c>
      <c r="J16" s="5339"/>
      <c r="K16" s="5339"/>
      <c r="L16" s="5339"/>
      <c r="M16" s="5339"/>
      <c r="O16" s="3644" t="s">
        <v>1722</v>
      </c>
      <c r="P16" s="3644"/>
      <c r="Q16" s="153" t="s">
        <v>1367</v>
      </c>
      <c r="R16" s="36"/>
      <c r="S16" s="29"/>
      <c r="T16" s="29"/>
      <c r="U16" s="675"/>
      <c r="V16" s="5323" t="str">
        <f>IF(V15=0,"",VLOOKUP(V15,Tabla_PoderesPsi,2,FALSE))</f>
        <v/>
      </c>
      <c r="W16" s="5324"/>
      <c r="X16" s="5324"/>
      <c r="Y16" s="1665" t="s">
        <v>1325</v>
      </c>
      <c r="Z16" s="1666" t="str">
        <f>IF(V15=0,"",VLOOKUP(V15,Tabla_PoderesPsi,3,FALSE))</f>
        <v/>
      </c>
      <c r="AA16" s="5223"/>
      <c r="AB16" s="5225"/>
      <c r="AC16" s="889"/>
      <c r="AD16" s="3115" t="s">
        <v>7175</v>
      </c>
      <c r="AE16" s="3116"/>
      <c r="AF16" s="3116"/>
      <c r="AG16" s="3116"/>
      <c r="AH16" s="5357"/>
      <c r="AI16" s="2026" t="s">
        <v>1792</v>
      </c>
      <c r="AJ16" s="2026" t="s">
        <v>6403</v>
      </c>
      <c r="AK16" s="2027" t="s">
        <v>1238</v>
      </c>
      <c r="AL16" s="1783">
        <f>COUNTA(AD17,AD19,AD21,AD23,AD25,AD27,AD29,AD31,AD33,AD35,AD37,AD39,AD41,AD43,AD45,AD47,AD49,AD51,AD53,AD55,AD57,AD59,AD61)</f>
        <v>0</v>
      </c>
      <c r="AM16" s="29"/>
      <c r="AN16" s="58"/>
      <c r="AO16" s="1732"/>
      <c r="AP16" s="1733"/>
      <c r="AQ16" s="1733"/>
      <c r="AR16" s="1737"/>
      <c r="AS16" s="1737"/>
    </row>
    <row r="17" spans="1:45" ht="12" customHeight="1" x14ac:dyDescent="0.2">
      <c r="A17" s="29"/>
      <c r="B17" s="489"/>
      <c r="C17" s="5333" t="s">
        <v>1800</v>
      </c>
      <c r="D17" s="5333"/>
      <c r="E17" s="5333"/>
      <c r="F17" s="81">
        <f>SUM(AA11:AA64)</f>
        <v>0</v>
      </c>
      <c r="H17" s="5336"/>
      <c r="I17" s="5338"/>
      <c r="J17" s="5339"/>
      <c r="K17" s="5339"/>
      <c r="L17" s="5339"/>
      <c r="M17" s="5339"/>
      <c r="O17" s="5325" t="s">
        <v>1727</v>
      </c>
      <c r="P17" s="5325"/>
      <c r="Q17" s="158" t="str">
        <f>IF(OR(Tablas!G553&gt;0,Tablas!H1432&gt;0),"+0",IF(AND(Tablas!G451=0,Tablas!H1396=0),"+10","+20"))</f>
        <v>+10</v>
      </c>
      <c r="R17" s="36"/>
      <c r="S17" s="29"/>
      <c r="T17" s="29"/>
      <c r="U17" s="675">
        <f>IF(V17=0,0,1)</f>
        <v>0</v>
      </c>
      <c r="V17" s="5326"/>
      <c r="W17" s="5327"/>
      <c r="X17" s="5327"/>
      <c r="Y17" s="5327"/>
      <c r="Z17" s="5327"/>
      <c r="AA17" s="5328"/>
      <c r="AB17" s="5330" t="str">
        <f>IF(AA17=0,"",IF(AA17*10&lt;100,AA17*10,100))</f>
        <v/>
      </c>
      <c r="AD17" s="5213"/>
      <c r="AE17" s="5214"/>
      <c r="AF17" s="5214"/>
      <c r="AG17" s="5214"/>
      <c r="AH17" s="5215"/>
      <c r="AI17" s="5216"/>
      <c r="AJ17" s="5244"/>
      <c r="AK17" s="5341"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374">
        <f>$H$11+IF(ISNA(VLOOKUP(AD17,$V$11:$AB$64,7,FALSE)),0,IF(VLOOKUP(AD17,$V$11:$AB$64,7,FALSE)="",0,VLOOKUP(AD17,$V$11:$AB$64,7,FALSE)))+AI17*20+AJ17</f>
        <v>0</v>
      </c>
      <c r="AM17" s="29"/>
      <c r="AN17" s="58"/>
      <c r="AO17" s="1734"/>
      <c r="AP17" s="1735"/>
      <c r="AR17" s="3106">
        <v>1</v>
      </c>
      <c r="AS17" s="1737" t="str">
        <f>IF(INDEX($V$11:$Z$64,AR17,1)=0,"",INDEX($V$11:$Z$64,AR17,1))</f>
        <v/>
      </c>
    </row>
    <row r="18" spans="1:45" ht="12" customHeight="1" x14ac:dyDescent="0.2">
      <c r="A18" s="29"/>
      <c r="B18" s="489"/>
      <c r="C18" s="5319" t="s">
        <v>1801</v>
      </c>
      <c r="D18" s="5319"/>
      <c r="E18" s="5319"/>
      <c r="F18" s="156">
        <f>M10</f>
        <v>0</v>
      </c>
      <c r="H18" s="159" t="s">
        <v>1802</v>
      </c>
      <c r="I18" s="1107"/>
      <c r="J18" s="29"/>
      <c r="K18" s="160" t="str">
        <f>IF(AND(Tablas!G452=0,Tablas!H1397=0),"+10 / CV","+20 / CV")</f>
        <v>+10 / CV</v>
      </c>
      <c r="L18" s="5320" t="str">
        <f>IF(AND(Tablas!G452=0,Tablas!H1429=0),"(Max +50)","(Max +100)")</f>
        <v>(Max +50)</v>
      </c>
      <c r="M18" s="5320"/>
      <c r="O18" s="5315" t="s">
        <v>1730</v>
      </c>
      <c r="P18" s="5315"/>
      <c r="Q18" s="158" t="str">
        <f>IF(OR(Tablas!G553&gt;0,Tablas!H1432&gt;0),"+0",IF(AND(Tablas!G451=0,Tablas!H1396=0),"+20","+40"))</f>
        <v>+20</v>
      </c>
      <c r="R18" s="36"/>
      <c r="S18" s="29"/>
      <c r="T18" s="29"/>
      <c r="U18" s="675"/>
      <c r="V18" s="5321" t="str">
        <f>IF(V17=0,"",VLOOKUP(V17,Tabla_PoderesPsi,2,FALSE))</f>
        <v/>
      </c>
      <c r="W18" s="5322"/>
      <c r="X18" s="5322"/>
      <c r="Y18" s="1771" t="s">
        <v>1325</v>
      </c>
      <c r="Z18" s="1772" t="str">
        <f>IF(V17=0,"",VLOOKUP(V17,Tabla_PoderesPsi,3,FALSE))</f>
        <v/>
      </c>
      <c r="AA18" s="5329"/>
      <c r="AB18" s="5331"/>
      <c r="AD18" s="5242" t="str">
        <f>IF(AD17=0,"",VLOOKUP(AD17,Tabla_PoderesPsi,2,FALSE))</f>
        <v/>
      </c>
      <c r="AE18" s="5243"/>
      <c r="AF18" s="5243"/>
      <c r="AG18" s="2024" t="s">
        <v>1325</v>
      </c>
      <c r="AH18" s="2025" t="str">
        <f>IF(AD17=0,"",VLOOKUP(AD17,Tabla_PoderesPsi,3,FALSE))</f>
        <v/>
      </c>
      <c r="AI18" s="5217"/>
      <c r="AJ18" s="5245"/>
      <c r="AK18" s="5342"/>
      <c r="AL18" s="5374"/>
      <c r="AM18" s="29"/>
      <c r="AN18" s="58"/>
      <c r="AO18" s="1732"/>
      <c r="AP18" s="1733"/>
      <c r="AR18" s="3106">
        <v>3</v>
      </c>
      <c r="AS18" s="1737" t="str">
        <f t="shared" ref="AS18:AS42" si="0">IF(INDEX($V$11:$Z$64,AR18,1)=0,"",INDEX($V$11:$Z$64,AR18,1))</f>
        <v/>
      </c>
    </row>
    <row r="19" spans="1:45" ht="12" customHeight="1" x14ac:dyDescent="0.2">
      <c r="A19" s="29"/>
      <c r="B19" s="489"/>
      <c r="C19" s="3657" t="s">
        <v>1803</v>
      </c>
      <c r="D19" s="3657"/>
      <c r="E19" s="3657"/>
      <c r="F19" s="1045">
        <f>2*M13</f>
        <v>0</v>
      </c>
      <c r="H19" s="161" t="s">
        <v>1804</v>
      </c>
      <c r="I19" s="162"/>
      <c r="K19" s="163" t="s">
        <v>1805</v>
      </c>
      <c r="L19" s="5314" t="s">
        <v>1806</v>
      </c>
      <c r="M19" s="5314"/>
      <c r="O19" s="5315" t="s">
        <v>1732</v>
      </c>
      <c r="P19" s="5315"/>
      <c r="Q19" s="158" t="str">
        <f>IF(OR(Tablas!G553&gt;0,Tablas!H1432&gt;0),"+0",IF(AND(Tablas!G451=0,Tablas!H1396=0),"+30","+60"))</f>
        <v>+30</v>
      </c>
      <c r="R19" s="36"/>
      <c r="S19" s="29"/>
      <c r="T19" s="29"/>
      <c r="U19" s="675">
        <f>IF(V19=0,0,1)</f>
        <v>0</v>
      </c>
      <c r="V19" s="5233"/>
      <c r="W19" s="5234"/>
      <c r="X19" s="5234"/>
      <c r="Y19" s="5234"/>
      <c r="Z19" s="5235"/>
      <c r="AA19" s="5223"/>
      <c r="AB19" s="5225" t="str">
        <f>IF(AA19=0,"",IF(AA19*10&lt;100,AA19*10,100))</f>
        <v/>
      </c>
      <c r="AD19" s="5213"/>
      <c r="AE19" s="5214"/>
      <c r="AF19" s="5214"/>
      <c r="AG19" s="5214"/>
      <c r="AH19" s="5215"/>
      <c r="AI19" s="5216"/>
      <c r="AJ19" s="5244"/>
      <c r="AK19" s="5246"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374">
        <f>$H$11+IF(ISNA(VLOOKUP(AD19,$V$11:$AB$64,7,FALSE)),0,IF(VLOOKUP(AD19,$V$11:$AB$64,7,FALSE)="",0,VLOOKUP(AD19,$V$11:$AB$64,7,FALSE)))+AI19*20+AJ19</f>
        <v>0</v>
      </c>
      <c r="AM19" s="29"/>
      <c r="AN19" s="58"/>
      <c r="AO19" s="1734"/>
      <c r="AP19" s="1735"/>
      <c r="AR19" s="3106">
        <v>5</v>
      </c>
      <c r="AS19" s="1737" t="str">
        <f t="shared" si="0"/>
        <v/>
      </c>
    </row>
    <row r="20" spans="1:45" ht="12" customHeight="1" x14ac:dyDescent="0.2">
      <c r="A20" s="29"/>
      <c r="B20" s="489"/>
      <c r="C20" s="5334" t="s">
        <v>1798</v>
      </c>
      <c r="D20" s="5334"/>
      <c r="E20" s="5334"/>
      <c r="F20" s="5335">
        <f>C12-E12</f>
        <v>0</v>
      </c>
      <c r="H20" s="159" t="s">
        <v>1807</v>
      </c>
      <c r="I20" s="29"/>
      <c r="J20" s="29"/>
      <c r="K20" s="160" t="s">
        <v>1805</v>
      </c>
      <c r="L20" s="5320" t="s">
        <v>1806</v>
      </c>
      <c r="M20" s="5320"/>
      <c r="O20" s="5315" t="s">
        <v>1734</v>
      </c>
      <c r="P20" s="5315"/>
      <c r="Q20" s="158" t="str">
        <f>IF(OR(Tablas!G553&gt;0,Tablas!H1432&gt;0),"+0",IF(AND(Tablas!G451=0,Tablas!H1396=0),"+40","+80"))</f>
        <v>+40</v>
      </c>
      <c r="R20" s="36"/>
      <c r="S20" s="29"/>
      <c r="T20" s="29"/>
      <c r="U20" s="675"/>
      <c r="V20" s="5236" t="str">
        <f>IF(V19=0,"",VLOOKUP(V19,Tabla_PoderesPsi,2,FALSE))</f>
        <v/>
      </c>
      <c r="W20" s="5237"/>
      <c r="X20" s="5237"/>
      <c r="Y20" s="1665" t="s">
        <v>1325</v>
      </c>
      <c r="Z20" s="1666" t="str">
        <f>IF(V19=0,"",VLOOKUP(V19,Tabla_PoderesPsi,3,FALSE))</f>
        <v/>
      </c>
      <c r="AA20" s="5223"/>
      <c r="AB20" s="5225"/>
      <c r="AD20" s="5242" t="str">
        <f>IF(AD19=0,"",VLOOKUP(AD19,Tabla_PoderesPsi,2,FALSE))</f>
        <v/>
      </c>
      <c r="AE20" s="5243"/>
      <c r="AF20" s="5243"/>
      <c r="AG20" s="2024" t="s">
        <v>1325</v>
      </c>
      <c r="AH20" s="2025" t="str">
        <f>IF(AD19=0,"",VLOOKUP(AD19,Tabla_PoderesPsi,3,FALSE))</f>
        <v/>
      </c>
      <c r="AI20" s="5217"/>
      <c r="AJ20" s="5245"/>
      <c r="AK20" s="5247"/>
      <c r="AL20" s="5374"/>
      <c r="AM20" s="29"/>
      <c r="AN20" s="58"/>
      <c r="AO20" s="1732"/>
      <c r="AP20" s="1733"/>
      <c r="AR20" s="3106">
        <v>7</v>
      </c>
      <c r="AS20" s="1737" t="str">
        <f t="shared" si="0"/>
        <v/>
      </c>
    </row>
    <row r="21" spans="1:45" ht="12" customHeight="1" x14ac:dyDescent="0.2">
      <c r="A21" s="29"/>
      <c r="B21" s="489"/>
      <c r="C21" s="5334"/>
      <c r="D21" s="5334"/>
      <c r="E21" s="5334"/>
      <c r="F21" s="5335"/>
      <c r="H21" s="161" t="s">
        <v>1808</v>
      </c>
      <c r="I21" s="162"/>
      <c r="K21" s="163" t="s">
        <v>1809</v>
      </c>
      <c r="L21" s="5314" t="s">
        <v>1810</v>
      </c>
      <c r="M21" s="5314"/>
      <c r="O21" s="5316" t="s">
        <v>1736</v>
      </c>
      <c r="P21" s="5316"/>
      <c r="Q21" s="1046" t="str">
        <f>IF(OR(Tablas!G553&gt;0,Tablas!H1432&gt;0),"+0",IF(AND(Tablas!G451=0,Tablas!H1396=0),"+50","+100"))</f>
        <v>+50</v>
      </c>
      <c r="R21" s="36"/>
      <c r="S21" s="29"/>
      <c r="T21" s="29"/>
      <c r="U21" s="675">
        <f>IF(V21=0,0,1)</f>
        <v>0</v>
      </c>
      <c r="V21" s="5230"/>
      <c r="W21" s="5231"/>
      <c r="X21" s="5231"/>
      <c r="Y21" s="5231"/>
      <c r="Z21" s="5232"/>
      <c r="AA21" s="5251"/>
      <c r="AB21" s="5240" t="str">
        <f>IF(AA21=0,"",IF(AA21*10&lt;100,AA21*10,100))</f>
        <v/>
      </c>
      <c r="AD21" s="5213"/>
      <c r="AE21" s="5214"/>
      <c r="AF21" s="5214"/>
      <c r="AG21" s="5214"/>
      <c r="AH21" s="5215"/>
      <c r="AI21" s="5216"/>
      <c r="AJ21" s="5244"/>
      <c r="AK21" s="5246"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374">
        <f>$H$11+IF(ISNA(VLOOKUP(AD21,$V$11:$AB$64,7,FALSE)),0,IF(VLOOKUP(AD21,$V$11:$AB$64,7,FALSE)="",0,VLOOKUP(AD21,$V$11:$AB$64,7,FALSE)))+AI21*20+AJ21</f>
        <v>0</v>
      </c>
      <c r="AM21" s="29"/>
      <c r="AN21" s="58"/>
      <c r="AO21" s="1734"/>
      <c r="AP21" s="1735"/>
      <c r="AR21" s="3106">
        <v>9</v>
      </c>
      <c r="AS21" s="1737" t="str">
        <f t="shared" si="0"/>
        <v/>
      </c>
    </row>
    <row r="22" spans="1:45" ht="12" customHeight="1" thickBot="1" x14ac:dyDescent="0.25">
      <c r="A22" s="29"/>
      <c r="B22" s="489"/>
      <c r="C22" s="5317" t="str">
        <f>IF(F20&lt;0,"Exceso de CVs",IF(AL16&gt;M13,"Exceso de innatos activos",""))</f>
        <v/>
      </c>
      <c r="D22" s="5317"/>
      <c r="E22" s="5317"/>
      <c r="F22" s="5317"/>
      <c r="G22" s="164"/>
      <c r="H22" s="165" t="s">
        <v>1811</v>
      </c>
      <c r="I22" s="44"/>
      <c r="J22" s="44"/>
      <c r="K22" s="166" t="s">
        <v>1809</v>
      </c>
      <c r="L22" s="4184" t="s">
        <v>1812</v>
      </c>
      <c r="M22" s="4184"/>
      <c r="O22" s="5318" t="str">
        <f>IF(OR(Tablas!G553&gt;0,Tablas!H1432&gt;0),"Sin concentración",IF(AND(Tablas!G451=0,Tablas!H1396=0),"","Concentración extrema"))</f>
        <v/>
      </c>
      <c r="P22" s="5318"/>
      <c r="Q22" s="5318"/>
      <c r="R22" s="36"/>
      <c r="S22" s="29"/>
      <c r="T22" s="29"/>
      <c r="U22" s="675"/>
      <c r="V22" s="5238" t="str">
        <f>IF(V21=0,"",VLOOKUP(V21,Tabla_PoderesPsi,2,FALSE))</f>
        <v/>
      </c>
      <c r="W22" s="5239"/>
      <c r="X22" s="5239"/>
      <c r="Y22" s="1773" t="s">
        <v>1325</v>
      </c>
      <c r="Z22" s="1774" t="str">
        <f>IF(V21=0,"",VLOOKUP(V21,Tabla_PoderesPsi,3,FALSE))</f>
        <v/>
      </c>
      <c r="AA22" s="5252"/>
      <c r="AB22" s="5241"/>
      <c r="AD22" s="5242" t="str">
        <f>IF(AD21=0,"",VLOOKUP(AD21,Tabla_PoderesPsi,2,FALSE))</f>
        <v/>
      </c>
      <c r="AE22" s="5243"/>
      <c r="AF22" s="5243"/>
      <c r="AG22" s="2024" t="s">
        <v>1325</v>
      </c>
      <c r="AH22" s="2025" t="str">
        <f>IF(AD21=0,"",VLOOKUP(AD21,Tabla_PoderesPsi,3,FALSE))</f>
        <v/>
      </c>
      <c r="AI22" s="5217"/>
      <c r="AJ22" s="5245"/>
      <c r="AK22" s="5247"/>
      <c r="AL22" s="5374"/>
      <c r="AM22" s="29"/>
      <c r="AN22" s="58"/>
      <c r="AO22" s="1732"/>
      <c r="AP22" s="1733"/>
      <c r="AR22" s="3106">
        <v>11</v>
      </c>
      <c r="AS22" s="1737" t="str">
        <f t="shared" si="0"/>
        <v/>
      </c>
    </row>
    <row r="23" spans="1:45" ht="12" customHeight="1" thickBot="1" x14ac:dyDescent="0.25">
      <c r="A23" s="29"/>
      <c r="B23" s="489"/>
      <c r="M23" s="48"/>
      <c r="R23" s="36"/>
      <c r="S23" s="29"/>
      <c r="T23" s="29"/>
      <c r="U23" s="675">
        <f>IF(V23=0,0,1)</f>
        <v>0</v>
      </c>
      <c r="V23" s="5233"/>
      <c r="W23" s="5234"/>
      <c r="X23" s="5234"/>
      <c r="Y23" s="5234"/>
      <c r="Z23" s="5235"/>
      <c r="AA23" s="5223"/>
      <c r="AB23" s="5225" t="str">
        <f>IF(AA23=0,"",IF(AA23*10&lt;100,AA23*10,100))</f>
        <v/>
      </c>
      <c r="AD23" s="5213"/>
      <c r="AE23" s="5214"/>
      <c r="AF23" s="5214"/>
      <c r="AG23" s="5214"/>
      <c r="AH23" s="5215"/>
      <c r="AI23" s="5216"/>
      <c r="AJ23" s="5244"/>
      <c r="AK23" s="5246"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374">
        <f>$H$11+IF(ISNA(VLOOKUP(AD23,$V$11:$AB$64,7,FALSE)),0,IF(VLOOKUP(AD23,$V$11:$AB$64,7,FALSE)="",0,VLOOKUP(AD23,$V$11:$AB$64,7,FALSE)))+AI23*20+AJ23</f>
        <v>0</v>
      </c>
      <c r="AM23" s="29"/>
      <c r="AN23" s="167"/>
      <c r="AO23" s="1734"/>
      <c r="AP23" s="1735"/>
      <c r="AR23" s="3106">
        <v>13</v>
      </c>
      <c r="AS23" s="1737" t="str">
        <f t="shared" si="0"/>
        <v/>
      </c>
    </row>
    <row r="24" spans="1:45" ht="12" customHeight="1" x14ac:dyDescent="0.2">
      <c r="A24" s="29"/>
      <c r="B24" s="489"/>
      <c r="C24" s="3700" t="s">
        <v>1813</v>
      </c>
      <c r="D24" s="3460"/>
      <c r="E24" s="3460"/>
      <c r="F24" s="5280" t="s">
        <v>1814</v>
      </c>
      <c r="G24" s="5280"/>
      <c r="H24" s="5280"/>
      <c r="I24" s="5280"/>
      <c r="J24" s="5280"/>
      <c r="K24" s="5280"/>
      <c r="L24" s="5280"/>
      <c r="M24" s="5280"/>
      <c r="N24" s="5280"/>
      <c r="O24" s="5280"/>
      <c r="P24" s="5280"/>
      <c r="Q24" s="5281"/>
      <c r="R24" s="36"/>
      <c r="S24" s="29"/>
      <c r="T24" s="29"/>
      <c r="U24" s="675"/>
      <c r="V24" s="5236" t="str">
        <f>IF(V23=0,"",VLOOKUP(V23,Tabla_PoderesPsi,2,FALSE))</f>
        <v/>
      </c>
      <c r="W24" s="5237"/>
      <c r="X24" s="5237"/>
      <c r="Y24" s="1665" t="s">
        <v>1325</v>
      </c>
      <c r="Z24" s="1666" t="str">
        <f>IF(V23=0,"",VLOOKUP(V23,Tabla_PoderesPsi,3,FALSE))</f>
        <v/>
      </c>
      <c r="AA24" s="5223"/>
      <c r="AB24" s="5225"/>
      <c r="AD24" s="5242" t="str">
        <f>IF(AD23=0,"",VLOOKUP(AD23,Tabla_PoderesPsi,2,FALSE))</f>
        <v/>
      </c>
      <c r="AE24" s="5243"/>
      <c r="AF24" s="5243"/>
      <c r="AG24" s="2024" t="s">
        <v>1325</v>
      </c>
      <c r="AH24" s="2025" t="str">
        <f>IF(AD23=0,"",VLOOKUP(AD23,Tabla_PoderesPsi,3,FALSE))</f>
        <v/>
      </c>
      <c r="AI24" s="5217"/>
      <c r="AJ24" s="5245"/>
      <c r="AK24" s="5247"/>
      <c r="AL24" s="5374"/>
      <c r="AM24" s="29"/>
      <c r="AN24" s="58"/>
      <c r="AO24" s="1732"/>
      <c r="AP24" s="1733"/>
      <c r="AR24" s="3106">
        <v>15</v>
      </c>
      <c r="AS24" s="1737" t="str">
        <f t="shared" si="0"/>
        <v/>
      </c>
    </row>
    <row r="25" spans="1:45" ht="12" customHeight="1" x14ac:dyDescent="0.2">
      <c r="A25" s="29"/>
      <c r="B25" s="489"/>
      <c r="C25" s="5308"/>
      <c r="D25" s="5309"/>
      <c r="E25" s="5310"/>
      <c r="F25" s="4032" t="str">
        <f>IF(C25=0,"",VLOOKUP(C25,Tabla_DisciplinasPsi,2,FALSE))</f>
        <v/>
      </c>
      <c r="G25" s="5304"/>
      <c r="H25" s="5304"/>
      <c r="I25" s="5304"/>
      <c r="J25" s="5304"/>
      <c r="K25" s="5304"/>
      <c r="L25" s="5304"/>
      <c r="M25" s="5304"/>
      <c r="N25" s="5304"/>
      <c r="O25" s="5304"/>
      <c r="P25" s="5304"/>
      <c r="Q25" s="5305"/>
      <c r="R25" s="36"/>
      <c r="S25" s="29"/>
      <c r="T25" s="29"/>
      <c r="U25" s="675">
        <f>IF(V25=0,0,1)</f>
        <v>0</v>
      </c>
      <c r="V25" s="5230"/>
      <c r="W25" s="5231"/>
      <c r="X25" s="5231"/>
      <c r="Y25" s="5231"/>
      <c r="Z25" s="5232"/>
      <c r="AA25" s="5251"/>
      <c r="AB25" s="5240" t="str">
        <f>IF(AA25=0,"",IF(AA25*10&lt;100,AA25*10,100))</f>
        <v/>
      </c>
      <c r="AD25" s="5213"/>
      <c r="AE25" s="5214"/>
      <c r="AF25" s="5214"/>
      <c r="AG25" s="5214"/>
      <c r="AH25" s="5215"/>
      <c r="AI25" s="5216"/>
      <c r="AJ25" s="5244"/>
      <c r="AK25" s="5246"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374">
        <f>$H$11+IF(ISNA(VLOOKUP(AD25,$V$11:$AB$64,7,FALSE)),0,IF(VLOOKUP(AD25,$V$11:$AB$64,7,FALSE)="",0,VLOOKUP(AD25,$V$11:$AB$64,7,FALSE)))+AI25*20+AJ25</f>
        <v>0</v>
      </c>
      <c r="AM25" s="29"/>
      <c r="AN25" s="1470"/>
      <c r="AO25" s="579"/>
      <c r="AP25" s="579"/>
      <c r="AR25" s="3106">
        <v>17</v>
      </c>
      <c r="AS25" s="1737" t="str">
        <f t="shared" si="0"/>
        <v/>
      </c>
    </row>
    <row r="26" spans="1:45" ht="12" customHeight="1" x14ac:dyDescent="0.2">
      <c r="A26" s="29"/>
      <c r="B26" s="489"/>
      <c r="C26" s="5311"/>
      <c r="D26" s="5312"/>
      <c r="E26" s="5313"/>
      <c r="F26" s="4032"/>
      <c r="G26" s="5304"/>
      <c r="H26" s="5304"/>
      <c r="I26" s="5304"/>
      <c r="J26" s="5304"/>
      <c r="K26" s="5304"/>
      <c r="L26" s="5304"/>
      <c r="M26" s="5304"/>
      <c r="N26" s="5304"/>
      <c r="O26" s="5304"/>
      <c r="P26" s="5304"/>
      <c r="Q26" s="5305"/>
      <c r="R26" s="36"/>
      <c r="S26" s="29"/>
      <c r="T26" s="29"/>
      <c r="U26" s="675"/>
      <c r="V26" s="5238" t="str">
        <f>IF(V25=0,"",VLOOKUP(V25,Tabla_PoderesPsi,2,FALSE))</f>
        <v/>
      </c>
      <c r="W26" s="5239"/>
      <c r="X26" s="5239"/>
      <c r="Y26" s="1773" t="s">
        <v>1325</v>
      </c>
      <c r="Z26" s="1774" t="str">
        <f>IF(V25=0,"",VLOOKUP(V25,Tabla_PoderesPsi,3,FALSE))</f>
        <v/>
      </c>
      <c r="AA26" s="5252"/>
      <c r="AB26" s="5241"/>
      <c r="AC26" s="77"/>
      <c r="AD26" s="5242" t="str">
        <f>IF(AD25=0,"",VLOOKUP(AD25,Tabla_PoderesPsi,2,FALSE))</f>
        <v/>
      </c>
      <c r="AE26" s="5243"/>
      <c r="AF26" s="5243"/>
      <c r="AG26" s="2024" t="s">
        <v>1325</v>
      </c>
      <c r="AH26" s="2025" t="str">
        <f>IF(AD25=0,"",VLOOKUP(AD25,Tabla_PoderesPsi,3,FALSE))</f>
        <v/>
      </c>
      <c r="AI26" s="5217"/>
      <c r="AJ26" s="5245"/>
      <c r="AK26" s="5247"/>
      <c r="AL26" s="5374"/>
      <c r="AM26" s="29"/>
      <c r="AO26" s="682"/>
      <c r="AP26" s="682"/>
      <c r="AR26" s="3106">
        <v>19</v>
      </c>
      <c r="AS26" s="1737" t="str">
        <f t="shared" si="0"/>
        <v/>
      </c>
    </row>
    <row r="27" spans="1:45" ht="12" customHeight="1" x14ac:dyDescent="0.2">
      <c r="A27" s="29"/>
      <c r="B27" s="489"/>
      <c r="C27" s="5290"/>
      <c r="D27" s="5291"/>
      <c r="E27" s="5292"/>
      <c r="F27" s="5262" t="str">
        <f>IF(C27=0,"",VLOOKUP(C27,Tabla_DisciplinasPsi,2,FALSE))</f>
        <v/>
      </c>
      <c r="G27" s="5306"/>
      <c r="H27" s="5306"/>
      <c r="I27" s="5306"/>
      <c r="J27" s="5306"/>
      <c r="K27" s="5306"/>
      <c r="L27" s="5306"/>
      <c r="M27" s="5306"/>
      <c r="N27" s="5306"/>
      <c r="O27" s="5306"/>
      <c r="P27" s="5306"/>
      <c r="Q27" s="5307"/>
      <c r="R27" s="36"/>
      <c r="S27" s="29"/>
      <c r="T27" s="29"/>
      <c r="U27" s="675">
        <f>IF(V27=0,0,1)</f>
        <v>0</v>
      </c>
      <c r="V27" s="5233"/>
      <c r="W27" s="5234"/>
      <c r="X27" s="5234"/>
      <c r="Y27" s="5234"/>
      <c r="Z27" s="5235"/>
      <c r="AA27" s="5223"/>
      <c r="AB27" s="5225" t="str">
        <f>IF(AA27=0,"",IF(AA27*10&lt;100,AA27*10,100))</f>
        <v/>
      </c>
      <c r="AC27" s="77"/>
      <c r="AD27" s="5213"/>
      <c r="AE27" s="5214"/>
      <c r="AF27" s="5214"/>
      <c r="AG27" s="5214"/>
      <c r="AH27" s="5215"/>
      <c r="AI27" s="5216"/>
      <c r="AJ27" s="5244"/>
      <c r="AK27" s="5246"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374">
        <f>$H$11+IF(ISNA(VLOOKUP(AD27,$V$11:$AB$64,7,FALSE)),0,IF(VLOOKUP(AD27,$V$11:$AB$64,7,FALSE)="",0,VLOOKUP(AD27,$V$11:$AB$64,7,FALSE)))+AI27*20+AJ27</f>
        <v>0</v>
      </c>
      <c r="AM27" s="29"/>
      <c r="AO27" s="579"/>
      <c r="AP27" s="579"/>
      <c r="AR27" s="3106">
        <v>21</v>
      </c>
      <c r="AS27" s="1737" t="str">
        <f t="shared" si="0"/>
        <v/>
      </c>
    </row>
    <row r="28" spans="1:45" ht="12" customHeight="1" x14ac:dyDescent="0.2">
      <c r="A28" s="29"/>
      <c r="B28" s="489"/>
      <c r="C28" s="5290"/>
      <c r="D28" s="5291"/>
      <c r="E28" s="5292"/>
      <c r="F28" s="5262"/>
      <c r="G28" s="5306"/>
      <c r="H28" s="5306"/>
      <c r="I28" s="5306"/>
      <c r="J28" s="5306"/>
      <c r="K28" s="5306"/>
      <c r="L28" s="5306"/>
      <c r="M28" s="5306"/>
      <c r="N28" s="5306"/>
      <c r="O28" s="5306"/>
      <c r="P28" s="5306"/>
      <c r="Q28" s="5307"/>
      <c r="R28" s="36"/>
      <c r="S28" s="29"/>
      <c r="T28" s="29"/>
      <c r="U28" s="675"/>
      <c r="V28" s="5236" t="str">
        <f>IF(V27=0,"",VLOOKUP(V27,Tabla_PoderesPsi,2,FALSE))</f>
        <v/>
      </c>
      <c r="W28" s="5237"/>
      <c r="X28" s="5237"/>
      <c r="Y28" s="1665" t="s">
        <v>1325</v>
      </c>
      <c r="Z28" s="1666" t="str">
        <f>IF(V27=0,"",VLOOKUP(V27,Tabla_PoderesPsi,3,FALSE))</f>
        <v/>
      </c>
      <c r="AA28" s="5223"/>
      <c r="AB28" s="5225"/>
      <c r="AC28" s="72"/>
      <c r="AD28" s="5242" t="str">
        <f>IF(AD27=0,"",VLOOKUP(AD27,Tabla_PoderesPsi,2,FALSE))</f>
        <v/>
      </c>
      <c r="AE28" s="5243"/>
      <c r="AF28" s="5243"/>
      <c r="AG28" s="2024" t="s">
        <v>1325</v>
      </c>
      <c r="AH28" s="2025" t="str">
        <f>IF(AD27=0,"",VLOOKUP(AD27,Tabla_PoderesPsi,3,FALSE))</f>
        <v/>
      </c>
      <c r="AI28" s="5217"/>
      <c r="AJ28" s="5245"/>
      <c r="AK28" s="5247"/>
      <c r="AL28" s="5374"/>
      <c r="AM28" s="29"/>
      <c r="AO28" s="579"/>
      <c r="AP28" s="579"/>
      <c r="AR28" s="3106">
        <v>23</v>
      </c>
      <c r="AS28" s="1737" t="str">
        <f t="shared" si="0"/>
        <v/>
      </c>
    </row>
    <row r="29" spans="1:45" ht="12" customHeight="1" x14ac:dyDescent="0.2">
      <c r="A29" s="29"/>
      <c r="B29" s="489"/>
      <c r="C29" s="5301"/>
      <c r="D29" s="5302"/>
      <c r="E29" s="5303"/>
      <c r="F29" s="4032" t="str">
        <f>IF(C29=0,"",VLOOKUP(C29,Tabla_DisciplinasPsi,2,FALSE))</f>
        <v/>
      </c>
      <c r="G29" s="5304"/>
      <c r="H29" s="5304"/>
      <c r="I29" s="5304"/>
      <c r="J29" s="5304"/>
      <c r="K29" s="5304"/>
      <c r="L29" s="5304"/>
      <c r="M29" s="5304"/>
      <c r="N29" s="5304"/>
      <c r="O29" s="5304"/>
      <c r="P29" s="5304"/>
      <c r="Q29" s="5305"/>
      <c r="R29" s="36"/>
      <c r="S29" s="29"/>
      <c r="T29" s="29"/>
      <c r="U29" s="675">
        <f>IF(V29=0,0,1)</f>
        <v>0</v>
      </c>
      <c r="V29" s="5230"/>
      <c r="W29" s="5231"/>
      <c r="X29" s="5231"/>
      <c r="Y29" s="5231"/>
      <c r="Z29" s="5232"/>
      <c r="AA29" s="5251"/>
      <c r="AB29" s="5240" t="str">
        <f>IF(AA29=0,"",IF(AA29*10&lt;100,AA29*10,100))</f>
        <v/>
      </c>
      <c r="AC29" s="86"/>
      <c r="AD29" s="5213"/>
      <c r="AE29" s="5214"/>
      <c r="AF29" s="5214"/>
      <c r="AG29" s="5214"/>
      <c r="AH29" s="5215"/>
      <c r="AI29" s="5216"/>
      <c r="AJ29" s="5244"/>
      <c r="AK29" s="5246"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374">
        <f>$H$11+IF(ISNA(VLOOKUP(AD29,$V$11:$AB$64,7,FALSE)),0,IF(VLOOKUP(AD29,$V$11:$AB$64,7,FALSE)="",0,VLOOKUP(AD29,$V$11:$AB$64,7,FALSE)))+AI29*20+AJ29</f>
        <v>0</v>
      </c>
      <c r="AM29" s="29"/>
      <c r="AO29" s="579"/>
      <c r="AP29" s="579"/>
      <c r="AR29" s="3106">
        <v>25</v>
      </c>
      <c r="AS29" s="1737" t="str">
        <f t="shared" si="0"/>
        <v/>
      </c>
    </row>
    <row r="30" spans="1:45" ht="12" customHeight="1" x14ac:dyDescent="0.2">
      <c r="A30" s="29"/>
      <c r="B30" s="489"/>
      <c r="C30" s="5301"/>
      <c r="D30" s="5302"/>
      <c r="E30" s="5303"/>
      <c r="F30" s="4032"/>
      <c r="G30" s="5304"/>
      <c r="H30" s="5304"/>
      <c r="I30" s="5304"/>
      <c r="J30" s="5304"/>
      <c r="K30" s="5304"/>
      <c r="L30" s="5304"/>
      <c r="M30" s="5304"/>
      <c r="N30" s="5304"/>
      <c r="O30" s="5304"/>
      <c r="P30" s="5304"/>
      <c r="Q30" s="5305"/>
      <c r="R30" s="36"/>
      <c r="S30" s="29"/>
      <c r="T30" s="29"/>
      <c r="U30" s="675"/>
      <c r="V30" s="5238" t="str">
        <f>IF(V29=0,"",VLOOKUP(V29,Tabla_PoderesPsi,2,FALSE))</f>
        <v/>
      </c>
      <c r="W30" s="5239"/>
      <c r="X30" s="5239"/>
      <c r="Y30" s="1773" t="s">
        <v>1325</v>
      </c>
      <c r="Z30" s="1774" t="str">
        <f>IF(V29=0,"",VLOOKUP(V29,Tabla_PoderesPsi,3,FALSE))</f>
        <v/>
      </c>
      <c r="AA30" s="5252"/>
      <c r="AB30" s="5241"/>
      <c r="AC30" s="77"/>
      <c r="AD30" s="5242" t="str">
        <f>IF(AD29=0,"",VLOOKUP(AD29,Tabla_PoderesPsi,2,FALSE))</f>
        <v/>
      </c>
      <c r="AE30" s="5243"/>
      <c r="AF30" s="5243"/>
      <c r="AG30" s="2024" t="s">
        <v>1325</v>
      </c>
      <c r="AH30" s="2025" t="str">
        <f>IF(AD29=0,"",VLOOKUP(AD29,Tabla_PoderesPsi,3,FALSE))</f>
        <v/>
      </c>
      <c r="AI30" s="5217"/>
      <c r="AJ30" s="5245"/>
      <c r="AK30" s="5247"/>
      <c r="AL30" s="5374"/>
      <c r="AM30" s="29"/>
      <c r="AO30" s="579"/>
      <c r="AP30" s="579"/>
      <c r="AR30" s="3106">
        <v>27</v>
      </c>
      <c r="AS30" s="1737" t="str">
        <f t="shared" si="0"/>
        <v/>
      </c>
    </row>
    <row r="31" spans="1:45" ht="12" customHeight="1" x14ac:dyDescent="0.2">
      <c r="A31" s="29"/>
      <c r="B31" s="489"/>
      <c r="C31" s="5290"/>
      <c r="D31" s="5291"/>
      <c r="E31" s="5292"/>
      <c r="F31" s="5262" t="str">
        <f>IF(C31=0,"",VLOOKUP(C31,Tabla_DisciplinasPsi,2,FALSE))</f>
        <v/>
      </c>
      <c r="G31" s="5306"/>
      <c r="H31" s="5306"/>
      <c r="I31" s="5306"/>
      <c r="J31" s="5306"/>
      <c r="K31" s="5306"/>
      <c r="L31" s="5306"/>
      <c r="M31" s="5306"/>
      <c r="N31" s="5306"/>
      <c r="O31" s="5306"/>
      <c r="P31" s="5306"/>
      <c r="Q31" s="5307"/>
      <c r="R31" s="36"/>
      <c r="S31" s="29"/>
      <c r="T31" s="29"/>
      <c r="U31" s="675">
        <f>IF(V31=0,0,1)</f>
        <v>0</v>
      </c>
      <c r="V31" s="5233"/>
      <c r="W31" s="5234"/>
      <c r="X31" s="5234"/>
      <c r="Y31" s="5234"/>
      <c r="Z31" s="5235"/>
      <c r="AA31" s="5223"/>
      <c r="AB31" s="5225" t="str">
        <f>IF(AA31=0,"",IF(AA31*10&lt;100,AA31*10,100))</f>
        <v/>
      </c>
      <c r="AC31" s="77"/>
      <c r="AD31" s="5213"/>
      <c r="AE31" s="5214"/>
      <c r="AF31" s="5214"/>
      <c r="AG31" s="5214"/>
      <c r="AH31" s="5215"/>
      <c r="AI31" s="5216"/>
      <c r="AJ31" s="5244"/>
      <c r="AK31" s="5246"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374">
        <f>$H$11+IF(ISNA(VLOOKUP(AD31,$V$11:$AB$64,7,FALSE)),0,IF(VLOOKUP(AD31,$V$11:$AB$64,7,FALSE)="",0,VLOOKUP(AD31,$V$11:$AB$64,7,FALSE)))+AI31*20+AJ31</f>
        <v>0</v>
      </c>
      <c r="AM31" s="29"/>
      <c r="AO31" s="579"/>
      <c r="AP31" s="579"/>
      <c r="AR31" s="3106">
        <v>29</v>
      </c>
      <c r="AS31" s="1737" t="str">
        <f t="shared" si="0"/>
        <v/>
      </c>
    </row>
    <row r="32" spans="1:45" ht="12" customHeight="1" x14ac:dyDescent="0.2">
      <c r="A32" s="29"/>
      <c r="B32" s="489"/>
      <c r="C32" s="5290"/>
      <c r="D32" s="5291"/>
      <c r="E32" s="5292"/>
      <c r="F32" s="5262"/>
      <c r="G32" s="5306"/>
      <c r="H32" s="5306"/>
      <c r="I32" s="5306"/>
      <c r="J32" s="5306"/>
      <c r="K32" s="5306"/>
      <c r="L32" s="5306"/>
      <c r="M32" s="5306"/>
      <c r="N32" s="5306"/>
      <c r="O32" s="5306"/>
      <c r="P32" s="5306"/>
      <c r="Q32" s="5307"/>
      <c r="R32" s="36"/>
      <c r="S32" s="29"/>
      <c r="T32" s="29"/>
      <c r="U32" s="675"/>
      <c r="V32" s="5236" t="str">
        <f>IF(V31=0,"",VLOOKUP(V31,Tabla_PoderesPsi,2,FALSE))</f>
        <v/>
      </c>
      <c r="W32" s="5237"/>
      <c r="X32" s="5237"/>
      <c r="Y32" s="1665" t="s">
        <v>1325</v>
      </c>
      <c r="Z32" s="1666" t="str">
        <f>IF(V31=0,"",VLOOKUP(V31,Tabla_PoderesPsi,3,FALSE))</f>
        <v/>
      </c>
      <c r="AA32" s="5223"/>
      <c r="AB32" s="5225"/>
      <c r="AC32" s="87"/>
      <c r="AD32" s="5242" t="str">
        <f>IF(AD31=0,"",VLOOKUP(AD31,Tabla_PoderesPsi,2,FALSE))</f>
        <v/>
      </c>
      <c r="AE32" s="5243"/>
      <c r="AF32" s="5243"/>
      <c r="AG32" s="2024" t="s">
        <v>1325</v>
      </c>
      <c r="AH32" s="2025" t="str">
        <f>IF(AD31=0,"",VLOOKUP(AD31,Tabla_PoderesPsi,3,FALSE))</f>
        <v/>
      </c>
      <c r="AI32" s="5217"/>
      <c r="AJ32" s="5245"/>
      <c r="AK32" s="5247"/>
      <c r="AL32" s="5374"/>
      <c r="AM32" s="29"/>
      <c r="AO32" s="579"/>
      <c r="AP32" s="579"/>
      <c r="AR32" s="3106">
        <v>31</v>
      </c>
      <c r="AS32" s="1737" t="str">
        <f t="shared" si="0"/>
        <v/>
      </c>
    </row>
    <row r="33" spans="1:45" ht="12" customHeight="1" x14ac:dyDescent="0.2">
      <c r="A33" s="29"/>
      <c r="B33" s="489"/>
      <c r="C33" s="5301"/>
      <c r="D33" s="5302"/>
      <c r="E33" s="5303"/>
      <c r="F33" s="4032" t="str">
        <f>IF(C33=0,"",VLOOKUP(C33,Tabla_DisciplinasPsi,2,FALSE))</f>
        <v/>
      </c>
      <c r="G33" s="5304"/>
      <c r="H33" s="5304"/>
      <c r="I33" s="5304"/>
      <c r="J33" s="5304"/>
      <c r="K33" s="5304"/>
      <c r="L33" s="5304"/>
      <c r="M33" s="5304"/>
      <c r="N33" s="5304"/>
      <c r="O33" s="5304"/>
      <c r="P33" s="5304"/>
      <c r="Q33" s="5305"/>
      <c r="R33" s="36"/>
      <c r="S33" s="29"/>
      <c r="T33" s="29"/>
      <c r="U33" s="675">
        <f>IF(V33=0,0,1)</f>
        <v>0</v>
      </c>
      <c r="V33" s="5230"/>
      <c r="W33" s="5231"/>
      <c r="X33" s="5231"/>
      <c r="Y33" s="5231"/>
      <c r="Z33" s="5232"/>
      <c r="AA33" s="5251"/>
      <c r="AB33" s="5240" t="str">
        <f>IF(AA33=0,"",IF(AA33*10&lt;100,AA33*10,100))</f>
        <v/>
      </c>
      <c r="AC33" s="87"/>
      <c r="AD33" s="5213"/>
      <c r="AE33" s="5214"/>
      <c r="AF33" s="5214"/>
      <c r="AG33" s="5214"/>
      <c r="AH33" s="5215"/>
      <c r="AI33" s="5216"/>
      <c r="AJ33" s="5244"/>
      <c r="AK33" s="5246"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374">
        <f>$H$11+IF(ISNA(VLOOKUP(AD33,$V$11:$AB$64,7,FALSE)),0,IF(VLOOKUP(AD33,$V$11:$AB$64,7,FALSE)="",0,VLOOKUP(AD33,$V$11:$AB$64,7,FALSE)))+AI33*20+AJ33</f>
        <v>0</v>
      </c>
      <c r="AM33" s="29"/>
      <c r="AO33" s="579"/>
      <c r="AP33" s="579"/>
      <c r="AR33" s="3106">
        <v>33</v>
      </c>
      <c r="AS33" s="1737" t="str">
        <f t="shared" si="0"/>
        <v/>
      </c>
    </row>
    <row r="34" spans="1:45" ht="12" customHeight="1" x14ac:dyDescent="0.2">
      <c r="A34" s="29"/>
      <c r="B34" s="489"/>
      <c r="C34" s="5301"/>
      <c r="D34" s="5302"/>
      <c r="E34" s="5303"/>
      <c r="F34" s="4032"/>
      <c r="G34" s="5304"/>
      <c r="H34" s="5304"/>
      <c r="I34" s="5304"/>
      <c r="J34" s="5304"/>
      <c r="K34" s="5304"/>
      <c r="L34" s="5304"/>
      <c r="M34" s="5304"/>
      <c r="N34" s="5304"/>
      <c r="O34" s="5304"/>
      <c r="P34" s="5304"/>
      <c r="Q34" s="5305"/>
      <c r="R34" s="36"/>
      <c r="S34" s="29"/>
      <c r="T34" s="29"/>
      <c r="U34" s="675"/>
      <c r="V34" s="5238" t="str">
        <f>IF(V33=0,"",VLOOKUP(V33,Tabla_PoderesPsi,2,FALSE))</f>
        <v/>
      </c>
      <c r="W34" s="5239"/>
      <c r="X34" s="5239"/>
      <c r="Y34" s="1773" t="s">
        <v>1325</v>
      </c>
      <c r="Z34" s="1774" t="str">
        <f>IF(V33=0,"",VLOOKUP(V33,Tabla_PoderesPsi,3,FALSE))</f>
        <v/>
      </c>
      <c r="AA34" s="5252"/>
      <c r="AB34" s="5241"/>
      <c r="AD34" s="5242" t="str">
        <f>IF(AD33=0,"",VLOOKUP(AD33,Tabla_PoderesPsi,2,FALSE))</f>
        <v/>
      </c>
      <c r="AE34" s="5243"/>
      <c r="AF34" s="5243"/>
      <c r="AG34" s="2024" t="s">
        <v>1325</v>
      </c>
      <c r="AH34" s="2025" t="str">
        <f>IF(AD33=0,"",VLOOKUP(AD33,Tabla_PoderesPsi,3,FALSE))</f>
        <v/>
      </c>
      <c r="AI34" s="5217"/>
      <c r="AJ34" s="5245"/>
      <c r="AK34" s="5247"/>
      <c r="AL34" s="5374"/>
      <c r="AM34" s="29"/>
      <c r="AO34" s="579"/>
      <c r="AP34" s="579"/>
      <c r="AR34" s="3106">
        <v>35</v>
      </c>
      <c r="AS34" s="1737" t="str">
        <f t="shared" si="0"/>
        <v/>
      </c>
    </row>
    <row r="35" spans="1:45" ht="12" customHeight="1" thickBot="1" x14ac:dyDescent="0.25">
      <c r="A35" s="29"/>
      <c r="B35" s="489"/>
      <c r="C35" s="5290"/>
      <c r="D35" s="5291"/>
      <c r="E35" s="5292"/>
      <c r="F35" s="5296" t="str">
        <f>IF(C35=0,"",VLOOKUP(C35,Tabla_DisciplinasPsi,2,FALSE))</f>
        <v/>
      </c>
      <c r="G35" s="5297"/>
      <c r="H35" s="5297"/>
      <c r="I35" s="5297"/>
      <c r="J35" s="5297"/>
      <c r="K35" s="5297"/>
      <c r="L35" s="5297"/>
      <c r="M35" s="5297"/>
      <c r="N35" s="5297"/>
      <c r="O35" s="5297"/>
      <c r="P35" s="5297"/>
      <c r="Q35" s="5298"/>
      <c r="R35" s="36"/>
      <c r="S35" s="29"/>
      <c r="T35" s="29"/>
      <c r="U35" s="675">
        <f>IF(V35=0,0,1)</f>
        <v>0</v>
      </c>
      <c r="V35" s="5233"/>
      <c r="W35" s="5234"/>
      <c r="X35" s="5234"/>
      <c r="Y35" s="5234"/>
      <c r="Z35" s="5235"/>
      <c r="AA35" s="5223"/>
      <c r="AB35" s="5225" t="str">
        <f>IF(AA35=0,"",IF(AA35*10&lt;100,AA35*10,100))</f>
        <v/>
      </c>
      <c r="AC35" s="77"/>
      <c r="AD35" s="5213"/>
      <c r="AE35" s="5214"/>
      <c r="AF35" s="5214"/>
      <c r="AG35" s="5214"/>
      <c r="AH35" s="5215"/>
      <c r="AI35" s="5216"/>
      <c r="AJ35" s="5244"/>
      <c r="AK35" s="5246"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374">
        <f>$H$11+IF(ISNA(VLOOKUP(AD35,$V$11:$AB$64,7,FALSE)),0,IF(VLOOKUP(AD35,$V$11:$AB$64,7,FALSE)="",0,VLOOKUP(AD35,$V$11:$AB$64,7,FALSE)))+AI35*20+AJ35</f>
        <v>0</v>
      </c>
      <c r="AM35" s="29"/>
      <c r="AO35" s="579"/>
      <c r="AP35" s="579"/>
      <c r="AR35" s="3106">
        <v>37</v>
      </c>
      <c r="AS35" s="1737" t="str">
        <f t="shared" si="0"/>
        <v/>
      </c>
    </row>
    <row r="36" spans="1:45" ht="12" customHeight="1" thickBot="1" x14ac:dyDescent="0.25">
      <c r="A36" s="29"/>
      <c r="B36" s="489"/>
      <c r="C36" s="5293"/>
      <c r="D36" s="5294"/>
      <c r="E36" s="5295"/>
      <c r="F36" s="5271"/>
      <c r="G36" s="5299"/>
      <c r="H36" s="5299"/>
      <c r="I36" s="5299"/>
      <c r="J36" s="5299"/>
      <c r="K36" s="5299"/>
      <c r="L36" s="5299"/>
      <c r="M36" s="5299"/>
      <c r="N36" s="5299"/>
      <c r="O36" s="5299"/>
      <c r="P36" s="5299"/>
      <c r="Q36" s="5300"/>
      <c r="R36" s="36"/>
      <c r="S36" s="29"/>
      <c r="T36" s="29"/>
      <c r="U36" s="675"/>
      <c r="V36" s="5236" t="str">
        <f>IF(V35=0,"",VLOOKUP(V35,Tabla_PoderesPsi,2,FALSE))</f>
        <v/>
      </c>
      <c r="W36" s="5237"/>
      <c r="X36" s="5237"/>
      <c r="Y36" s="1665" t="s">
        <v>1325</v>
      </c>
      <c r="Z36" s="1666" t="str">
        <f>IF(V35=0,"",VLOOKUP(V35,Tabla_PoderesPsi,3,FALSE))</f>
        <v/>
      </c>
      <c r="AA36" s="5223"/>
      <c r="AB36" s="5225"/>
      <c r="AC36" s="77"/>
      <c r="AD36" s="5242" t="str">
        <f>IF(AD35=0,"",VLOOKUP(AD35,Tabla_PoderesPsi,2,FALSE))</f>
        <v/>
      </c>
      <c r="AE36" s="5243"/>
      <c r="AF36" s="5243"/>
      <c r="AG36" s="2024" t="s">
        <v>1325</v>
      </c>
      <c r="AH36" s="2025" t="str">
        <f>IF(AD35=0,"",VLOOKUP(AD35,Tabla_PoderesPsi,3,FALSE))</f>
        <v/>
      </c>
      <c r="AI36" s="5217"/>
      <c r="AJ36" s="5245"/>
      <c r="AK36" s="5247"/>
      <c r="AL36" s="5374"/>
      <c r="AM36" s="29"/>
      <c r="AO36" s="579"/>
      <c r="AP36" s="579"/>
      <c r="AR36" s="3106">
        <v>39</v>
      </c>
      <c r="AS36" s="1737" t="str">
        <f t="shared" si="0"/>
        <v/>
      </c>
    </row>
    <row r="37" spans="1:45" ht="12" customHeight="1" thickBot="1" x14ac:dyDescent="0.25">
      <c r="A37" s="29"/>
      <c r="B37" s="489"/>
      <c r="R37" s="36"/>
      <c r="S37" s="29"/>
      <c r="T37" s="29"/>
      <c r="U37" s="675">
        <f>IF(V37=0,0,1)</f>
        <v>0</v>
      </c>
      <c r="V37" s="5230"/>
      <c r="W37" s="5231"/>
      <c r="X37" s="5231"/>
      <c r="Y37" s="5231"/>
      <c r="Z37" s="5232"/>
      <c r="AA37" s="5251"/>
      <c r="AB37" s="5240" t="str">
        <f>IF(AA37=0,"",IF(AA37*10&lt;100,AA37*10,100))</f>
        <v/>
      </c>
      <c r="AC37" s="72"/>
      <c r="AD37" s="5213"/>
      <c r="AE37" s="5214"/>
      <c r="AF37" s="5214"/>
      <c r="AG37" s="5214"/>
      <c r="AH37" s="5215"/>
      <c r="AI37" s="5216"/>
      <c r="AJ37" s="5244"/>
      <c r="AK37" s="5246"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374">
        <f>$H$11+IF(ISNA(VLOOKUP(AD37,$V$11:$AB$64,7,FALSE)),0,IF(VLOOKUP(AD37,$V$11:$AB$64,7,FALSE)="",0,VLOOKUP(AD37,$V$11:$AB$64,7,FALSE)))+AI37*20+AJ37</f>
        <v>0</v>
      </c>
      <c r="AM37" s="29"/>
      <c r="AO37" s="579"/>
      <c r="AP37" s="579"/>
      <c r="AR37" s="3106">
        <v>41</v>
      </c>
      <c r="AS37" s="1737" t="str">
        <f t="shared" si="0"/>
        <v/>
      </c>
    </row>
    <row r="38" spans="1:45" ht="12" customHeight="1" x14ac:dyDescent="0.2">
      <c r="A38" s="29"/>
      <c r="B38" s="489"/>
      <c r="C38" s="3700" t="s">
        <v>1524</v>
      </c>
      <c r="D38" s="3460"/>
      <c r="E38" s="3460"/>
      <c r="F38" s="5280" t="s">
        <v>1814</v>
      </c>
      <c r="G38" s="5280"/>
      <c r="H38" s="5280"/>
      <c r="I38" s="5280"/>
      <c r="J38" s="5280"/>
      <c r="K38" s="5280"/>
      <c r="L38" s="5280"/>
      <c r="M38" s="5280"/>
      <c r="N38" s="5280"/>
      <c r="O38" s="5280"/>
      <c r="P38" s="5280"/>
      <c r="Q38" s="5281"/>
      <c r="R38" s="36"/>
      <c r="S38" s="29"/>
      <c r="T38" s="29"/>
      <c r="U38" s="675"/>
      <c r="V38" s="5238" t="str">
        <f>IF(V37=0,"",VLOOKUP(V37,Tabla_PoderesPsi,2,FALSE))</f>
        <v/>
      </c>
      <c r="W38" s="5239"/>
      <c r="X38" s="5239"/>
      <c r="Y38" s="1773" t="s">
        <v>1325</v>
      </c>
      <c r="Z38" s="1774" t="str">
        <f>IF(V37=0,"",VLOOKUP(V37,Tabla_PoderesPsi,3,FALSE))</f>
        <v/>
      </c>
      <c r="AA38" s="5252"/>
      <c r="AB38" s="5241"/>
      <c r="AC38" s="86"/>
      <c r="AD38" s="5242" t="str">
        <f>IF(AD37=0,"",VLOOKUP(AD37,Tabla_PoderesPsi,2,FALSE))</f>
        <v/>
      </c>
      <c r="AE38" s="5243"/>
      <c r="AF38" s="5243"/>
      <c r="AG38" s="2024" t="s">
        <v>1325</v>
      </c>
      <c r="AH38" s="2025" t="str">
        <f>IF(AD37=0,"",VLOOKUP(AD37,Tabla_PoderesPsi,3,FALSE))</f>
        <v/>
      </c>
      <c r="AI38" s="5217"/>
      <c r="AJ38" s="5245"/>
      <c r="AK38" s="5247"/>
      <c r="AL38" s="5374"/>
      <c r="AM38" s="29"/>
      <c r="AO38" s="579"/>
      <c r="AP38" s="579"/>
      <c r="AR38" s="3106">
        <v>43</v>
      </c>
      <c r="AS38" s="1737" t="str">
        <f t="shared" si="0"/>
        <v/>
      </c>
    </row>
    <row r="39" spans="1:45" ht="12" customHeight="1" x14ac:dyDescent="0.2">
      <c r="A39" s="29"/>
      <c r="B39" s="489"/>
      <c r="C39" s="5282" t="str">
        <f>IF(PDs!E114=0,"",PDs!E114)</f>
        <v/>
      </c>
      <c r="D39" s="5283"/>
      <c r="E39" s="5284"/>
      <c r="F39" s="5285" t="str">
        <f>IF(C39="","",VLOOKUP(C39,Tablas!$D$1210:$R$1225,15,FALSE))</f>
        <v/>
      </c>
      <c r="G39" s="5285"/>
      <c r="H39" s="5285"/>
      <c r="I39" s="5285"/>
      <c r="J39" s="5285"/>
      <c r="K39" s="5285"/>
      <c r="L39" s="5285"/>
      <c r="M39" s="5285"/>
      <c r="N39" s="5285"/>
      <c r="O39" s="5285"/>
      <c r="P39" s="5285"/>
      <c r="Q39" s="5286"/>
      <c r="R39" s="36"/>
      <c r="S39" s="29"/>
      <c r="T39" s="29"/>
      <c r="U39" s="675">
        <f>IF(V39=0,0,1)</f>
        <v>0</v>
      </c>
      <c r="V39" s="5233"/>
      <c r="W39" s="5234"/>
      <c r="X39" s="5234"/>
      <c r="Y39" s="5234"/>
      <c r="Z39" s="5235"/>
      <c r="AA39" s="5223"/>
      <c r="AB39" s="5225" t="str">
        <f>IF(AA39=0,"",IF(AA39*10&lt;100,AA39*10,100))</f>
        <v/>
      </c>
      <c r="AC39" s="77"/>
      <c r="AD39" s="5213"/>
      <c r="AE39" s="5214"/>
      <c r="AF39" s="5214"/>
      <c r="AG39" s="5214"/>
      <c r="AH39" s="5215"/>
      <c r="AI39" s="5216"/>
      <c r="AJ39" s="5244"/>
      <c r="AK39" s="5246"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374">
        <f>$H$11+IF(ISNA(VLOOKUP(AD39,$V$11:$AB$64,7,FALSE)),0,IF(VLOOKUP(AD39,$V$11:$AB$64,7,FALSE)="",0,VLOOKUP(AD39,$V$11:$AB$64,7,FALSE)))+AI39*20+AJ39</f>
        <v>0</v>
      </c>
      <c r="AM39" s="29"/>
      <c r="AO39" s="579"/>
      <c r="AP39" s="579"/>
      <c r="AR39" s="3106">
        <v>45</v>
      </c>
      <c r="AS39" s="1737" t="str">
        <f t="shared" si="0"/>
        <v/>
      </c>
    </row>
    <row r="40" spans="1:45" ht="12" customHeight="1" x14ac:dyDescent="0.2">
      <c r="A40" s="29"/>
      <c r="B40" s="489"/>
      <c r="C40" s="5267"/>
      <c r="D40" s="5268"/>
      <c r="E40" s="5269"/>
      <c r="F40" s="4032" t="str">
        <f>IF(C39="","",VLOOKUP(C39,Tablas!$D$1210:$R$1225,7,FALSE))</f>
        <v/>
      </c>
      <c r="G40" s="4032"/>
      <c r="H40" s="4032"/>
      <c r="I40" s="4032"/>
      <c r="J40" s="4032"/>
      <c r="K40" s="4032"/>
      <c r="L40" s="4032"/>
      <c r="M40" s="4032"/>
      <c r="N40" s="4032"/>
      <c r="O40" s="4032"/>
      <c r="P40" s="4032"/>
      <c r="Q40" s="5270"/>
      <c r="R40" s="36"/>
      <c r="S40" s="29"/>
      <c r="T40" s="29"/>
      <c r="U40" s="675"/>
      <c r="V40" s="5236" t="str">
        <f>IF(V39=0,"",VLOOKUP(V39,Tabla_PoderesPsi,2,FALSE))</f>
        <v/>
      </c>
      <c r="W40" s="5237"/>
      <c r="X40" s="5237"/>
      <c r="Y40" s="1665" t="s">
        <v>1325</v>
      </c>
      <c r="Z40" s="1666" t="str">
        <f>IF(V39=0,"",VLOOKUP(V39,Tabla_PoderesPsi,3,FALSE))</f>
        <v/>
      </c>
      <c r="AA40" s="5223"/>
      <c r="AB40" s="5225"/>
      <c r="AC40" s="77"/>
      <c r="AD40" s="5242" t="str">
        <f>IF(AD39=0,"",VLOOKUP(AD39,Tabla_PoderesPsi,2,FALSE))</f>
        <v/>
      </c>
      <c r="AE40" s="5243"/>
      <c r="AF40" s="5243"/>
      <c r="AG40" s="2024" t="s">
        <v>1325</v>
      </c>
      <c r="AH40" s="2025" t="str">
        <f>IF(AD39=0,"",VLOOKUP(AD39,Tabla_PoderesPsi,3,FALSE))</f>
        <v/>
      </c>
      <c r="AI40" s="5217"/>
      <c r="AJ40" s="5245"/>
      <c r="AK40" s="5247"/>
      <c r="AL40" s="5374"/>
      <c r="AM40" s="29"/>
      <c r="AO40" s="579"/>
      <c r="AP40" s="579"/>
      <c r="AR40" s="3106">
        <v>47</v>
      </c>
      <c r="AS40" s="1737" t="str">
        <f t="shared" si="0"/>
        <v/>
      </c>
    </row>
    <row r="41" spans="1:45" ht="12" customHeight="1" x14ac:dyDescent="0.2">
      <c r="A41" s="29"/>
      <c r="B41" s="489"/>
      <c r="C41" s="5256" t="str">
        <f>IF(PDs!E115=0,"",PDs!E115)</f>
        <v/>
      </c>
      <c r="D41" s="5257"/>
      <c r="E41" s="5258"/>
      <c r="F41" s="5262" t="str">
        <f>IF(C41="","",VLOOKUP(C41,Tablas!$D$1210:$R$1225,15,FALSE))</f>
        <v/>
      </c>
      <c r="G41" s="5262"/>
      <c r="H41" s="5262"/>
      <c r="I41" s="5262"/>
      <c r="J41" s="5262"/>
      <c r="K41" s="5262"/>
      <c r="L41" s="5262"/>
      <c r="M41" s="5262"/>
      <c r="N41" s="5262"/>
      <c r="O41" s="5262"/>
      <c r="P41" s="5262"/>
      <c r="Q41" s="5263"/>
      <c r="R41" s="36"/>
      <c r="S41" s="29"/>
      <c r="T41" s="29"/>
      <c r="U41" s="675">
        <f>IF(V41=0,0,1)</f>
        <v>0</v>
      </c>
      <c r="V41" s="5287"/>
      <c r="W41" s="5288"/>
      <c r="X41" s="5288"/>
      <c r="Y41" s="5288"/>
      <c r="Z41" s="5289"/>
      <c r="AA41" s="5251"/>
      <c r="AB41" s="5240" t="str">
        <f>IF(AA41=0,"",IF(AA41*10&lt;100,AA41*10,100))</f>
        <v/>
      </c>
      <c r="AC41" s="87"/>
      <c r="AD41" s="5213"/>
      <c r="AE41" s="5214"/>
      <c r="AF41" s="5214"/>
      <c r="AG41" s="5214"/>
      <c r="AH41" s="5215"/>
      <c r="AI41" s="5216"/>
      <c r="AJ41" s="5244"/>
      <c r="AK41" s="5246"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374">
        <f>$H$11+IF(ISNA(VLOOKUP(AD41,$V$11:$AB$64,7,FALSE)),0,IF(VLOOKUP(AD41,$V$11:$AB$64,7,FALSE)="",0,VLOOKUP(AD41,$V$11:$AB$64,7,FALSE)))+AI41*20+AJ41</f>
        <v>0</v>
      </c>
      <c r="AM41" s="29"/>
      <c r="AO41" s="579"/>
      <c r="AP41" s="579"/>
      <c r="AR41" s="3106">
        <v>49</v>
      </c>
      <c r="AS41" s="1737" t="str">
        <f t="shared" si="0"/>
        <v/>
      </c>
    </row>
    <row r="42" spans="1:45" ht="12" customHeight="1" x14ac:dyDescent="0.2">
      <c r="A42" s="29"/>
      <c r="B42" s="489"/>
      <c r="C42" s="5274"/>
      <c r="D42" s="5275"/>
      <c r="E42" s="5276"/>
      <c r="F42" s="5262" t="str">
        <f>IF(C41="","",VLOOKUP(C41,Tablas!$D$1210:$R$1225,7,FALSE))</f>
        <v/>
      </c>
      <c r="G42" s="5262"/>
      <c r="H42" s="5262"/>
      <c r="I42" s="5262"/>
      <c r="J42" s="5262"/>
      <c r="K42" s="5262"/>
      <c r="L42" s="5262"/>
      <c r="M42" s="5262"/>
      <c r="N42" s="5262"/>
      <c r="O42" s="5262"/>
      <c r="P42" s="5262"/>
      <c r="Q42" s="5263"/>
      <c r="R42" s="36"/>
      <c r="S42" s="29"/>
      <c r="T42" s="29"/>
      <c r="U42" s="675"/>
      <c r="V42" s="5278" t="str">
        <f>IF(V41=0,"",VLOOKUP(V41,Tabla_PoderesPsi,2,FALSE))</f>
        <v/>
      </c>
      <c r="W42" s="5279"/>
      <c r="X42" s="5279"/>
      <c r="Y42" s="1773" t="s">
        <v>1325</v>
      </c>
      <c r="Z42" s="1774" t="str">
        <f>IF(V41=0,"",VLOOKUP(V41,Tabla_PoderesPsi,3,FALSE))</f>
        <v/>
      </c>
      <c r="AA42" s="5252"/>
      <c r="AB42" s="5241"/>
      <c r="AC42" s="87"/>
      <c r="AD42" s="5242" t="str">
        <f>IF(AD41=0,"",VLOOKUP(AD41,Tabla_PoderesPsi,2,FALSE))</f>
        <v/>
      </c>
      <c r="AE42" s="5243"/>
      <c r="AF42" s="5243"/>
      <c r="AG42" s="2024" t="s">
        <v>1325</v>
      </c>
      <c r="AH42" s="2025" t="str">
        <f>IF(AD41=0,"",VLOOKUP(AD41,Tabla_PoderesPsi,3,FALSE))</f>
        <v/>
      </c>
      <c r="AI42" s="5217"/>
      <c r="AJ42" s="5245"/>
      <c r="AK42" s="5247"/>
      <c r="AL42" s="5374"/>
      <c r="AM42" s="29"/>
      <c r="AO42" s="579"/>
      <c r="AP42" s="579"/>
      <c r="AR42" s="3106">
        <v>51</v>
      </c>
      <c r="AS42" s="1737" t="str">
        <f t="shared" si="0"/>
        <v/>
      </c>
    </row>
    <row r="43" spans="1:45" ht="12" customHeight="1" x14ac:dyDescent="0.2">
      <c r="A43" s="29"/>
      <c r="B43" s="489"/>
      <c r="C43" s="5264" t="str">
        <f>IF(PDs!E116=0,"",PDs!E116)</f>
        <v/>
      </c>
      <c r="D43" s="5265"/>
      <c r="E43" s="5266"/>
      <c r="F43" s="4032" t="str">
        <f>IF(C43="","",VLOOKUP(C43,Tablas!$D$1210:$R$1225,15,FALSE))</f>
        <v/>
      </c>
      <c r="G43" s="4032"/>
      <c r="H43" s="4032"/>
      <c r="I43" s="4032"/>
      <c r="J43" s="4032"/>
      <c r="K43" s="4032"/>
      <c r="L43" s="4032"/>
      <c r="M43" s="4032"/>
      <c r="N43" s="4032"/>
      <c r="O43" s="4032"/>
      <c r="P43" s="4032"/>
      <c r="Q43" s="5270"/>
      <c r="R43" s="36"/>
      <c r="S43" s="29"/>
      <c r="T43" s="29"/>
      <c r="U43" s="675">
        <f>IF(V43=0,0,1)</f>
        <v>0</v>
      </c>
      <c r="V43" s="5233"/>
      <c r="W43" s="5234"/>
      <c r="X43" s="5234"/>
      <c r="Y43" s="5234"/>
      <c r="Z43" s="5235"/>
      <c r="AA43" s="5223"/>
      <c r="AB43" s="5225" t="str">
        <f>IF(AA43=0,"",IF(AA43*10&lt;100,AA43*10,100))</f>
        <v/>
      </c>
      <c r="AD43" s="5213"/>
      <c r="AE43" s="5214"/>
      <c r="AF43" s="5214"/>
      <c r="AG43" s="5214"/>
      <c r="AH43" s="5215"/>
      <c r="AI43" s="5216"/>
      <c r="AJ43" s="5244"/>
      <c r="AK43" s="5246"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374">
        <f>$H$11+IF(ISNA(VLOOKUP(AD43,$V$11:$AB$64,7,FALSE)),0,IF(VLOOKUP(AD43,$V$11:$AB$64,7,FALSE)="",0,VLOOKUP(AD43,$V$11:$AB$64,7,FALSE)))+AI43*20+AJ43</f>
        <v>0</v>
      </c>
      <c r="AM43" s="29"/>
      <c r="AO43" s="579"/>
      <c r="AP43" s="579"/>
      <c r="AR43" s="3106">
        <v>53</v>
      </c>
      <c r="AS43" s="1737" t="str">
        <f>IF(INDEX($V$11:$Z$64,AR43,1)=0,"",INDEX($V$11:$Z$64,AR43,1))</f>
        <v/>
      </c>
    </row>
    <row r="44" spans="1:45" ht="12" customHeight="1" x14ac:dyDescent="0.2">
      <c r="A44" s="29"/>
      <c r="B44" s="489"/>
      <c r="C44" s="5267"/>
      <c r="D44" s="5268"/>
      <c r="E44" s="5269"/>
      <c r="F44" s="4032" t="str">
        <f>IF(C43="","",VLOOKUP(C43,Tablas!$D$1210:$R$1225,7,FALSE))</f>
        <v/>
      </c>
      <c r="G44" s="4032"/>
      <c r="H44" s="4032"/>
      <c r="I44" s="4032"/>
      <c r="J44" s="4032"/>
      <c r="K44" s="4032"/>
      <c r="L44" s="4032"/>
      <c r="M44" s="4032"/>
      <c r="N44" s="4032"/>
      <c r="O44" s="4032"/>
      <c r="P44" s="4032"/>
      <c r="Q44" s="5270"/>
      <c r="R44" s="36"/>
      <c r="S44" s="29"/>
      <c r="T44" s="29"/>
      <c r="U44" s="675"/>
      <c r="V44" s="5236" t="str">
        <f>IF(V43=0,"",VLOOKUP(V43,Tabla_PoderesPsi,2,FALSE))</f>
        <v/>
      </c>
      <c r="W44" s="5237"/>
      <c r="X44" s="5237"/>
      <c r="Y44" s="1665" t="s">
        <v>1325</v>
      </c>
      <c r="Z44" s="1666" t="str">
        <f>IF(V43=0,"",VLOOKUP(V43,Tabla_PoderesPsi,3,FALSE))</f>
        <v/>
      </c>
      <c r="AA44" s="5223"/>
      <c r="AB44" s="5225"/>
      <c r="AD44" s="5242" t="str">
        <f>IF(AD43=0,"",VLOOKUP(AD43,Tabla_PoderesPsi,2,FALSE))</f>
        <v/>
      </c>
      <c r="AE44" s="5243"/>
      <c r="AF44" s="5243"/>
      <c r="AG44" s="2024" t="s">
        <v>1325</v>
      </c>
      <c r="AH44" s="2025" t="str">
        <f>IF(AD43=0,"",VLOOKUP(AD43,Tabla_PoderesPsi,3,FALSE))</f>
        <v/>
      </c>
      <c r="AI44" s="5217"/>
      <c r="AJ44" s="5245"/>
      <c r="AK44" s="5247"/>
      <c r="AL44" s="5374"/>
      <c r="AM44" s="29"/>
      <c r="AO44" s="579"/>
      <c r="AP44" s="579"/>
      <c r="AR44" s="1737"/>
      <c r="AS44" s="1737"/>
    </row>
    <row r="45" spans="1:45" ht="12" customHeight="1" x14ac:dyDescent="0.2">
      <c r="A45" s="29"/>
      <c r="B45" s="489"/>
      <c r="C45" s="5256" t="str">
        <f>IF(PDs!E117=0,"",PDs!E117)</f>
        <v/>
      </c>
      <c r="D45" s="5257"/>
      <c r="E45" s="5258"/>
      <c r="F45" s="5262" t="str">
        <f>IF(C45="","",VLOOKUP(C45,Tablas!$D$1210:$R$1225,15,FALSE))</f>
        <v/>
      </c>
      <c r="G45" s="5262"/>
      <c r="H45" s="5262"/>
      <c r="I45" s="5262"/>
      <c r="J45" s="5262"/>
      <c r="K45" s="5262"/>
      <c r="L45" s="5262"/>
      <c r="M45" s="5262"/>
      <c r="N45" s="5262"/>
      <c r="O45" s="5262"/>
      <c r="P45" s="5262"/>
      <c r="Q45" s="5263"/>
      <c r="R45" s="36"/>
      <c r="S45" s="29"/>
      <c r="T45" s="29"/>
      <c r="U45" s="675">
        <f>IF(V45=0,0,1)</f>
        <v>0</v>
      </c>
      <c r="V45" s="5230"/>
      <c r="W45" s="5231"/>
      <c r="X45" s="5231"/>
      <c r="Y45" s="5231"/>
      <c r="Z45" s="5232"/>
      <c r="AA45" s="5251"/>
      <c r="AB45" s="5240" t="str">
        <f>IF(AA45=0,"",IF(AA45*10&lt;100,AA45*10,100))</f>
        <v/>
      </c>
      <c r="AD45" s="5213"/>
      <c r="AE45" s="5214"/>
      <c r="AF45" s="5214"/>
      <c r="AG45" s="5214"/>
      <c r="AH45" s="5215"/>
      <c r="AI45" s="5216"/>
      <c r="AJ45" s="5244"/>
      <c r="AK45" s="5246"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374">
        <f>$H$11+IF(ISNA(VLOOKUP(AD45,$V$11:$AB$64,7,FALSE)),0,IF(VLOOKUP(AD45,$V$11:$AB$64,7,FALSE)="",0,VLOOKUP(AD45,$V$11:$AB$64,7,FALSE)))+AI45*20+AJ45</f>
        <v>0</v>
      </c>
      <c r="AM45" s="29"/>
      <c r="AO45" s="579"/>
      <c r="AP45" s="579"/>
      <c r="AR45" s="1737"/>
      <c r="AS45" s="1737"/>
    </row>
    <row r="46" spans="1:45" ht="12" customHeight="1" x14ac:dyDescent="0.2">
      <c r="A46" s="29"/>
      <c r="B46" s="489"/>
      <c r="C46" s="5274"/>
      <c r="D46" s="5275"/>
      <c r="E46" s="5276"/>
      <c r="F46" s="5262" t="str">
        <f>IF(C45="","",VLOOKUP(C45,Tablas!$D$1210:$R$1225,7,FALSE))</f>
        <v/>
      </c>
      <c r="G46" s="5262"/>
      <c r="H46" s="5262"/>
      <c r="I46" s="5262"/>
      <c r="J46" s="5262"/>
      <c r="K46" s="5262"/>
      <c r="L46" s="5262"/>
      <c r="M46" s="5262"/>
      <c r="N46" s="5262"/>
      <c r="O46" s="5262"/>
      <c r="P46" s="5262"/>
      <c r="Q46" s="5263"/>
      <c r="R46" s="36"/>
      <c r="S46" s="29"/>
      <c r="T46" s="29"/>
      <c r="U46" s="675"/>
      <c r="V46" s="5238" t="str">
        <f>IF(V45=0,"",VLOOKUP(V45,Tabla_PoderesPsi,2,FALSE))</f>
        <v/>
      </c>
      <c r="W46" s="5239"/>
      <c r="X46" s="5239"/>
      <c r="Y46" s="1773" t="s">
        <v>1325</v>
      </c>
      <c r="Z46" s="1774" t="str">
        <f>IF(V45=0,"",VLOOKUP(V45,Tabla_PoderesPsi,3,FALSE))</f>
        <v/>
      </c>
      <c r="AA46" s="5252"/>
      <c r="AB46" s="5241"/>
      <c r="AD46" s="5242" t="str">
        <f>IF(AD45=0,"",VLOOKUP(AD45,Tabla_PoderesPsi,2,FALSE))</f>
        <v/>
      </c>
      <c r="AE46" s="5243"/>
      <c r="AF46" s="5243"/>
      <c r="AG46" s="2024" t="s">
        <v>1325</v>
      </c>
      <c r="AH46" s="2025" t="str">
        <f>IF(AD45=0,"",VLOOKUP(AD45,Tabla_PoderesPsi,3,FALSE))</f>
        <v/>
      </c>
      <c r="AI46" s="5217"/>
      <c r="AJ46" s="5245"/>
      <c r="AK46" s="5247"/>
      <c r="AL46" s="5374"/>
      <c r="AM46" s="29"/>
      <c r="AO46" s="579"/>
      <c r="AP46" s="579"/>
      <c r="AR46" s="1737"/>
      <c r="AS46" s="1737"/>
    </row>
    <row r="47" spans="1:45" ht="12" customHeight="1" x14ac:dyDescent="0.2">
      <c r="A47" s="29"/>
      <c r="B47" s="489"/>
      <c r="C47" s="5264" t="str">
        <f>IF(PDs!E118=0,"",PDs!E118)</f>
        <v/>
      </c>
      <c r="D47" s="5265"/>
      <c r="E47" s="5266"/>
      <c r="F47" s="4032" t="str">
        <f>IF(C47="","",VLOOKUP(C47,Tablas!$D$1210:$R$1225,15,FALSE))</f>
        <v/>
      </c>
      <c r="G47" s="4032"/>
      <c r="H47" s="4032"/>
      <c r="I47" s="4032"/>
      <c r="J47" s="4032"/>
      <c r="K47" s="4032"/>
      <c r="L47" s="4032"/>
      <c r="M47" s="4032"/>
      <c r="N47" s="4032"/>
      <c r="O47" s="4032"/>
      <c r="P47" s="4032"/>
      <c r="Q47" s="5270"/>
      <c r="R47" s="36"/>
      <c r="S47" s="29"/>
      <c r="T47" s="29"/>
      <c r="U47" s="675">
        <f>IF(V47=0,0,1)</f>
        <v>0</v>
      </c>
      <c r="V47" s="5233"/>
      <c r="W47" s="5234"/>
      <c r="X47" s="5234"/>
      <c r="Y47" s="5234"/>
      <c r="Z47" s="5235"/>
      <c r="AA47" s="5223"/>
      <c r="AB47" s="5225" t="str">
        <f>IF(AA47=0,"",IF(AA47*10&lt;100,AA47*10,100))</f>
        <v/>
      </c>
      <c r="AD47" s="5213"/>
      <c r="AE47" s="5214"/>
      <c r="AF47" s="5214"/>
      <c r="AG47" s="5214"/>
      <c r="AH47" s="5215"/>
      <c r="AI47" s="5216"/>
      <c r="AJ47" s="5244"/>
      <c r="AK47" s="5246"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374">
        <f>$H$11+IF(ISNA(VLOOKUP(AD47,$V$11:$AB$64,7,FALSE)),0,IF(VLOOKUP(AD47,$V$11:$AB$64,7,FALSE)="",0,VLOOKUP(AD47,$V$11:$AB$64,7,FALSE)))+AI47*20+AJ47</f>
        <v>0</v>
      </c>
      <c r="AM47" s="29"/>
      <c r="AO47" s="579"/>
      <c r="AP47" s="579"/>
      <c r="AR47" s="1737"/>
      <c r="AS47" s="1737"/>
    </row>
    <row r="48" spans="1:45" ht="12" customHeight="1" x14ac:dyDescent="0.2">
      <c r="A48" s="29"/>
      <c r="B48" s="489"/>
      <c r="C48" s="5267"/>
      <c r="D48" s="5268"/>
      <c r="E48" s="5269"/>
      <c r="F48" s="4032" t="str">
        <f>IF(C47="","",VLOOKUP(C47,Tablas!$D$1210:$R$1225,7,FALSE))</f>
        <v/>
      </c>
      <c r="G48" s="4032"/>
      <c r="H48" s="4032"/>
      <c r="I48" s="4032"/>
      <c r="J48" s="4032"/>
      <c r="K48" s="4032"/>
      <c r="L48" s="4032"/>
      <c r="M48" s="4032"/>
      <c r="N48" s="4032"/>
      <c r="O48" s="4032"/>
      <c r="P48" s="4032"/>
      <c r="Q48" s="5270"/>
      <c r="R48" s="36"/>
      <c r="S48" s="29"/>
      <c r="T48" s="29"/>
      <c r="U48" s="675"/>
      <c r="V48" s="5236" t="str">
        <f>IF(V47=0,"",VLOOKUP(V47,Tabla_PoderesPsi,2,FALSE))</f>
        <v/>
      </c>
      <c r="W48" s="5237"/>
      <c r="X48" s="5237"/>
      <c r="Y48" s="1665" t="s">
        <v>1325</v>
      </c>
      <c r="Z48" s="1666" t="str">
        <f>IF(V47=0,"",VLOOKUP(V47,Tabla_PoderesPsi,3,FALSE))</f>
        <v/>
      </c>
      <c r="AA48" s="5223"/>
      <c r="AB48" s="5225"/>
      <c r="AD48" s="5242" t="str">
        <f>IF(AD47=0,"",VLOOKUP(AD47,Tabla_PoderesPsi,2,FALSE))</f>
        <v/>
      </c>
      <c r="AE48" s="5243"/>
      <c r="AF48" s="5243"/>
      <c r="AG48" s="2024" t="s">
        <v>1325</v>
      </c>
      <c r="AH48" s="2025" t="str">
        <f>IF(AD47=0,"",VLOOKUP(AD47,Tabla_PoderesPsi,3,FALSE))</f>
        <v/>
      </c>
      <c r="AI48" s="5217"/>
      <c r="AJ48" s="5245"/>
      <c r="AK48" s="5247"/>
      <c r="AL48" s="5374"/>
      <c r="AM48" s="29"/>
      <c r="AO48" s="579"/>
      <c r="AP48" s="579"/>
      <c r="AR48" s="1737"/>
      <c r="AS48" s="1737"/>
    </row>
    <row r="49" spans="1:45" ht="12" customHeight="1" x14ac:dyDescent="0.2">
      <c r="A49" s="29"/>
      <c r="B49" s="489"/>
      <c r="C49" s="5256" t="str">
        <f>IF(PDs!E119=0,"",PDs!E119)</f>
        <v/>
      </c>
      <c r="D49" s="5257"/>
      <c r="E49" s="5258"/>
      <c r="F49" s="5262" t="str">
        <f>IF(C49="","",VLOOKUP(C49,Tablas!$D$1210:$R$1225,15,FALSE))</f>
        <v/>
      </c>
      <c r="G49" s="5262"/>
      <c r="H49" s="5262"/>
      <c r="I49" s="5262"/>
      <c r="J49" s="5262"/>
      <c r="K49" s="5262"/>
      <c r="L49" s="5262"/>
      <c r="M49" s="5262"/>
      <c r="N49" s="5262"/>
      <c r="O49" s="5262"/>
      <c r="P49" s="5262"/>
      <c r="Q49" s="5263"/>
      <c r="R49" s="36"/>
      <c r="S49" s="29"/>
      <c r="T49" s="29"/>
      <c r="U49" s="675">
        <f>IF(V49=0,0,1)</f>
        <v>0</v>
      </c>
      <c r="V49" s="5230"/>
      <c r="W49" s="5231"/>
      <c r="X49" s="5231"/>
      <c r="Y49" s="5231"/>
      <c r="Z49" s="5232"/>
      <c r="AA49" s="5251"/>
      <c r="AB49" s="5240" t="str">
        <f>IF(AA49=0,"",IF(AA49*10&lt;100,AA49*10,100))</f>
        <v/>
      </c>
      <c r="AD49" s="5213"/>
      <c r="AE49" s="5214"/>
      <c r="AF49" s="5214"/>
      <c r="AG49" s="5214"/>
      <c r="AH49" s="5215"/>
      <c r="AI49" s="5216"/>
      <c r="AJ49" s="5244"/>
      <c r="AK49" s="5246"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374">
        <f>$H$11+IF(ISNA(VLOOKUP(AD49,$V$11:$AB$64,7,FALSE)),0,IF(VLOOKUP(AD49,$V$11:$AB$64,7,FALSE)="",0,VLOOKUP(AD49,$V$11:$AB$64,7,FALSE)))+AI49*20+AJ49</f>
        <v>0</v>
      </c>
      <c r="AM49" s="29"/>
      <c r="AO49" s="579"/>
      <c r="AP49" s="579"/>
      <c r="AR49" s="1737"/>
      <c r="AS49" s="1737"/>
    </row>
    <row r="50" spans="1:45" ht="12" customHeight="1" thickBot="1" x14ac:dyDescent="0.25">
      <c r="A50" s="29"/>
      <c r="B50" s="489"/>
      <c r="C50" s="5259"/>
      <c r="D50" s="5260"/>
      <c r="E50" s="5261"/>
      <c r="F50" s="5271" t="str">
        <f>IF(C49="","",VLOOKUP(C49,Tablas!$D$1210:$R$1225,7,FALSE))</f>
        <v/>
      </c>
      <c r="G50" s="5271"/>
      <c r="H50" s="5271"/>
      <c r="I50" s="5271"/>
      <c r="J50" s="5271"/>
      <c r="K50" s="5271"/>
      <c r="L50" s="5271"/>
      <c r="M50" s="5271"/>
      <c r="N50" s="5271"/>
      <c r="O50" s="5271"/>
      <c r="P50" s="5271"/>
      <c r="Q50" s="5272"/>
      <c r="R50" s="36"/>
      <c r="S50" s="29"/>
      <c r="T50" s="29"/>
      <c r="U50" s="675"/>
      <c r="V50" s="5238" t="str">
        <f>IF(V49=0,"",VLOOKUP(V49,Tabla_PoderesPsi,2,FALSE))</f>
        <v/>
      </c>
      <c r="W50" s="5239"/>
      <c r="X50" s="5239"/>
      <c r="Y50" s="1773" t="s">
        <v>1325</v>
      </c>
      <c r="Z50" s="1774" t="str">
        <f>IF(V49=0,"",VLOOKUP(V49,Tabla_PoderesPsi,3,FALSE))</f>
        <v/>
      </c>
      <c r="AA50" s="5252"/>
      <c r="AB50" s="5241"/>
      <c r="AD50" s="5242" t="str">
        <f>IF(AD49=0,"",VLOOKUP(AD49,Tabla_PoderesPsi,2,FALSE))</f>
        <v/>
      </c>
      <c r="AE50" s="5243"/>
      <c r="AF50" s="5243"/>
      <c r="AG50" s="2024" t="s">
        <v>1325</v>
      </c>
      <c r="AH50" s="2025" t="str">
        <f>IF(AD49=0,"",VLOOKUP(AD49,Tabla_PoderesPsi,3,FALSE))</f>
        <v/>
      </c>
      <c r="AI50" s="5217"/>
      <c r="AJ50" s="5245"/>
      <c r="AK50" s="5247"/>
      <c r="AL50" s="5374"/>
      <c r="AM50" s="29"/>
      <c r="AO50" s="579"/>
      <c r="AP50" s="579"/>
      <c r="AR50" s="1737"/>
      <c r="AS50" s="1737"/>
    </row>
    <row r="51" spans="1:45" ht="12" customHeight="1" thickBot="1" x14ac:dyDescent="0.25">
      <c r="A51" s="29"/>
      <c r="B51" s="675"/>
      <c r="C51" s="84"/>
      <c r="E51" s="84"/>
      <c r="F51" s="84"/>
      <c r="G51" s="84"/>
      <c r="H51" s="167"/>
      <c r="I51" s="168"/>
      <c r="K51" s="84"/>
      <c r="L51" s="84"/>
      <c r="M51" s="84"/>
      <c r="N51" s="84"/>
      <c r="O51" s="84"/>
      <c r="P51" s="167"/>
      <c r="Q51" s="168"/>
      <c r="R51" s="38"/>
      <c r="S51" s="169"/>
      <c r="T51" s="169"/>
      <c r="U51" s="675">
        <f>IF(V51=0,0,1)</f>
        <v>0</v>
      </c>
      <c r="V51" s="5233"/>
      <c r="W51" s="5234"/>
      <c r="X51" s="5234"/>
      <c r="Y51" s="5234"/>
      <c r="Z51" s="5235"/>
      <c r="AA51" s="5223"/>
      <c r="AB51" s="5225" t="str">
        <f>IF(AA51=0,"",IF(AA51*10&lt;100,AA51*10,100))</f>
        <v/>
      </c>
      <c r="AD51" s="5213"/>
      <c r="AE51" s="5214"/>
      <c r="AF51" s="5214"/>
      <c r="AG51" s="5214"/>
      <c r="AH51" s="5215"/>
      <c r="AI51" s="5216"/>
      <c r="AJ51" s="5244"/>
      <c r="AK51" s="5246"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374">
        <f>$H$11+IF(ISNA(VLOOKUP(AD51,$V$11:$AB$64,7,FALSE)),0,IF(VLOOKUP(AD51,$V$11:$AB$64,7,FALSE)="",0,VLOOKUP(AD51,$V$11:$AB$64,7,FALSE)))+AI51*20+AJ51</f>
        <v>0</v>
      </c>
      <c r="AM51" s="29"/>
      <c r="AO51" s="579"/>
      <c r="AP51" s="579"/>
      <c r="AR51" s="1737"/>
      <c r="AS51" s="1737"/>
    </row>
    <row r="52" spans="1:45" ht="12" customHeight="1" thickBot="1" x14ac:dyDescent="0.25">
      <c r="A52" s="29"/>
      <c r="B52" s="675"/>
      <c r="C52" s="3631" t="s">
        <v>9608</v>
      </c>
      <c r="D52" s="3631"/>
      <c r="E52" s="3631"/>
      <c r="F52" s="3631"/>
      <c r="G52" s="3631"/>
      <c r="H52" s="3631"/>
      <c r="J52" s="5254" t="s">
        <v>1720</v>
      </c>
      <c r="K52" s="5254"/>
      <c r="L52" s="5254"/>
      <c r="M52" s="5255" t="s">
        <v>1790</v>
      </c>
      <c r="N52" s="5255"/>
      <c r="O52" s="5255"/>
      <c r="P52" s="5255"/>
      <c r="Q52" s="5255"/>
      <c r="R52" s="38"/>
      <c r="S52" s="169"/>
      <c r="T52" s="169"/>
      <c r="U52" s="675"/>
      <c r="V52" s="5236" t="str">
        <f>IF(V51=0,"",VLOOKUP(V51,Tabla_PoderesPsi,2,FALSE))</f>
        <v/>
      </c>
      <c r="W52" s="5237"/>
      <c r="X52" s="5237"/>
      <c r="Y52" s="1665" t="s">
        <v>1325</v>
      </c>
      <c r="Z52" s="1666" t="str">
        <f>IF(V51=0,"",VLOOKUP(V51,Tabla_PoderesPsi,3,FALSE))</f>
        <v/>
      </c>
      <c r="AA52" s="5223"/>
      <c r="AB52" s="5225"/>
      <c r="AD52" s="5242" t="str">
        <f>IF(AD51=0,"",VLOOKUP(AD51,Tabla_PoderesPsi,2,FALSE))</f>
        <v/>
      </c>
      <c r="AE52" s="5243"/>
      <c r="AF52" s="5243"/>
      <c r="AG52" s="2024" t="s">
        <v>1325</v>
      </c>
      <c r="AH52" s="2025" t="str">
        <f>IF(AD51=0,"",VLOOKUP(AD51,Tabla_PoderesPsi,3,FALSE))</f>
        <v/>
      </c>
      <c r="AI52" s="5217"/>
      <c r="AJ52" s="5245"/>
      <c r="AK52" s="5247"/>
      <c r="AL52" s="5374"/>
      <c r="AM52" s="29"/>
      <c r="AO52" s="579"/>
      <c r="AP52" s="579"/>
      <c r="AR52" s="1737"/>
      <c r="AS52" s="1737"/>
    </row>
    <row r="53" spans="1:45" ht="12" customHeight="1" thickBot="1" x14ac:dyDescent="0.25">
      <c r="A53" s="29"/>
      <c r="B53" s="675"/>
      <c r="C53" s="5277"/>
      <c r="D53" s="5277"/>
      <c r="E53" s="5277"/>
      <c r="F53" s="5277"/>
      <c r="G53" s="5277"/>
      <c r="H53" s="5277"/>
      <c r="J53" s="93">
        <v>20</v>
      </c>
      <c r="K53" s="5228" t="s">
        <v>1723</v>
      </c>
      <c r="L53" s="5228"/>
      <c r="M53" s="5273" t="s">
        <v>1724</v>
      </c>
      <c r="N53" s="5273"/>
      <c r="O53" s="5273"/>
      <c r="P53" s="5273"/>
      <c r="Q53" s="5273"/>
      <c r="R53" s="38"/>
      <c r="S53" s="169"/>
      <c r="T53" s="169"/>
      <c r="U53" s="675">
        <f>IF(V53=0,0,1)</f>
        <v>0</v>
      </c>
      <c r="V53" s="5230"/>
      <c r="W53" s="5231"/>
      <c r="X53" s="5231"/>
      <c r="Y53" s="5231"/>
      <c r="Z53" s="5232"/>
      <c r="AA53" s="5251"/>
      <c r="AB53" s="5240" t="str">
        <f>IF(AA53=0,"",IF(AA53*10&lt;100,AA53*10,100))</f>
        <v/>
      </c>
      <c r="AD53" s="5213"/>
      <c r="AE53" s="5214"/>
      <c r="AF53" s="5214"/>
      <c r="AG53" s="5214"/>
      <c r="AH53" s="5215"/>
      <c r="AI53" s="5216"/>
      <c r="AJ53" s="5244"/>
      <c r="AK53" s="5246"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374">
        <f>$H$11+IF(ISNA(VLOOKUP(AD53,$V$11:$AB$64,7,FALSE)),0,IF(VLOOKUP(AD53,$V$11:$AB$64,7,FALSE)="",0,VLOOKUP(AD53,$V$11:$AB$64,7,FALSE)))+AI53*20+AJ53</f>
        <v>0</v>
      </c>
      <c r="AM53" s="29"/>
      <c r="AO53" s="579"/>
      <c r="AP53" s="579"/>
      <c r="AR53" s="1737"/>
      <c r="AS53" s="1737"/>
    </row>
    <row r="54" spans="1:45" ht="12" customHeight="1" thickBot="1" x14ac:dyDescent="0.25">
      <c r="A54" s="29"/>
      <c r="B54" s="675"/>
      <c r="C54" s="5277"/>
      <c r="D54" s="5277"/>
      <c r="E54" s="5277"/>
      <c r="F54" s="5277"/>
      <c r="G54" s="5277"/>
      <c r="H54" s="5277"/>
      <c r="J54" s="93">
        <v>40</v>
      </c>
      <c r="K54" s="5228" t="s">
        <v>1725</v>
      </c>
      <c r="L54" s="5228"/>
      <c r="M54" s="5229" t="s">
        <v>1726</v>
      </c>
      <c r="N54" s="5229"/>
      <c r="O54" s="5229"/>
      <c r="P54" s="5229"/>
      <c r="Q54" s="5229"/>
      <c r="R54" s="38"/>
      <c r="S54" s="169"/>
      <c r="T54" s="169"/>
      <c r="U54" s="675"/>
      <c r="V54" s="5238" t="str">
        <f>IF(V53=0,"",VLOOKUP(V53,Tabla_PoderesPsi,2,FALSE))</f>
        <v/>
      </c>
      <c r="W54" s="5239"/>
      <c r="X54" s="5239"/>
      <c r="Y54" s="1773" t="s">
        <v>1325</v>
      </c>
      <c r="Z54" s="1774" t="str">
        <f>IF(V53=0,"",VLOOKUP(V53,Tabla_PoderesPsi,3,FALSE))</f>
        <v/>
      </c>
      <c r="AA54" s="5252"/>
      <c r="AB54" s="5241"/>
      <c r="AD54" s="5242" t="str">
        <f>IF(AD53=0,"",VLOOKUP(AD53,Tabla_PoderesPsi,2,FALSE))</f>
        <v/>
      </c>
      <c r="AE54" s="5243"/>
      <c r="AF54" s="5243"/>
      <c r="AG54" s="2024" t="s">
        <v>1325</v>
      </c>
      <c r="AH54" s="2025" t="str">
        <f>IF(AD53=0,"",VLOOKUP(AD53,Tabla_PoderesPsi,3,FALSE))</f>
        <v/>
      </c>
      <c r="AI54" s="5217"/>
      <c r="AJ54" s="5245"/>
      <c r="AK54" s="5247"/>
      <c r="AL54" s="5374"/>
      <c r="AM54" s="29"/>
      <c r="AO54" s="579"/>
      <c r="AP54" s="579"/>
      <c r="AQ54" s="579"/>
      <c r="AR54" s="1737"/>
      <c r="AS54" s="1737"/>
    </row>
    <row r="55" spans="1:45" ht="12" customHeight="1" thickBot="1" x14ac:dyDescent="0.25">
      <c r="A55" s="29"/>
      <c r="B55" s="675"/>
      <c r="C55" s="5277"/>
      <c r="D55" s="5277"/>
      <c r="E55" s="5277"/>
      <c r="F55" s="5277"/>
      <c r="G55" s="5277"/>
      <c r="H55" s="5277"/>
      <c r="J55" s="93">
        <v>80</v>
      </c>
      <c r="K55" s="5228" t="s">
        <v>1728</v>
      </c>
      <c r="L55" s="5228"/>
      <c r="M55" s="5229" t="s">
        <v>1729</v>
      </c>
      <c r="N55" s="5229"/>
      <c r="O55" s="5229"/>
      <c r="P55" s="5229"/>
      <c r="Q55" s="5229"/>
      <c r="R55" s="38"/>
      <c r="S55" s="169"/>
      <c r="T55" s="169"/>
      <c r="U55" s="675">
        <f>IF(V55=0,0,1)</f>
        <v>0</v>
      </c>
      <c r="V55" s="5233"/>
      <c r="W55" s="5234"/>
      <c r="X55" s="5234"/>
      <c r="Y55" s="5234"/>
      <c r="Z55" s="5235"/>
      <c r="AA55" s="5223"/>
      <c r="AB55" s="5225" t="str">
        <f>IF(AA55=0,"",IF(AA55*10&lt;100,AA55*10,100))</f>
        <v/>
      </c>
      <c r="AD55" s="5213"/>
      <c r="AE55" s="5214"/>
      <c r="AF55" s="5214"/>
      <c r="AG55" s="5214"/>
      <c r="AH55" s="5215"/>
      <c r="AI55" s="5216"/>
      <c r="AJ55" s="5244"/>
      <c r="AK55" s="5246"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374">
        <f>$H$11+IF(ISNA(VLOOKUP(AD55,$V$11:$AB$64,7,FALSE)),0,IF(VLOOKUP(AD55,$V$11:$AB$64,7,FALSE)="",0,VLOOKUP(AD55,$V$11:$AB$64,7,FALSE)))+AI55*20+AJ55</f>
        <v>0</v>
      </c>
      <c r="AM55" s="29"/>
      <c r="AO55" s="579"/>
      <c r="AP55" s="579"/>
      <c r="AQ55" s="579"/>
      <c r="AR55" s="1737"/>
      <c r="AS55" s="1737"/>
    </row>
    <row r="56" spans="1:45" ht="12" customHeight="1" thickBot="1" x14ac:dyDescent="0.25">
      <c r="A56" s="29"/>
      <c r="B56" s="675"/>
      <c r="C56" s="5277"/>
      <c r="D56" s="5277"/>
      <c r="E56" s="5277"/>
      <c r="F56" s="5277"/>
      <c r="G56" s="5277"/>
      <c r="H56" s="5277"/>
      <c r="J56" s="93">
        <v>120</v>
      </c>
      <c r="K56" s="5228" t="s">
        <v>1731</v>
      </c>
      <c r="L56" s="5228"/>
      <c r="M56" s="5229" t="s">
        <v>1815</v>
      </c>
      <c r="N56" s="5229"/>
      <c r="O56" s="5229"/>
      <c r="P56" s="5229"/>
      <c r="Q56" s="5229"/>
      <c r="R56" s="38"/>
      <c r="S56" s="169"/>
      <c r="T56" s="169"/>
      <c r="U56" s="675"/>
      <c r="V56" s="5236" t="str">
        <f>IF(V55=0,"",VLOOKUP(V55,Tabla_PoderesPsi,2,FALSE))</f>
        <v/>
      </c>
      <c r="W56" s="5237"/>
      <c r="X56" s="5237"/>
      <c r="Y56" s="1665" t="s">
        <v>1325</v>
      </c>
      <c r="Z56" s="1666" t="str">
        <f>IF(V55=0,"",VLOOKUP(V55,Tabla_PoderesPsi,3,FALSE))</f>
        <v/>
      </c>
      <c r="AA56" s="5223"/>
      <c r="AB56" s="5225"/>
      <c r="AD56" s="5242" t="str">
        <f>IF(AD55=0,"",VLOOKUP(AD55,Tabla_PoderesPsi,2,FALSE))</f>
        <v/>
      </c>
      <c r="AE56" s="5243"/>
      <c r="AF56" s="5243"/>
      <c r="AG56" s="2024" t="s">
        <v>1325</v>
      </c>
      <c r="AH56" s="2025" t="str">
        <f>IF(AD55=0,"",VLOOKUP(AD55,Tabla_PoderesPsi,3,FALSE))</f>
        <v/>
      </c>
      <c r="AI56" s="5217"/>
      <c r="AJ56" s="5245"/>
      <c r="AK56" s="5247"/>
      <c r="AL56" s="5374"/>
      <c r="AM56" s="29"/>
      <c r="AO56" s="579"/>
      <c r="AP56" s="579"/>
      <c r="AQ56" s="579"/>
      <c r="AR56" s="1737"/>
      <c r="AS56" s="1737"/>
    </row>
    <row r="57" spans="1:45" ht="12" customHeight="1" thickBot="1" x14ac:dyDescent="0.25">
      <c r="A57" s="29"/>
      <c r="B57" s="675"/>
      <c r="C57" s="5277"/>
      <c r="D57" s="5277"/>
      <c r="E57" s="5277"/>
      <c r="F57" s="5277"/>
      <c r="G57" s="5277"/>
      <c r="H57" s="5277"/>
      <c r="J57" s="93">
        <v>140</v>
      </c>
      <c r="K57" s="5228" t="s">
        <v>1733</v>
      </c>
      <c r="L57" s="5228"/>
      <c r="M57" s="5229" t="s">
        <v>1816</v>
      </c>
      <c r="N57" s="5229"/>
      <c r="O57" s="5229"/>
      <c r="P57" s="5229"/>
      <c r="Q57" s="5229"/>
      <c r="R57" s="38"/>
      <c r="S57" s="169"/>
      <c r="T57" s="169"/>
      <c r="U57" s="675">
        <f>IF(V57=0,0,1)</f>
        <v>0</v>
      </c>
      <c r="V57" s="5230"/>
      <c r="W57" s="5231"/>
      <c r="X57" s="5231"/>
      <c r="Y57" s="5231"/>
      <c r="Z57" s="5232"/>
      <c r="AA57" s="5251"/>
      <c r="AB57" s="5240" t="str">
        <f>IF(AA57=0,"",IF(AA57*10&lt;100,AA57*10,100))</f>
        <v/>
      </c>
      <c r="AD57" s="5213"/>
      <c r="AE57" s="5214"/>
      <c r="AF57" s="5214"/>
      <c r="AG57" s="5214"/>
      <c r="AH57" s="5215"/>
      <c r="AI57" s="5216"/>
      <c r="AJ57" s="5244"/>
      <c r="AK57" s="5246"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374">
        <f>$H$11+IF(ISNA(VLOOKUP(AD57,$V$11:$AB$64,7,FALSE)),0,IF(VLOOKUP(AD57,$V$11:$AB$64,7,FALSE)="",0,VLOOKUP(AD57,$V$11:$AB$64,7,FALSE)))+AI57*20+AJ57</f>
        <v>0</v>
      </c>
      <c r="AM57" s="29"/>
      <c r="AO57" s="579"/>
      <c r="AP57" s="579"/>
      <c r="AQ57" s="579"/>
      <c r="AR57" s="1737"/>
      <c r="AS57" s="1737"/>
    </row>
    <row r="58" spans="1:45" ht="12" customHeight="1" thickBot="1" x14ac:dyDescent="0.25">
      <c r="A58" s="29"/>
      <c r="B58" s="675"/>
      <c r="C58" s="5277"/>
      <c r="D58" s="5277"/>
      <c r="E58" s="5277"/>
      <c r="F58" s="5277"/>
      <c r="G58" s="5277"/>
      <c r="H58" s="5277"/>
      <c r="J58" s="93">
        <v>180</v>
      </c>
      <c r="K58" s="5228" t="s">
        <v>1735</v>
      </c>
      <c r="L58" s="5228"/>
      <c r="M58" s="5229" t="s">
        <v>1817</v>
      </c>
      <c r="N58" s="5229"/>
      <c r="O58" s="5229"/>
      <c r="P58" s="5229"/>
      <c r="Q58" s="5229"/>
      <c r="R58" s="38"/>
      <c r="S58" s="169"/>
      <c r="T58" s="169"/>
      <c r="U58" s="675"/>
      <c r="V58" s="5238" t="str">
        <f>IF(V57=0,"",VLOOKUP(V57,Tabla_PoderesPsi,2,FALSE))</f>
        <v/>
      </c>
      <c r="W58" s="5239"/>
      <c r="X58" s="5239"/>
      <c r="Y58" s="1773" t="s">
        <v>1325</v>
      </c>
      <c r="Z58" s="1774" t="str">
        <f>IF(V57=0,"",VLOOKUP(V57,Tabla_PoderesPsi,3,FALSE))</f>
        <v/>
      </c>
      <c r="AA58" s="5252"/>
      <c r="AB58" s="5241"/>
      <c r="AC58" s="77"/>
      <c r="AD58" s="5242" t="str">
        <f>IF(AD57=0,"",VLOOKUP(AD57,Tabla_PoderesPsi,2,FALSE))</f>
        <v/>
      </c>
      <c r="AE58" s="5243"/>
      <c r="AF58" s="5243"/>
      <c r="AG58" s="2024" t="s">
        <v>1325</v>
      </c>
      <c r="AH58" s="2025" t="str">
        <f>IF(AD57=0,"",VLOOKUP(AD57,Tabla_PoderesPsi,3,FALSE))</f>
        <v/>
      </c>
      <c r="AI58" s="5217"/>
      <c r="AJ58" s="5245"/>
      <c r="AK58" s="5247"/>
      <c r="AL58" s="5374"/>
      <c r="AM58" s="29"/>
      <c r="AO58" s="579"/>
      <c r="AP58" s="579"/>
      <c r="AQ58" s="579"/>
      <c r="AR58" s="1737"/>
      <c r="AS58" s="1737"/>
    </row>
    <row r="59" spans="1:45" ht="12" customHeight="1" thickBot="1" x14ac:dyDescent="0.25">
      <c r="A59" s="29"/>
      <c r="B59" s="675"/>
      <c r="C59" s="5277"/>
      <c r="D59" s="5277"/>
      <c r="E59" s="5277"/>
      <c r="F59" s="5277"/>
      <c r="G59" s="5277"/>
      <c r="H59" s="5277"/>
      <c r="J59" s="93">
        <v>240</v>
      </c>
      <c r="K59" s="5228" t="s">
        <v>1737</v>
      </c>
      <c r="L59" s="5228"/>
      <c r="M59" s="5229" t="s">
        <v>1818</v>
      </c>
      <c r="N59" s="5229"/>
      <c r="O59" s="5229"/>
      <c r="P59" s="5229"/>
      <c r="Q59" s="5229"/>
      <c r="R59" s="38"/>
      <c r="S59" s="169"/>
      <c r="T59" s="169"/>
      <c r="U59" s="675">
        <f>IF(V59=0,0,1)</f>
        <v>0</v>
      </c>
      <c r="V59" s="5233"/>
      <c r="W59" s="5234"/>
      <c r="X59" s="5234"/>
      <c r="Y59" s="5234"/>
      <c r="Z59" s="5235"/>
      <c r="AA59" s="5223"/>
      <c r="AB59" s="5225" t="str">
        <f>IF(AA59=0,"",IF(AA59*10&lt;100,AA59*10,100))</f>
        <v/>
      </c>
      <c r="AD59" s="5213"/>
      <c r="AE59" s="5214"/>
      <c r="AF59" s="5214"/>
      <c r="AG59" s="5214"/>
      <c r="AH59" s="5215"/>
      <c r="AI59" s="5216"/>
      <c r="AJ59" s="5244"/>
      <c r="AK59" s="5246"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374">
        <f>$H$11+IF(ISNA(VLOOKUP(AD59,$V$11:$AB$64,7,FALSE)),0,IF(VLOOKUP(AD59,$V$11:$AB$64,7,FALSE)="",0,VLOOKUP(AD59,$V$11:$AB$64,7,FALSE)))+AI59*20+AJ59</f>
        <v>0</v>
      </c>
      <c r="AM59" s="29"/>
      <c r="AO59" s="579"/>
      <c r="AP59" s="579"/>
      <c r="AQ59" s="579"/>
      <c r="AR59" s="1737"/>
      <c r="AS59" s="1737"/>
    </row>
    <row r="60" spans="1:45" ht="12" customHeight="1" thickBot="1" x14ac:dyDescent="0.25">
      <c r="A60" s="29"/>
      <c r="B60" s="675"/>
      <c r="C60" s="5277"/>
      <c r="D60" s="5277"/>
      <c r="E60" s="5277"/>
      <c r="F60" s="5277"/>
      <c r="G60" s="5277"/>
      <c r="H60" s="5277"/>
      <c r="J60" s="93">
        <v>280</v>
      </c>
      <c r="K60" s="5228" t="s">
        <v>1738</v>
      </c>
      <c r="L60" s="5228"/>
      <c r="M60" s="5229" t="s">
        <v>1819</v>
      </c>
      <c r="N60" s="5229"/>
      <c r="O60" s="5229"/>
      <c r="P60" s="5229"/>
      <c r="Q60" s="5229"/>
      <c r="R60" s="38"/>
      <c r="S60" s="169"/>
      <c r="T60" s="169"/>
      <c r="U60" s="675"/>
      <c r="V60" s="5236" t="str">
        <f>IF(V59=0,"",VLOOKUP(V59,Tabla_PoderesPsi,2,FALSE))</f>
        <v/>
      </c>
      <c r="W60" s="5237"/>
      <c r="X60" s="5237"/>
      <c r="Y60" s="1665" t="s">
        <v>1325</v>
      </c>
      <c r="Z60" s="1666" t="str">
        <f>IF(V59=0,"",VLOOKUP(V59,Tabla_PoderesPsi,3,FALSE))</f>
        <v/>
      </c>
      <c r="AA60" s="5223"/>
      <c r="AB60" s="5225"/>
      <c r="AD60" s="5242" t="str">
        <f>IF(AD59=0,"",VLOOKUP(AD59,Tabla_PoderesPsi,2,FALSE))</f>
        <v/>
      </c>
      <c r="AE60" s="5243"/>
      <c r="AF60" s="5243"/>
      <c r="AG60" s="2024" t="s">
        <v>1325</v>
      </c>
      <c r="AH60" s="2025" t="str">
        <f>IF(AD59=0,"",VLOOKUP(AD59,Tabla_PoderesPsi,3,FALSE))</f>
        <v/>
      </c>
      <c r="AI60" s="5217"/>
      <c r="AJ60" s="5245"/>
      <c r="AK60" s="5247"/>
      <c r="AL60" s="5374"/>
      <c r="AM60" s="29"/>
      <c r="AO60" s="579"/>
      <c r="AP60" s="579"/>
      <c r="AQ60" s="579"/>
      <c r="AR60" s="1737"/>
      <c r="AS60" s="1737"/>
    </row>
    <row r="61" spans="1:45" ht="12" customHeight="1" thickBot="1" x14ac:dyDescent="0.25">
      <c r="A61" s="29"/>
      <c r="B61" s="675"/>
      <c r="C61" s="5277"/>
      <c r="D61" s="5277"/>
      <c r="E61" s="5277"/>
      <c r="F61" s="5277"/>
      <c r="G61" s="5277"/>
      <c r="H61" s="5277"/>
      <c r="J61" s="93">
        <v>320</v>
      </c>
      <c r="K61" s="5228" t="s">
        <v>1740</v>
      </c>
      <c r="L61" s="5228"/>
      <c r="M61" s="5229" t="s">
        <v>1456</v>
      </c>
      <c r="N61" s="5229"/>
      <c r="O61" s="5229"/>
      <c r="P61" s="5229"/>
      <c r="Q61" s="5229"/>
      <c r="R61" s="38"/>
      <c r="S61" s="169"/>
      <c r="T61" s="169"/>
      <c r="U61" s="675">
        <f>IF(V61=0,0,1)</f>
        <v>0</v>
      </c>
      <c r="V61" s="5230"/>
      <c r="W61" s="5231"/>
      <c r="X61" s="5231"/>
      <c r="Y61" s="5231"/>
      <c r="Z61" s="5232"/>
      <c r="AA61" s="5251"/>
      <c r="AB61" s="5240" t="str">
        <f>IF(AA61=0,"",IF(AA61*10&lt;100,AA61*10,100))</f>
        <v/>
      </c>
      <c r="AD61" s="5213"/>
      <c r="AE61" s="5214"/>
      <c r="AF61" s="5214"/>
      <c r="AG61" s="5214"/>
      <c r="AH61" s="5215"/>
      <c r="AI61" s="5216"/>
      <c r="AJ61" s="5244"/>
      <c r="AK61" s="5246"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374">
        <f>$H$11+IF(ISNA(VLOOKUP(AD61,$V$11:$AB$64,7,FALSE)),0,IF(VLOOKUP(AD61,$V$11:$AB$64,7,FALSE)="",0,VLOOKUP(AD61,$V$11:$AB$64,7,FALSE)))+AI61*20+AJ61</f>
        <v>0</v>
      </c>
      <c r="AM61" s="29"/>
      <c r="AO61" s="579"/>
      <c r="AP61" s="579"/>
      <c r="AQ61" s="579"/>
      <c r="AR61" s="1737"/>
      <c r="AS61" s="1737"/>
    </row>
    <row r="62" spans="1:45" ht="12" customHeight="1" thickBot="1" x14ac:dyDescent="0.25">
      <c r="A62" s="29"/>
      <c r="B62" s="675"/>
      <c r="C62" s="5277"/>
      <c r="D62" s="5277"/>
      <c r="E62" s="5277"/>
      <c r="F62" s="5277"/>
      <c r="G62" s="5277"/>
      <c r="H62" s="5277"/>
      <c r="J62" s="94">
        <v>440</v>
      </c>
      <c r="K62" s="5227" t="s">
        <v>1683</v>
      </c>
      <c r="L62" s="5227"/>
      <c r="M62" s="5253" t="s">
        <v>1456</v>
      </c>
      <c r="N62" s="5253"/>
      <c r="O62" s="5253"/>
      <c r="P62" s="5253"/>
      <c r="Q62" s="5253"/>
      <c r="R62" s="38"/>
      <c r="S62" s="169"/>
      <c r="T62" s="169"/>
      <c r="U62" s="675"/>
      <c r="V62" s="5238" t="str">
        <f>IF(V61=0,"",VLOOKUP(V61,Tabla_PoderesPsi,2,FALSE))</f>
        <v/>
      </c>
      <c r="W62" s="5239"/>
      <c r="X62" s="5239"/>
      <c r="Y62" s="1773" t="s">
        <v>1325</v>
      </c>
      <c r="Z62" s="1774" t="str">
        <f>IF(V61=0,"",VLOOKUP(V61,Tabla_PoderesPsi,3,FALSE))</f>
        <v/>
      </c>
      <c r="AA62" s="5252"/>
      <c r="AB62" s="5241"/>
      <c r="AD62" s="5250" t="str">
        <f>IF(AD61=0,"",VLOOKUP(AD61,Tabla_PoderesPsi,2,FALSE))</f>
        <v/>
      </c>
      <c r="AE62" s="3626"/>
      <c r="AF62" s="3626"/>
      <c r="AG62" s="1103" t="s">
        <v>1325</v>
      </c>
      <c r="AH62" s="2028" t="str">
        <f>IF(AD61=0,"",VLOOKUP(AD61,Tabla_PoderesPsi,3,FALSE))</f>
        <v/>
      </c>
      <c r="AI62" s="5248"/>
      <c r="AJ62" s="5375"/>
      <c r="AK62" s="5249"/>
      <c r="AL62" s="5374"/>
      <c r="AM62" s="29"/>
      <c r="AO62" s="579"/>
      <c r="AP62" s="579"/>
      <c r="AQ62" s="579"/>
      <c r="AR62" s="1737"/>
      <c r="AS62" s="1737"/>
    </row>
    <row r="63" spans="1:45" ht="12" customHeight="1" thickBot="1" x14ac:dyDescent="0.25">
      <c r="A63" s="29"/>
      <c r="B63" s="675"/>
      <c r="C63" s="5277"/>
      <c r="D63" s="5277"/>
      <c r="E63" s="5277"/>
      <c r="F63" s="5277"/>
      <c r="G63" s="5277"/>
      <c r="H63" s="5277"/>
      <c r="J63" s="5220"/>
      <c r="K63" s="5220"/>
      <c r="L63" s="5220"/>
      <c r="M63" s="5220"/>
      <c r="N63" s="5220"/>
      <c r="O63" s="5220"/>
      <c r="P63" s="5220"/>
      <c r="Q63" s="5220"/>
      <c r="R63" s="38"/>
      <c r="S63" s="169"/>
      <c r="T63" s="169"/>
      <c r="U63" s="675">
        <f>IF(V63=0,0,1)</f>
        <v>0</v>
      </c>
      <c r="V63" s="5221"/>
      <c r="W63" s="5222"/>
      <c r="X63" s="5222"/>
      <c r="Y63" s="5222"/>
      <c r="Z63" s="5222"/>
      <c r="AA63" s="5223"/>
      <c r="AB63" s="5225" t="str">
        <f>IF(AA63=0,"",IF(AA63*10&lt;100,AA63*10,100))</f>
        <v/>
      </c>
      <c r="AL63" s="741"/>
      <c r="AM63" s="29"/>
      <c r="AO63" s="579"/>
      <c r="AP63" s="579"/>
      <c r="AQ63" s="579"/>
      <c r="AR63" s="1737"/>
      <c r="AS63" s="1737"/>
    </row>
    <row r="64" spans="1:45" ht="12" customHeight="1" thickBot="1" x14ac:dyDescent="0.25">
      <c r="A64" s="29"/>
      <c r="B64" s="489"/>
      <c r="C64" s="5277"/>
      <c r="D64" s="5277"/>
      <c r="E64" s="5277"/>
      <c r="F64" s="5277"/>
      <c r="G64" s="5277"/>
      <c r="H64" s="5277"/>
      <c r="J64" s="5220"/>
      <c r="K64" s="5220"/>
      <c r="L64" s="5220"/>
      <c r="M64" s="5220"/>
      <c r="N64" s="5220"/>
      <c r="O64" s="5220"/>
      <c r="P64" s="5220"/>
      <c r="Q64" s="5220"/>
      <c r="R64" s="36"/>
      <c r="S64" s="29"/>
      <c r="T64" s="29"/>
      <c r="U64" s="879"/>
      <c r="V64" s="5218" t="str">
        <f>IF(V63=0,"",VLOOKUP(V63,Tabla_PoderesPsi,2,FALSE))</f>
        <v/>
      </c>
      <c r="W64" s="5219"/>
      <c r="X64" s="5219"/>
      <c r="Y64" s="1777" t="s">
        <v>1325</v>
      </c>
      <c r="Z64" s="1778" t="str">
        <f>IF(V63=0,"",VLOOKUP(V63,Tabla_PoderesPsi,3,FALSE))</f>
        <v/>
      </c>
      <c r="AA64" s="5224"/>
      <c r="AB64" s="5226"/>
      <c r="AL64" s="741"/>
      <c r="AM64" s="29"/>
      <c r="AO64" s="579"/>
      <c r="AP64" s="579"/>
      <c r="AQ64" s="579"/>
      <c r="AR64" s="1737" t="str">
        <f>V58</f>
        <v/>
      </c>
      <c r="AS64" s="1737"/>
    </row>
    <row r="65" spans="1:45" ht="12" customHeight="1" thickBot="1" x14ac:dyDescent="0.25">
      <c r="A65" s="29"/>
      <c r="B65" s="491"/>
      <c r="C65" s="577"/>
      <c r="D65" s="577"/>
      <c r="E65" s="577"/>
      <c r="F65" s="577"/>
      <c r="G65" s="577"/>
      <c r="H65" s="577"/>
      <c r="I65" s="577"/>
      <c r="J65" s="577"/>
      <c r="K65" s="577"/>
      <c r="L65" s="577"/>
      <c r="M65" s="577"/>
      <c r="N65" s="577"/>
      <c r="O65" s="577"/>
      <c r="P65" s="577"/>
      <c r="Q65" s="577"/>
      <c r="R65" s="1047"/>
      <c r="S65" s="1048"/>
      <c r="T65" s="1048"/>
      <c r="U65" s="491"/>
      <c r="V65" s="577"/>
      <c r="W65" s="577"/>
      <c r="X65" s="577"/>
      <c r="Y65" s="577"/>
      <c r="Z65" s="577"/>
      <c r="AA65" s="577"/>
      <c r="AB65" s="577"/>
      <c r="AC65" s="577"/>
      <c r="AD65" s="577"/>
      <c r="AE65" s="577"/>
      <c r="AF65" s="577"/>
      <c r="AG65" s="577"/>
      <c r="AH65" s="577"/>
      <c r="AI65" s="577"/>
      <c r="AJ65" s="577"/>
      <c r="AK65" s="577"/>
      <c r="AL65" s="744"/>
      <c r="AM65" s="29"/>
      <c r="AN65" s="14"/>
      <c r="AO65" s="1736"/>
      <c r="AP65" s="1736"/>
      <c r="AQ65" s="579"/>
      <c r="AR65" s="1737"/>
      <c r="AS65" s="1737"/>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8"/>
      <c r="AM66" s="29"/>
      <c r="AN66" s="14"/>
      <c r="AO66" s="682"/>
      <c r="AP66" s="682"/>
      <c r="AQ66" s="682"/>
      <c r="AR66" s="3054"/>
      <c r="AS66" s="173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80" priority="181" stopIfTrue="1" operator="greaterThan">
      <formula>$C$12</formula>
    </cfRule>
  </conditionalFormatting>
  <conditionalFormatting sqref="AD12:AF12">
    <cfRule type="expression" dxfId="579" priority="124" stopIfTrue="1">
      <formula>NOT(OR(I1047915=$C$25,I1047915=$C$27,I1047915=$C$29,I1047915=$C$31,I1047915=$C$33,I1047915=$C$35))</formula>
    </cfRule>
  </conditionalFormatting>
  <conditionalFormatting sqref="AI17:AI18">
    <cfRule type="expression" dxfId="578" priority="5997">
      <formula>$AI17&gt;5</formula>
    </cfRule>
  </conditionalFormatting>
  <conditionalFormatting sqref="AN9:AQ13">
    <cfRule type="expression" dxfId="577" priority="1" stopIfTrue="1">
      <formula>$AS$7</formula>
    </cfRule>
  </conditionalFormatting>
  <conditionalFormatting sqref="AD17:AH17">
    <cfRule type="expression" dxfId="576" priority="70">
      <formula>COUNTIF($V$11:$Z$64,$AD17)=0</formula>
    </cfRule>
  </conditionalFormatting>
  <conditionalFormatting sqref="AK17:AK18">
    <cfRule type="expression" dxfId="575" priority="69" stopIfTrue="1">
      <formula>COUNTIF($V$11:$Z$64,$AD17)=0</formula>
    </cfRule>
  </conditionalFormatting>
  <conditionalFormatting sqref="AI19:AI20">
    <cfRule type="expression" dxfId="574" priority="68">
      <formula>$AI19&gt;5</formula>
    </cfRule>
  </conditionalFormatting>
  <conditionalFormatting sqref="AK19:AK20">
    <cfRule type="expression" dxfId="573" priority="66" stopIfTrue="1">
      <formula>COUNTIF($V$11:$Z$64,$AD19)=0</formula>
    </cfRule>
  </conditionalFormatting>
  <conditionalFormatting sqref="AI21:AI22">
    <cfRule type="expression" dxfId="572" priority="65">
      <formula>$AI21&gt;5</formula>
    </cfRule>
  </conditionalFormatting>
  <conditionalFormatting sqref="AD21:AH21">
    <cfRule type="expression" dxfId="571" priority="64">
      <formula>COUNTIF($V$11:$Z$64,$AD21)=0</formula>
    </cfRule>
  </conditionalFormatting>
  <conditionalFormatting sqref="AK21:AK22">
    <cfRule type="expression" dxfId="570" priority="63" stopIfTrue="1">
      <formula>COUNTIF($V$11:$Z$64,$AD21)=0</formula>
    </cfRule>
  </conditionalFormatting>
  <conditionalFormatting sqref="AI23:AI24">
    <cfRule type="expression" dxfId="569" priority="62">
      <formula>$AI23&gt;5</formula>
    </cfRule>
  </conditionalFormatting>
  <conditionalFormatting sqref="AD23:AH23">
    <cfRule type="expression" dxfId="568" priority="61">
      <formula>COUNTIF($V$11:$Z$64,$AD23)=0</formula>
    </cfRule>
  </conditionalFormatting>
  <conditionalFormatting sqref="AK23:AK24">
    <cfRule type="expression" dxfId="567" priority="60" stopIfTrue="1">
      <formula>COUNTIF($V$11:$Z$64,$AD23)=0</formula>
    </cfRule>
  </conditionalFormatting>
  <conditionalFormatting sqref="AI25:AI26">
    <cfRule type="expression" dxfId="566" priority="59">
      <formula>$AI25&gt;5</formula>
    </cfRule>
  </conditionalFormatting>
  <conditionalFormatting sqref="AD25:AH25">
    <cfRule type="expression" dxfId="565" priority="58">
      <formula>COUNTIF($V$11:$Z$64,$AD25)=0</formula>
    </cfRule>
  </conditionalFormatting>
  <conditionalFormatting sqref="AK25:AK26">
    <cfRule type="expression" dxfId="564" priority="57" stopIfTrue="1">
      <formula>COUNTIF($V$11:$Z$64,$AD25)=0</formula>
    </cfRule>
  </conditionalFormatting>
  <conditionalFormatting sqref="AI27:AI28">
    <cfRule type="expression" dxfId="563" priority="56">
      <formula>$AI27&gt;5</formula>
    </cfRule>
  </conditionalFormatting>
  <conditionalFormatting sqref="AD27:AH27">
    <cfRule type="expression" dxfId="562" priority="55">
      <formula>COUNTIF($V$11:$Z$64,$AD27)=0</formula>
    </cfRule>
  </conditionalFormatting>
  <conditionalFormatting sqref="AK27:AK28">
    <cfRule type="expression" dxfId="561" priority="54" stopIfTrue="1">
      <formula>COUNTIF($V$11:$Z$64,$AD27)=0</formula>
    </cfRule>
  </conditionalFormatting>
  <conditionalFormatting sqref="AI29:AI30">
    <cfRule type="expression" dxfId="560" priority="53">
      <formula>$AI29&gt;5</formula>
    </cfRule>
  </conditionalFormatting>
  <conditionalFormatting sqref="AD29:AH29">
    <cfRule type="expression" dxfId="559" priority="52">
      <formula>COUNTIF($V$11:$Z$64,$AD29)=0</formula>
    </cfRule>
  </conditionalFormatting>
  <conditionalFormatting sqref="AK29:AK30">
    <cfRule type="expression" dxfId="558" priority="51" stopIfTrue="1">
      <formula>COUNTIF($V$11:$Z$64,$AD29)=0</formula>
    </cfRule>
  </conditionalFormatting>
  <conditionalFormatting sqref="AI31:AI32">
    <cfRule type="expression" dxfId="557" priority="50">
      <formula>$AI31&gt;5</formula>
    </cfRule>
  </conditionalFormatting>
  <conditionalFormatting sqref="AD31:AH31">
    <cfRule type="expression" dxfId="556" priority="49">
      <formula>COUNTIF($V$11:$Z$64,$AD31)=0</formula>
    </cfRule>
  </conditionalFormatting>
  <conditionalFormatting sqref="AK31:AK32">
    <cfRule type="expression" dxfId="555" priority="48" stopIfTrue="1">
      <formula>COUNTIF($V$11:$Z$64,$AD31)=0</formula>
    </cfRule>
  </conditionalFormatting>
  <conditionalFormatting sqref="AI33:AI34">
    <cfRule type="expression" dxfId="554" priority="47">
      <formula>$AI33&gt;5</formula>
    </cfRule>
  </conditionalFormatting>
  <conditionalFormatting sqref="AD33:AH33">
    <cfRule type="expression" dxfId="553" priority="46">
      <formula>COUNTIF($V$11:$Z$64,$AD33)=0</formula>
    </cfRule>
  </conditionalFormatting>
  <conditionalFormatting sqref="AK33:AK34">
    <cfRule type="expression" dxfId="552" priority="45" stopIfTrue="1">
      <formula>COUNTIF($V$11:$Z$64,$AD33)=0</formula>
    </cfRule>
  </conditionalFormatting>
  <conditionalFormatting sqref="AI35:AI36">
    <cfRule type="expression" dxfId="551" priority="44">
      <formula>$AI35&gt;5</formula>
    </cfRule>
  </conditionalFormatting>
  <conditionalFormatting sqref="AD35:AH35">
    <cfRule type="expression" dxfId="550" priority="43">
      <formula>COUNTIF($V$11:$Z$64,$AD35)=0</formula>
    </cfRule>
  </conditionalFormatting>
  <conditionalFormatting sqref="AK35:AK36">
    <cfRule type="expression" dxfId="549" priority="42" stopIfTrue="1">
      <formula>COUNTIF($V$11:$Z$64,$AD35)=0</formula>
    </cfRule>
  </conditionalFormatting>
  <conditionalFormatting sqref="AI37:AI38">
    <cfRule type="expression" dxfId="548" priority="41">
      <formula>$AI37&gt;5</formula>
    </cfRule>
  </conditionalFormatting>
  <conditionalFormatting sqref="AD37:AH37">
    <cfRule type="expression" dxfId="547" priority="40">
      <formula>COUNTIF($V$11:$Z$64,$AD37)=0</formula>
    </cfRule>
  </conditionalFormatting>
  <conditionalFormatting sqref="AK37:AK38">
    <cfRule type="expression" dxfId="546" priority="39" stopIfTrue="1">
      <formula>COUNTIF($V$11:$Z$64,$AD37)=0</formula>
    </cfRule>
  </conditionalFormatting>
  <conditionalFormatting sqref="AI39:AI40">
    <cfRule type="expression" dxfId="545" priority="38">
      <formula>$AI39&gt;5</formula>
    </cfRule>
  </conditionalFormatting>
  <conditionalFormatting sqref="AD39:AH39">
    <cfRule type="expression" dxfId="544" priority="37">
      <formula>COUNTIF($V$11:$Z$64,$AD39)=0</formula>
    </cfRule>
  </conditionalFormatting>
  <conditionalFormatting sqref="AK39:AK40">
    <cfRule type="expression" dxfId="543" priority="36" stopIfTrue="1">
      <formula>COUNTIF($V$11:$Z$64,$AD39)=0</formula>
    </cfRule>
  </conditionalFormatting>
  <conditionalFormatting sqref="AI41:AI42">
    <cfRule type="expression" dxfId="542" priority="35">
      <formula>$AI41&gt;5</formula>
    </cfRule>
  </conditionalFormatting>
  <conditionalFormatting sqref="AD41:AH41">
    <cfRule type="expression" dxfId="541" priority="34">
      <formula>COUNTIF($V$11:$Z$64,$AD41)=0</formula>
    </cfRule>
  </conditionalFormatting>
  <conditionalFormatting sqref="AK41:AK42">
    <cfRule type="expression" dxfId="540" priority="33" stopIfTrue="1">
      <formula>COUNTIF($V$11:$Z$64,$AD41)=0</formula>
    </cfRule>
  </conditionalFormatting>
  <conditionalFormatting sqref="AI43:AI44">
    <cfRule type="expression" dxfId="539" priority="32">
      <formula>$AI43&gt;5</formula>
    </cfRule>
  </conditionalFormatting>
  <conditionalFormatting sqref="AD43:AH43">
    <cfRule type="expression" dxfId="538" priority="31">
      <formula>COUNTIF($V$11:$Z$64,$AD43)=0</formula>
    </cfRule>
  </conditionalFormatting>
  <conditionalFormatting sqref="AK43:AK44">
    <cfRule type="expression" dxfId="537" priority="30" stopIfTrue="1">
      <formula>COUNTIF($V$11:$Z$64,$AD43)=0</formula>
    </cfRule>
  </conditionalFormatting>
  <conditionalFormatting sqref="AI45:AI46">
    <cfRule type="expression" dxfId="536" priority="29">
      <formula>$AI45&gt;5</formula>
    </cfRule>
  </conditionalFormatting>
  <conditionalFormatting sqref="AD45:AH45">
    <cfRule type="expression" dxfId="535" priority="28">
      <formula>COUNTIF($V$11:$Z$64,$AD45)=0</formula>
    </cfRule>
  </conditionalFormatting>
  <conditionalFormatting sqref="AK45:AK46">
    <cfRule type="expression" dxfId="534" priority="27" stopIfTrue="1">
      <formula>COUNTIF($V$11:$Z$64,$AD45)=0</formula>
    </cfRule>
  </conditionalFormatting>
  <conditionalFormatting sqref="AI47:AI48">
    <cfRule type="expression" dxfId="533" priority="26">
      <formula>$AI47&gt;5</formula>
    </cfRule>
  </conditionalFormatting>
  <conditionalFormatting sqref="AD47:AH47">
    <cfRule type="expression" dxfId="532" priority="25">
      <formula>COUNTIF($V$11:$Z$64,$AD47)=0</formula>
    </cfRule>
  </conditionalFormatting>
  <conditionalFormatting sqref="AK47:AK48">
    <cfRule type="expression" dxfId="531" priority="24" stopIfTrue="1">
      <formula>COUNTIF($V$11:$Z$64,$AD47)=0</formula>
    </cfRule>
  </conditionalFormatting>
  <conditionalFormatting sqref="AI49:AI50">
    <cfRule type="expression" dxfId="530" priority="23">
      <formula>$AI49&gt;5</formula>
    </cfRule>
  </conditionalFormatting>
  <conditionalFormatting sqref="AD49:AH49">
    <cfRule type="expression" dxfId="529" priority="22">
      <formula>COUNTIF($V$11:$Z$64,$AD49)=0</formula>
    </cfRule>
  </conditionalFormatting>
  <conditionalFormatting sqref="AK49:AK50">
    <cfRule type="expression" dxfId="528" priority="21" stopIfTrue="1">
      <formula>COUNTIF($V$11:$Z$64,$AD49)=0</formula>
    </cfRule>
  </conditionalFormatting>
  <conditionalFormatting sqref="AI51:AI52">
    <cfRule type="expression" dxfId="527" priority="20">
      <formula>$AI51&gt;5</formula>
    </cfRule>
  </conditionalFormatting>
  <conditionalFormatting sqref="AD51:AH51">
    <cfRule type="expression" dxfId="526" priority="19">
      <formula>COUNTIF($V$11:$Z$64,$AD51)=0</formula>
    </cfRule>
  </conditionalFormatting>
  <conditionalFormatting sqref="AK51:AK52">
    <cfRule type="expression" dxfId="525" priority="18" stopIfTrue="1">
      <formula>COUNTIF($V$11:$Z$64,$AD51)=0</formula>
    </cfRule>
  </conditionalFormatting>
  <conditionalFormatting sqref="AI53:AI54">
    <cfRule type="expression" dxfId="524" priority="17">
      <formula>$AI53&gt;5</formula>
    </cfRule>
  </conditionalFormatting>
  <conditionalFormatting sqref="AD53:AH53">
    <cfRule type="expression" dxfId="523" priority="16">
      <formula>COUNTIF($V$11:$Z$64,$AD53)=0</formula>
    </cfRule>
  </conditionalFormatting>
  <conditionalFormatting sqref="AK53:AK54">
    <cfRule type="expression" dxfId="522" priority="15" stopIfTrue="1">
      <formula>COUNTIF($V$11:$Z$64,$AD53)=0</formula>
    </cfRule>
  </conditionalFormatting>
  <conditionalFormatting sqref="AI55:AI56">
    <cfRule type="expression" dxfId="521" priority="14">
      <formula>$AI55&gt;5</formula>
    </cfRule>
  </conditionalFormatting>
  <conditionalFormatting sqref="AD55:AH55">
    <cfRule type="expression" dxfId="520" priority="13">
      <formula>COUNTIF($V$11:$Z$64,$AD55)=0</formula>
    </cfRule>
  </conditionalFormatting>
  <conditionalFormatting sqref="AK55:AK56">
    <cfRule type="expression" dxfId="519" priority="12" stopIfTrue="1">
      <formula>COUNTIF($V$11:$Z$64,$AD55)=0</formula>
    </cfRule>
  </conditionalFormatting>
  <conditionalFormatting sqref="AI57:AI58">
    <cfRule type="expression" dxfId="518" priority="11">
      <formula>$AI57&gt;5</formula>
    </cfRule>
  </conditionalFormatting>
  <conditionalFormatting sqref="AD57:AH57">
    <cfRule type="expression" dxfId="517" priority="10">
      <formula>COUNTIF($V$11:$Z$64,$AD57)=0</formula>
    </cfRule>
  </conditionalFormatting>
  <conditionalFormatting sqref="AK57:AK58">
    <cfRule type="expression" dxfId="516" priority="9" stopIfTrue="1">
      <formula>COUNTIF($V$11:$Z$64,$AD57)=0</formula>
    </cfRule>
  </conditionalFormatting>
  <conditionalFormatting sqref="AI59:AI60">
    <cfRule type="expression" dxfId="515" priority="8">
      <formula>$AI59&gt;5</formula>
    </cfRule>
  </conditionalFormatting>
  <conditionalFormatting sqref="AD59:AH59">
    <cfRule type="expression" dxfId="514" priority="7">
      <formula>COUNTIF($V$11:$Z$64,$AD59)=0</formula>
    </cfRule>
  </conditionalFormatting>
  <conditionalFormatting sqref="AK59:AK60">
    <cfRule type="expression" dxfId="513" priority="6" stopIfTrue="1">
      <formula>COUNTIF($V$11:$Z$64,$AD59)=0</formula>
    </cfRule>
  </conditionalFormatting>
  <conditionalFormatting sqref="AI61:AI62">
    <cfRule type="expression" dxfId="512" priority="5">
      <formula>$AI61&gt;5</formula>
    </cfRule>
  </conditionalFormatting>
  <conditionalFormatting sqref="AD61:AH61">
    <cfRule type="expression" dxfId="511" priority="4">
      <formula>COUNTIF($V$11:$Z$64,$AD61)=0</formula>
    </cfRule>
  </conditionalFormatting>
  <conditionalFormatting sqref="AK61:AK62">
    <cfRule type="expression" dxfId="510" priority="3" stopIfTrue="1">
      <formula>COUNTIF($V$11:$Z$64,$AD61)=0</formula>
    </cfRule>
  </conditionalFormatting>
  <conditionalFormatting sqref="AD19:AH19">
    <cfRule type="expression" dxfId="509" priority="2">
      <formula>COUNTIF($V$11:$Z$64,$AD19)=0</formula>
    </cfRule>
  </conditionalFormatting>
  <conditionalFormatting sqref="AO12:AP12">
    <cfRule type="expression" dxfId="508"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72" customWidth="1"/>
    <col min="21" max="21" width="7.7109375" style="772"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9" customWidth="1"/>
    <col min="37" max="37" width="1.7109375" style="579" customWidth="1"/>
    <col min="38" max="38" width="7.5703125" style="918" customWidth="1"/>
    <col min="39" max="39" width="7" style="918"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5"/>
      <c r="S1" s="845"/>
      <c r="T1" s="845"/>
      <c r="U1" s="845"/>
      <c r="V1" s="29"/>
      <c r="W1" s="29"/>
      <c r="X1" s="29"/>
      <c r="Y1" s="29"/>
      <c r="Z1" s="29"/>
      <c r="AA1" s="29"/>
      <c r="AB1" s="29"/>
      <c r="AC1" s="29"/>
      <c r="AD1" s="29"/>
      <c r="AE1" s="29"/>
      <c r="AF1" s="29"/>
      <c r="AG1" s="29"/>
      <c r="AH1" s="29"/>
      <c r="AI1" s="29"/>
      <c r="AJ1" s="578"/>
      <c r="AK1" s="578"/>
      <c r="AL1" s="3044" t="s">
        <v>8741</v>
      </c>
      <c r="AM1" s="1758"/>
    </row>
    <row r="2" spans="1:39" ht="12" customHeight="1" thickBot="1" x14ac:dyDescent="0.25">
      <c r="A2" s="29"/>
      <c r="B2" s="672"/>
      <c r="C2" s="673"/>
      <c r="D2" s="673"/>
      <c r="E2" s="673"/>
      <c r="F2" s="673"/>
      <c r="G2" s="673"/>
      <c r="H2" s="673"/>
      <c r="I2" s="673"/>
      <c r="J2" s="673"/>
      <c r="K2" s="673"/>
      <c r="L2" s="673"/>
      <c r="M2" s="673"/>
      <c r="N2" s="673"/>
      <c r="O2" s="673"/>
      <c r="P2" s="673"/>
      <c r="Q2" s="673"/>
      <c r="R2" s="673"/>
      <c r="S2" s="673"/>
      <c r="T2" s="673"/>
      <c r="U2" s="673"/>
      <c r="V2" s="673"/>
      <c r="W2" s="673"/>
      <c r="X2" s="673"/>
      <c r="Y2" s="673"/>
      <c r="Z2" s="673"/>
      <c r="AA2" s="673"/>
      <c r="AB2" s="673"/>
      <c r="AC2" s="673"/>
      <c r="AD2" s="673"/>
      <c r="AE2" s="673"/>
      <c r="AF2" s="673"/>
      <c r="AG2" s="673"/>
      <c r="AH2" s="673"/>
      <c r="AI2" s="673"/>
      <c r="AJ2" s="740"/>
      <c r="AK2" s="578"/>
      <c r="AL2" s="1758"/>
      <c r="AM2" s="1758"/>
    </row>
    <row r="3" spans="1:39" ht="12" customHeight="1" thickBot="1" x14ac:dyDescent="0.25">
      <c r="A3" s="29"/>
      <c r="B3" s="489"/>
      <c r="C3" s="5358" t="s">
        <v>10165</v>
      </c>
      <c r="D3" s="5359"/>
      <c r="E3" s="5359"/>
      <c r="F3" s="5359"/>
      <c r="G3" s="5359"/>
      <c r="H3" s="5359"/>
      <c r="I3" s="522"/>
      <c r="J3" s="522"/>
      <c r="K3" s="522"/>
      <c r="L3" s="522"/>
      <c r="M3" s="522"/>
      <c r="N3" s="522"/>
      <c r="O3" s="522"/>
      <c r="P3" s="522"/>
      <c r="Q3" s="949"/>
      <c r="R3" s="949"/>
      <c r="S3" s="949"/>
      <c r="T3" s="949"/>
      <c r="U3" s="949"/>
      <c r="V3" s="949"/>
      <c r="W3" s="949"/>
      <c r="X3" s="949"/>
      <c r="Y3" s="949"/>
      <c r="Z3" s="949"/>
      <c r="AA3" s="949"/>
      <c r="AB3" s="949"/>
      <c r="AC3" s="949"/>
      <c r="AD3" s="949"/>
      <c r="AE3" s="949"/>
      <c r="AF3" s="949"/>
      <c r="AG3" s="949"/>
      <c r="AH3" s="949"/>
      <c r="AI3" s="946"/>
      <c r="AJ3" s="741"/>
      <c r="AK3" s="578"/>
      <c r="AL3" s="1758"/>
      <c r="AM3" s="1758"/>
    </row>
    <row r="4" spans="1:39" ht="12" customHeight="1" thickBot="1" x14ac:dyDescent="0.25">
      <c r="A4" s="29"/>
      <c r="B4" s="489"/>
      <c r="C4" s="5360"/>
      <c r="D4" s="3298"/>
      <c r="E4" s="3298"/>
      <c r="F4" s="3298"/>
      <c r="G4" s="3298"/>
      <c r="H4" s="3298"/>
      <c r="I4" s="9"/>
      <c r="J4" s="4249" t="s">
        <v>1323</v>
      </c>
      <c r="K4" s="4249"/>
      <c r="L4" s="4307" t="str">
        <f>IF(OR(General!$F$22="",General!$F$22=0),"",General!$F$22)</f>
        <v/>
      </c>
      <c r="M4" s="4307"/>
      <c r="N4" s="4307"/>
      <c r="O4" s="4307"/>
      <c r="P4" s="4307"/>
      <c r="Q4" s="942"/>
      <c r="R4" s="942"/>
      <c r="S4" s="942"/>
      <c r="T4" s="942"/>
      <c r="U4" s="942"/>
      <c r="V4" s="942"/>
      <c r="W4" s="942"/>
      <c r="X4" s="942"/>
      <c r="Y4" s="942"/>
      <c r="Z4" s="942"/>
      <c r="AA4" s="942"/>
      <c r="AB4" s="942"/>
      <c r="AC4" s="942"/>
      <c r="AD4" s="942"/>
      <c r="AE4" s="942"/>
      <c r="AF4" s="942"/>
      <c r="AG4" s="942"/>
      <c r="AH4" s="942"/>
      <c r="AI4" s="947"/>
      <c r="AJ4" s="741"/>
      <c r="AK4" s="578"/>
      <c r="AL4" s="1758"/>
      <c r="AM4" s="1758"/>
    </row>
    <row r="5" spans="1:39" ht="12" customHeight="1" thickBot="1" x14ac:dyDescent="0.25">
      <c r="A5" s="29"/>
      <c r="B5" s="489"/>
      <c r="C5" s="5360"/>
      <c r="D5" s="3298"/>
      <c r="E5" s="3298"/>
      <c r="F5" s="3298"/>
      <c r="G5" s="3298"/>
      <c r="H5" s="3298"/>
      <c r="I5" s="9"/>
      <c r="J5" s="4280" t="s">
        <v>1324</v>
      </c>
      <c r="K5" s="4280"/>
      <c r="L5" s="3140" t="str">
        <f>IF(LEN(PDs!$E$11)&lt;=General!$AO$5,PDs!$E$11,"… /"&amp;RIGHT(PDs!$E$11,General!$AO$5-FIND("/",RIGHT(PDs!$E$11,General!$AO$5))))</f>
        <v/>
      </c>
      <c r="M5" s="3140"/>
      <c r="N5" s="3140"/>
      <c r="O5" s="2259" t="s">
        <v>1325</v>
      </c>
      <c r="P5" s="2251" t="str">
        <f>Principal!$O$6</f>
        <v>0</v>
      </c>
      <c r="Q5" s="941"/>
      <c r="R5" s="941"/>
      <c r="S5" s="941"/>
      <c r="T5" s="941"/>
      <c r="U5" s="941"/>
      <c r="V5" s="941"/>
      <c r="W5" s="941"/>
      <c r="X5" s="941"/>
      <c r="Y5" s="941"/>
      <c r="Z5" s="941"/>
      <c r="AA5" s="941"/>
      <c r="AB5" s="941"/>
      <c r="AC5" s="941"/>
      <c r="AD5" s="941"/>
      <c r="AE5" s="941"/>
      <c r="AF5" s="941"/>
      <c r="AG5" s="941"/>
      <c r="AH5" s="941"/>
      <c r="AI5" s="943"/>
      <c r="AJ5" s="741"/>
      <c r="AK5" s="578"/>
      <c r="AL5" s="1758"/>
      <c r="AM5" s="1758"/>
    </row>
    <row r="6" spans="1:39" ht="12" customHeight="1" thickBot="1" x14ac:dyDescent="0.25">
      <c r="A6" s="29"/>
      <c r="B6" s="489"/>
      <c r="C6" s="5360"/>
      <c r="D6" s="3298"/>
      <c r="E6" s="3298"/>
      <c r="F6" s="3298"/>
      <c r="G6" s="3298"/>
      <c r="H6" s="3298"/>
      <c r="I6" s="9"/>
      <c r="J6" s="4309" t="s">
        <v>1820</v>
      </c>
      <c r="K6" s="4309"/>
      <c r="L6" s="4309"/>
      <c r="M6" s="4309"/>
      <c r="N6" s="4309"/>
      <c r="O6" s="4309"/>
      <c r="P6" s="4309"/>
      <c r="Q6" s="941"/>
      <c r="R6" s="941"/>
      <c r="S6" s="941"/>
      <c r="T6" s="941"/>
      <c r="U6" s="941"/>
      <c r="V6" s="941"/>
      <c r="W6" s="941"/>
      <c r="X6" s="941"/>
      <c r="Y6" s="941"/>
      <c r="Z6" s="941"/>
      <c r="AA6" s="941"/>
      <c r="AB6" s="941"/>
      <c r="AC6" s="941"/>
      <c r="AD6" s="941"/>
      <c r="AE6" s="941"/>
      <c r="AF6" s="941"/>
      <c r="AG6" s="941"/>
      <c r="AH6" s="941"/>
      <c r="AI6" s="943"/>
      <c r="AJ6" s="741"/>
      <c r="AK6" s="578"/>
      <c r="AL6" s="1758"/>
      <c r="AM6" s="1758"/>
    </row>
    <row r="7" spans="1:39" ht="12" customHeight="1" thickBot="1" x14ac:dyDescent="0.25">
      <c r="A7" s="29"/>
      <c r="B7" s="489"/>
      <c r="C7" s="5360"/>
      <c r="D7" s="3298"/>
      <c r="E7" s="3298"/>
      <c r="F7" s="3298"/>
      <c r="G7" s="3298"/>
      <c r="H7" s="3298"/>
      <c r="I7" s="9"/>
      <c r="J7" s="4309"/>
      <c r="K7" s="4309"/>
      <c r="L7" s="4309"/>
      <c r="M7" s="4309"/>
      <c r="N7" s="4309"/>
      <c r="O7" s="4309"/>
      <c r="P7" s="4309"/>
      <c r="Q7" s="941"/>
      <c r="R7" s="941"/>
      <c r="S7" s="941"/>
      <c r="T7" s="941"/>
      <c r="U7" s="941"/>
      <c r="V7" s="941"/>
      <c r="W7" s="941"/>
      <c r="X7" s="941"/>
      <c r="Y7" s="941"/>
      <c r="Z7" s="941"/>
      <c r="AA7" s="941"/>
      <c r="AB7" s="941"/>
      <c r="AC7" s="941"/>
      <c r="AD7" s="941"/>
      <c r="AE7" s="941"/>
      <c r="AF7" s="941"/>
      <c r="AG7" s="941"/>
      <c r="AH7" s="941"/>
      <c r="AI7" s="943"/>
      <c r="AJ7" s="741"/>
      <c r="AK7" s="578"/>
      <c r="AL7" s="1758"/>
      <c r="AM7" s="1758"/>
    </row>
    <row r="8" spans="1:39" ht="12" customHeight="1" thickBot="1" x14ac:dyDescent="0.25">
      <c r="A8" s="29"/>
      <c r="B8" s="489"/>
      <c r="C8" s="5361"/>
      <c r="D8" s="5362"/>
      <c r="E8" s="5362"/>
      <c r="F8" s="5362"/>
      <c r="G8" s="5362"/>
      <c r="H8" s="5362"/>
      <c r="I8" s="711"/>
      <c r="J8" s="711"/>
      <c r="K8" s="711"/>
      <c r="L8" s="711"/>
      <c r="M8" s="711"/>
      <c r="N8" s="711"/>
      <c r="O8" s="711"/>
      <c r="P8" s="711"/>
      <c r="Q8" s="944"/>
      <c r="R8" s="944"/>
      <c r="S8" s="944"/>
      <c r="T8" s="944"/>
      <c r="U8" s="944"/>
      <c r="V8" s="944"/>
      <c r="W8" s="944"/>
      <c r="X8" s="944"/>
      <c r="Y8" s="944"/>
      <c r="Z8" s="944"/>
      <c r="AA8" s="944"/>
      <c r="AB8" s="944"/>
      <c r="AC8" s="944"/>
      <c r="AD8" s="944"/>
      <c r="AE8" s="944"/>
      <c r="AF8" s="944"/>
      <c r="AG8" s="944"/>
      <c r="AH8" s="944"/>
      <c r="AI8" s="945"/>
      <c r="AJ8" s="741"/>
      <c r="AK8" s="578"/>
      <c r="AL8" s="1758" t="s">
        <v>7305</v>
      </c>
      <c r="AM8" s="1758" t="s">
        <v>7306</v>
      </c>
    </row>
    <row r="9" spans="1:39" ht="12" customHeight="1" thickBot="1" x14ac:dyDescent="0.25">
      <c r="A9" s="29"/>
      <c r="B9" s="489"/>
      <c r="R9" s="21"/>
      <c r="U9" s="21"/>
      <c r="AJ9" s="741"/>
      <c r="AK9" s="578"/>
      <c r="AL9" s="1758" t="str">
        <f>IF(ISNUMBER(MATCH($C$11,Lista_LuzyOscuridad,0)),$C$11,"ElanPersonalizado")</f>
        <v>ElanPersonalizado</v>
      </c>
      <c r="AM9" s="1758" t="str">
        <f>IF(ISNUMBER(MATCH($U$11,Lista_LuzyOscuridad,0)),$U$11,"ElanPersonalizado")</f>
        <v>ElanPersonalizado</v>
      </c>
    </row>
    <row r="10" spans="1:39" ht="12" customHeight="1" thickBot="1" x14ac:dyDescent="0.25">
      <c r="A10" s="29"/>
      <c r="B10" s="489"/>
      <c r="C10" s="5438" t="s">
        <v>1820</v>
      </c>
      <c r="D10" s="5439"/>
      <c r="E10" s="5439"/>
      <c r="F10" s="5439"/>
      <c r="G10" s="5440"/>
      <c r="I10" s="3375" t="str">
        <f>"Modificadores Elan: "&amp;C11</f>
        <v xml:space="preserve">Modificadores Elan: </v>
      </c>
      <c r="J10" s="3376"/>
      <c r="K10" s="3376"/>
      <c r="L10" s="3376"/>
      <c r="M10" s="3376"/>
      <c r="N10" s="3376"/>
      <c r="O10" s="3376"/>
      <c r="P10" s="3376"/>
      <c r="Q10" s="3377"/>
      <c r="R10" s="21"/>
      <c r="S10" s="1109"/>
      <c r="U10" s="5438" t="s">
        <v>1820</v>
      </c>
      <c r="V10" s="5439"/>
      <c r="W10" s="5439"/>
      <c r="X10" s="5439"/>
      <c r="Y10" s="5440"/>
      <c r="AA10" s="3307" t="str">
        <f>"Modificadores Elan: "&amp;U11</f>
        <v xml:space="preserve">Modificadores Elan: </v>
      </c>
      <c r="AB10" s="3308"/>
      <c r="AC10" s="3308"/>
      <c r="AD10" s="3308"/>
      <c r="AE10" s="3308"/>
      <c r="AF10" s="3308"/>
      <c r="AG10" s="3308"/>
      <c r="AH10" s="3308"/>
      <c r="AI10" s="3309"/>
      <c r="AJ10" s="741"/>
      <c r="AK10" s="578"/>
      <c r="AL10" s="1758"/>
      <c r="AM10" s="1758"/>
    </row>
    <row r="11" spans="1:39" ht="12" customHeight="1" thickBot="1" x14ac:dyDescent="0.25">
      <c r="A11" s="29"/>
      <c r="B11" s="489"/>
      <c r="C11" s="5434"/>
      <c r="D11" s="5435"/>
      <c r="E11" s="5435"/>
      <c r="F11" s="5435"/>
      <c r="G11" s="5436"/>
      <c r="I11" s="5430" t="s">
        <v>6604</v>
      </c>
      <c r="J11" s="5431"/>
      <c r="K11" s="5431"/>
      <c r="L11" s="5431"/>
      <c r="M11" s="5431"/>
      <c r="N11" s="5432"/>
      <c r="O11" s="5433" t="s">
        <v>6606</v>
      </c>
      <c r="P11" s="5431"/>
      <c r="Q11" s="4853"/>
      <c r="R11" s="21"/>
      <c r="S11" s="1109"/>
      <c r="U11" s="5422"/>
      <c r="V11" s="5423"/>
      <c r="W11" s="5423"/>
      <c r="X11" s="5424"/>
      <c r="Y11" s="5428"/>
      <c r="AA11" s="5430" t="s">
        <v>6604</v>
      </c>
      <c r="AB11" s="5431"/>
      <c r="AC11" s="5431"/>
      <c r="AD11" s="5431"/>
      <c r="AE11" s="5431"/>
      <c r="AF11" s="5432"/>
      <c r="AG11" s="5433" t="s">
        <v>6606</v>
      </c>
      <c r="AH11" s="5431"/>
      <c r="AI11" s="4853"/>
      <c r="AJ11" s="741"/>
      <c r="AK11" s="578"/>
      <c r="AL11" s="1758" t="s">
        <v>8293</v>
      </c>
      <c r="AM11" s="1758"/>
    </row>
    <row r="12" spans="1:39" ht="12" customHeight="1" x14ac:dyDescent="0.2">
      <c r="A12" s="29"/>
      <c r="B12" s="489"/>
      <c r="C12" s="5434"/>
      <c r="D12" s="5435"/>
      <c r="E12" s="5435"/>
      <c r="F12" s="5435"/>
      <c r="G12" s="5436"/>
      <c r="I12" s="5419" t="str">
        <f>IF(C$11="","",INDEX(Tabla_ModElan,MATCH(C$11,INDEX(Tabla_ModElan,,1),0)+Tablas!$A1,1))</f>
        <v/>
      </c>
      <c r="J12" s="5420"/>
      <c r="K12" s="5420"/>
      <c r="L12" s="5420"/>
      <c r="M12" s="5421"/>
      <c r="N12" s="958" t="str">
        <f t="shared" ref="N12:N18" si="0">IF(I12="","",INDEX(Tabla_ModElan,MATCH(I12,INDEX(Tabla_ModElan,,1),0),2))</f>
        <v/>
      </c>
      <c r="O12" s="5393" t="str">
        <f>IF(C$11="","",INDEX(Tabla_ModElan,MATCH(C$11,INDEX(Tabla_ModElan,,1),0)+Tablas!$A1,5))</f>
        <v/>
      </c>
      <c r="P12" s="5394"/>
      <c r="Q12" s="5399" t="str">
        <f>IF(O12="","",INDEX(Tabla_ModElan,MATCH(O12,INDEX(Tabla_ModElan,,5),0),6))</f>
        <v/>
      </c>
      <c r="R12" s="21"/>
      <c r="S12" s="1109"/>
      <c r="U12" s="5425"/>
      <c r="V12" s="5426"/>
      <c r="W12" s="5426"/>
      <c r="X12" s="5427"/>
      <c r="Y12" s="5429"/>
      <c r="AA12" s="5419" t="str">
        <f>IF(U$11="","",INDEX(Tabla_ModElan,MATCH(U$11,INDEX(Tabla_ModElan,,1),0)+Tablas!$A1,1))</f>
        <v/>
      </c>
      <c r="AB12" s="5420"/>
      <c r="AC12" s="5420"/>
      <c r="AD12" s="5420"/>
      <c r="AE12" s="5421"/>
      <c r="AF12" s="958" t="str">
        <f t="shared" ref="AF12:AF18" si="1">IF(AA12="","",INDEX(Tabla_ModElan,MATCH(AA12,INDEX(Tabla_ModElan,,1),0),2))</f>
        <v/>
      </c>
      <c r="AG12" s="5393" t="str">
        <f>IF(U$11="","",INDEX(Tabla_ModElan,MATCH(U$11,INDEX(Tabla_ModElan,,1),0)+Tablas!$A1,5))</f>
        <v/>
      </c>
      <c r="AH12" s="5394"/>
      <c r="AI12" s="5399" t="str">
        <f>IF(AG12="","",INDEX(Tabla_ModElan,MATCH(AG12,INDEX(Tabla_ModElan,,5),0),6))</f>
        <v/>
      </c>
      <c r="AJ12" s="741"/>
      <c r="AK12" s="578"/>
      <c r="AL12" s="1758" t="s">
        <v>7308</v>
      </c>
      <c r="AM12" s="1758" t="s">
        <v>7309</v>
      </c>
    </row>
    <row r="13" spans="1:39" ht="12" customHeight="1" x14ac:dyDescent="0.2">
      <c r="A13" s="29"/>
      <c r="B13" s="489"/>
      <c r="C13" s="4768"/>
      <c r="D13" s="4769"/>
      <c r="E13" s="4769"/>
      <c r="F13" s="4769"/>
      <c r="G13" s="767" t="str">
        <f t="shared" ref="G13:G25" si="2">IF(C13="","",VLOOKUP(C13,Tabla_Elan,5,FALSE))</f>
        <v/>
      </c>
      <c r="I13" s="5404" t="str">
        <f>IF(C$11="","",INDEX(Tabla_ModElan,MATCH(C$11,INDEX(Tabla_ModElan,,1),0)+Tablas!$A2,1))</f>
        <v/>
      </c>
      <c r="J13" s="4031"/>
      <c r="K13" s="4031"/>
      <c r="L13" s="4031"/>
      <c r="M13" s="5418"/>
      <c r="N13" s="959" t="str">
        <f t="shared" si="0"/>
        <v/>
      </c>
      <c r="O13" s="5395"/>
      <c r="P13" s="5396"/>
      <c r="Q13" s="5400"/>
      <c r="R13" s="21"/>
      <c r="S13" s="1109"/>
      <c r="U13" s="4768"/>
      <c r="V13" s="4769"/>
      <c r="W13" s="4769"/>
      <c r="X13" s="4769"/>
      <c r="Y13" s="767" t="str">
        <f t="shared" ref="Y13:Y25" si="3">IF(U13="","",VLOOKUP(U13,Tabla_Elan,5,FALSE))</f>
        <v/>
      </c>
      <c r="AA13" s="5404" t="str">
        <f>IF(U$11="","",INDEX(Tabla_ModElan,MATCH(U$11,INDEX(Tabla_ModElan,,1),0)+Tablas!$A2,1))</f>
        <v/>
      </c>
      <c r="AB13" s="4031"/>
      <c r="AC13" s="4031"/>
      <c r="AD13" s="4031"/>
      <c r="AE13" s="5418"/>
      <c r="AF13" s="959" t="str">
        <f t="shared" si="1"/>
        <v/>
      </c>
      <c r="AG13" s="5395"/>
      <c r="AH13" s="5396"/>
      <c r="AI13" s="5400"/>
      <c r="AJ13" s="741"/>
      <c r="AK13" s="578"/>
      <c r="AL13" s="1758" t="b">
        <f>IF(OR($G$11="",Elan!C13=""),FALSE,$G$11&lt;VLOOKUP(C13,Tabla_Elan,3,FALSE))</f>
        <v>0</v>
      </c>
      <c r="AM13" s="1758" t="b">
        <f>IF(OR($Y$11="",Elan!U13=""),FALSE,$Y$11&lt;VLOOKUP(U13,Tabla_Elan,3,FALSE))</f>
        <v>0</v>
      </c>
    </row>
    <row r="14" spans="1:39" ht="12" customHeight="1" x14ac:dyDescent="0.2">
      <c r="A14" s="29"/>
      <c r="B14" s="489"/>
      <c r="C14" s="5402"/>
      <c r="D14" s="5403"/>
      <c r="E14" s="5403"/>
      <c r="F14" s="5403"/>
      <c r="G14" s="768" t="str">
        <f t="shared" si="2"/>
        <v/>
      </c>
      <c r="H14" s="1067" t="s">
        <v>2629</v>
      </c>
      <c r="I14" s="5404" t="str">
        <f>IF(C$11="","",INDEX(Tabla_ModElan,MATCH(C$11,INDEX(Tabla_ModElan,,1),0)+Tablas!$A3,1))</f>
        <v/>
      </c>
      <c r="J14" s="4031"/>
      <c r="K14" s="4031"/>
      <c r="L14" s="4031"/>
      <c r="M14" s="5418"/>
      <c r="N14" s="959" t="str">
        <f t="shared" si="0"/>
        <v/>
      </c>
      <c r="O14" s="5397"/>
      <c r="P14" s="5398"/>
      <c r="Q14" s="5401"/>
      <c r="R14" s="21"/>
      <c r="S14" s="1109"/>
      <c r="U14" s="5402"/>
      <c r="V14" s="5403"/>
      <c r="W14" s="5403"/>
      <c r="X14" s="5403"/>
      <c r="Y14" s="768" t="str">
        <f t="shared" si="3"/>
        <v/>
      </c>
      <c r="Z14" s="1067" t="s">
        <v>2629</v>
      </c>
      <c r="AA14" s="5404" t="str">
        <f>IF(U$11="","",INDEX(Tabla_ModElan,MATCH(U$11,INDEX(Tabla_ModElan,,1),0)+Tablas!$A3,1))</f>
        <v/>
      </c>
      <c r="AB14" s="4031"/>
      <c r="AC14" s="4031"/>
      <c r="AD14" s="4031"/>
      <c r="AE14" s="5418"/>
      <c r="AF14" s="959" t="str">
        <f t="shared" si="1"/>
        <v/>
      </c>
      <c r="AG14" s="5437"/>
      <c r="AH14" s="5398"/>
      <c r="AI14" s="5401"/>
      <c r="AJ14" s="741"/>
      <c r="AK14" s="578"/>
      <c r="AL14" s="1758" t="b">
        <f>IF(OR($G$11="",Elan!C14=""),FALSE,$G$11&lt;VLOOKUP(C14,Tabla_Elan,3,FALSE))</f>
        <v>0</v>
      </c>
      <c r="AM14" s="1758" t="b">
        <f>IF(OR($Y$11="",Elan!U14=""),FALSE,$Y$11&lt;VLOOKUP(U14,Tabla_Elan,3,FALSE))</f>
        <v>0</v>
      </c>
    </row>
    <row r="15" spans="1:39" ht="12" customHeight="1" x14ac:dyDescent="0.2">
      <c r="A15" s="29"/>
      <c r="B15" s="489"/>
      <c r="C15" s="4772"/>
      <c r="D15" s="4773"/>
      <c r="E15" s="4773"/>
      <c r="F15" s="4773"/>
      <c r="G15" s="769" t="str">
        <f t="shared" si="2"/>
        <v/>
      </c>
      <c r="H15" s="1067" t="s">
        <v>2627</v>
      </c>
      <c r="I15" s="5404" t="str">
        <f>IF(C$11="","",INDEX(Tabla_ModElan,MATCH(C$11,INDEX(Tabla_ModElan,,1),0)+Tablas!$A4,1))</f>
        <v/>
      </c>
      <c r="J15" s="4031"/>
      <c r="K15" s="4031"/>
      <c r="L15" s="4031"/>
      <c r="M15" s="5418"/>
      <c r="N15" s="959" t="str">
        <f t="shared" si="0"/>
        <v/>
      </c>
      <c r="O15" s="5393" t="str">
        <f>IF(C$11="","",INDEX(Tabla_ModElan,MATCH(C$11,INDEX(Tabla_ModElan,,1),0)+Tablas!$A2,5))</f>
        <v/>
      </c>
      <c r="P15" s="5394"/>
      <c r="Q15" s="5399" t="str">
        <f>IF(O15="","",INDEX(Tabla_ModElan,MATCH(O15,INDEX(Tabla_ModElan,,5),0),6))</f>
        <v/>
      </c>
      <c r="R15" s="21"/>
      <c r="S15" s="1109"/>
      <c r="U15" s="4772"/>
      <c r="V15" s="4773"/>
      <c r="W15" s="4773"/>
      <c r="X15" s="4773"/>
      <c r="Y15" s="769" t="str">
        <f t="shared" si="3"/>
        <v/>
      </c>
      <c r="Z15" s="1067" t="s">
        <v>2627</v>
      </c>
      <c r="AA15" s="5404" t="str">
        <f>IF(U$11="","",INDEX(Tabla_ModElan,MATCH(U$11,INDEX(Tabla_ModElan,,1),0)+Tablas!$A4,1))</f>
        <v/>
      </c>
      <c r="AB15" s="4031"/>
      <c r="AC15" s="4031"/>
      <c r="AD15" s="4031"/>
      <c r="AE15" s="5418"/>
      <c r="AF15" s="959" t="str">
        <f t="shared" si="1"/>
        <v/>
      </c>
      <c r="AG15" s="5393" t="str">
        <f>IF(U$11="","",INDEX(Tabla_ModElan,MATCH(U$11,INDEX(Tabla_ModElan,,1),0)+Tablas!$A2,5))</f>
        <v/>
      </c>
      <c r="AH15" s="5394"/>
      <c r="AI15" s="5399" t="str">
        <f>IF(AG15="","",INDEX(Tabla_ModElan,MATCH(AG15,INDEX(Tabla_ModElan,,5),0),6))</f>
        <v/>
      </c>
      <c r="AJ15" s="741"/>
      <c r="AK15" s="578"/>
      <c r="AL15" s="1758" t="b">
        <f>IF(OR($G$11="",Elan!C15=""),FALSE,$G$11&lt;VLOOKUP(C15,Tabla_Elan,3,FALSE))</f>
        <v>0</v>
      </c>
      <c r="AM15" s="1758" t="b">
        <f>IF(OR($Y$11="",Elan!U15=""),FALSE,$Y$11&lt;VLOOKUP(U15,Tabla_Elan,3,FALSE))</f>
        <v>0</v>
      </c>
    </row>
    <row r="16" spans="1:39" ht="12" customHeight="1" x14ac:dyDescent="0.2">
      <c r="A16" s="29"/>
      <c r="B16" s="489"/>
      <c r="C16" s="5402"/>
      <c r="D16" s="5403"/>
      <c r="E16" s="5403"/>
      <c r="F16" s="5403"/>
      <c r="G16" s="768" t="str">
        <f t="shared" si="2"/>
        <v/>
      </c>
      <c r="I16" s="5404" t="str">
        <f>IF(C$11="","",INDEX(Tabla_ModElan,MATCH(C$11,INDEX(Tabla_ModElan,,1),0)+Tablas!$A5,1))</f>
        <v/>
      </c>
      <c r="J16" s="4031"/>
      <c r="K16" s="4031"/>
      <c r="L16" s="4031"/>
      <c r="M16" s="5418"/>
      <c r="N16" s="959" t="str">
        <f t="shared" si="0"/>
        <v/>
      </c>
      <c r="O16" s="5395"/>
      <c r="P16" s="5396"/>
      <c r="Q16" s="5400"/>
      <c r="R16" s="21"/>
      <c r="S16" s="1109"/>
      <c r="U16" s="5402"/>
      <c r="V16" s="5403"/>
      <c r="W16" s="5403"/>
      <c r="X16" s="5403"/>
      <c r="Y16" s="768" t="str">
        <f t="shared" si="3"/>
        <v/>
      </c>
      <c r="AA16" s="5404" t="str">
        <f>IF(U$11="","",INDEX(Tabla_ModElan,MATCH(U$11,INDEX(Tabla_ModElan,,1),0)+Tablas!$A5,1))</f>
        <v/>
      </c>
      <c r="AB16" s="4031"/>
      <c r="AC16" s="4031"/>
      <c r="AD16" s="4031"/>
      <c r="AE16" s="5418"/>
      <c r="AF16" s="959" t="str">
        <f t="shared" si="1"/>
        <v/>
      </c>
      <c r="AG16" s="5395"/>
      <c r="AH16" s="5396"/>
      <c r="AI16" s="5400"/>
      <c r="AJ16" s="741"/>
      <c r="AK16" s="578"/>
      <c r="AL16" s="1758" t="b">
        <f>IF(OR($G$11="",Elan!C16=""),FALSE,$G$11&lt;VLOOKUP(C16,Tabla_Elan,3,FALSE))</f>
        <v>0</v>
      </c>
      <c r="AM16" s="1758" t="b">
        <f>IF(OR($Y$11="",Elan!U16=""),FALSE,$Y$11&lt;VLOOKUP(U16,Tabla_Elan,3,FALSE))</f>
        <v>0</v>
      </c>
    </row>
    <row r="17" spans="1:39" ht="12" customHeight="1" x14ac:dyDescent="0.2">
      <c r="A17" s="29"/>
      <c r="B17" s="489"/>
      <c r="C17" s="4772"/>
      <c r="D17" s="4773"/>
      <c r="E17" s="4773"/>
      <c r="F17" s="4773"/>
      <c r="G17" s="769" t="str">
        <f t="shared" si="2"/>
        <v/>
      </c>
      <c r="I17" s="5404" t="str">
        <f>IF(C$11="","",INDEX(Tabla_ModElan,MATCH(C$11,INDEX(Tabla_ModElan,,1),0)+Tablas!$A6,1))</f>
        <v/>
      </c>
      <c r="J17" s="4031"/>
      <c r="K17" s="4031"/>
      <c r="L17" s="4031"/>
      <c r="M17" s="5418"/>
      <c r="N17" s="959" t="str">
        <f t="shared" si="0"/>
        <v/>
      </c>
      <c r="O17" s="5397"/>
      <c r="P17" s="5398"/>
      <c r="Q17" s="5401"/>
      <c r="R17" s="21"/>
      <c r="S17" s="1109"/>
      <c r="U17" s="4772"/>
      <c r="V17" s="4773"/>
      <c r="W17" s="4773"/>
      <c r="X17" s="4773"/>
      <c r="Y17" s="769" t="str">
        <f t="shared" si="3"/>
        <v/>
      </c>
      <c r="AA17" s="5404" t="str">
        <f>IF(U$11="","",INDEX(Tabla_ModElan,MATCH(U$11,INDEX(Tabla_ModElan,,1),0)+Tablas!$A6,1))</f>
        <v/>
      </c>
      <c r="AB17" s="4031"/>
      <c r="AC17" s="4031"/>
      <c r="AD17" s="4031"/>
      <c r="AE17" s="5418"/>
      <c r="AF17" s="959" t="str">
        <f t="shared" si="1"/>
        <v/>
      </c>
      <c r="AG17" s="5397"/>
      <c r="AH17" s="5398"/>
      <c r="AI17" s="5401"/>
      <c r="AJ17" s="741"/>
      <c r="AK17" s="578"/>
      <c r="AL17" s="1758" t="b">
        <f>IF(OR($G$11="",Elan!C17=""),FALSE,$G$11&lt;VLOOKUP(C17,Tabla_Elan,3,FALSE))</f>
        <v>0</v>
      </c>
      <c r="AM17" s="1758" t="b">
        <f>IF(OR($Y$11="",Elan!U17=""),FALSE,$Y$11&lt;VLOOKUP(U17,Tabla_Elan,3,FALSE))</f>
        <v>0</v>
      </c>
    </row>
    <row r="18" spans="1:39" ht="12" customHeight="1" x14ac:dyDescent="0.2">
      <c r="A18" s="29"/>
      <c r="B18" s="489"/>
      <c r="C18" s="5402"/>
      <c r="D18" s="5403"/>
      <c r="E18" s="5403"/>
      <c r="F18" s="5403"/>
      <c r="G18" s="768" t="str">
        <f t="shared" si="2"/>
        <v/>
      </c>
      <c r="I18" s="5412" t="str">
        <f>IF(C$11="","",INDEX(Tabla_ModElan,MATCH(C$11,INDEX(Tabla_ModElan,,1),0)+Tablas!$A7,1))</f>
        <v/>
      </c>
      <c r="J18" s="5413"/>
      <c r="K18" s="5413"/>
      <c r="L18" s="5413"/>
      <c r="M18" s="5414"/>
      <c r="N18" s="959" t="str">
        <f t="shared" si="0"/>
        <v/>
      </c>
      <c r="O18" s="5393" t="str">
        <f>IF(C$11="","",INDEX(Tabla_ModElan,MATCH(C$11,INDEX(Tabla_ModElan,,1),0)+Tablas!$A3,5))</f>
        <v/>
      </c>
      <c r="P18" s="5394"/>
      <c r="Q18" s="5399" t="str">
        <f>IF(O18="","",INDEX(Tabla_ModElan,MATCH(O18,INDEX(Tabla_ModElan,,5),0),6))</f>
        <v/>
      </c>
      <c r="R18" s="21"/>
      <c r="S18" s="1109"/>
      <c r="U18" s="5402"/>
      <c r="V18" s="5403"/>
      <c r="W18" s="5403"/>
      <c r="X18" s="5403"/>
      <c r="Y18" s="768" t="str">
        <f t="shared" si="3"/>
        <v/>
      </c>
      <c r="AA18" s="5412" t="str">
        <f>IF(U$11="","",INDEX(Tabla_ModElan,MATCH(U$11,INDEX(Tabla_ModElan,,1),0)+Tablas!$A7,1))</f>
        <v/>
      </c>
      <c r="AB18" s="5413"/>
      <c r="AC18" s="5413"/>
      <c r="AD18" s="5413"/>
      <c r="AE18" s="5414"/>
      <c r="AF18" s="959" t="str">
        <f t="shared" si="1"/>
        <v/>
      </c>
      <c r="AG18" s="5393" t="str">
        <f>IF(U$11="","",INDEX(Tabla_ModElan,MATCH(U$11,INDEX(Tabla_ModElan,,1),0)+Tablas!$A3,5))</f>
        <v/>
      </c>
      <c r="AH18" s="5394"/>
      <c r="AI18" s="5399" t="str">
        <f>IF(AG18="","",INDEX(Tabla_ModElan,MATCH(AG18,INDEX(Tabla_ModElan,,5),0),6))</f>
        <v/>
      </c>
      <c r="AJ18" s="741"/>
      <c r="AK18" s="578"/>
      <c r="AL18" s="1758" t="b">
        <f>IF(OR($G$11="",Elan!C18=""),FALSE,$G$11&lt;VLOOKUP(C18,Tabla_Elan,3,FALSE))</f>
        <v>0</v>
      </c>
      <c r="AM18" s="1758" t="b">
        <f>IF(OR($Y$11="",Elan!U18=""),FALSE,$Y$11&lt;VLOOKUP(U18,Tabla_Elan,3,FALSE))</f>
        <v>0</v>
      </c>
    </row>
    <row r="19" spans="1:39" ht="12" customHeight="1" x14ac:dyDescent="0.2">
      <c r="A19" s="29"/>
      <c r="B19" s="489"/>
      <c r="C19" s="4772"/>
      <c r="D19" s="4773"/>
      <c r="E19" s="4773"/>
      <c r="F19" s="4773"/>
      <c r="G19" s="769" t="str">
        <f t="shared" si="2"/>
        <v/>
      </c>
      <c r="I19" s="5415" t="s">
        <v>6605</v>
      </c>
      <c r="J19" s="5416"/>
      <c r="K19" s="5416"/>
      <c r="L19" s="5416"/>
      <c r="M19" s="5416"/>
      <c r="N19" s="5417"/>
      <c r="O19" s="5395"/>
      <c r="P19" s="5396"/>
      <c r="Q19" s="5400"/>
      <c r="R19" s="21"/>
      <c r="S19" s="1109"/>
      <c r="U19" s="4772"/>
      <c r="V19" s="4773"/>
      <c r="W19" s="4773"/>
      <c r="X19" s="4773"/>
      <c r="Y19" s="769" t="str">
        <f t="shared" si="3"/>
        <v/>
      </c>
      <c r="AA19" s="5415" t="s">
        <v>6605</v>
      </c>
      <c r="AB19" s="5416"/>
      <c r="AC19" s="5416"/>
      <c r="AD19" s="5416"/>
      <c r="AE19" s="5416"/>
      <c r="AF19" s="5417"/>
      <c r="AG19" s="5395"/>
      <c r="AH19" s="5396"/>
      <c r="AI19" s="5400"/>
      <c r="AJ19" s="741"/>
      <c r="AK19" s="578"/>
      <c r="AL19" s="1758" t="b">
        <f>IF(OR($G$11="",Elan!C19=""),FALSE,$G$11&lt;VLOOKUP(C19,Tabla_Elan,3,FALSE))</f>
        <v>0</v>
      </c>
      <c r="AM19" s="1758" t="b">
        <f>IF(OR($Y$11="",Elan!U19=""),FALSE,$Y$11&lt;VLOOKUP(U19,Tabla_Elan,3,FALSE))</f>
        <v>0</v>
      </c>
    </row>
    <row r="20" spans="1:39" ht="12" customHeight="1" x14ac:dyDescent="0.2">
      <c r="A20" s="29"/>
      <c r="B20" s="489"/>
      <c r="C20" s="5402"/>
      <c r="D20" s="5403"/>
      <c r="E20" s="5403"/>
      <c r="F20" s="5403"/>
      <c r="G20" s="770" t="str">
        <f t="shared" si="2"/>
        <v/>
      </c>
      <c r="I20" s="5419" t="str">
        <f>IF(C$11="","",INDEX(Tabla_ModElan,MATCH(C$11,INDEX(Tabla_ModElan,,1),0)+Tablas!$A1,3))</f>
        <v/>
      </c>
      <c r="J20" s="5420"/>
      <c r="K20" s="5420"/>
      <c r="L20" s="5420"/>
      <c r="M20" s="5421"/>
      <c r="N20" s="958" t="str">
        <f t="shared" ref="N20:N26" si="4">IFERROR(INDEX(Tabla_ModElan,MATCH(I20,INDEX(Tabla_ModElan,,3),0),4),"")</f>
        <v/>
      </c>
      <c r="O20" s="5397"/>
      <c r="P20" s="5398"/>
      <c r="Q20" s="5401"/>
      <c r="R20" s="21"/>
      <c r="S20" s="1109"/>
      <c r="U20" s="5402"/>
      <c r="V20" s="5403"/>
      <c r="W20" s="5403"/>
      <c r="X20" s="5403"/>
      <c r="Y20" s="770" t="str">
        <f t="shared" si="3"/>
        <v/>
      </c>
      <c r="AA20" s="5419" t="str">
        <f>IF(U$11="","",INDEX(Tabla_ModElan,MATCH(U$11,INDEX(Tabla_ModElan,,1),0)+Tablas!$A1,3))</f>
        <v/>
      </c>
      <c r="AB20" s="5420"/>
      <c r="AC20" s="5420"/>
      <c r="AD20" s="5420"/>
      <c r="AE20" s="5421"/>
      <c r="AF20" s="958" t="str">
        <f t="shared" ref="AF20:AF26" si="5">IFERROR(INDEX(Tabla_ModElan,MATCH(AA20,INDEX(Tabla_ModElan,,3),0),4),"")</f>
        <v/>
      </c>
      <c r="AG20" s="5397"/>
      <c r="AH20" s="5398"/>
      <c r="AI20" s="5401"/>
      <c r="AJ20" s="741"/>
      <c r="AK20" s="578"/>
      <c r="AL20" s="1758" t="b">
        <f>IF(OR($G$11="",Elan!C20=""),FALSE,$G$11&lt;VLOOKUP(C20,Tabla_Elan,3,FALSE))</f>
        <v>0</v>
      </c>
      <c r="AM20" s="1758" t="b">
        <f>IF(OR($Y$11="",Elan!U20=""),FALSE,$Y$11&lt;VLOOKUP(U20,Tabla_Elan,3,FALSE))</f>
        <v>0</v>
      </c>
    </row>
    <row r="21" spans="1:39" ht="12" customHeight="1" x14ac:dyDescent="0.2">
      <c r="A21" s="29"/>
      <c r="B21" s="489"/>
      <c r="C21" s="4772"/>
      <c r="D21" s="4773"/>
      <c r="E21" s="4773"/>
      <c r="F21" s="4773"/>
      <c r="G21" s="769" t="str">
        <f t="shared" si="2"/>
        <v/>
      </c>
      <c r="I21" s="5404" t="str">
        <f>IF(C$11="","",INDEX(Tabla_ModElan,MATCH(C$11,INDEX(Tabla_ModElan,,1),0)+Tablas!$A2,3))</f>
        <v/>
      </c>
      <c r="J21" s="4031"/>
      <c r="K21" s="4031"/>
      <c r="L21" s="4031"/>
      <c r="M21" s="4031"/>
      <c r="N21" s="959" t="str">
        <f t="shared" si="4"/>
        <v/>
      </c>
      <c r="O21" s="5393" t="str">
        <f>IF(C$11="","",INDEX(Tabla_ModElan,MATCH(C$11,INDEX(Tabla_ModElan,,1),0)+Tablas!$A4,5))</f>
        <v/>
      </c>
      <c r="P21" s="5394"/>
      <c r="Q21" s="5399" t="str">
        <f>IF(O21="","",INDEX(Tabla_ModElan,MATCH(O21,INDEX(Tabla_ModElan,,5),0),6))</f>
        <v/>
      </c>
      <c r="R21" s="21"/>
      <c r="S21" s="1109"/>
      <c r="U21" s="4772"/>
      <c r="V21" s="4773"/>
      <c r="W21" s="4773"/>
      <c r="X21" s="4773"/>
      <c r="Y21" s="769" t="str">
        <f t="shared" si="3"/>
        <v/>
      </c>
      <c r="AA21" s="5404" t="str">
        <f>IF(U$11="","",INDEX(Tabla_ModElan,MATCH(U$11,INDEX(Tabla_ModElan,,1),0)+Tablas!$A2,3))</f>
        <v/>
      </c>
      <c r="AB21" s="4031"/>
      <c r="AC21" s="4031"/>
      <c r="AD21" s="4031"/>
      <c r="AE21" s="4031"/>
      <c r="AF21" s="959" t="str">
        <f t="shared" si="5"/>
        <v/>
      </c>
      <c r="AG21" s="5393" t="str">
        <f>IF(U$11="","",INDEX(Tabla_ModElan,MATCH(U$11,INDEX(Tabla_ModElan,,1),0)+Tablas!$A4,5))</f>
        <v/>
      </c>
      <c r="AH21" s="5394"/>
      <c r="AI21" s="5399" t="str">
        <f>IF(AG21="","",INDEX(Tabla_ModElan,MATCH(AG21,INDEX(Tabla_ModElan,,5),0),6))</f>
        <v/>
      </c>
      <c r="AJ21" s="741"/>
      <c r="AK21" s="578"/>
      <c r="AL21" s="1758" t="b">
        <f>IF(OR($G$11="",Elan!C21=""),FALSE,$G$11&lt;VLOOKUP(C21,Tabla_Elan,3,FALSE))</f>
        <v>0</v>
      </c>
      <c r="AM21" s="1758" t="b">
        <f>IF(OR($Y$11="",Elan!U21=""),FALSE,$Y$11&lt;VLOOKUP(U21,Tabla_Elan,3,FALSE))</f>
        <v>0</v>
      </c>
    </row>
    <row r="22" spans="1:39" ht="12" customHeight="1" x14ac:dyDescent="0.2">
      <c r="A22" s="29"/>
      <c r="B22" s="489"/>
      <c r="C22" s="5402"/>
      <c r="D22" s="5403"/>
      <c r="E22" s="5403"/>
      <c r="F22" s="5403"/>
      <c r="G22" s="770" t="str">
        <f t="shared" si="2"/>
        <v/>
      </c>
      <c r="I22" s="5404" t="str">
        <f>IF(C$11="","",INDEX(Tabla_ModElan,MATCH(C$11,INDEX(Tabla_ModElan,,1),0)+Tablas!$A3,3))</f>
        <v/>
      </c>
      <c r="J22" s="4031"/>
      <c r="K22" s="4031"/>
      <c r="L22" s="4031"/>
      <c r="M22" s="4031"/>
      <c r="N22" s="959" t="str">
        <f t="shared" si="4"/>
        <v/>
      </c>
      <c r="O22" s="5395"/>
      <c r="P22" s="5396"/>
      <c r="Q22" s="5400"/>
      <c r="R22" s="21"/>
      <c r="S22" s="1109"/>
      <c r="U22" s="5402"/>
      <c r="V22" s="5403"/>
      <c r="W22" s="5403"/>
      <c r="X22" s="5403"/>
      <c r="Y22" s="770" t="str">
        <f t="shared" si="3"/>
        <v/>
      </c>
      <c r="AA22" s="5404" t="str">
        <f>IF(U$11="","",INDEX(Tabla_ModElan,MATCH(U$11,INDEX(Tabla_ModElan,,1),0)+Tablas!$A3,3))</f>
        <v/>
      </c>
      <c r="AB22" s="4031"/>
      <c r="AC22" s="4031"/>
      <c r="AD22" s="4031"/>
      <c r="AE22" s="4031"/>
      <c r="AF22" s="959" t="str">
        <f t="shared" si="5"/>
        <v/>
      </c>
      <c r="AG22" s="5395"/>
      <c r="AH22" s="5396"/>
      <c r="AI22" s="5400"/>
      <c r="AJ22" s="741"/>
      <c r="AK22" s="578"/>
      <c r="AL22" s="1758" t="b">
        <f>IF(OR($G$11="",Elan!C22=""),FALSE,$G$11&lt;VLOOKUP(C22,Tabla_Elan,3,FALSE))</f>
        <v>0</v>
      </c>
      <c r="AM22" s="1758" t="b">
        <f>IF(OR($Y$11="",Elan!U22=""),FALSE,$Y$11&lt;VLOOKUP(U22,Tabla_Elan,3,FALSE))</f>
        <v>0</v>
      </c>
    </row>
    <row r="23" spans="1:39" ht="12" customHeight="1" x14ac:dyDescent="0.2">
      <c r="A23" s="29"/>
      <c r="B23" s="489"/>
      <c r="C23" s="4772"/>
      <c r="D23" s="4773"/>
      <c r="E23" s="4773"/>
      <c r="F23" s="4773"/>
      <c r="G23" s="769" t="str">
        <f t="shared" si="2"/>
        <v/>
      </c>
      <c r="I23" s="5404" t="str">
        <f>IF(C$11="","",INDEX(Tabla_ModElan,MATCH(C$11,INDEX(Tabla_ModElan,,1),0)+Tablas!$A4,3))</f>
        <v/>
      </c>
      <c r="J23" s="4031"/>
      <c r="K23" s="4031"/>
      <c r="L23" s="4031"/>
      <c r="M23" s="4031"/>
      <c r="N23" s="959" t="str">
        <f t="shared" si="4"/>
        <v/>
      </c>
      <c r="O23" s="5397"/>
      <c r="P23" s="5398"/>
      <c r="Q23" s="5401"/>
      <c r="R23" s="21"/>
      <c r="S23" s="1109"/>
      <c r="U23" s="4772"/>
      <c r="V23" s="4773"/>
      <c r="W23" s="4773"/>
      <c r="X23" s="4773"/>
      <c r="Y23" s="769" t="str">
        <f t="shared" si="3"/>
        <v/>
      </c>
      <c r="AA23" s="5404" t="str">
        <f>IF(U$11="","",INDEX(Tabla_ModElan,MATCH(U$11,INDEX(Tabla_ModElan,,1),0)+Tablas!$A4,3))</f>
        <v/>
      </c>
      <c r="AB23" s="4031"/>
      <c r="AC23" s="4031"/>
      <c r="AD23" s="4031"/>
      <c r="AE23" s="4031"/>
      <c r="AF23" s="959" t="str">
        <f t="shared" si="5"/>
        <v/>
      </c>
      <c r="AG23" s="5397"/>
      <c r="AH23" s="5398"/>
      <c r="AI23" s="5401"/>
      <c r="AJ23" s="741"/>
      <c r="AK23" s="578"/>
      <c r="AL23" s="1758" t="b">
        <f>IF(OR($G$11="",Elan!C23=""),FALSE,$G$11&lt;VLOOKUP(C23,Tabla_Elan,3,FALSE))</f>
        <v>0</v>
      </c>
      <c r="AM23" s="1758" t="b">
        <f>IF(OR($Y$11="",Elan!U23=""),FALSE,$Y$11&lt;VLOOKUP(U23,Tabla_Elan,3,FALSE))</f>
        <v>0</v>
      </c>
    </row>
    <row r="24" spans="1:39" ht="12" customHeight="1" x14ac:dyDescent="0.2">
      <c r="A24" s="29"/>
      <c r="B24" s="489"/>
      <c r="C24" s="5402"/>
      <c r="D24" s="5403"/>
      <c r="E24" s="5403"/>
      <c r="F24" s="5403"/>
      <c r="G24" s="770" t="str">
        <f t="shared" si="2"/>
        <v/>
      </c>
      <c r="I24" s="5404" t="str">
        <f>IF(C$11="","",INDEX(Tabla_ModElan,MATCH(C$11,INDEX(Tabla_ModElan,,1),0)+Tablas!$A5,3))</f>
        <v/>
      </c>
      <c r="J24" s="4031"/>
      <c r="K24" s="4031"/>
      <c r="L24" s="4031"/>
      <c r="M24" s="4031"/>
      <c r="N24" s="959" t="str">
        <f t="shared" si="4"/>
        <v/>
      </c>
      <c r="O24" s="5393" t="str">
        <f>IF(C$11="","",INDEX(Tabla_ModElan,MATCH(C$11,INDEX(Tabla_ModElan,,1),0)+Tablas!$A5,5))</f>
        <v/>
      </c>
      <c r="P24" s="5394"/>
      <c r="Q24" s="5399" t="str">
        <f>IF(O24="","",INDEX(Tabla_ModElan,MATCH(O24,INDEX(Tabla_ModElan,,5),0),6))</f>
        <v/>
      </c>
      <c r="R24" s="21"/>
      <c r="S24" s="1109"/>
      <c r="U24" s="5402"/>
      <c r="V24" s="5403"/>
      <c r="W24" s="5403"/>
      <c r="X24" s="5403"/>
      <c r="Y24" s="770" t="str">
        <f t="shared" si="3"/>
        <v/>
      </c>
      <c r="AA24" s="5404" t="str">
        <f>IF(U$11="","",INDEX(Tabla_ModElan,MATCH(U$11,INDEX(Tabla_ModElan,,1),0)+Tablas!$A5,3))</f>
        <v/>
      </c>
      <c r="AB24" s="4031"/>
      <c r="AC24" s="4031"/>
      <c r="AD24" s="4031"/>
      <c r="AE24" s="4031"/>
      <c r="AF24" s="959" t="str">
        <f t="shared" si="5"/>
        <v/>
      </c>
      <c r="AG24" s="5393" t="str">
        <f>IF(U$11="","",INDEX(Tabla_ModElan,MATCH(U$11,INDEX(Tabla_ModElan,,1),0)+Tablas!$A5,5))</f>
        <v/>
      </c>
      <c r="AH24" s="5394"/>
      <c r="AI24" s="5399" t="str">
        <f>IF(AG24="","",INDEX(Tabla_ModElan,MATCH(AG24,INDEX(Tabla_ModElan,,5),0),6))</f>
        <v/>
      </c>
      <c r="AJ24" s="741"/>
      <c r="AK24" s="578"/>
      <c r="AL24" s="1758" t="b">
        <f>IF(OR($G$11="",Elan!C24=""),FALSE,$G$11&lt;VLOOKUP(C24,Tabla_Elan,3,FALSE))</f>
        <v>0</v>
      </c>
      <c r="AM24" s="1758" t="b">
        <f>IF(OR($Y$11="",Elan!U24=""),FALSE,$Y$11&lt;VLOOKUP(U24,Tabla_Elan,3,FALSE))</f>
        <v>0</v>
      </c>
    </row>
    <row r="25" spans="1:39" ht="12" customHeight="1" x14ac:dyDescent="0.2">
      <c r="A25" s="29"/>
      <c r="B25" s="489"/>
      <c r="C25" s="4772"/>
      <c r="D25" s="4773"/>
      <c r="E25" s="4773"/>
      <c r="F25" s="4773"/>
      <c r="G25" s="769" t="str">
        <f t="shared" si="2"/>
        <v/>
      </c>
      <c r="I25" s="5404" t="str">
        <f>IF(C$11="","",INDEX(Tabla_ModElan,MATCH(C$11,INDEX(Tabla_ModElan,,1),0)+Tablas!$A6,3))</f>
        <v/>
      </c>
      <c r="J25" s="4031"/>
      <c r="K25" s="4031"/>
      <c r="L25" s="4031"/>
      <c r="M25" s="4031"/>
      <c r="N25" s="959" t="str">
        <f t="shared" si="4"/>
        <v/>
      </c>
      <c r="O25" s="5395"/>
      <c r="P25" s="5396"/>
      <c r="Q25" s="5400"/>
      <c r="R25" s="21"/>
      <c r="S25" s="1109"/>
      <c r="U25" s="4772"/>
      <c r="V25" s="4773"/>
      <c r="W25" s="4773"/>
      <c r="X25" s="4773"/>
      <c r="Y25" s="769" t="str">
        <f t="shared" si="3"/>
        <v/>
      </c>
      <c r="AA25" s="5404" t="s">
        <v>2765</v>
      </c>
      <c r="AB25" s="4031"/>
      <c r="AC25" s="4031"/>
      <c r="AD25" s="4031"/>
      <c r="AE25" s="4031"/>
      <c r="AF25" s="959" t="str">
        <f t="shared" si="5"/>
        <v/>
      </c>
      <c r="AG25" s="5395"/>
      <c r="AH25" s="5396"/>
      <c r="AI25" s="5400"/>
      <c r="AJ25" s="741"/>
      <c r="AK25" s="578"/>
      <c r="AL25" s="1758" t="b">
        <f>IF(OR($G$11="",Elan!C25=""),FALSE,$G$11&lt;VLOOKUP(C25,Tabla_Elan,3,FALSE))</f>
        <v>0</v>
      </c>
      <c r="AM25" s="1758" t="b">
        <f>IF(OR($Y$11="",Elan!U25=""),FALSE,$Y$11&lt;VLOOKUP(U25,Tabla_Elan,3,FALSE))</f>
        <v>0</v>
      </c>
    </row>
    <row r="26" spans="1:39" ht="12" customHeight="1" thickBot="1" x14ac:dyDescent="0.25">
      <c r="A26" s="29"/>
      <c r="B26" s="489"/>
      <c r="C26" s="5405" t="str">
        <f>IF(SUM(G13:G25)&gt;G11,"Exceso de Elán utilizado","")</f>
        <v/>
      </c>
      <c r="D26" s="5406"/>
      <c r="E26" s="5406"/>
      <c r="F26" s="5406"/>
      <c r="G26" s="5407"/>
      <c r="I26" s="5408" t="str">
        <f>IF(C$11="","",INDEX(Tabla_ModElan,MATCH(C$11,INDEX(Tabla_ModElan,,1),0)+Tablas!$A7,3))</f>
        <v/>
      </c>
      <c r="J26" s="3282"/>
      <c r="K26" s="3282"/>
      <c r="L26" s="3282"/>
      <c r="M26" s="3282"/>
      <c r="N26" s="960" t="str">
        <f t="shared" si="4"/>
        <v/>
      </c>
      <c r="O26" s="5409"/>
      <c r="P26" s="5410"/>
      <c r="Q26" s="5411"/>
      <c r="R26" s="21"/>
      <c r="S26" s="1109"/>
      <c r="U26" s="5405" t="str">
        <f>IF(SUM(Y13:Y25)&gt;Y11,"Exceso de Elán utilizado","")</f>
        <v/>
      </c>
      <c r="V26" s="5406"/>
      <c r="W26" s="5406"/>
      <c r="X26" s="5406"/>
      <c r="Y26" s="5407"/>
      <c r="AA26" s="5408" t="str">
        <f>IF(U$11="","",INDEX(Tabla_ModElan,MATCH(U$11,INDEX(Tabla_ModElan,,1),0)+Tablas!$A7,3))</f>
        <v/>
      </c>
      <c r="AB26" s="3282"/>
      <c r="AC26" s="3282"/>
      <c r="AD26" s="3282"/>
      <c r="AE26" s="3282"/>
      <c r="AF26" s="960" t="str">
        <f t="shared" si="5"/>
        <v/>
      </c>
      <c r="AG26" s="5409"/>
      <c r="AH26" s="5410"/>
      <c r="AI26" s="5411"/>
      <c r="AJ26" s="741"/>
      <c r="AK26" s="578"/>
      <c r="AL26" s="1758"/>
      <c r="AM26" s="1758"/>
    </row>
    <row r="27" spans="1:39" ht="12" customHeight="1" thickBot="1" x14ac:dyDescent="0.25">
      <c r="A27" s="29"/>
      <c r="B27" s="489"/>
      <c r="R27" s="21"/>
      <c r="S27" s="21"/>
      <c r="T27" s="21"/>
      <c r="U27" s="21"/>
      <c r="AJ27" s="741"/>
      <c r="AK27" s="578"/>
      <c r="AL27" s="1758"/>
      <c r="AM27" s="1758"/>
    </row>
    <row r="28" spans="1:39" ht="12" customHeight="1" thickBot="1" x14ac:dyDescent="0.25">
      <c r="A28" s="29"/>
      <c r="B28" s="489"/>
      <c r="C28" s="3307" t="s">
        <v>6843</v>
      </c>
      <c r="D28" s="3308"/>
      <c r="E28" s="3308"/>
      <c r="F28" s="3309"/>
      <c r="G28" s="5392" t="s">
        <v>1549</v>
      </c>
      <c r="H28" s="5392"/>
      <c r="I28" s="5392"/>
      <c r="J28" s="5392"/>
      <c r="K28" s="5392"/>
      <c r="L28" s="5392"/>
      <c r="M28" s="5392"/>
      <c r="N28" s="5392"/>
      <c r="O28" s="5392"/>
      <c r="P28" s="5392"/>
      <c r="Q28" s="5392"/>
      <c r="R28" s="5392"/>
      <c r="S28" s="5392"/>
      <c r="T28" s="5392"/>
      <c r="U28" s="5392"/>
      <c r="V28" s="5392"/>
      <c r="W28" s="5392"/>
      <c r="X28" s="5392"/>
      <c r="Y28" s="5392"/>
      <c r="Z28" s="5392"/>
      <c r="AA28" s="5392"/>
      <c r="AB28" s="5392"/>
      <c r="AC28" s="5392"/>
      <c r="AD28" s="5392"/>
      <c r="AE28" s="5392"/>
      <c r="AF28" s="5392"/>
      <c r="AG28" s="5392"/>
      <c r="AH28" s="5392"/>
      <c r="AI28" s="4039"/>
      <c r="AJ28" s="741"/>
      <c r="AK28" s="578"/>
      <c r="AL28" s="1758" t="str">
        <f>IF(C13="","",C13&amp;", ")&amp;IF(C14="","",C14&amp;", ")&amp;IF(C15="","",C15&amp;", ")&amp;IF(C16="","",C16&amp;", ")&amp;IF(C17="","",C17&amp;", ")&amp;IF(C18="","",C18&amp;", ")&amp;IF(C19="","",C19&amp;", ")&amp;IF(C20="","",C20&amp;", ")&amp;IF(C21="","",C21&amp;", ")&amp;IF(C22="","",C22&amp;", ")&amp;IF(C23="","",C23&amp;", ")&amp;IF(C24="","",C24&amp;", ")&amp;IF(C25="","",C25&amp;", ")</f>
        <v/>
      </c>
      <c r="AM28" s="1758"/>
    </row>
    <row r="29" spans="1:39" ht="12" customHeight="1" x14ac:dyDescent="0.2">
      <c r="A29" s="29"/>
      <c r="B29" s="489"/>
      <c r="C29" s="701"/>
      <c r="D29" s="160"/>
      <c r="E29" s="160"/>
      <c r="F29" s="700" t="str">
        <f>IF(ISNA(MATCH(Tablas!$A1,INDEX(Tabla_Elan,,14),0)),"",INDEX(INDEX(Tabla_Elan,,1),MATCH(Tablas!$A1,INDEX(Tabla_Elan,,14),0)))</f>
        <v/>
      </c>
      <c r="G29" s="4310" t="str">
        <f t="shared" ref="G29:G49" si="6">IF(F29="","",VLOOKUP(F29,Tabla_Elan,8,FALSE))</f>
        <v/>
      </c>
      <c r="H29" s="5391"/>
      <c r="I29" s="5391"/>
      <c r="J29" s="5391"/>
      <c r="K29" s="5391"/>
      <c r="L29" s="5391"/>
      <c r="M29" s="5391"/>
      <c r="N29" s="5391"/>
      <c r="O29" s="5391"/>
      <c r="P29" s="5391"/>
      <c r="Q29" s="5391"/>
      <c r="R29" s="5391"/>
      <c r="S29" s="5391"/>
      <c r="T29" s="5391"/>
      <c r="U29" s="5391"/>
      <c r="V29" s="5391"/>
      <c r="W29" s="5391"/>
      <c r="X29" s="5391"/>
      <c r="Y29" s="5391"/>
      <c r="Z29" s="5391"/>
      <c r="AA29" s="5391"/>
      <c r="AB29" s="5391"/>
      <c r="AC29" s="5391"/>
      <c r="AD29" s="5391"/>
      <c r="AE29" s="5391"/>
      <c r="AF29" s="5391"/>
      <c r="AG29" s="5391"/>
      <c r="AH29" s="5391"/>
      <c r="AI29" s="4360"/>
      <c r="AJ29" s="741"/>
      <c r="AK29" s="578"/>
      <c r="AL29" s="1758" t="str">
        <f>IF(U13="","",U13&amp;", ")&amp;IF(U14="","",U14&amp;", ")&amp;IF(U15="","",U15&amp;", ")&amp;IF(U16="","",U16&amp;", ")&amp;IF(U17="","",U17&amp;", ")&amp;IF(U18="","",U18&amp;", ")&amp;IF(U19="","",U19&amp;", ")&amp;IF(U20="","",U20&amp;", ")&amp;IF(U21="","",U21&amp;", ")&amp;IF(U22="","",U22&amp;", ")&amp;IF(U23="","",U23&amp;", ")&amp;IF(U24="","",U24&amp;", ")&amp;IF(U25="","",U25&amp;", ")</f>
        <v/>
      </c>
      <c r="AM29" s="1758"/>
    </row>
    <row r="30" spans="1:39" ht="12" customHeight="1" x14ac:dyDescent="0.2">
      <c r="A30" s="29"/>
      <c r="B30" s="489"/>
      <c r="C30" s="701"/>
      <c r="D30" s="160"/>
      <c r="E30" s="160"/>
      <c r="F30" s="700" t="str">
        <f>IF(ISNA(MATCH(Tablas!$A2,INDEX(Tabla_Elan,,14),0)),"",INDEX(INDEX(Tabla_Elan,,1),MATCH(Tablas!$A2,INDEX(Tabla_Elan,,14),0)))</f>
        <v/>
      </c>
      <c r="G30" s="4310" t="str">
        <f t="shared" si="6"/>
        <v/>
      </c>
      <c r="H30" s="5391"/>
      <c r="I30" s="5391"/>
      <c r="J30" s="5391"/>
      <c r="K30" s="5391"/>
      <c r="L30" s="5391"/>
      <c r="M30" s="5391"/>
      <c r="N30" s="5391"/>
      <c r="O30" s="5391"/>
      <c r="P30" s="5391"/>
      <c r="Q30" s="5391"/>
      <c r="R30" s="5391"/>
      <c r="S30" s="5391"/>
      <c r="T30" s="5391"/>
      <c r="U30" s="5391"/>
      <c r="V30" s="5391"/>
      <c r="W30" s="5391"/>
      <c r="X30" s="5391"/>
      <c r="Y30" s="5391"/>
      <c r="Z30" s="5391"/>
      <c r="AA30" s="5391"/>
      <c r="AB30" s="5391"/>
      <c r="AC30" s="5391"/>
      <c r="AD30" s="5391"/>
      <c r="AE30" s="5391"/>
      <c r="AF30" s="5391"/>
      <c r="AG30" s="5391"/>
      <c r="AH30" s="5391"/>
      <c r="AI30" s="4360"/>
      <c r="AJ30" s="741"/>
      <c r="AK30" s="578"/>
      <c r="AL30" s="1758"/>
      <c r="AM30" s="1758"/>
    </row>
    <row r="31" spans="1:39" ht="12" customHeight="1" x14ac:dyDescent="0.2">
      <c r="A31" s="29"/>
      <c r="B31" s="489"/>
      <c r="C31" s="701"/>
      <c r="D31" s="160"/>
      <c r="E31" s="160"/>
      <c r="F31" s="700" t="str">
        <f>IF(ISNA(MATCH(Tablas!$A3,INDEX(Tabla_Elan,,14),0)),"",INDEX(INDEX(Tabla_Elan,,1),MATCH(Tablas!$A3,INDEX(Tabla_Elan,,14),0)))</f>
        <v/>
      </c>
      <c r="G31" s="4310" t="str">
        <f t="shared" si="6"/>
        <v/>
      </c>
      <c r="H31" s="5391"/>
      <c r="I31" s="5391"/>
      <c r="J31" s="5391"/>
      <c r="K31" s="5391"/>
      <c r="L31" s="5391"/>
      <c r="M31" s="5391"/>
      <c r="N31" s="5391"/>
      <c r="O31" s="5391"/>
      <c r="P31" s="5391"/>
      <c r="Q31" s="5391"/>
      <c r="R31" s="5391"/>
      <c r="S31" s="5391"/>
      <c r="T31" s="5391"/>
      <c r="U31" s="5391"/>
      <c r="V31" s="5391"/>
      <c r="W31" s="5391"/>
      <c r="X31" s="5391"/>
      <c r="Y31" s="5391"/>
      <c r="Z31" s="5391"/>
      <c r="AA31" s="5391"/>
      <c r="AB31" s="5391"/>
      <c r="AC31" s="5391"/>
      <c r="AD31" s="5391"/>
      <c r="AE31" s="5391"/>
      <c r="AF31" s="5391"/>
      <c r="AG31" s="5391"/>
      <c r="AH31" s="5391"/>
      <c r="AI31" s="4360"/>
      <c r="AJ31" s="741"/>
      <c r="AK31" s="578"/>
      <c r="AL31" s="1758"/>
      <c r="AM31" s="1758"/>
    </row>
    <row r="32" spans="1:39" ht="12" customHeight="1" x14ac:dyDescent="0.2">
      <c r="A32" s="29"/>
      <c r="B32" s="489"/>
      <c r="C32" s="701"/>
      <c r="D32" s="160"/>
      <c r="E32" s="160"/>
      <c r="F32" s="700" t="str">
        <f>IF(ISNA(MATCH(Tablas!$A4,INDEX(Tabla_Elan,,14),0)),"",INDEX(INDEX(Tabla_Elan,,1),MATCH(Tablas!$A4,INDEX(Tabla_Elan,,14),0)))</f>
        <v/>
      </c>
      <c r="G32" s="4310" t="str">
        <f t="shared" si="6"/>
        <v/>
      </c>
      <c r="H32" s="5391"/>
      <c r="I32" s="5391"/>
      <c r="J32" s="5391"/>
      <c r="K32" s="5391"/>
      <c r="L32" s="5391"/>
      <c r="M32" s="5391"/>
      <c r="N32" s="5391"/>
      <c r="O32" s="5391"/>
      <c r="P32" s="5391"/>
      <c r="Q32" s="5391"/>
      <c r="R32" s="5391"/>
      <c r="S32" s="5391"/>
      <c r="T32" s="5391"/>
      <c r="U32" s="5391"/>
      <c r="V32" s="5391"/>
      <c r="W32" s="5391"/>
      <c r="X32" s="5391"/>
      <c r="Y32" s="5391"/>
      <c r="Z32" s="5391"/>
      <c r="AA32" s="5391"/>
      <c r="AB32" s="5391"/>
      <c r="AC32" s="5391"/>
      <c r="AD32" s="5391"/>
      <c r="AE32" s="5391"/>
      <c r="AF32" s="5391"/>
      <c r="AG32" s="5391"/>
      <c r="AH32" s="5391"/>
      <c r="AI32" s="4360"/>
      <c r="AJ32" s="741"/>
      <c r="AK32" s="578"/>
      <c r="AL32" s="1758"/>
      <c r="AM32" s="1758"/>
    </row>
    <row r="33" spans="1:39" ht="12" customHeight="1" x14ac:dyDescent="0.2">
      <c r="A33" s="29"/>
      <c r="B33" s="489"/>
      <c r="C33" s="701"/>
      <c r="D33" s="160"/>
      <c r="E33" s="160"/>
      <c r="F33" s="700" t="str">
        <f>IF(ISNA(MATCH(Tablas!$A5,INDEX(Tabla_Elan,,14),0)),"",INDEX(INDEX(Tabla_Elan,,1),MATCH(Tablas!$A5,INDEX(Tabla_Elan,,14),0)))</f>
        <v/>
      </c>
      <c r="G33" s="4310" t="str">
        <f t="shared" si="6"/>
        <v/>
      </c>
      <c r="H33" s="5391"/>
      <c r="I33" s="5391"/>
      <c r="J33" s="5391"/>
      <c r="K33" s="5391"/>
      <c r="L33" s="5391"/>
      <c r="M33" s="5391"/>
      <c r="N33" s="5391"/>
      <c r="O33" s="5391"/>
      <c r="P33" s="5391"/>
      <c r="Q33" s="5391"/>
      <c r="R33" s="5391"/>
      <c r="S33" s="5391"/>
      <c r="T33" s="5391"/>
      <c r="U33" s="5391"/>
      <c r="V33" s="5391"/>
      <c r="W33" s="5391"/>
      <c r="X33" s="5391"/>
      <c r="Y33" s="5391"/>
      <c r="Z33" s="5391"/>
      <c r="AA33" s="5391"/>
      <c r="AB33" s="5391"/>
      <c r="AC33" s="5391"/>
      <c r="AD33" s="5391"/>
      <c r="AE33" s="5391"/>
      <c r="AF33" s="5391"/>
      <c r="AG33" s="5391"/>
      <c r="AH33" s="5391"/>
      <c r="AI33" s="4360"/>
      <c r="AJ33" s="741"/>
      <c r="AK33" s="578"/>
      <c r="AL33" s="1758"/>
      <c r="AM33" s="1758"/>
    </row>
    <row r="34" spans="1:39" ht="12" customHeight="1" x14ac:dyDescent="0.2">
      <c r="A34" s="29"/>
      <c r="B34" s="489"/>
      <c r="C34" s="701"/>
      <c r="D34" s="160"/>
      <c r="E34" s="160"/>
      <c r="F34" s="700" t="str">
        <f>IF(ISNA(MATCH(Tablas!$A6,INDEX(Tabla_Elan,,14),0)),"",INDEX(INDEX(Tabla_Elan,,1),MATCH(Tablas!$A6,INDEX(Tabla_Elan,,14),0)))</f>
        <v/>
      </c>
      <c r="G34" s="4310" t="str">
        <f t="shared" si="6"/>
        <v/>
      </c>
      <c r="H34" s="5391"/>
      <c r="I34" s="5391"/>
      <c r="J34" s="5391"/>
      <c r="K34" s="5391"/>
      <c r="L34" s="5391"/>
      <c r="M34" s="5391"/>
      <c r="N34" s="5391"/>
      <c r="O34" s="5391"/>
      <c r="P34" s="5391"/>
      <c r="Q34" s="5391"/>
      <c r="R34" s="5391"/>
      <c r="S34" s="5391"/>
      <c r="T34" s="5391"/>
      <c r="U34" s="5391"/>
      <c r="V34" s="5391"/>
      <c r="W34" s="5391"/>
      <c r="X34" s="5391"/>
      <c r="Y34" s="5391"/>
      <c r="Z34" s="5391"/>
      <c r="AA34" s="5391"/>
      <c r="AB34" s="5391"/>
      <c r="AC34" s="5391"/>
      <c r="AD34" s="5391"/>
      <c r="AE34" s="5391"/>
      <c r="AF34" s="5391"/>
      <c r="AG34" s="5391"/>
      <c r="AH34" s="5391"/>
      <c r="AI34" s="4360"/>
      <c r="AJ34" s="741"/>
      <c r="AK34" s="578"/>
      <c r="AL34" s="1758"/>
      <c r="AM34" s="1758"/>
    </row>
    <row r="35" spans="1:39" ht="12" customHeight="1" x14ac:dyDescent="0.2">
      <c r="A35" s="29"/>
      <c r="B35" s="489"/>
      <c r="C35" s="701"/>
      <c r="D35" s="160"/>
      <c r="E35" s="160"/>
      <c r="F35" s="700" t="str">
        <f>IF(ISNA(MATCH(Tablas!$A7,INDEX(Tabla_Elan,,14),0)),"",INDEX(INDEX(Tabla_Elan,,1),MATCH(Tablas!$A7,INDEX(Tabla_Elan,,14),0)))</f>
        <v/>
      </c>
      <c r="G35" s="4310" t="str">
        <f t="shared" si="6"/>
        <v/>
      </c>
      <c r="H35" s="5391"/>
      <c r="I35" s="5391"/>
      <c r="J35" s="5391"/>
      <c r="K35" s="5391"/>
      <c r="L35" s="5391"/>
      <c r="M35" s="5391"/>
      <c r="N35" s="5391"/>
      <c r="O35" s="5391"/>
      <c r="P35" s="5391"/>
      <c r="Q35" s="5391"/>
      <c r="R35" s="5391"/>
      <c r="S35" s="5391"/>
      <c r="T35" s="5391"/>
      <c r="U35" s="5391"/>
      <c r="V35" s="5391"/>
      <c r="W35" s="5391"/>
      <c r="X35" s="5391"/>
      <c r="Y35" s="5391"/>
      <c r="Z35" s="5391"/>
      <c r="AA35" s="5391"/>
      <c r="AB35" s="5391"/>
      <c r="AC35" s="5391"/>
      <c r="AD35" s="5391"/>
      <c r="AE35" s="5391"/>
      <c r="AF35" s="5391"/>
      <c r="AG35" s="5391"/>
      <c r="AH35" s="5391"/>
      <c r="AI35" s="4360"/>
      <c r="AJ35" s="741"/>
      <c r="AK35" s="578"/>
      <c r="AL35" s="1758"/>
      <c r="AM35" s="1758"/>
    </row>
    <row r="36" spans="1:39" ht="12" customHeight="1" x14ac:dyDescent="0.2">
      <c r="A36" s="29"/>
      <c r="B36" s="489"/>
      <c r="C36" s="701"/>
      <c r="D36" s="160"/>
      <c r="E36" s="160"/>
      <c r="F36" s="700" t="str">
        <f>IF(ISNA(MATCH(Tablas!$A8,INDEX(Tabla_Elan,,14),0)),"",INDEX(INDEX(Tabla_Elan,,1),MATCH(Tablas!$A8,INDEX(Tabla_Elan,,14),0)))</f>
        <v/>
      </c>
      <c r="G36" s="4310" t="str">
        <f t="shared" si="6"/>
        <v/>
      </c>
      <c r="H36" s="5391"/>
      <c r="I36" s="5391"/>
      <c r="J36" s="5391"/>
      <c r="K36" s="5391"/>
      <c r="L36" s="5391"/>
      <c r="M36" s="5391"/>
      <c r="N36" s="5391"/>
      <c r="O36" s="5391"/>
      <c r="P36" s="5391"/>
      <c r="Q36" s="5391"/>
      <c r="R36" s="5391"/>
      <c r="S36" s="5391"/>
      <c r="T36" s="5391"/>
      <c r="U36" s="5391"/>
      <c r="V36" s="5391"/>
      <c r="W36" s="5391"/>
      <c r="X36" s="5391"/>
      <c r="Y36" s="5391"/>
      <c r="Z36" s="5391"/>
      <c r="AA36" s="5391"/>
      <c r="AB36" s="5391"/>
      <c r="AC36" s="5391"/>
      <c r="AD36" s="5391"/>
      <c r="AE36" s="5391"/>
      <c r="AF36" s="5391"/>
      <c r="AG36" s="5391"/>
      <c r="AH36" s="5391"/>
      <c r="AI36" s="4360"/>
      <c r="AJ36" s="741"/>
      <c r="AK36" s="578"/>
      <c r="AL36" s="1758"/>
      <c r="AM36" s="1758"/>
    </row>
    <row r="37" spans="1:39" ht="12" customHeight="1" x14ac:dyDescent="0.2">
      <c r="A37" s="29"/>
      <c r="B37" s="489"/>
      <c r="C37" s="701"/>
      <c r="D37" s="160"/>
      <c r="E37" s="160"/>
      <c r="F37" s="700" t="str">
        <f>IF(ISNA(MATCH(Tablas!$A9,INDEX(Tabla_Elan,,14),0)),"",INDEX(INDEX(Tabla_Elan,,1),MATCH(Tablas!$A9,INDEX(Tabla_Elan,,14),0)))</f>
        <v/>
      </c>
      <c r="G37" s="4310" t="str">
        <f t="shared" si="6"/>
        <v/>
      </c>
      <c r="H37" s="5391"/>
      <c r="I37" s="5391"/>
      <c r="J37" s="5391"/>
      <c r="K37" s="5391"/>
      <c r="L37" s="5391"/>
      <c r="M37" s="5391"/>
      <c r="N37" s="5391"/>
      <c r="O37" s="5391"/>
      <c r="P37" s="5391"/>
      <c r="Q37" s="5391"/>
      <c r="R37" s="5391"/>
      <c r="S37" s="5391"/>
      <c r="T37" s="5391"/>
      <c r="U37" s="5391"/>
      <c r="V37" s="5391"/>
      <c r="W37" s="5391"/>
      <c r="X37" s="5391"/>
      <c r="Y37" s="5391"/>
      <c r="Z37" s="5391"/>
      <c r="AA37" s="5391"/>
      <c r="AB37" s="5391"/>
      <c r="AC37" s="5391"/>
      <c r="AD37" s="5391"/>
      <c r="AE37" s="5391"/>
      <c r="AF37" s="5391"/>
      <c r="AG37" s="5391"/>
      <c r="AH37" s="5391"/>
      <c r="AI37" s="4360"/>
      <c r="AJ37" s="741"/>
      <c r="AK37" s="578"/>
      <c r="AL37" s="1758"/>
      <c r="AM37" s="1758"/>
    </row>
    <row r="38" spans="1:39" ht="12" customHeight="1" x14ac:dyDescent="0.2">
      <c r="A38" s="29"/>
      <c r="B38" s="489"/>
      <c r="C38" s="701"/>
      <c r="D38" s="160"/>
      <c r="E38" s="160"/>
      <c r="F38" s="700" t="str">
        <f>IF(ISNA(MATCH(Tablas!$A10,INDEX(Tabla_Elan,,14),0)),"",INDEX(INDEX(Tabla_Elan,,1),MATCH(Tablas!$A10,INDEX(Tabla_Elan,,14),0)))</f>
        <v/>
      </c>
      <c r="G38" s="4310" t="str">
        <f t="shared" si="6"/>
        <v/>
      </c>
      <c r="H38" s="5391"/>
      <c r="I38" s="5391"/>
      <c r="J38" s="5391"/>
      <c r="K38" s="5391"/>
      <c r="L38" s="5391"/>
      <c r="M38" s="5391"/>
      <c r="N38" s="5391"/>
      <c r="O38" s="5391"/>
      <c r="P38" s="5391"/>
      <c r="Q38" s="5391"/>
      <c r="R38" s="5391"/>
      <c r="S38" s="5391"/>
      <c r="T38" s="5391"/>
      <c r="U38" s="5391"/>
      <c r="V38" s="5391"/>
      <c r="W38" s="5391"/>
      <c r="X38" s="5391"/>
      <c r="Y38" s="5391"/>
      <c r="Z38" s="5391"/>
      <c r="AA38" s="5391"/>
      <c r="AB38" s="5391"/>
      <c r="AC38" s="5391"/>
      <c r="AD38" s="5391"/>
      <c r="AE38" s="5391"/>
      <c r="AF38" s="5391"/>
      <c r="AG38" s="5391"/>
      <c r="AH38" s="5391"/>
      <c r="AI38" s="4360"/>
      <c r="AJ38" s="741"/>
      <c r="AK38" s="578"/>
      <c r="AL38" s="1758"/>
      <c r="AM38" s="1758"/>
    </row>
    <row r="39" spans="1:39" ht="12" customHeight="1" x14ac:dyDescent="0.2">
      <c r="A39" s="29"/>
      <c r="B39" s="489"/>
      <c r="C39" s="701"/>
      <c r="D39" s="160"/>
      <c r="E39" s="160"/>
      <c r="F39" s="700" t="str">
        <f>IF(ISNA(MATCH(Tablas!$A11,INDEX(Tabla_Elan,,14),0)),"",INDEX(INDEX(Tabla_Elan,,1),MATCH(Tablas!$A11,INDEX(Tabla_Elan,,14),0)))</f>
        <v/>
      </c>
      <c r="G39" s="4310" t="str">
        <f t="shared" si="6"/>
        <v/>
      </c>
      <c r="H39" s="5391"/>
      <c r="I39" s="5391"/>
      <c r="J39" s="5391"/>
      <c r="K39" s="5391"/>
      <c r="L39" s="5391"/>
      <c r="M39" s="5391"/>
      <c r="N39" s="5391"/>
      <c r="O39" s="5391"/>
      <c r="P39" s="5391"/>
      <c r="Q39" s="5391"/>
      <c r="R39" s="5391"/>
      <c r="S39" s="5391"/>
      <c r="T39" s="5391"/>
      <c r="U39" s="5391"/>
      <c r="V39" s="5391"/>
      <c r="W39" s="5391"/>
      <c r="X39" s="5391"/>
      <c r="Y39" s="5391"/>
      <c r="Z39" s="5391"/>
      <c r="AA39" s="5391"/>
      <c r="AB39" s="5391"/>
      <c r="AC39" s="5391"/>
      <c r="AD39" s="5391"/>
      <c r="AE39" s="5391"/>
      <c r="AF39" s="5391"/>
      <c r="AG39" s="5391"/>
      <c r="AH39" s="5391"/>
      <c r="AI39" s="4360"/>
      <c r="AJ39" s="741"/>
      <c r="AK39" s="578"/>
      <c r="AL39" s="1758"/>
      <c r="AM39" s="1758"/>
    </row>
    <row r="40" spans="1:39" ht="12" customHeight="1" x14ac:dyDescent="0.2">
      <c r="A40" s="29"/>
      <c r="B40" s="489"/>
      <c r="C40" s="701"/>
      <c r="D40" s="160"/>
      <c r="E40" s="160"/>
      <c r="F40" s="700" t="str">
        <f>IF(ISNA(MATCH(Tablas!$A12,INDEX(Tabla_Elan,,14),0)),"",INDEX(INDEX(Tabla_Elan,,1),MATCH(Tablas!$A12,INDEX(Tabla_Elan,,14),0)))</f>
        <v/>
      </c>
      <c r="G40" s="4310" t="str">
        <f t="shared" si="6"/>
        <v/>
      </c>
      <c r="H40" s="5391"/>
      <c r="I40" s="5391"/>
      <c r="J40" s="5391"/>
      <c r="K40" s="5391"/>
      <c r="L40" s="5391"/>
      <c r="M40" s="5391"/>
      <c r="N40" s="5391"/>
      <c r="O40" s="5391"/>
      <c r="P40" s="5391"/>
      <c r="Q40" s="5391"/>
      <c r="R40" s="5391"/>
      <c r="S40" s="5391"/>
      <c r="T40" s="5391"/>
      <c r="U40" s="5391"/>
      <c r="V40" s="5391"/>
      <c r="W40" s="5391"/>
      <c r="X40" s="5391"/>
      <c r="Y40" s="5391"/>
      <c r="Z40" s="5391"/>
      <c r="AA40" s="5391"/>
      <c r="AB40" s="5391"/>
      <c r="AC40" s="5391"/>
      <c r="AD40" s="5391"/>
      <c r="AE40" s="5391"/>
      <c r="AF40" s="5391"/>
      <c r="AG40" s="5391"/>
      <c r="AH40" s="5391"/>
      <c r="AI40" s="4360"/>
      <c r="AJ40" s="741"/>
      <c r="AK40" s="578"/>
      <c r="AL40" s="1758"/>
      <c r="AM40" s="1758"/>
    </row>
    <row r="41" spans="1:39" ht="12" customHeight="1" x14ac:dyDescent="0.2">
      <c r="A41" s="29"/>
      <c r="B41" s="489"/>
      <c r="C41" s="701"/>
      <c r="D41" s="160"/>
      <c r="E41" s="160"/>
      <c r="F41" s="700" t="str">
        <f>IF(ISNA(MATCH(Tablas!$A13,INDEX(Tabla_Elan,,14),0)),"",INDEX(INDEX(Tabla_Elan,,1),MATCH(Tablas!$A13,INDEX(Tabla_Elan,,14),0)))</f>
        <v/>
      </c>
      <c r="G41" s="4310" t="str">
        <f t="shared" si="6"/>
        <v/>
      </c>
      <c r="H41" s="5391"/>
      <c r="I41" s="5391"/>
      <c r="J41" s="5391"/>
      <c r="K41" s="5391"/>
      <c r="L41" s="5391"/>
      <c r="M41" s="5391"/>
      <c r="N41" s="5391"/>
      <c r="O41" s="5391"/>
      <c r="P41" s="5391"/>
      <c r="Q41" s="5391"/>
      <c r="R41" s="5391"/>
      <c r="S41" s="5391"/>
      <c r="T41" s="5391"/>
      <c r="U41" s="5391"/>
      <c r="V41" s="5391"/>
      <c r="W41" s="5391"/>
      <c r="X41" s="5391"/>
      <c r="Y41" s="5391"/>
      <c r="Z41" s="5391"/>
      <c r="AA41" s="5391"/>
      <c r="AB41" s="5391"/>
      <c r="AC41" s="5391"/>
      <c r="AD41" s="5391"/>
      <c r="AE41" s="5391"/>
      <c r="AF41" s="5391"/>
      <c r="AG41" s="5391"/>
      <c r="AH41" s="5391"/>
      <c r="AI41" s="4360"/>
      <c r="AJ41" s="741"/>
      <c r="AK41" s="578"/>
      <c r="AL41" s="1758"/>
      <c r="AM41" s="1758"/>
    </row>
    <row r="42" spans="1:39" ht="12" customHeight="1" x14ac:dyDescent="0.2">
      <c r="A42" s="29"/>
      <c r="B42" s="489"/>
      <c r="C42" s="701"/>
      <c r="D42" s="160"/>
      <c r="E42" s="160"/>
      <c r="F42" s="700" t="str">
        <f>IF(ISNA(MATCH(Tablas!$A14,INDEX(Tabla_Elan,,14),0)),"",INDEX(INDEX(Tabla_Elan,,1),MATCH(Tablas!$A14,INDEX(Tabla_Elan,,14),0)))</f>
        <v/>
      </c>
      <c r="G42" s="4310" t="str">
        <f t="shared" si="6"/>
        <v/>
      </c>
      <c r="H42" s="5391"/>
      <c r="I42" s="5391"/>
      <c r="J42" s="5391"/>
      <c r="K42" s="5391"/>
      <c r="L42" s="5391"/>
      <c r="M42" s="5391"/>
      <c r="N42" s="5391"/>
      <c r="O42" s="5391"/>
      <c r="P42" s="5391"/>
      <c r="Q42" s="5391"/>
      <c r="R42" s="5391"/>
      <c r="S42" s="5391"/>
      <c r="T42" s="5391"/>
      <c r="U42" s="5391"/>
      <c r="V42" s="5391"/>
      <c r="W42" s="5391"/>
      <c r="X42" s="5391"/>
      <c r="Y42" s="5391"/>
      <c r="Z42" s="5391"/>
      <c r="AA42" s="5391"/>
      <c r="AB42" s="5391"/>
      <c r="AC42" s="5391"/>
      <c r="AD42" s="5391"/>
      <c r="AE42" s="5391"/>
      <c r="AF42" s="5391"/>
      <c r="AG42" s="5391"/>
      <c r="AH42" s="5391"/>
      <c r="AI42" s="4360"/>
      <c r="AJ42" s="741"/>
      <c r="AK42" s="578"/>
      <c r="AL42" s="1758"/>
      <c r="AM42" s="1758"/>
    </row>
    <row r="43" spans="1:39" ht="12" customHeight="1" x14ac:dyDescent="0.2">
      <c r="A43" s="29"/>
      <c r="B43" s="489"/>
      <c r="C43" s="701"/>
      <c r="D43" s="160"/>
      <c r="E43" s="160"/>
      <c r="F43" s="700" t="str">
        <f>IF(ISNA(MATCH(Tablas!$A15,INDEX(Tabla_Elan,,14),0)),"",INDEX(INDEX(Tabla_Elan,,1),MATCH(Tablas!$A15,INDEX(Tabla_Elan,,14),0)))</f>
        <v/>
      </c>
      <c r="G43" s="4310" t="str">
        <f t="shared" si="6"/>
        <v/>
      </c>
      <c r="H43" s="5391"/>
      <c r="I43" s="5391"/>
      <c r="J43" s="5391"/>
      <c r="K43" s="5391"/>
      <c r="L43" s="5391"/>
      <c r="M43" s="5391"/>
      <c r="N43" s="5391"/>
      <c r="O43" s="5391"/>
      <c r="P43" s="5391"/>
      <c r="Q43" s="5391"/>
      <c r="R43" s="5391"/>
      <c r="S43" s="5391"/>
      <c r="T43" s="5391"/>
      <c r="U43" s="5391"/>
      <c r="V43" s="5391"/>
      <c r="W43" s="5391"/>
      <c r="X43" s="5391"/>
      <c r="Y43" s="5391"/>
      <c r="Z43" s="5391"/>
      <c r="AA43" s="5391"/>
      <c r="AB43" s="5391"/>
      <c r="AC43" s="5391"/>
      <c r="AD43" s="5391"/>
      <c r="AE43" s="5391"/>
      <c r="AF43" s="5391"/>
      <c r="AG43" s="5391"/>
      <c r="AH43" s="5391"/>
      <c r="AI43" s="4360"/>
      <c r="AJ43" s="741"/>
      <c r="AK43" s="578"/>
      <c r="AL43" s="1758"/>
      <c r="AM43" s="1758"/>
    </row>
    <row r="44" spans="1:39" ht="12" customHeight="1" x14ac:dyDescent="0.2">
      <c r="A44" s="29"/>
      <c r="B44" s="489"/>
      <c r="C44" s="701"/>
      <c r="D44" s="160"/>
      <c r="E44" s="160"/>
      <c r="F44" s="700" t="str">
        <f>IF(ISNA(MATCH(Tablas!$A16,INDEX(Tabla_Elan,,14),0)),"",INDEX(INDEX(Tabla_Elan,,1),MATCH(Tablas!$A16,INDEX(Tabla_Elan,,14),0)))</f>
        <v/>
      </c>
      <c r="G44" s="4310" t="str">
        <f t="shared" si="6"/>
        <v/>
      </c>
      <c r="H44" s="5391"/>
      <c r="I44" s="5391"/>
      <c r="J44" s="5391"/>
      <c r="K44" s="5391"/>
      <c r="L44" s="5391"/>
      <c r="M44" s="5391"/>
      <c r="N44" s="5391"/>
      <c r="O44" s="5391"/>
      <c r="P44" s="5391"/>
      <c r="Q44" s="5391"/>
      <c r="R44" s="5391"/>
      <c r="S44" s="5391"/>
      <c r="T44" s="5391"/>
      <c r="U44" s="5391"/>
      <c r="V44" s="5391"/>
      <c r="W44" s="5391"/>
      <c r="X44" s="5391"/>
      <c r="Y44" s="5391"/>
      <c r="Z44" s="5391"/>
      <c r="AA44" s="5391"/>
      <c r="AB44" s="5391"/>
      <c r="AC44" s="5391"/>
      <c r="AD44" s="5391"/>
      <c r="AE44" s="5391"/>
      <c r="AF44" s="5391"/>
      <c r="AG44" s="5391"/>
      <c r="AH44" s="5391"/>
      <c r="AI44" s="4360"/>
      <c r="AJ44" s="741"/>
      <c r="AK44" s="578"/>
      <c r="AL44" s="1758"/>
      <c r="AM44" s="1758"/>
    </row>
    <row r="45" spans="1:39" ht="12" customHeight="1" x14ac:dyDescent="0.2">
      <c r="A45" s="29"/>
      <c r="B45" s="489"/>
      <c r="C45" s="701"/>
      <c r="D45" s="160"/>
      <c r="E45" s="160"/>
      <c r="F45" s="700" t="str">
        <f>IF(ISNA(MATCH(Tablas!$A17,INDEX(Tabla_Elan,,14),0)),"",INDEX(INDEX(Tabla_Elan,,1),MATCH(Tablas!$A17,INDEX(Tabla_Elan,,14),0)))</f>
        <v/>
      </c>
      <c r="G45" s="1106" t="str">
        <f t="shared" si="6"/>
        <v/>
      </c>
      <c r="H45" s="1102"/>
      <c r="I45" s="1102"/>
      <c r="J45" s="1102"/>
      <c r="K45" s="1102"/>
      <c r="L45" s="1102"/>
      <c r="M45" s="1102"/>
      <c r="N45" s="1102"/>
      <c r="O45" s="1102"/>
      <c r="P45" s="1102"/>
      <c r="Q45" s="1102"/>
      <c r="R45" s="1102"/>
      <c r="S45" s="1102"/>
      <c r="T45" s="1102"/>
      <c r="U45" s="1102"/>
      <c r="V45" s="1102"/>
      <c r="W45" s="1102"/>
      <c r="X45" s="1102"/>
      <c r="Y45" s="1102"/>
      <c r="Z45" s="1102"/>
      <c r="AA45" s="1102"/>
      <c r="AB45" s="1102"/>
      <c r="AC45" s="1102"/>
      <c r="AD45" s="1102"/>
      <c r="AE45" s="1102"/>
      <c r="AF45" s="1102"/>
      <c r="AG45" s="1102"/>
      <c r="AH45" s="1102"/>
      <c r="AI45" s="1105"/>
      <c r="AJ45" s="741"/>
      <c r="AK45" s="578"/>
      <c r="AL45" s="1758"/>
      <c r="AM45" s="1758"/>
    </row>
    <row r="46" spans="1:39" ht="12" customHeight="1" x14ac:dyDescent="0.2">
      <c r="A46" s="29"/>
      <c r="B46" s="489"/>
      <c r="C46" s="701"/>
      <c r="D46" s="160"/>
      <c r="E46" s="160"/>
      <c r="F46" s="700" t="str">
        <f>IF(ISNA(MATCH(Tablas!$A18,INDEX(Tabla_Elan,,14),0)),"",INDEX(INDEX(Tabla_Elan,,1),MATCH(Tablas!$A18,INDEX(Tabla_Elan,,14),0)))</f>
        <v/>
      </c>
      <c r="G46" s="1106" t="str">
        <f t="shared" si="6"/>
        <v/>
      </c>
      <c r="H46" s="1102"/>
      <c r="I46" s="1102"/>
      <c r="J46" s="1102"/>
      <c r="K46" s="1102"/>
      <c r="L46" s="1102"/>
      <c r="M46" s="1102"/>
      <c r="N46" s="1102"/>
      <c r="O46" s="1102"/>
      <c r="P46" s="1102"/>
      <c r="Q46" s="1102"/>
      <c r="R46" s="1102"/>
      <c r="S46" s="1102"/>
      <c r="T46" s="1102"/>
      <c r="U46" s="1102"/>
      <c r="V46" s="1102"/>
      <c r="W46" s="1102"/>
      <c r="X46" s="1102"/>
      <c r="Y46" s="1102"/>
      <c r="Z46" s="1102"/>
      <c r="AA46" s="1102"/>
      <c r="AB46" s="1102"/>
      <c r="AC46" s="1102"/>
      <c r="AD46" s="1102"/>
      <c r="AE46" s="1102"/>
      <c r="AF46" s="1102"/>
      <c r="AG46" s="1102"/>
      <c r="AH46" s="1102"/>
      <c r="AI46" s="1105"/>
      <c r="AJ46" s="741"/>
      <c r="AK46" s="578"/>
      <c r="AL46" s="1758"/>
      <c r="AM46" s="1758"/>
    </row>
    <row r="47" spans="1:39" ht="12" customHeight="1" x14ac:dyDescent="0.2">
      <c r="A47" s="29"/>
      <c r="B47" s="489"/>
      <c r="C47" s="701"/>
      <c r="D47" s="160"/>
      <c r="E47" s="160"/>
      <c r="F47" s="700" t="str">
        <f>IF(ISNA(MATCH(Tablas!$A19,INDEX(Tabla_Elan,,14),0)),"",INDEX(INDEX(Tabla_Elan,,1),MATCH(Tablas!$A19,INDEX(Tabla_Elan,,14),0)))</f>
        <v/>
      </c>
      <c r="G47" s="1106" t="str">
        <f t="shared" si="6"/>
        <v/>
      </c>
      <c r="H47" s="1102"/>
      <c r="I47" s="1102"/>
      <c r="J47" s="1102"/>
      <c r="K47" s="1102"/>
      <c r="L47" s="1102"/>
      <c r="M47" s="1102"/>
      <c r="N47" s="1102"/>
      <c r="O47" s="1102"/>
      <c r="P47" s="1102"/>
      <c r="Q47" s="1102"/>
      <c r="R47" s="1102"/>
      <c r="S47" s="1102"/>
      <c r="T47" s="1102"/>
      <c r="U47" s="1102"/>
      <c r="V47" s="1102"/>
      <c r="W47" s="1102"/>
      <c r="X47" s="1102"/>
      <c r="Y47" s="1102"/>
      <c r="Z47" s="1102"/>
      <c r="AA47" s="1102"/>
      <c r="AB47" s="1102"/>
      <c r="AC47" s="1102"/>
      <c r="AD47" s="1102"/>
      <c r="AE47" s="1102"/>
      <c r="AF47" s="1102"/>
      <c r="AG47" s="1102"/>
      <c r="AH47" s="1102"/>
      <c r="AI47" s="1105"/>
      <c r="AJ47" s="741"/>
      <c r="AK47" s="578"/>
      <c r="AL47" s="1758"/>
      <c r="AM47" s="1758"/>
    </row>
    <row r="48" spans="1:39" ht="12" customHeight="1" x14ac:dyDescent="0.2">
      <c r="A48" s="29"/>
      <c r="B48" s="489"/>
      <c r="C48" s="701"/>
      <c r="D48" s="160"/>
      <c r="E48" s="160"/>
      <c r="F48" s="700" t="str">
        <f>IF(ISNA(MATCH(Tablas!$A20,INDEX(Tabla_Elan,,14),0)),"",INDEX(INDEX(Tabla_Elan,,1),MATCH(Tablas!$A20,INDEX(Tabla_Elan,,14),0)))</f>
        <v/>
      </c>
      <c r="G48" s="1106" t="str">
        <f t="shared" si="6"/>
        <v/>
      </c>
      <c r="H48" s="1102"/>
      <c r="I48" s="1102"/>
      <c r="J48" s="1102"/>
      <c r="K48" s="1102"/>
      <c r="L48" s="1102"/>
      <c r="M48" s="1102"/>
      <c r="N48" s="1102"/>
      <c r="O48" s="1102"/>
      <c r="P48" s="1102"/>
      <c r="Q48" s="1102"/>
      <c r="R48" s="1102"/>
      <c r="S48" s="1102"/>
      <c r="T48" s="1102"/>
      <c r="U48" s="1102"/>
      <c r="V48" s="1102"/>
      <c r="W48" s="1102"/>
      <c r="X48" s="1102"/>
      <c r="Y48" s="1102"/>
      <c r="Z48" s="1102"/>
      <c r="AA48" s="1102"/>
      <c r="AB48" s="1102"/>
      <c r="AC48" s="1102"/>
      <c r="AD48" s="1102"/>
      <c r="AE48" s="1102"/>
      <c r="AF48" s="1102"/>
      <c r="AG48" s="1102"/>
      <c r="AH48" s="1102"/>
      <c r="AI48" s="1105"/>
      <c r="AJ48" s="741"/>
      <c r="AK48" s="578"/>
      <c r="AL48" s="1758"/>
      <c r="AM48" s="1758"/>
    </row>
    <row r="49" spans="1:39" ht="12" customHeight="1" thickBot="1" x14ac:dyDescent="0.25">
      <c r="A49" s="29"/>
      <c r="B49" s="489"/>
      <c r="C49" s="702"/>
      <c r="D49" s="703"/>
      <c r="E49" s="703"/>
      <c r="F49" s="704" t="str">
        <f>IF(ISNA(MATCH(Tablas!$A21,INDEX(Tabla_Elan,,14),0)),"",INDEX(INDEX(Tabla_Elan,,1),MATCH(Tablas!$A21,INDEX(Tabla_Elan,,14),0)))</f>
        <v/>
      </c>
      <c r="G49" s="938" t="str">
        <f t="shared" si="6"/>
        <v/>
      </c>
      <c r="H49" s="939"/>
      <c r="I49" s="939"/>
      <c r="J49" s="939"/>
      <c r="K49" s="939"/>
      <c r="L49" s="939"/>
      <c r="M49" s="939"/>
      <c r="N49" s="939"/>
      <c r="O49" s="939"/>
      <c r="P49" s="939"/>
      <c r="Q49" s="939"/>
      <c r="R49" s="939"/>
      <c r="S49" s="939"/>
      <c r="T49" s="939"/>
      <c r="U49" s="939"/>
      <c r="V49" s="939"/>
      <c r="W49" s="939"/>
      <c r="X49" s="939"/>
      <c r="Y49" s="939"/>
      <c r="Z49" s="939"/>
      <c r="AA49" s="939"/>
      <c r="AB49" s="939"/>
      <c r="AC49" s="939"/>
      <c r="AD49" s="939"/>
      <c r="AE49" s="939"/>
      <c r="AF49" s="939"/>
      <c r="AG49" s="939"/>
      <c r="AH49" s="939"/>
      <c r="AI49" s="940"/>
      <c r="AJ49" s="741"/>
      <c r="AK49" s="578"/>
      <c r="AL49" s="1758"/>
      <c r="AM49" s="1758"/>
    </row>
    <row r="50" spans="1:39" ht="12" customHeight="1" thickBot="1" x14ac:dyDescent="0.25">
      <c r="A50" s="29"/>
      <c r="B50" s="491"/>
      <c r="C50" s="577"/>
      <c r="D50" s="577"/>
      <c r="E50" s="577"/>
      <c r="F50" s="577"/>
      <c r="G50" s="577"/>
      <c r="H50" s="577"/>
      <c r="I50" s="577"/>
      <c r="J50" s="577"/>
      <c r="K50" s="577"/>
      <c r="L50" s="577"/>
      <c r="M50" s="577"/>
      <c r="N50" s="1110"/>
      <c r="O50" s="1110"/>
      <c r="P50" s="1110"/>
      <c r="Q50" s="1110"/>
      <c r="R50" s="577"/>
      <c r="S50" s="577"/>
      <c r="T50" s="577"/>
      <c r="U50" s="577"/>
      <c r="V50" s="577"/>
      <c r="W50" s="577"/>
      <c r="X50" s="577"/>
      <c r="Y50" s="577"/>
      <c r="Z50" s="577"/>
      <c r="AA50" s="577"/>
      <c r="AB50" s="577"/>
      <c r="AC50" s="577"/>
      <c r="AD50" s="577"/>
      <c r="AE50" s="577"/>
      <c r="AF50" s="577"/>
      <c r="AG50" s="577"/>
      <c r="AH50" s="577"/>
      <c r="AI50" s="577"/>
      <c r="AJ50" s="744"/>
      <c r="AK50" s="578"/>
      <c r="AL50" s="1758"/>
      <c r="AM50" s="1758"/>
    </row>
    <row r="51" spans="1:39" ht="12" customHeight="1" x14ac:dyDescent="0.2">
      <c r="A51" s="845"/>
      <c r="B51" s="845"/>
      <c r="C51" s="29"/>
      <c r="D51" s="29"/>
      <c r="E51" s="29"/>
      <c r="F51" s="29"/>
      <c r="G51" s="29"/>
      <c r="H51" s="845"/>
      <c r="I51" s="845"/>
      <c r="J51" s="845"/>
      <c r="K51" s="845"/>
      <c r="L51" s="845"/>
      <c r="M51" s="845"/>
      <c r="N51" s="845"/>
      <c r="O51" s="845"/>
      <c r="P51" s="845"/>
      <c r="Q51" s="845"/>
      <c r="R51" s="845"/>
      <c r="S51" s="845"/>
      <c r="T51" s="845"/>
      <c r="U51" s="845"/>
      <c r="V51" s="845"/>
      <c r="W51" s="845"/>
      <c r="X51" s="845"/>
      <c r="Y51" s="845"/>
      <c r="Z51" s="845"/>
      <c r="AA51" s="845"/>
      <c r="AB51" s="845"/>
      <c r="AC51" s="845"/>
      <c r="AD51" s="845"/>
      <c r="AE51" s="845"/>
      <c r="AF51" s="845"/>
      <c r="AG51" s="845"/>
      <c r="AH51" s="845"/>
      <c r="AI51" s="845"/>
      <c r="AJ51" s="578"/>
      <c r="AK51" s="578"/>
      <c r="AL51" s="3054"/>
      <c r="AM51" s="1758"/>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7" priority="11" operator="equal">
      <formula>0</formula>
    </cfRule>
  </conditionalFormatting>
  <conditionalFormatting sqref="C13:F25">
    <cfRule type="expression" dxfId="506" priority="9">
      <formula>$AL13</formula>
    </cfRule>
  </conditionalFormatting>
  <conditionalFormatting sqref="AA10:AI26">
    <cfRule type="cellIs" dxfId="505" priority="5" operator="equal">
      <formula>0</formula>
    </cfRule>
  </conditionalFormatting>
  <conditionalFormatting sqref="U13:X25">
    <cfRule type="expression" dxfId="504" priority="2">
      <formula>$AM13</formula>
    </cfRule>
  </conditionalFormatting>
  <conditionalFormatting sqref="N20:N26">
    <cfRule type="cellIs" dxfId="50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Tablas!$C$1770:$C$1783</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72" customWidth="1"/>
    <col min="19" max="19" width="1.7109375" style="772" customWidth="1"/>
    <col min="20" max="20" width="1.85546875" style="772" customWidth="1"/>
    <col min="21" max="21" width="5.7109375" style="772" customWidth="1"/>
    <col min="22" max="36" width="5.7109375" style="21" customWidth="1"/>
    <col min="37" max="37" width="5.7109375" style="579" customWidth="1"/>
    <col min="38" max="38" width="1.7109375" style="579" customWidth="1"/>
    <col min="39" max="39" width="5.7109375" style="579" customWidth="1"/>
    <col min="40" max="40" width="12.7109375" style="579" bestFit="1" customWidth="1"/>
    <col min="41" max="42" width="5.7109375" style="579"/>
    <col min="43" max="43" width="5.7109375" style="579" customWidth="1"/>
    <col min="44" max="46" width="5.7109375" style="579"/>
    <col min="47" max="47" width="5.7109375" style="579" customWidth="1"/>
    <col min="48" max="16384" width="5.7109375" style="21"/>
  </cols>
  <sheetData>
    <row r="1" spans="1:56" ht="12" customHeight="1" thickBot="1" x14ac:dyDescent="0.25">
      <c r="A1" s="2144"/>
      <c r="B1" s="845"/>
      <c r="C1" s="29"/>
      <c r="D1" s="29"/>
      <c r="E1" s="29"/>
      <c r="F1" s="29"/>
      <c r="G1" s="29"/>
      <c r="H1" s="29"/>
      <c r="I1" s="29"/>
      <c r="J1" s="29"/>
      <c r="K1" s="29"/>
      <c r="L1" s="29"/>
      <c r="M1" s="29"/>
      <c r="N1" s="29"/>
      <c r="O1" s="29"/>
      <c r="P1" s="29"/>
      <c r="Q1" s="29"/>
      <c r="R1" s="29"/>
      <c r="S1" s="2143"/>
      <c r="T1" s="2144"/>
      <c r="U1" s="845"/>
      <c r="V1" s="29"/>
      <c r="W1" s="29"/>
      <c r="X1" s="29"/>
      <c r="Y1" s="29"/>
      <c r="Z1" s="29"/>
      <c r="AA1" s="29"/>
      <c r="AB1" s="29"/>
      <c r="AC1" s="29"/>
      <c r="AD1" s="29"/>
      <c r="AE1" s="29"/>
      <c r="AF1" s="29"/>
      <c r="AG1" s="29"/>
      <c r="AH1" s="29"/>
      <c r="AI1" s="29"/>
      <c r="AJ1" s="29"/>
      <c r="AK1" s="578"/>
      <c r="AL1" s="2158"/>
      <c r="AM1" s="3044" t="s">
        <v>8741</v>
      </c>
      <c r="AN1" s="1737"/>
      <c r="AO1" s="1737"/>
      <c r="AP1" s="1737"/>
      <c r="AQ1" s="1737"/>
      <c r="AR1" s="1737"/>
      <c r="AS1" s="1737"/>
      <c r="AT1" s="1737"/>
      <c r="AU1" s="1737"/>
      <c r="AV1" s="1737"/>
      <c r="AW1" s="1737"/>
      <c r="AX1" s="1737"/>
      <c r="AY1" s="1737"/>
      <c r="AZ1" s="1737"/>
      <c r="BA1" s="1737"/>
      <c r="BB1" s="1737"/>
      <c r="BC1" s="1737"/>
      <c r="BD1" s="1737"/>
    </row>
    <row r="2" spans="1:56" ht="12" customHeight="1" thickBot="1" x14ac:dyDescent="0.25">
      <c r="A2" s="2144"/>
      <c r="B2" s="973"/>
      <c r="C2" s="673"/>
      <c r="D2" s="673"/>
      <c r="E2" s="673"/>
      <c r="F2" s="673"/>
      <c r="G2" s="673"/>
      <c r="H2" s="673"/>
      <c r="I2" s="673"/>
      <c r="J2" s="673"/>
      <c r="K2" s="673"/>
      <c r="L2" s="673"/>
      <c r="M2" s="673"/>
      <c r="N2" s="673"/>
      <c r="O2" s="673"/>
      <c r="P2" s="673"/>
      <c r="Q2" s="673"/>
      <c r="R2" s="674"/>
      <c r="S2" s="2143"/>
      <c r="T2" s="2145"/>
      <c r="U2" s="973"/>
      <c r="V2" s="673"/>
      <c r="W2" s="673"/>
      <c r="X2" s="673"/>
      <c r="Y2" s="673"/>
      <c r="Z2" s="673"/>
      <c r="AA2" s="673"/>
      <c r="AB2" s="673"/>
      <c r="AC2" s="673"/>
      <c r="AD2" s="673"/>
      <c r="AE2" s="673"/>
      <c r="AF2" s="673"/>
      <c r="AG2" s="673"/>
      <c r="AH2" s="673"/>
      <c r="AI2" s="673"/>
      <c r="AJ2" s="673"/>
      <c r="AK2" s="740"/>
      <c r="AL2" s="2158"/>
      <c r="AM2" s="1737"/>
      <c r="AN2" s="1737"/>
      <c r="AO2" s="1737"/>
      <c r="AP2" s="1737"/>
      <c r="AQ2" s="1737"/>
      <c r="AR2" s="1737"/>
      <c r="AS2" s="1737"/>
      <c r="AT2" s="1737"/>
      <c r="AU2" s="1737"/>
      <c r="AV2" s="1737"/>
      <c r="AW2" s="1737"/>
      <c r="AX2" s="1737"/>
      <c r="AY2" s="1737"/>
      <c r="AZ2" s="1737"/>
      <c r="BA2" s="1737"/>
      <c r="BB2" s="1737"/>
      <c r="BC2" s="1737"/>
      <c r="BD2" s="1737"/>
    </row>
    <row r="3" spans="1:56" ht="12" customHeight="1" x14ac:dyDescent="0.2">
      <c r="A3" s="2144"/>
      <c r="B3" s="974"/>
      <c r="C3" s="4914" t="s">
        <v>8472</v>
      </c>
      <c r="D3" s="4915"/>
      <c r="E3" s="4915"/>
      <c r="F3" s="4915"/>
      <c r="G3" s="4915"/>
      <c r="H3" s="4915"/>
      <c r="I3" s="4915"/>
      <c r="J3" s="4915"/>
      <c r="K3" s="4915"/>
      <c r="L3" s="4915"/>
      <c r="M3" s="4915"/>
      <c r="N3" s="4915"/>
      <c r="O3" s="4915"/>
      <c r="P3" s="4915"/>
      <c r="Q3" s="5482"/>
      <c r="R3" s="581"/>
      <c r="S3" s="2143"/>
      <c r="T3" s="2144"/>
      <c r="U3" s="974"/>
      <c r="V3" s="4914" t="s">
        <v>7118</v>
      </c>
      <c r="W3" s="4915"/>
      <c r="X3" s="4915"/>
      <c r="Y3" s="4915"/>
      <c r="Z3" s="4915"/>
      <c r="AA3" s="4915"/>
      <c r="AB3" s="4915"/>
      <c r="AC3" s="4915"/>
      <c r="AD3" s="4915"/>
      <c r="AE3" s="4915"/>
      <c r="AF3" s="4915"/>
      <c r="AG3" s="4915"/>
      <c r="AH3" s="4915"/>
      <c r="AI3" s="4915"/>
      <c r="AJ3" s="5482"/>
      <c r="AK3" s="741"/>
      <c r="AL3" s="2158"/>
      <c r="AM3" s="1737" t="s">
        <v>8622</v>
      </c>
      <c r="AN3" s="1737" t="str">
        <f>Tablas!AB771</f>
        <v>Tablas!$AB$640:$AB$741</v>
      </c>
      <c r="AO3" s="1737"/>
      <c r="AP3" s="1737"/>
      <c r="AQ3" s="1737"/>
      <c r="AR3" s="1737" t="s">
        <v>1393</v>
      </c>
      <c r="AS3" s="1737" t="str">
        <f>IF(AO93="","",", "&amp;AO93)&amp;IF(AO109="","",", "&amp;AO109)&amp;IF(AO125="","",", "&amp;AO125)</f>
        <v/>
      </c>
      <c r="AT3" s="1737" t="str">
        <f>IFERROR(RIGHT(AS3,LEN(AS3)-2),"")</f>
        <v/>
      </c>
      <c r="AU3" s="1737"/>
      <c r="AV3" s="1737"/>
      <c r="AW3" s="1737"/>
      <c r="AX3" s="1737"/>
      <c r="AY3" s="1737"/>
      <c r="AZ3" s="1737"/>
      <c r="BA3" s="1737"/>
      <c r="BB3" s="1737"/>
      <c r="BC3" s="1737"/>
      <c r="BD3" s="1737"/>
    </row>
    <row r="4" spans="1:56" ht="12" customHeight="1" thickBot="1" x14ac:dyDescent="0.25">
      <c r="A4" s="2144"/>
      <c r="B4" s="974"/>
      <c r="C4" s="4917"/>
      <c r="D4" s="4918"/>
      <c r="E4" s="4918"/>
      <c r="F4" s="4918"/>
      <c r="G4" s="4918"/>
      <c r="H4" s="4918"/>
      <c r="I4" s="4918"/>
      <c r="J4" s="4918"/>
      <c r="K4" s="4918"/>
      <c r="L4" s="4918"/>
      <c r="M4" s="4918"/>
      <c r="N4" s="4918"/>
      <c r="O4" s="4918"/>
      <c r="P4" s="4918"/>
      <c r="Q4" s="5483"/>
      <c r="R4" s="581"/>
      <c r="S4" s="2143"/>
      <c r="T4" s="2144"/>
      <c r="U4" s="974"/>
      <c r="V4" s="4917"/>
      <c r="W4" s="4918"/>
      <c r="X4" s="4918"/>
      <c r="Y4" s="4918"/>
      <c r="Z4" s="4918"/>
      <c r="AA4" s="4918"/>
      <c r="AB4" s="4918"/>
      <c r="AC4" s="4918"/>
      <c r="AD4" s="4918"/>
      <c r="AE4" s="4918"/>
      <c r="AF4" s="4918"/>
      <c r="AG4" s="4918"/>
      <c r="AH4" s="4918"/>
      <c r="AI4" s="4918"/>
      <c r="AJ4" s="5483"/>
      <c r="AK4" s="741"/>
      <c r="AL4" s="2158"/>
      <c r="AM4" s="1737" t="s">
        <v>8550</v>
      </c>
      <c r="AN4" s="1737" t="str">
        <f>Tablas!AD771</f>
        <v>Tablas!$AD$643:$AD$652</v>
      </c>
      <c r="AO4" s="1737"/>
      <c r="AP4" s="1737"/>
      <c r="AQ4" s="1737"/>
      <c r="AR4" s="1737" t="s">
        <v>7229</v>
      </c>
      <c r="AS4" s="1737" t="str">
        <f>IF(AP93="","",", "&amp;AP93)&amp;IF(AP109="","",", "&amp;AP109)&amp;IF(AP125="","",", "&amp;AP125)</f>
        <v/>
      </c>
      <c r="AT4" s="1737" t="str">
        <f>IFERROR(RIGHT(AS4,LEN(AS4)-2),"")</f>
        <v/>
      </c>
      <c r="AU4" s="1737"/>
      <c r="AV4" s="1737"/>
      <c r="AW4" s="1737"/>
      <c r="AX4" s="1737"/>
      <c r="AY4" s="1737"/>
      <c r="AZ4" s="1737"/>
      <c r="BA4" s="1737"/>
      <c r="BB4" s="1737"/>
      <c r="BC4" s="1737"/>
      <c r="BD4" s="1737"/>
    </row>
    <row r="5" spans="1:56" ht="12" customHeight="1" thickBot="1" x14ac:dyDescent="0.25">
      <c r="A5" s="2144"/>
      <c r="B5" s="974"/>
      <c r="C5" s="2409"/>
      <c r="D5" s="2409"/>
      <c r="E5" s="2409"/>
      <c r="F5" s="2409"/>
      <c r="G5" s="2409"/>
      <c r="H5" s="2409"/>
      <c r="I5" s="2409"/>
      <c r="J5" s="2409"/>
      <c r="K5" s="2409"/>
      <c r="L5" s="2409"/>
      <c r="M5" s="2409"/>
      <c r="N5" s="2409"/>
      <c r="O5" s="2409"/>
      <c r="P5" s="2409"/>
      <c r="Q5" s="2409"/>
      <c r="R5" s="581"/>
      <c r="S5" s="2143"/>
      <c r="T5" s="2144"/>
      <c r="U5" s="974"/>
      <c r="V5" s="2409"/>
      <c r="W5" s="2409"/>
      <c r="X5" s="2409"/>
      <c r="Y5" s="2409"/>
      <c r="Z5" s="2409"/>
      <c r="AA5" s="2409"/>
      <c r="AB5" s="2409"/>
      <c r="AC5" s="2409"/>
      <c r="AD5" s="2409"/>
      <c r="AE5" s="2409"/>
      <c r="AF5" s="2409"/>
      <c r="AG5" s="2409"/>
      <c r="AH5" s="2409"/>
      <c r="AI5" s="2409"/>
      <c r="AJ5" s="2409"/>
      <c r="AK5" s="741"/>
      <c r="AL5" s="2158"/>
      <c r="AM5" s="1737" t="s">
        <v>1579</v>
      </c>
      <c r="AN5" s="1737" t="str">
        <f>Tablas!AC771</f>
        <v>Tablas!$AC$640:$AC$684</v>
      </c>
      <c r="AO5" s="1737"/>
      <c r="AP5" s="1737"/>
      <c r="AQ5" s="1737"/>
      <c r="AR5" s="1737" t="s">
        <v>8330</v>
      </c>
      <c r="AS5" s="1737" t="str">
        <f>IF(AQ93="","",", "&amp;AQ93)&amp;IF(AQ109="","",", "&amp;AQ109)&amp;IF(AQ125="","",", "&amp;AQ125)</f>
        <v/>
      </c>
      <c r="AT5" s="1737" t="str">
        <f>IFERROR(RIGHT(AS5,LEN(AS5)-2),"")</f>
        <v/>
      </c>
      <c r="AU5" s="1737"/>
      <c r="AV5" s="1737"/>
      <c r="AW5" s="1737"/>
      <c r="AX5" s="1737"/>
      <c r="AY5" s="1737"/>
      <c r="AZ5" s="1737"/>
      <c r="BA5" s="1737"/>
      <c r="BB5" s="1737"/>
      <c r="BC5" s="1737"/>
      <c r="BD5" s="1737"/>
    </row>
    <row r="6" spans="1:56" ht="12" customHeight="1" x14ac:dyDescent="0.2">
      <c r="A6" s="2144"/>
      <c r="B6" s="974"/>
      <c r="C6" s="4439" t="s">
        <v>6593</v>
      </c>
      <c r="D6" s="4440"/>
      <c r="E6" s="4440"/>
      <c r="F6" s="5789" t="s">
        <v>7076</v>
      </c>
      <c r="G6" s="5790"/>
      <c r="H6" s="2409"/>
      <c r="I6" s="4439" t="s">
        <v>8668</v>
      </c>
      <c r="J6" s="4440"/>
      <c r="K6" s="4440"/>
      <c r="L6" s="5749"/>
      <c r="M6" s="5749"/>
      <c r="N6" s="5749"/>
      <c r="O6" s="5749"/>
      <c r="P6" s="5749"/>
      <c r="Q6" s="5753"/>
      <c r="R6" s="581"/>
      <c r="S6" s="2143"/>
      <c r="T6" s="2144"/>
      <c r="U6" s="974"/>
      <c r="V6" s="5773" t="s">
        <v>10102</v>
      </c>
      <c r="W6" s="5756" t="s">
        <v>8334</v>
      </c>
      <c r="X6" s="5756"/>
      <c r="Y6" s="5667" t="s">
        <v>8332</v>
      </c>
      <c r="Z6" s="5667"/>
      <c r="AA6" s="5669" t="s">
        <v>8331</v>
      </c>
      <c r="AB6" s="5669"/>
      <c r="AC6" s="5669" t="s">
        <v>8674</v>
      </c>
      <c r="AD6" s="5669"/>
      <c r="AE6" s="5669" t="s">
        <v>8676</v>
      </c>
      <c r="AF6" s="5669"/>
      <c r="AG6" s="5667" t="s">
        <v>8696</v>
      </c>
      <c r="AH6" s="5668"/>
      <c r="AI6" s="5667" t="s">
        <v>8695</v>
      </c>
      <c r="AJ6" s="5679"/>
      <c r="AK6" s="741"/>
      <c r="AL6" s="2158"/>
      <c r="AM6" s="1737" t="s">
        <v>8623</v>
      </c>
      <c r="AN6" s="1737" t="str">
        <f>Tablas!AE771</f>
        <v>Tablas!$AE$643:$AE$656</v>
      </c>
      <c r="AO6" s="1737"/>
      <c r="AP6" s="1737"/>
      <c r="AQ6" s="1737"/>
      <c r="AR6" s="1737" t="s">
        <v>1566</v>
      </c>
      <c r="AS6" s="1737" t="str">
        <f>IF(AR93="","",", ")&amp;AR93&amp;IF(AR109="","",", "&amp;AR109)&amp;IF(AR125="","",", "&amp;AR125)</f>
        <v/>
      </c>
      <c r="AT6" s="1737" t="str">
        <f>IFERROR(RIGHT(AS6,LEN(AS6)-2),"")</f>
        <v/>
      </c>
      <c r="AU6" s="1737"/>
      <c r="AV6" s="1737"/>
      <c r="AW6" s="1737"/>
      <c r="AX6" s="1737"/>
      <c r="AY6" s="1737"/>
      <c r="AZ6" s="1737"/>
      <c r="BA6" s="1737"/>
      <c r="BB6" s="1737"/>
      <c r="BC6" s="1737"/>
      <c r="BD6" s="1737"/>
    </row>
    <row r="7" spans="1:56" ht="12" customHeight="1" thickBot="1" x14ac:dyDescent="0.25">
      <c r="A7" s="2144"/>
      <c r="B7" s="974"/>
      <c r="C7" s="5492"/>
      <c r="D7" s="5493"/>
      <c r="E7" s="5493"/>
      <c r="F7" s="5791"/>
      <c r="G7" s="5792"/>
      <c r="H7" s="2409"/>
      <c r="I7" s="5492"/>
      <c r="J7" s="5493"/>
      <c r="K7" s="5493"/>
      <c r="L7" s="5750"/>
      <c r="M7" s="5750"/>
      <c r="N7" s="5750"/>
      <c r="O7" s="5750"/>
      <c r="P7" s="5750"/>
      <c r="Q7" s="5754"/>
      <c r="R7" s="581"/>
      <c r="S7" s="2143"/>
      <c r="T7" s="2144"/>
      <c r="U7" s="974"/>
      <c r="V7" s="5774"/>
      <c r="W7" s="5736" t="s">
        <v>1393</v>
      </c>
      <c r="X7" s="5737"/>
      <c r="Y7" s="5677"/>
      <c r="Z7" s="5755"/>
      <c r="AA7" s="5776"/>
      <c r="AB7" s="5682"/>
      <c r="AC7" s="5776"/>
      <c r="AD7" s="5683"/>
      <c r="AE7" s="5682"/>
      <c r="AF7" s="5683"/>
      <c r="AG7" s="5670"/>
      <c r="AH7" s="5670"/>
      <c r="AI7" s="5680"/>
      <c r="AJ7" s="5155"/>
      <c r="AK7" s="741"/>
      <c r="AL7" s="2158"/>
      <c r="AM7" s="1737"/>
      <c r="AN7" s="1737"/>
      <c r="AO7" s="1737"/>
      <c r="AP7" s="1737"/>
      <c r="AQ7" s="1737"/>
      <c r="AR7" s="1737"/>
      <c r="AS7" s="1737"/>
      <c r="AT7" s="1737"/>
      <c r="AU7" s="1737"/>
      <c r="AV7" s="1737"/>
      <c r="AW7" s="1737"/>
      <c r="AX7" s="1737"/>
      <c r="AY7" s="1737"/>
      <c r="AZ7" s="1737"/>
      <c r="BA7" s="1737"/>
      <c r="BB7" s="1737"/>
      <c r="BC7" s="1737"/>
      <c r="BD7" s="1737"/>
    </row>
    <row r="8" spans="1:56" ht="12" customHeight="1" thickBot="1" x14ac:dyDescent="0.25">
      <c r="A8" s="2144"/>
      <c r="B8" s="974"/>
      <c r="C8" s="2409"/>
      <c r="D8" s="2409"/>
      <c r="E8" s="2409"/>
      <c r="F8" s="2409"/>
      <c r="G8" s="2409"/>
      <c r="H8" s="2409"/>
      <c r="I8" s="2409"/>
      <c r="J8" s="2409"/>
      <c r="K8" s="2409"/>
      <c r="L8" s="2409"/>
      <c r="M8" s="2409"/>
      <c r="N8" s="2409"/>
      <c r="O8" s="2409"/>
      <c r="P8" s="2409"/>
      <c r="Q8" s="2409"/>
      <c r="R8" s="581"/>
      <c r="S8" s="2143"/>
      <c r="T8" s="2144"/>
      <c r="U8" s="974"/>
      <c r="V8" s="5774"/>
      <c r="W8" s="5736" t="s">
        <v>7229</v>
      </c>
      <c r="X8" s="5737"/>
      <c r="Y8" s="5680"/>
      <c r="Z8" s="5670"/>
      <c r="AA8" s="5674"/>
      <c r="AB8" s="5675"/>
      <c r="AC8" s="5674"/>
      <c r="AD8" s="5675"/>
      <c r="AE8" s="5674"/>
      <c r="AF8" s="5675"/>
      <c r="AG8" s="5674"/>
      <c r="AH8" s="5675"/>
      <c r="AI8" s="5674"/>
      <c r="AJ8" s="5681"/>
      <c r="AK8" s="741"/>
      <c r="AL8" s="2158"/>
      <c r="AM8" s="1737"/>
      <c r="AN8" s="1737"/>
      <c r="AO8" s="1737"/>
      <c r="AP8" s="1737" t="s">
        <v>1373</v>
      </c>
      <c r="AQ8" s="1737"/>
      <c r="AR8" s="1737"/>
      <c r="AS8" s="1737"/>
      <c r="AT8" s="1737"/>
      <c r="AU8" s="1737"/>
      <c r="AV8" s="1737"/>
      <c r="AW8" s="1737"/>
      <c r="AX8" s="1737"/>
      <c r="AY8" s="1737"/>
      <c r="AZ8" s="1737"/>
      <c r="BA8" s="1737"/>
      <c r="BB8" s="1737"/>
      <c r="BC8" s="1737"/>
      <c r="BD8" s="1737"/>
    </row>
    <row r="9" spans="1:56" ht="12" customHeight="1" thickBot="1" x14ac:dyDescent="0.25">
      <c r="A9" s="2144"/>
      <c r="B9" s="974"/>
      <c r="C9" s="3307" t="s">
        <v>9329</v>
      </c>
      <c r="D9" s="3308"/>
      <c r="E9" s="3308"/>
      <c r="F9" s="5810" t="s">
        <v>1381</v>
      </c>
      <c r="G9" s="5811"/>
      <c r="H9" s="2409"/>
      <c r="I9" s="3115" t="s">
        <v>1526</v>
      </c>
      <c r="J9" s="3116"/>
      <c r="K9" s="3116"/>
      <c r="L9" s="3116"/>
      <c r="M9" s="3116"/>
      <c r="N9" s="3116"/>
      <c r="O9" s="3116"/>
      <c r="P9" s="3116"/>
      <c r="Q9" s="3117"/>
      <c r="R9" s="581"/>
      <c r="S9" s="2143"/>
      <c r="T9" s="2144"/>
      <c r="U9" s="974"/>
      <c r="V9" s="5774"/>
      <c r="W9" s="5736" t="s">
        <v>8330</v>
      </c>
      <c r="X9" s="5737"/>
      <c r="Y9" s="5674"/>
      <c r="Z9" s="5675"/>
      <c r="AA9" s="5674"/>
      <c r="AB9" s="5675"/>
      <c r="AC9" s="5674"/>
      <c r="AD9" s="5675"/>
      <c r="AE9" s="5674"/>
      <c r="AF9" s="5675"/>
      <c r="AG9" s="5670"/>
      <c r="AH9" s="5670"/>
      <c r="AI9" s="5680"/>
      <c r="AJ9" s="5155"/>
      <c r="AK9" s="741"/>
      <c r="AL9" s="2158"/>
      <c r="AM9" s="3044" t="s">
        <v>6579</v>
      </c>
      <c r="AN9" s="3055" t="b">
        <f>OR(IF(Personalización!E15="",,COUNTIF(RaícesCulturales_Especial1,Personalización!$E$15)=0),IF(Personalización!E16="",,COUNTIF(RaícesCulturales_Especial2,Personalización!$E$16)=0))</f>
        <v>0</v>
      </c>
      <c r="AO9" s="1737"/>
      <c r="AP9" s="1737" t="s">
        <v>1498</v>
      </c>
      <c r="AQ9" s="1737"/>
      <c r="AR9" s="1737"/>
      <c r="AS9" s="1737"/>
      <c r="AT9" s="1737"/>
      <c r="AU9" s="1737"/>
      <c r="AV9" s="1737"/>
      <c r="AW9" s="1737"/>
      <c r="AX9" s="1737"/>
      <c r="AY9" s="1737"/>
      <c r="AZ9" s="1737"/>
      <c r="BA9" s="1737"/>
      <c r="BB9" s="1737"/>
      <c r="BC9" s="1737"/>
      <c r="BD9" s="1737"/>
    </row>
    <row r="10" spans="1:56" ht="12" customHeight="1" thickBot="1" x14ac:dyDescent="0.25">
      <c r="A10" s="2144"/>
      <c r="B10" s="974"/>
      <c r="C10" s="2409"/>
      <c r="D10" s="2409"/>
      <c r="E10" s="2409"/>
      <c r="F10" s="2409"/>
      <c r="G10" s="2409"/>
      <c r="H10" s="2409"/>
      <c r="I10" s="4837" t="s">
        <v>1527</v>
      </c>
      <c r="J10" s="3471"/>
      <c r="K10" s="2914" t="s">
        <v>1528</v>
      </c>
      <c r="L10" s="5757" t="s">
        <v>1529</v>
      </c>
      <c r="M10" s="3313"/>
      <c r="N10" s="5757" t="s">
        <v>1530</v>
      </c>
      <c r="O10" s="5758"/>
      <c r="P10" s="5759" t="s">
        <v>10406</v>
      </c>
      <c r="Q10" s="5760"/>
      <c r="R10" s="581"/>
      <c r="S10" s="2143"/>
      <c r="T10" s="2144"/>
      <c r="U10" s="974"/>
      <c r="V10" s="5774"/>
      <c r="W10" s="5736" t="s">
        <v>1566</v>
      </c>
      <c r="X10" s="5737"/>
      <c r="Y10" s="5680"/>
      <c r="Z10" s="5670"/>
      <c r="AA10" s="5680"/>
      <c r="AB10" s="5670"/>
      <c r="AC10" s="5665"/>
      <c r="AD10" s="5672"/>
      <c r="AE10" s="5670"/>
      <c r="AF10" s="5671"/>
      <c r="AG10" s="5665"/>
      <c r="AH10" s="5672"/>
      <c r="AI10" s="5665"/>
      <c r="AJ10" s="5666"/>
      <c r="AK10" s="741"/>
      <c r="AL10" s="2158"/>
      <c r="AM10" s="1737"/>
      <c r="AN10" s="1737"/>
      <c r="AO10" s="1737"/>
      <c r="AP10" s="1737" t="s">
        <v>1378</v>
      </c>
      <c r="AQ10" s="1737"/>
      <c r="AR10" s="1737"/>
      <c r="AS10" s="1737"/>
      <c r="AT10" s="1737"/>
      <c r="AU10" s="1737"/>
      <c r="AV10" s="1737"/>
      <c r="AW10" s="1737"/>
      <c r="AX10" s="1737"/>
      <c r="AY10" s="1737"/>
      <c r="AZ10" s="1737"/>
      <c r="BA10" s="1737"/>
      <c r="BB10" s="1737"/>
      <c r="BC10" s="1737"/>
      <c r="BD10" s="1737"/>
    </row>
    <row r="11" spans="1:56" ht="12" customHeight="1" thickBot="1" x14ac:dyDescent="0.25">
      <c r="A11" s="2144"/>
      <c r="B11" s="974"/>
      <c r="C11" s="3307" t="s">
        <v>6582</v>
      </c>
      <c r="D11" s="3308"/>
      <c r="E11" s="3308"/>
      <c r="F11" s="3308"/>
      <c r="G11" s="3309"/>
      <c r="H11" s="2409"/>
      <c r="I11" s="5465" t="s">
        <v>10404</v>
      </c>
      <c r="J11" s="5466"/>
      <c r="K11" s="2125">
        <f>Tablas!$G$284-IF(L11=0,0,1)-IF(N11=0,0,1)-IF(P11=0,0,1)</f>
        <v>0</v>
      </c>
      <c r="L11" s="5443"/>
      <c r="M11" s="5447"/>
      <c r="N11" s="5752"/>
      <c r="O11" s="5447"/>
      <c r="P11" s="5752"/>
      <c r="Q11" s="5761"/>
      <c r="R11" s="581"/>
      <c r="S11" s="2143"/>
      <c r="T11" s="2144"/>
      <c r="U11" s="974"/>
      <c r="V11" s="5774"/>
      <c r="W11" s="5751" t="s">
        <v>8334</v>
      </c>
      <c r="X11" s="5751"/>
      <c r="Y11" s="5765"/>
      <c r="Z11" s="5766"/>
      <c r="AA11" s="5673" t="s">
        <v>8333</v>
      </c>
      <c r="AB11" s="5673"/>
      <c r="AC11" s="5673" t="s">
        <v>8675</v>
      </c>
      <c r="AD11" s="5673"/>
      <c r="AE11" s="5673" t="s">
        <v>8677</v>
      </c>
      <c r="AF11" s="5673"/>
      <c r="AG11" s="5673" t="s">
        <v>8693</v>
      </c>
      <c r="AH11" s="5673"/>
      <c r="AI11" s="5673" t="s">
        <v>8694</v>
      </c>
      <c r="AJ11" s="5676"/>
      <c r="AK11" s="741"/>
      <c r="AL11" s="2158"/>
      <c r="AM11" s="3044" t="s">
        <v>6580</v>
      </c>
      <c r="AN11" s="3061" t="str">
        <f>IF(Tablas!L136="","",IF(AND(Region="Elcia",OR(ClaseSocial=Tablas!CK140,ClaseSocial=Tablas!CL140,ClaseSocial=Tablas!CM140)),"Habilidades_Secundarias","RaícesCulturales_Especial1"))</f>
        <v/>
      </c>
      <c r="AO11" s="1737"/>
      <c r="AP11" s="1737" t="s">
        <v>1383</v>
      </c>
      <c r="AQ11" s="1737"/>
      <c r="AR11" s="1737"/>
      <c r="AS11" s="1737"/>
      <c r="AT11" s="1737"/>
      <c r="AU11" s="1737"/>
      <c r="AV11" s="1737"/>
      <c r="AW11" s="1737"/>
      <c r="AX11" s="1737"/>
      <c r="AY11" s="1737"/>
      <c r="AZ11" s="1737"/>
      <c r="BA11" s="1737"/>
      <c r="BB11" s="1737"/>
      <c r="BC11" s="1737"/>
      <c r="BD11" s="1737"/>
    </row>
    <row r="12" spans="1:56" ht="12" customHeight="1" x14ac:dyDescent="0.2">
      <c r="A12" s="2144"/>
      <c r="B12" s="974"/>
      <c r="C12" s="5838" t="str">
        <f>IF(Tablas!G487&gt;0,"Ventaja elegida","Aplicar bonos:")</f>
        <v>Aplicar bonos:</v>
      </c>
      <c r="D12" s="5839"/>
      <c r="E12" s="5835" t="s">
        <v>1381</v>
      </c>
      <c r="F12" s="5836"/>
      <c r="G12" s="5837"/>
      <c r="H12" s="2409"/>
      <c r="I12" s="5848" t="s">
        <v>10405</v>
      </c>
      <c r="J12" s="5849"/>
      <c r="K12" s="2913">
        <f>Tablas!$G$285-IF(L12=0,0,1)-IF(N12=0,0,1)-IF(P12=0,0,1)</f>
        <v>0</v>
      </c>
      <c r="L12" s="5441"/>
      <c r="M12" s="5442"/>
      <c r="N12" s="5832"/>
      <c r="O12" s="5442"/>
      <c r="P12" s="5832"/>
      <c r="Q12" s="5847"/>
      <c r="R12" s="581"/>
      <c r="S12" s="2143"/>
      <c r="T12" s="2144"/>
      <c r="U12" s="974"/>
      <c r="V12" s="5774"/>
      <c r="W12" s="5736" t="s">
        <v>1393</v>
      </c>
      <c r="X12" s="5737"/>
      <c r="Y12" s="5767"/>
      <c r="Z12" s="5768"/>
      <c r="AA12" s="5680"/>
      <c r="AB12" s="5670"/>
      <c r="AC12" s="5776"/>
      <c r="AD12" s="5683"/>
      <c r="AE12" s="5670"/>
      <c r="AF12" s="5671"/>
      <c r="AG12" s="5670"/>
      <c r="AH12" s="5670"/>
      <c r="AI12" s="5677"/>
      <c r="AJ12" s="5678"/>
      <c r="AK12" s="741"/>
      <c r="AL12" s="2158"/>
      <c r="AM12" s="3044" t="s">
        <v>6581</v>
      </c>
      <c r="AN12" s="3061" t="str">
        <f>IF(Tablas!N136="","","RaícesCulturales_Especial2")</f>
        <v/>
      </c>
      <c r="AO12" s="1737"/>
      <c r="AP12" s="1737" t="s">
        <v>1386</v>
      </c>
      <c r="AQ12" s="1737"/>
      <c r="AR12" s="1737"/>
      <c r="AS12" s="1737"/>
      <c r="AT12" s="1737"/>
      <c r="AU12" s="1737"/>
      <c r="AV12" s="1737"/>
      <c r="AW12" s="1737"/>
      <c r="AX12" s="1737"/>
      <c r="AY12" s="1737"/>
      <c r="AZ12" s="1737"/>
      <c r="BA12" s="1737"/>
      <c r="BB12" s="1737"/>
      <c r="BC12" s="1737"/>
      <c r="BD12" s="1737"/>
    </row>
    <row r="13" spans="1:56" ht="12" customHeight="1" x14ac:dyDescent="0.2">
      <c r="A13" s="2144"/>
      <c r="B13" s="974"/>
      <c r="C13" s="5824" t="str">
        <f>IF(Region="","Región no definida",Region)</f>
        <v>Región no definida</v>
      </c>
      <c r="D13" s="5825"/>
      <c r="E13" s="5825" t="str">
        <f>IF(OR(Region="",ClaseSocial=""),"Clase social no definida",ClaseSocial)</f>
        <v>Clase social no definida</v>
      </c>
      <c r="F13" s="5825"/>
      <c r="G13" s="5826"/>
      <c r="H13" s="2409"/>
      <c r="I13" s="5465" t="s">
        <v>10401</v>
      </c>
      <c r="J13" s="5466"/>
      <c r="K13" s="2125">
        <f>Tablas!$G$293-IF(L13=0,0,1)-IF(N13=0,0,1)-IF(P13=0,0,1)</f>
        <v>0</v>
      </c>
      <c r="L13" s="5443"/>
      <c r="M13" s="5444"/>
      <c r="N13" s="5443"/>
      <c r="O13" s="5447"/>
      <c r="P13" s="5752"/>
      <c r="Q13" s="5761"/>
      <c r="R13" s="581"/>
      <c r="S13" s="2143"/>
      <c r="T13" s="2144"/>
      <c r="U13" s="974"/>
      <c r="V13" s="5774"/>
      <c r="W13" s="5736" t="s">
        <v>7229</v>
      </c>
      <c r="X13" s="5737"/>
      <c r="Y13" s="5767"/>
      <c r="Z13" s="5768"/>
      <c r="AA13" s="5771"/>
      <c r="AB13" s="5772"/>
      <c r="AC13" s="5674"/>
      <c r="AD13" s="5675"/>
      <c r="AE13" s="5674"/>
      <c r="AF13" s="5675"/>
      <c r="AG13" s="5771"/>
      <c r="AH13" s="5772"/>
      <c r="AI13" s="5680"/>
      <c r="AJ13" s="5155"/>
      <c r="AK13" s="741"/>
      <c r="AL13" s="2158"/>
      <c r="AM13" s="1737"/>
      <c r="AN13" s="1737"/>
      <c r="AO13" s="1737"/>
      <c r="AP13" s="1737" t="s">
        <v>1389</v>
      </c>
      <c r="AQ13" s="1737"/>
      <c r="AR13" s="1737"/>
      <c r="AS13" s="1737"/>
      <c r="AT13" s="1737"/>
      <c r="AU13" s="1737"/>
      <c r="AV13" s="1737"/>
      <c r="AW13" s="1737"/>
      <c r="AX13" s="1737"/>
      <c r="AY13" s="1737"/>
      <c r="AZ13" s="1737"/>
      <c r="BA13" s="1737"/>
      <c r="BB13" s="1737"/>
      <c r="BC13" s="1737"/>
      <c r="BD13" s="1737"/>
    </row>
    <row r="14" spans="1:56" ht="12" customHeight="1" x14ac:dyDescent="0.2">
      <c r="A14" s="2144"/>
      <c r="B14" s="974"/>
      <c r="C14" s="5824"/>
      <c r="D14" s="5825"/>
      <c r="E14" s="5825"/>
      <c r="F14" s="5825"/>
      <c r="G14" s="5826"/>
      <c r="H14" s="2409"/>
      <c r="I14" s="5467" t="s">
        <v>10402</v>
      </c>
      <c r="J14" s="5468"/>
      <c r="K14" s="2126">
        <f>Tablas!$G$294-IF(L14=0,0,1)-IF(N14=0,0,1)-IF(P14=0,0,1)</f>
        <v>0</v>
      </c>
      <c r="L14" s="5445"/>
      <c r="M14" s="4125"/>
      <c r="N14" s="5445"/>
      <c r="O14" s="5458"/>
      <c r="P14" s="5840"/>
      <c r="Q14" s="5841"/>
      <c r="R14" s="581"/>
      <c r="S14" s="2143"/>
      <c r="T14" s="2144"/>
      <c r="U14" s="974"/>
      <c r="V14" s="5774"/>
      <c r="W14" s="5736" t="s">
        <v>8330</v>
      </c>
      <c r="X14" s="5737"/>
      <c r="Y14" s="5767"/>
      <c r="Z14" s="5768"/>
      <c r="AA14" s="5771"/>
      <c r="AB14" s="5772"/>
      <c r="AC14" s="5777"/>
      <c r="AD14" s="5778"/>
      <c r="AE14" s="5674"/>
      <c r="AF14" s="5675"/>
      <c r="AG14" s="5674"/>
      <c r="AH14" s="5675"/>
      <c r="AI14" s="5674"/>
      <c r="AJ14" s="5681"/>
      <c r="AK14" s="741"/>
      <c r="AL14" s="2158"/>
      <c r="AM14" s="1737" t="s">
        <v>8476</v>
      </c>
      <c r="AN14" s="3107" t="b">
        <f>AND(E50="Cumplido",OR(Raza="Ebudan",Nephilim="Nephilim Ebudan"))</f>
        <v>0</v>
      </c>
      <c r="AO14" s="1737"/>
      <c r="AP14" s="1737" t="s">
        <v>1391</v>
      </c>
      <c r="AQ14" s="1737"/>
      <c r="AR14" s="1737"/>
      <c r="AS14" s="1737"/>
      <c r="AT14" s="1737"/>
      <c r="AU14" s="1737"/>
      <c r="AV14" s="1737"/>
      <c r="AW14" s="1737"/>
      <c r="AX14" s="1737"/>
      <c r="AY14" s="1737"/>
      <c r="AZ14" s="1737"/>
      <c r="BA14" s="1737"/>
      <c r="BB14" s="1737"/>
      <c r="BC14" s="1737"/>
      <c r="BD14" s="1737"/>
    </row>
    <row r="15" spans="1:56" ht="12" customHeight="1" thickBot="1" x14ac:dyDescent="0.25">
      <c r="A15" s="2144"/>
      <c r="B15" s="974"/>
      <c r="C15" s="5815" t="str">
        <f>IFERROR(IF(Tablas!L136="","","Bono Especial:"),"")</f>
        <v/>
      </c>
      <c r="D15" s="5816"/>
      <c r="E15" s="5812"/>
      <c r="F15" s="5813"/>
      <c r="G15" s="5814"/>
      <c r="H15" s="2409"/>
      <c r="I15" s="5469" t="s">
        <v>10403</v>
      </c>
      <c r="J15" s="5470"/>
      <c r="K15" s="2574">
        <f>Tablas!$G$295-IF(L15=0,0,1)-IF(N15=0,0,1)-IF(P15=0,0,1)</f>
        <v>0</v>
      </c>
      <c r="L15" s="5446"/>
      <c r="M15" s="4128"/>
      <c r="N15" s="5446"/>
      <c r="O15" s="5448"/>
      <c r="P15" s="5449"/>
      <c r="Q15" s="4907"/>
      <c r="R15" s="581"/>
      <c r="S15" s="2143"/>
      <c r="T15" s="2144"/>
      <c r="U15" s="974"/>
      <c r="V15" s="5775"/>
      <c r="W15" s="5779" t="s">
        <v>1566</v>
      </c>
      <c r="X15" s="5780"/>
      <c r="Y15" s="5769"/>
      <c r="Z15" s="5770"/>
      <c r="AA15" s="5787"/>
      <c r="AB15" s="5788"/>
      <c r="AC15" s="5744"/>
      <c r="AD15" s="5745"/>
      <c r="AE15" s="5786"/>
      <c r="AF15" s="5745"/>
      <c r="AG15" s="5786"/>
      <c r="AH15" s="5786"/>
      <c r="AI15" s="5744"/>
      <c r="AJ15" s="5157"/>
      <c r="AK15" s="741"/>
      <c r="AL15" s="2158"/>
      <c r="AM15" s="1737" t="s">
        <v>8467</v>
      </c>
      <c r="AN15" s="3107" t="b">
        <f>AND($AN$14,E52="Sí")</f>
        <v>0</v>
      </c>
      <c r="AO15" s="1737"/>
      <c r="AP15" s="1737" t="s">
        <v>1392</v>
      </c>
      <c r="AQ15" s="1737"/>
      <c r="AR15" s="1737"/>
      <c r="AS15" s="1737"/>
      <c r="AT15" s="1737"/>
      <c r="AU15" s="1737"/>
      <c r="AV15" s="1737"/>
      <c r="AW15" s="1737"/>
      <c r="AX15" s="1737"/>
      <c r="AY15" s="1737"/>
      <c r="AZ15" s="1737"/>
      <c r="BA15" s="1737"/>
      <c r="BB15" s="1737"/>
      <c r="BC15" s="1737"/>
      <c r="BD15" s="1737"/>
    </row>
    <row r="16" spans="1:56" ht="12" customHeight="1" thickBot="1" x14ac:dyDescent="0.25">
      <c r="A16" s="2144"/>
      <c r="B16" s="974"/>
      <c r="C16" s="5658" t="str">
        <f>IFERROR(IF(Tablas!N136="","","Bono Especial:"),"")</f>
        <v/>
      </c>
      <c r="D16" s="5659"/>
      <c r="E16" s="5805"/>
      <c r="F16" s="5806"/>
      <c r="G16" s="5807"/>
      <c r="H16" s="2409"/>
      <c r="I16" s="5746" t="str">
        <f>IF(SUM(K11:K12)+SUM(K13:K15)&gt;0,"Selecciona la/s Habilidad/es asociadas a las Ventajas",IF(SUM(K11:K12)+SUM(K13:K15)&lt;0,"Exceso de Habilidad/es seleccionadas",""))</f>
        <v/>
      </c>
      <c r="J16" s="5747"/>
      <c r="K16" s="5747"/>
      <c r="L16" s="5747"/>
      <c r="M16" s="5747"/>
      <c r="N16" s="5747"/>
      <c r="O16" s="5747"/>
      <c r="P16" s="5747"/>
      <c r="Q16" s="5748"/>
      <c r="R16" s="581"/>
      <c r="S16" s="2143"/>
      <c r="T16" s="2144"/>
      <c r="U16" s="974"/>
      <c r="V16" s="2409"/>
      <c r="W16" s="2409"/>
      <c r="X16" s="2409"/>
      <c r="Y16" s="2409"/>
      <c r="Z16" s="2409"/>
      <c r="AA16" s="2409"/>
      <c r="AB16" s="2409"/>
      <c r="AC16" s="2409"/>
      <c r="AD16" s="2409"/>
      <c r="AE16" s="2409"/>
      <c r="AF16" s="2409"/>
      <c r="AG16" s="2409"/>
      <c r="AH16" s="2409"/>
      <c r="AI16" s="2409"/>
      <c r="AJ16" s="2409"/>
      <c r="AK16" s="741"/>
      <c r="AL16" s="2158"/>
      <c r="AM16" s="1737"/>
      <c r="AN16" s="1737"/>
      <c r="AO16" s="1737"/>
      <c r="AP16" s="1737" t="s">
        <v>10465</v>
      </c>
      <c r="AQ16" s="1737"/>
      <c r="AR16" s="1737"/>
      <c r="AS16" s="1737"/>
      <c r="AT16" s="1737"/>
      <c r="AU16" s="1737"/>
      <c r="AV16" s="1737"/>
      <c r="AW16" s="1737"/>
      <c r="AX16" s="1737"/>
      <c r="AY16" s="1737"/>
      <c r="AZ16" s="1737"/>
      <c r="BA16" s="1737"/>
      <c r="BB16" s="1737"/>
      <c r="BC16" s="1737"/>
      <c r="BD16" s="1737"/>
    </row>
    <row r="17" spans="1:56" ht="12" customHeight="1" thickBot="1" x14ac:dyDescent="0.25">
      <c r="A17" s="2144"/>
      <c r="B17" s="974"/>
      <c r="C17" s="2409"/>
      <c r="D17" s="2409"/>
      <c r="E17" s="2409"/>
      <c r="F17" s="2409"/>
      <c r="G17" s="2409"/>
      <c r="H17" s="2409"/>
      <c r="I17" s="2409"/>
      <c r="J17" s="2409"/>
      <c r="K17" s="2409"/>
      <c r="L17" s="2409"/>
      <c r="M17" s="2409"/>
      <c r="N17" s="2409"/>
      <c r="O17" s="2409"/>
      <c r="P17" s="2409"/>
      <c r="Q17" s="2409"/>
      <c r="R17" s="581"/>
      <c r="S17" s="2143"/>
      <c r="T17" s="2144"/>
      <c r="U17" s="974"/>
      <c r="V17" s="3375" t="s">
        <v>1825</v>
      </c>
      <c r="W17" s="3376"/>
      <c r="X17" s="3376"/>
      <c r="Y17" s="3376"/>
      <c r="Z17" s="3376"/>
      <c r="AA17" s="3376"/>
      <c r="AB17" s="3460"/>
      <c r="AC17" s="3460"/>
      <c r="AD17" s="3460"/>
      <c r="AE17" s="3460"/>
      <c r="AF17" s="3460"/>
      <c r="AG17" s="3460"/>
      <c r="AH17" s="3460"/>
      <c r="AI17" s="3460"/>
      <c r="AJ17" s="3703"/>
      <c r="AK17" s="741"/>
      <c r="AL17" s="2158"/>
      <c r="AM17" s="1737" t="s">
        <v>6964</v>
      </c>
      <c r="AN17" s="1737"/>
      <c r="AO17" s="1737"/>
      <c r="AP17" s="1737"/>
      <c r="AQ17" s="1737"/>
      <c r="AR17" s="1737"/>
      <c r="AS17" s="1737"/>
      <c r="AT17" s="1737"/>
      <c r="AU17" s="1737"/>
      <c r="AV17" s="1737"/>
      <c r="AW17" s="1737"/>
      <c r="AX17" s="1737"/>
      <c r="AY17" s="1737"/>
      <c r="AZ17" s="1737"/>
      <c r="BA17" s="1737"/>
      <c r="BB17" s="1737"/>
      <c r="BC17" s="1737"/>
      <c r="BD17" s="1737"/>
    </row>
    <row r="18" spans="1:56" ht="12" customHeight="1" x14ac:dyDescent="0.2">
      <c r="A18" s="2144"/>
      <c r="B18" s="974"/>
      <c r="C18" s="5817" t="s">
        <v>10052</v>
      </c>
      <c r="D18" s="5818"/>
      <c r="E18" s="5818"/>
      <c r="F18" s="5463"/>
      <c r="G18" s="5464"/>
      <c r="H18" s="2585"/>
      <c r="I18" s="5463"/>
      <c r="J18" s="5464"/>
      <c r="K18" s="2585"/>
      <c r="L18" s="5463"/>
      <c r="M18" s="5464"/>
      <c r="N18" s="2581"/>
      <c r="O18" s="5463"/>
      <c r="P18" s="5464"/>
      <c r="Q18" s="2585"/>
      <c r="R18" s="581"/>
      <c r="S18" s="2143"/>
      <c r="T18" s="2144"/>
      <c r="U18" s="974"/>
      <c r="V18" s="5714" t="s">
        <v>1323</v>
      </c>
      <c r="W18" s="5715"/>
      <c r="X18" s="5741"/>
      <c r="Y18" s="5742"/>
      <c r="Z18" s="5742"/>
      <c r="AA18" s="5743"/>
      <c r="AB18" s="1793" t="s">
        <v>8670</v>
      </c>
      <c r="AC18" s="5783"/>
      <c r="AD18" s="5784"/>
      <c r="AE18" s="5784"/>
      <c r="AF18" s="5784"/>
      <c r="AG18" s="5784"/>
      <c r="AH18" s="5784"/>
      <c r="AI18" s="5784"/>
      <c r="AJ18" s="5785"/>
      <c r="AK18" s="741"/>
      <c r="AL18" s="2158"/>
      <c r="AM18" s="1737" t="s">
        <v>6965</v>
      </c>
      <c r="AN18" s="1737" t="s">
        <v>6508</v>
      </c>
      <c r="AO18" s="1737"/>
      <c r="AP18" s="1737"/>
      <c r="AQ18" s="1737"/>
      <c r="AR18" s="1737"/>
      <c r="AS18" s="1737"/>
      <c r="AT18" s="1737"/>
      <c r="AU18" s="1737"/>
      <c r="AV18" s="1737"/>
      <c r="AW18" s="1737"/>
      <c r="AX18" s="1737"/>
      <c r="AY18" s="1737"/>
      <c r="AZ18" s="1737"/>
      <c r="BA18" s="1737"/>
      <c r="BB18" s="1737"/>
      <c r="BC18" s="1737"/>
      <c r="BD18" s="1737"/>
    </row>
    <row r="19" spans="1:56" ht="12" customHeight="1" thickBot="1" x14ac:dyDescent="0.25">
      <c r="A19" s="2144"/>
      <c r="B19" s="974"/>
      <c r="C19" s="5819"/>
      <c r="D19" s="5820"/>
      <c r="E19" s="5820"/>
      <c r="F19" s="4123"/>
      <c r="G19" s="5458"/>
      <c r="H19" s="2586"/>
      <c r="I19" s="4123"/>
      <c r="J19" s="5458"/>
      <c r="K19" s="2586"/>
      <c r="L19" s="4123"/>
      <c r="M19" s="5458"/>
      <c r="N19" s="2582"/>
      <c r="O19" s="4123"/>
      <c r="P19" s="5458"/>
      <c r="Q19" s="2586"/>
      <c r="R19" s="581"/>
      <c r="S19" s="2143"/>
      <c r="T19" s="2144"/>
      <c r="U19" s="974"/>
      <c r="V19" s="5714" t="s">
        <v>1826</v>
      </c>
      <c r="W19" s="5715"/>
      <c r="X19" s="1701"/>
      <c r="Y19" s="2643" t="s">
        <v>1393</v>
      </c>
      <c r="Z19" s="1701">
        <v>0</v>
      </c>
      <c r="AA19" s="5690" t="s">
        <v>1827</v>
      </c>
      <c r="AB19" s="5782"/>
      <c r="AC19" s="3013"/>
      <c r="AD19" s="3014" t="s">
        <v>1828</v>
      </c>
      <c r="AE19" s="3015"/>
      <c r="AF19" s="2120" t="s">
        <v>1393</v>
      </c>
      <c r="AG19" s="5781" t="str">
        <f>IF(W20="Escudo","Bono de Parada:",IF(W20="Proyectiles","FUE del arma:",""))</f>
        <v/>
      </c>
      <c r="AH19" s="3637"/>
      <c r="AI19" s="3637"/>
      <c r="AJ19" s="1668"/>
      <c r="AK19" s="741"/>
      <c r="AL19" s="2158"/>
      <c r="AM19" s="3108" t="s">
        <v>6966</v>
      </c>
      <c r="AN19" s="3108" t="s">
        <v>2623</v>
      </c>
      <c r="AO19" s="1737"/>
      <c r="AP19" s="1737"/>
      <c r="AQ19" s="1737"/>
      <c r="AR19" s="1737"/>
      <c r="AS19" s="1737"/>
      <c r="AT19" s="1737"/>
      <c r="AU19" s="1737"/>
      <c r="AV19" s="1737"/>
      <c r="AW19" s="1737"/>
      <c r="AX19" s="1737"/>
      <c r="AY19" s="1737"/>
      <c r="AZ19" s="1737"/>
      <c r="BA19" s="1737"/>
      <c r="BB19" s="1737"/>
      <c r="BC19" s="1737"/>
      <c r="BD19" s="1737"/>
    </row>
    <row r="20" spans="1:56" ht="12" customHeight="1" x14ac:dyDescent="0.2">
      <c r="A20" s="2144"/>
      <c r="B20" s="974"/>
      <c r="C20" s="5821"/>
      <c r="D20" s="5822"/>
      <c r="E20" s="5823"/>
      <c r="F20" s="4120"/>
      <c r="G20" s="4843"/>
      <c r="H20" s="2587"/>
      <c r="I20" s="4120"/>
      <c r="J20" s="4843"/>
      <c r="K20" s="2587"/>
      <c r="L20" s="4120"/>
      <c r="M20" s="4843"/>
      <c r="N20" s="2583"/>
      <c r="O20" s="5459"/>
      <c r="P20" s="5460"/>
      <c r="Q20" s="2590"/>
      <c r="R20" s="581"/>
      <c r="S20" s="2143"/>
      <c r="T20" s="2144"/>
      <c r="U20" s="974"/>
      <c r="V20" s="1471" t="s">
        <v>1829</v>
      </c>
      <c r="W20" s="5710"/>
      <c r="X20" s="5711"/>
      <c r="Y20" s="3016" t="s">
        <v>1566</v>
      </c>
      <c r="Z20" s="1701">
        <v>0</v>
      </c>
      <c r="AA20" s="2990" t="s">
        <v>1568</v>
      </c>
      <c r="AB20" s="2990" t="s">
        <v>1569</v>
      </c>
      <c r="AC20" s="2990" t="s">
        <v>1557</v>
      </c>
      <c r="AD20" s="2990" t="s">
        <v>1570</v>
      </c>
      <c r="AE20" s="2991" t="s">
        <v>1558</v>
      </c>
      <c r="AF20" s="2122" t="s">
        <v>2570</v>
      </c>
      <c r="AG20" s="5687" t="str">
        <f>IF(W20="Escudo","Bono de Esquiva:",IF(W20="Proyectiles","Turnos de recarga:",""))</f>
        <v/>
      </c>
      <c r="AH20" s="5688"/>
      <c r="AI20" s="5688"/>
      <c r="AJ20" s="1668"/>
      <c r="AK20" s="741"/>
      <c r="AL20" s="2158"/>
      <c r="AM20" s="3108" t="s">
        <v>6967</v>
      </c>
      <c r="AN20" s="3108" t="s">
        <v>2627</v>
      </c>
      <c r="AO20" s="1737"/>
      <c r="AP20" s="1737"/>
      <c r="AQ20" s="1737"/>
      <c r="AR20" s="1737"/>
      <c r="AS20" s="1737"/>
      <c r="AT20" s="1737"/>
      <c r="AU20" s="1737"/>
      <c r="AV20" s="1737"/>
      <c r="AW20" s="1737"/>
      <c r="AX20" s="1737"/>
      <c r="AY20" s="1737"/>
      <c r="AZ20" s="1737"/>
      <c r="BA20" s="1737"/>
      <c r="BB20" s="1737"/>
      <c r="BC20" s="1737"/>
      <c r="BD20" s="1737"/>
    </row>
    <row r="21" spans="1:56" ht="12" customHeight="1" thickBot="1" x14ac:dyDescent="0.25">
      <c r="A21" s="2144"/>
      <c r="B21" s="974"/>
      <c r="C21" s="5471"/>
      <c r="D21" s="5472"/>
      <c r="E21" s="5473"/>
      <c r="F21" s="5456"/>
      <c r="G21" s="5457"/>
      <c r="H21" s="2588"/>
      <c r="I21" s="5456"/>
      <c r="J21" s="5457"/>
      <c r="K21" s="2588"/>
      <c r="L21" s="5456"/>
      <c r="M21" s="5457"/>
      <c r="N21" s="2584"/>
      <c r="O21" s="5461" t="s">
        <v>10049</v>
      </c>
      <c r="P21" s="5462"/>
      <c r="Q21" s="2589">
        <f>SUM(H18:H21,K18:K21,N18:N21,Q18:Q20)</f>
        <v>0</v>
      </c>
      <c r="R21" s="581"/>
      <c r="S21" s="2143"/>
      <c r="T21" s="2144"/>
      <c r="U21" s="974"/>
      <c r="V21" s="2989" t="s">
        <v>1830</v>
      </c>
      <c r="W21" s="5705"/>
      <c r="X21" s="5706"/>
      <c r="Y21" s="2644" t="s">
        <v>10079</v>
      </c>
      <c r="Z21" s="1701"/>
      <c r="AA21" s="1703"/>
      <c r="AB21" s="2783"/>
      <c r="AC21" s="2988"/>
      <c r="AD21" s="1702"/>
      <c r="AE21" s="2987"/>
      <c r="AF21" s="2245"/>
      <c r="AG21" s="5689" t="str">
        <f>IF(W20="Proyectiles","Alcance:","")</f>
        <v/>
      </c>
      <c r="AH21" s="5689"/>
      <c r="AI21" s="5689"/>
      <c r="AJ21" s="1667"/>
      <c r="AK21" s="741"/>
      <c r="AL21" s="2158"/>
      <c r="AM21" s="1737"/>
      <c r="AN21" s="3108" t="s">
        <v>2629</v>
      </c>
      <c r="AO21" s="1737"/>
      <c r="AP21" s="1737"/>
      <c r="AQ21" s="1737"/>
      <c r="AR21" s="1737"/>
      <c r="AS21" s="1737"/>
      <c r="AT21" s="1737"/>
      <c r="AU21" s="1737"/>
      <c r="AV21" s="1737"/>
      <c r="AW21" s="1737"/>
      <c r="AX21" s="1737"/>
      <c r="AY21" s="1737"/>
      <c r="AZ21" s="1737"/>
      <c r="BA21" s="1737"/>
      <c r="BB21" s="1737"/>
      <c r="BC21" s="1737"/>
      <c r="BD21" s="1737"/>
    </row>
    <row r="22" spans="1:56" ht="12" customHeight="1" thickBot="1" x14ac:dyDescent="0.25">
      <c r="A22" s="2144"/>
      <c r="B22" s="974"/>
      <c r="C22" s="2409"/>
      <c r="D22" s="2409"/>
      <c r="E22" s="2409"/>
      <c r="F22" s="2409"/>
      <c r="G22" s="2409"/>
      <c r="H22" s="2409"/>
      <c r="I22" s="2409"/>
      <c r="J22" s="2409"/>
      <c r="K22" s="2409"/>
      <c r="L22" s="2409"/>
      <c r="M22" s="2409"/>
      <c r="N22" s="2409"/>
      <c r="O22" s="2409"/>
      <c r="P22" s="2409"/>
      <c r="Q22" s="2409"/>
      <c r="R22" s="581"/>
      <c r="S22" s="2143"/>
      <c r="T22" s="2144"/>
      <c r="U22" s="974"/>
      <c r="V22" s="5691" t="s">
        <v>1323</v>
      </c>
      <c r="W22" s="5692"/>
      <c r="X22" s="5741"/>
      <c r="Y22" s="5742"/>
      <c r="Z22" s="5742"/>
      <c r="AA22" s="5743"/>
      <c r="AB22" s="3017" t="s">
        <v>8670</v>
      </c>
      <c r="AC22" s="5707"/>
      <c r="AD22" s="5708"/>
      <c r="AE22" s="5708"/>
      <c r="AF22" s="5708"/>
      <c r="AG22" s="5708"/>
      <c r="AH22" s="5708"/>
      <c r="AI22" s="5708"/>
      <c r="AJ22" s="5709"/>
      <c r="AK22" s="741"/>
      <c r="AL22" s="2158"/>
      <c r="AM22" s="1737"/>
      <c r="AN22" s="1737"/>
      <c r="AO22" s="1737"/>
      <c r="AP22" s="1737"/>
      <c r="AQ22" s="1737"/>
      <c r="AR22" s="1737"/>
      <c r="AS22" s="1737"/>
      <c r="AT22" s="1737"/>
      <c r="AU22" s="1737"/>
      <c r="AV22" s="1737"/>
      <c r="AW22" s="1737"/>
      <c r="AX22" s="1737"/>
      <c r="AY22" s="1737"/>
      <c r="AZ22" s="1737"/>
      <c r="BA22" s="1737"/>
      <c r="BB22" s="1737"/>
      <c r="BC22" s="1737"/>
      <c r="BD22" s="1737"/>
    </row>
    <row r="23" spans="1:56" ht="12" customHeight="1" thickBot="1" x14ac:dyDescent="0.25">
      <c r="A23" s="2144"/>
      <c r="B23" s="974"/>
      <c r="C23" s="5453" t="s">
        <v>10204</v>
      </c>
      <c r="D23" s="5454"/>
      <c r="E23" s="5454"/>
      <c r="F23" s="5454"/>
      <c r="G23" s="5454"/>
      <c r="H23" s="5454"/>
      <c r="I23" s="5454"/>
      <c r="J23" s="5454"/>
      <c r="K23" s="5454"/>
      <c r="L23" s="5454"/>
      <c r="M23" s="5454"/>
      <c r="N23" s="5454"/>
      <c r="O23" s="5454"/>
      <c r="P23" s="5454"/>
      <c r="Q23" s="5455"/>
      <c r="R23" s="581"/>
      <c r="S23" s="2143"/>
      <c r="T23" s="1388"/>
      <c r="U23" s="974"/>
      <c r="V23" s="5714" t="s">
        <v>1826</v>
      </c>
      <c r="W23" s="5715"/>
      <c r="X23" s="1701"/>
      <c r="Y23" s="2643" t="s">
        <v>1393</v>
      </c>
      <c r="Z23" s="1701"/>
      <c r="AA23" s="5690" t="s">
        <v>1827</v>
      </c>
      <c r="AB23" s="5690"/>
      <c r="AC23" s="3013"/>
      <c r="AD23" s="3014" t="s">
        <v>1828</v>
      </c>
      <c r="AE23" s="3015"/>
      <c r="AF23" s="1391" t="s">
        <v>1393</v>
      </c>
      <c r="AG23" s="5703" t="str">
        <f>IF(W24="Escudo","Bono de Parada:",IF(W24="Proyectiles","FUE del arma:",""))</f>
        <v/>
      </c>
      <c r="AH23" s="5704"/>
      <c r="AI23" s="5704"/>
      <c r="AJ23" s="1668"/>
      <c r="AK23" s="741"/>
      <c r="AL23" s="2158"/>
      <c r="AM23" s="1737" t="s">
        <v>9574</v>
      </c>
      <c r="AN23" s="1737"/>
      <c r="AO23" s="1737"/>
      <c r="AP23" s="1737"/>
      <c r="AQ23" s="1737"/>
      <c r="AR23" s="1737"/>
      <c r="AS23" s="1737"/>
      <c r="AT23" s="1737"/>
      <c r="AU23" s="1737"/>
      <c r="AV23" s="1737"/>
      <c r="AW23" s="1737"/>
      <c r="AX23" s="1737"/>
      <c r="AY23" s="1737"/>
      <c r="AZ23" s="1737"/>
      <c r="BA23" s="1737"/>
      <c r="BB23" s="1737"/>
      <c r="BC23" s="1737"/>
      <c r="BD23" s="1737"/>
    </row>
    <row r="24" spans="1:56" ht="12" customHeight="1" x14ac:dyDescent="0.2">
      <c r="A24" s="2144"/>
      <c r="B24" s="974"/>
      <c r="C24" s="5479"/>
      <c r="D24" s="5480"/>
      <c r="E24" s="5481"/>
      <c r="F24" s="4124"/>
      <c r="G24" s="5458"/>
      <c r="H24" s="2586"/>
      <c r="I24" s="4123"/>
      <c r="J24" s="5458"/>
      <c r="K24" s="2586"/>
      <c r="L24" s="4123"/>
      <c r="M24" s="5458"/>
      <c r="N24" s="2771"/>
      <c r="O24" s="5477"/>
      <c r="P24" s="5478"/>
      <c r="Q24" s="2772"/>
      <c r="R24" s="581"/>
      <c r="S24" s="2143"/>
      <c r="T24" s="1388"/>
      <c r="U24" s="974"/>
      <c r="V24" s="1471" t="s">
        <v>1829</v>
      </c>
      <c r="W24" s="5710"/>
      <c r="X24" s="5711"/>
      <c r="Y24" s="3016" t="s">
        <v>1566</v>
      </c>
      <c r="Z24" s="1701"/>
      <c r="AA24" s="2990" t="s">
        <v>1568</v>
      </c>
      <c r="AB24" s="1704" t="s">
        <v>1569</v>
      </c>
      <c r="AC24" s="1704" t="s">
        <v>1557</v>
      </c>
      <c r="AD24" s="2990" t="s">
        <v>1570</v>
      </c>
      <c r="AE24" s="2991" t="s">
        <v>1558</v>
      </c>
      <c r="AF24" s="2122" t="s">
        <v>2570</v>
      </c>
      <c r="AG24" s="5687" t="str">
        <f>IF(W24="Escudo","Bono de Esquiva:",IF(W24="Proyectiles","Turnos de recarga:",""))</f>
        <v/>
      </c>
      <c r="AH24" s="5688"/>
      <c r="AI24" s="5688"/>
      <c r="AJ24" s="1668"/>
      <c r="AK24" s="741"/>
      <c r="AL24" s="2158"/>
      <c r="AM24" s="1737" t="s">
        <v>8628</v>
      </c>
      <c r="AN24" s="1737"/>
      <c r="AO24" s="1737" t="s">
        <v>1926</v>
      </c>
      <c r="AP24" s="1737"/>
      <c r="AQ24" s="1737" t="s">
        <v>8638</v>
      </c>
      <c r="AR24" s="1737"/>
      <c r="AS24" s="1737"/>
      <c r="AT24" s="1737"/>
      <c r="AU24" s="1737"/>
      <c r="AV24" s="1737"/>
      <c r="AW24" s="1737"/>
      <c r="AX24" s="1737"/>
      <c r="AY24" s="1737"/>
      <c r="AZ24" s="1737"/>
      <c r="BA24" s="1737"/>
      <c r="BB24" s="1737"/>
      <c r="BC24" s="1737"/>
      <c r="BD24" s="1737"/>
    </row>
    <row r="25" spans="1:56" ht="12" customHeight="1" thickBot="1" x14ac:dyDescent="0.25">
      <c r="A25" s="2144"/>
      <c r="B25" s="974"/>
      <c r="C25" s="5450"/>
      <c r="D25" s="5451"/>
      <c r="E25" s="5452"/>
      <c r="F25" s="4121"/>
      <c r="G25" s="4843"/>
      <c r="H25" s="2587"/>
      <c r="I25" s="4120"/>
      <c r="J25" s="4843"/>
      <c r="K25" s="2587"/>
      <c r="L25" s="4120"/>
      <c r="M25" s="4843"/>
      <c r="N25" s="2769"/>
      <c r="O25" s="4120"/>
      <c r="P25" s="4843"/>
      <c r="Q25" s="2587"/>
      <c r="R25" s="581"/>
      <c r="S25" s="2143"/>
      <c r="T25" s="2144"/>
      <c r="U25" s="974"/>
      <c r="V25" s="2989" t="s">
        <v>1830</v>
      </c>
      <c r="W25" s="5705"/>
      <c r="X25" s="5706"/>
      <c r="Y25" s="2644" t="s">
        <v>10079</v>
      </c>
      <c r="Z25" s="1701"/>
      <c r="AA25" s="1703"/>
      <c r="AB25" s="2993"/>
      <c r="AC25" s="2783"/>
      <c r="AD25" s="2988"/>
      <c r="AE25" s="2646"/>
      <c r="AF25" s="2245"/>
      <c r="AG25" s="5689" t="str">
        <f>IF(W24="Proyectiles","Alcance:","")</f>
        <v/>
      </c>
      <c r="AH25" s="5689"/>
      <c r="AI25" s="5689"/>
      <c r="AJ25" s="1667"/>
      <c r="AK25" s="741"/>
      <c r="AL25" s="2158"/>
      <c r="AM25" s="3108" t="s">
        <v>2615</v>
      </c>
      <c r="AN25" s="1737"/>
      <c r="AO25" s="3108" t="s">
        <v>2621</v>
      </c>
      <c r="AP25" s="1737"/>
      <c r="AQ25" s="1737" t="s">
        <v>8635</v>
      </c>
      <c r="AR25" s="1737"/>
      <c r="AS25" s="1737"/>
      <c r="AT25" s="1737"/>
      <c r="AU25" s="1737"/>
      <c r="AV25" s="1737"/>
      <c r="AW25" s="1737"/>
      <c r="AX25" s="1737"/>
      <c r="AY25" s="1737"/>
      <c r="AZ25" s="1737"/>
      <c r="BA25" s="1737"/>
      <c r="BB25" s="1737"/>
      <c r="BC25" s="1737"/>
      <c r="BD25" s="1737"/>
    </row>
    <row r="26" spans="1:56" ht="12" customHeight="1" thickBot="1" x14ac:dyDescent="0.25">
      <c r="A26" s="2144"/>
      <c r="B26" s="974"/>
      <c r="C26" s="5471"/>
      <c r="D26" s="5472"/>
      <c r="E26" s="5473"/>
      <c r="F26" s="5474"/>
      <c r="G26" s="5457"/>
      <c r="H26" s="2764"/>
      <c r="I26" s="5456"/>
      <c r="J26" s="5457"/>
      <c r="K26" s="2764"/>
      <c r="L26" s="5456"/>
      <c r="M26" s="5457"/>
      <c r="N26" s="2770"/>
      <c r="O26" s="5456"/>
      <c r="P26" s="5457"/>
      <c r="Q26" s="2764"/>
      <c r="R26" s="581"/>
      <c r="S26" s="2143"/>
      <c r="T26" s="2144"/>
      <c r="U26" s="974"/>
      <c r="V26" s="5691" t="s">
        <v>1323</v>
      </c>
      <c r="W26" s="5692"/>
      <c r="X26" s="5741"/>
      <c r="Y26" s="5742"/>
      <c r="Z26" s="5742"/>
      <c r="AA26" s="5743"/>
      <c r="AB26" s="3018" t="s">
        <v>8670</v>
      </c>
      <c r="AC26" s="5707"/>
      <c r="AD26" s="5708"/>
      <c r="AE26" s="5708"/>
      <c r="AF26" s="5708"/>
      <c r="AG26" s="5708"/>
      <c r="AH26" s="5708"/>
      <c r="AI26" s="5708"/>
      <c r="AJ26" s="5709"/>
      <c r="AK26" s="741"/>
      <c r="AL26" s="2158"/>
      <c r="AM26" s="3108" t="s">
        <v>2617</v>
      </c>
      <c r="AN26" s="1737"/>
      <c r="AO26" s="3108" t="s">
        <v>8629</v>
      </c>
      <c r="AP26" s="1737"/>
      <c r="AQ26" s="1737" t="s">
        <v>8637</v>
      </c>
      <c r="AR26" s="1737"/>
      <c r="AS26" s="1737"/>
      <c r="AT26" s="1737"/>
      <c r="AU26" s="1737"/>
      <c r="AV26" s="1737"/>
      <c r="AW26" s="1737"/>
      <c r="AX26" s="1737"/>
      <c r="AY26" s="1737"/>
      <c r="AZ26" s="1737"/>
      <c r="BA26" s="1737"/>
      <c r="BB26" s="1737"/>
      <c r="BC26" s="1737"/>
      <c r="BD26" s="1737"/>
    </row>
    <row r="27" spans="1:56" ht="12" customHeight="1" thickBot="1" x14ac:dyDescent="0.25">
      <c r="A27" s="2144"/>
      <c r="B27" s="974"/>
      <c r="R27" s="581"/>
      <c r="S27" s="2143"/>
      <c r="T27" s="2144"/>
      <c r="U27" s="974"/>
      <c r="V27" s="6543" t="s">
        <v>1826</v>
      </c>
      <c r="W27" s="6544"/>
      <c r="X27" s="1701"/>
      <c r="Y27" s="2643" t="s">
        <v>1393</v>
      </c>
      <c r="Z27" s="1701"/>
      <c r="AA27" s="5690" t="s">
        <v>1827</v>
      </c>
      <c r="AB27" s="5690"/>
      <c r="AC27" s="3019"/>
      <c r="AD27" s="3020" t="s">
        <v>1828</v>
      </c>
      <c r="AE27" s="3015"/>
      <c r="AF27" s="1391" t="s">
        <v>1393</v>
      </c>
      <c r="AG27" s="5703" t="str">
        <f>IF(W28="Escudo","Bono de Parada:",IF(W28="Proyectiles","FUE del arma:",""))</f>
        <v/>
      </c>
      <c r="AH27" s="5704"/>
      <c r="AI27" s="5704"/>
      <c r="AJ27" s="1668"/>
      <c r="AK27" s="741"/>
      <c r="AL27" s="2158"/>
      <c r="AM27" s="3108" t="s">
        <v>2619</v>
      </c>
      <c r="AN27" s="1737"/>
      <c r="AO27" s="3108" t="s">
        <v>2619</v>
      </c>
      <c r="AP27" s="1737"/>
      <c r="AQ27" s="1737" t="s">
        <v>8636</v>
      </c>
      <c r="AR27" s="1737"/>
      <c r="AS27" s="1737"/>
      <c r="AT27" s="1737"/>
      <c r="AU27" s="1737"/>
      <c r="AV27" s="1737"/>
      <c r="AW27" s="1737"/>
      <c r="AX27" s="1737"/>
      <c r="AY27" s="1737"/>
      <c r="AZ27" s="1737"/>
      <c r="BA27" s="1737"/>
      <c r="BB27" s="1737"/>
      <c r="BC27" s="1737"/>
      <c r="BD27" s="1737"/>
    </row>
    <row r="28" spans="1:56" ht="12" customHeight="1" thickBot="1" x14ac:dyDescent="0.25">
      <c r="A28" s="2144"/>
      <c r="B28" s="974"/>
      <c r="C28" s="3307" t="s">
        <v>1821</v>
      </c>
      <c r="D28" s="3308"/>
      <c r="E28" s="3308"/>
      <c r="F28" s="3308"/>
      <c r="G28" s="3309"/>
      <c r="H28" s="2409"/>
      <c r="I28" s="4343" t="s">
        <v>1822</v>
      </c>
      <c r="J28" s="4344"/>
      <c r="K28" s="4344"/>
      <c r="L28" s="4344"/>
      <c r="M28" s="4344"/>
      <c r="N28" s="4344"/>
      <c r="O28" s="4344"/>
      <c r="P28" s="4344"/>
      <c r="Q28" s="4345"/>
      <c r="R28" s="581"/>
      <c r="S28" s="2143"/>
      <c r="T28" s="2144"/>
      <c r="U28" s="974"/>
      <c r="V28" s="1471" t="s">
        <v>1829</v>
      </c>
      <c r="W28" s="5710"/>
      <c r="X28" s="5711"/>
      <c r="Y28" s="6545" t="s">
        <v>1566</v>
      </c>
      <c r="Z28" s="1701"/>
      <c r="AA28" s="3041" t="s">
        <v>1568</v>
      </c>
      <c r="AB28" s="3041" t="s">
        <v>1569</v>
      </c>
      <c r="AC28" s="3041" t="s">
        <v>1557</v>
      </c>
      <c r="AD28" s="3041" t="s">
        <v>1570</v>
      </c>
      <c r="AE28" s="3042" t="s">
        <v>1558</v>
      </c>
      <c r="AF28" s="2122" t="s">
        <v>2570</v>
      </c>
      <c r="AG28" s="5687" t="str">
        <f>IF(W28="Escudo","Bono de Esquiva:",IF(W28="Proyectiles","Turnos de recarga:",""))</f>
        <v/>
      </c>
      <c r="AH28" s="5688"/>
      <c r="AI28" s="5688"/>
      <c r="AJ28" s="1668"/>
      <c r="AK28" s="741"/>
      <c r="AL28" s="2158"/>
      <c r="AM28" s="3108" t="s">
        <v>2621</v>
      </c>
      <c r="AN28" s="1737"/>
      <c r="AO28" s="3108" t="s">
        <v>8630</v>
      </c>
      <c r="AP28" s="1737"/>
      <c r="AQ28" s="1737">
        <f>IF(P50="Afín",1,IF(P50="Opuesta",-1,0))</f>
        <v>0</v>
      </c>
      <c r="AR28" s="1737"/>
      <c r="AS28" s="1737"/>
      <c r="AT28" s="1737"/>
      <c r="AU28" s="1737"/>
      <c r="AV28" s="1737"/>
      <c r="AW28" s="1737"/>
      <c r="AX28" s="1737"/>
      <c r="AY28" s="1737"/>
      <c r="AZ28" s="1737"/>
      <c r="BA28" s="1737"/>
      <c r="BB28" s="1737"/>
      <c r="BC28" s="1737"/>
      <c r="BD28" s="1737"/>
    </row>
    <row r="29" spans="1:56" ht="12" customHeight="1" thickBot="1" x14ac:dyDescent="0.25">
      <c r="A29" s="2144"/>
      <c r="B29" s="974"/>
      <c r="C29" s="5793" t="s">
        <v>1527</v>
      </c>
      <c r="D29" s="5794"/>
      <c r="E29" s="5794"/>
      <c r="F29" s="5795"/>
      <c r="G29" s="2575" t="s">
        <v>1490</v>
      </c>
      <c r="H29" s="2409"/>
      <c r="I29" s="5352" t="s">
        <v>1375</v>
      </c>
      <c r="J29" s="5842"/>
      <c r="K29" s="5842"/>
      <c r="L29" s="5842"/>
      <c r="M29" s="5842"/>
      <c r="N29" s="5842"/>
      <c r="O29" s="5843"/>
      <c r="P29" s="2118" t="s">
        <v>1376</v>
      </c>
      <c r="Q29" s="2119" t="s">
        <v>1377</v>
      </c>
      <c r="R29" s="581"/>
      <c r="S29" s="2143"/>
      <c r="T29" s="2144"/>
      <c r="U29" s="974"/>
      <c r="V29" s="3040" t="s">
        <v>1830</v>
      </c>
      <c r="W29" s="5705"/>
      <c r="X29" s="5706"/>
      <c r="Y29" s="2644" t="s">
        <v>10079</v>
      </c>
      <c r="Z29" s="2645"/>
      <c r="AA29" s="1703"/>
      <c r="AB29" s="1702"/>
      <c r="AC29" s="3039"/>
      <c r="AD29" s="1702"/>
      <c r="AE29" s="3038"/>
      <c r="AF29" s="2245"/>
      <c r="AG29" s="5689" t="str">
        <f>IF(W28="Proyectiles","Alcance:","")</f>
        <v/>
      </c>
      <c r="AH29" s="5689"/>
      <c r="AI29" s="5689"/>
      <c r="AJ29" s="1667"/>
      <c r="AK29" s="741"/>
      <c r="AL29" s="2158"/>
      <c r="AM29" s="3108" t="s">
        <v>2623</v>
      </c>
      <c r="AN29" s="3107"/>
      <c r="AO29" s="3108" t="s">
        <v>2615</v>
      </c>
      <c r="AP29" s="3107"/>
      <c r="AQ29" s="3107"/>
      <c r="AR29" s="3107"/>
      <c r="AS29" s="1737"/>
      <c r="AT29" s="1737"/>
      <c r="AU29" s="1737"/>
      <c r="AV29" s="1737"/>
      <c r="AW29" s="1737"/>
      <c r="AX29" s="1737"/>
      <c r="AY29" s="1737"/>
      <c r="AZ29" s="1737"/>
      <c r="BA29" s="1737"/>
      <c r="BB29" s="1737"/>
      <c r="BC29" s="1737"/>
      <c r="BD29" s="1737"/>
    </row>
    <row r="30" spans="1:56" ht="12" customHeight="1" thickBot="1" x14ac:dyDescent="0.25">
      <c r="A30" s="2144"/>
      <c r="B30" s="974"/>
      <c r="C30" s="5802"/>
      <c r="D30" s="5803"/>
      <c r="E30" s="5803"/>
      <c r="F30" s="5804"/>
      <c r="G30" s="1669"/>
      <c r="H30" s="2409"/>
      <c r="I30" s="5844"/>
      <c r="J30" s="5845"/>
      <c r="K30" s="5845"/>
      <c r="L30" s="5845"/>
      <c r="M30" s="5845"/>
      <c r="N30" s="5845"/>
      <c r="O30" s="5846"/>
      <c r="P30" s="1671"/>
      <c r="Q30" s="1508"/>
      <c r="R30" s="581"/>
      <c r="S30" s="2143"/>
      <c r="T30" s="2144"/>
      <c r="U30" s="974"/>
      <c r="V30" s="2409"/>
      <c r="W30" s="2409"/>
      <c r="X30" s="2409"/>
      <c r="Y30" s="2409"/>
      <c r="Z30" s="2409"/>
      <c r="AA30" s="2409"/>
      <c r="AB30" s="2409"/>
      <c r="AC30" s="2409"/>
      <c r="AD30" s="2409"/>
      <c r="AE30" s="2409"/>
      <c r="AF30" s="2409"/>
      <c r="AG30" s="2409"/>
      <c r="AH30" s="2409"/>
      <c r="AI30" s="2409"/>
      <c r="AJ30" s="68"/>
      <c r="AK30" s="741"/>
      <c r="AL30" s="2158"/>
      <c r="AM30" s="3108" t="s">
        <v>2625</v>
      </c>
      <c r="AN30" s="3107"/>
      <c r="AO30" s="3108" t="s">
        <v>8631</v>
      </c>
      <c r="AP30" s="3107"/>
      <c r="AQ30" s="3107"/>
      <c r="AR30" s="3107"/>
      <c r="AS30" s="1737"/>
      <c r="AT30" s="1737"/>
      <c r="AU30" s="1737"/>
      <c r="AV30" s="1737"/>
      <c r="AW30" s="1737"/>
      <c r="AX30" s="1737"/>
      <c r="AY30" s="1737"/>
      <c r="AZ30" s="1737"/>
      <c r="BA30" s="1737"/>
      <c r="BB30" s="1737"/>
      <c r="BC30" s="1737"/>
      <c r="BD30" s="1737"/>
    </row>
    <row r="31" spans="1:56" ht="12" customHeight="1" x14ac:dyDescent="0.2">
      <c r="A31" s="2144"/>
      <c r="B31" s="974"/>
      <c r="C31" s="5799"/>
      <c r="D31" s="5800"/>
      <c r="E31" s="5800"/>
      <c r="F31" s="5801"/>
      <c r="G31" s="1675"/>
      <c r="H31" s="2409"/>
      <c r="I31" s="5762"/>
      <c r="J31" s="5763"/>
      <c r="K31" s="5763"/>
      <c r="L31" s="5763"/>
      <c r="M31" s="5763"/>
      <c r="N31" s="5763"/>
      <c r="O31" s="5764"/>
      <c r="P31" s="1676"/>
      <c r="Q31" s="1677"/>
      <c r="R31" s="581"/>
      <c r="S31" s="2143"/>
      <c r="T31" s="2144"/>
      <c r="U31" s="974"/>
      <c r="V31" s="5694" t="s">
        <v>1833</v>
      </c>
      <c r="W31" s="5686" t="s">
        <v>1323</v>
      </c>
      <c r="X31" s="5686"/>
      <c r="Y31" s="5730"/>
      <c r="Z31" s="5731"/>
      <c r="AA31" s="5731"/>
      <c r="AB31" s="5731"/>
      <c r="AC31" s="5731"/>
      <c r="AD31" s="5686" t="s">
        <v>1323</v>
      </c>
      <c r="AE31" s="5686"/>
      <c r="AF31" s="5730"/>
      <c r="AG31" s="5731"/>
      <c r="AH31" s="5731"/>
      <c r="AI31" s="5731"/>
      <c r="AJ31" s="5732"/>
      <c r="AK31" s="741"/>
      <c r="AL31" s="2158"/>
      <c r="AM31" s="3108" t="s">
        <v>2627</v>
      </c>
      <c r="AN31" s="3109"/>
      <c r="AO31" s="3108" t="s">
        <v>2625</v>
      </c>
      <c r="AP31" s="3107"/>
      <c r="AQ31" s="3107"/>
      <c r="AR31" s="3107"/>
      <c r="AS31" s="1737"/>
      <c r="AT31" s="1737"/>
      <c r="AU31" s="1737"/>
      <c r="AV31" s="1737"/>
      <c r="AW31" s="1737"/>
      <c r="AX31" s="1737"/>
      <c r="AY31" s="1737"/>
      <c r="AZ31" s="1737"/>
      <c r="BA31" s="1737"/>
      <c r="BB31" s="1737"/>
      <c r="BC31" s="1737"/>
      <c r="BD31" s="1737"/>
    </row>
    <row r="32" spans="1:56" ht="12" customHeight="1" x14ac:dyDescent="0.2">
      <c r="A32" s="2144"/>
      <c r="B32" s="974"/>
      <c r="C32" s="5796"/>
      <c r="D32" s="5797"/>
      <c r="E32" s="5797"/>
      <c r="F32" s="5798"/>
      <c r="G32" s="1670"/>
      <c r="H32" s="2409"/>
      <c r="I32" s="5518"/>
      <c r="J32" s="5519"/>
      <c r="K32" s="5519"/>
      <c r="L32" s="5519"/>
      <c r="M32" s="5519"/>
      <c r="N32" s="5519"/>
      <c r="O32" s="5520"/>
      <c r="P32" s="1671"/>
      <c r="Q32" s="1508"/>
      <c r="R32" s="581"/>
      <c r="S32" s="2143"/>
      <c r="T32" s="2144"/>
      <c r="U32" s="974"/>
      <c r="V32" s="5695"/>
      <c r="W32" s="3474" t="s">
        <v>1834</v>
      </c>
      <c r="X32" s="3474"/>
      <c r="Y32" s="5733" t="str">
        <f>IF($Y$38="Cabeza","Pen.Percepción","Pen. Natural")</f>
        <v>Pen. Natural</v>
      </c>
      <c r="Z32" s="5733"/>
      <c r="AA32" s="5716" t="s">
        <v>1835</v>
      </c>
      <c r="AB32" s="5716"/>
      <c r="AC32" s="5716"/>
      <c r="AD32" s="3474" t="s">
        <v>1834</v>
      </c>
      <c r="AE32" s="3474"/>
      <c r="AF32" s="5733" t="str">
        <f>IF($AF$38="Cabeza","Pen.Percepción","Pen. Natural")</f>
        <v>Pen. Natural</v>
      </c>
      <c r="AG32" s="5733"/>
      <c r="AH32" s="5716" t="s">
        <v>1835</v>
      </c>
      <c r="AI32" s="5716"/>
      <c r="AJ32" s="5717"/>
      <c r="AK32" s="741"/>
      <c r="AL32" s="2158"/>
      <c r="AM32" s="3108" t="s">
        <v>2629</v>
      </c>
      <c r="AN32" s="3107"/>
      <c r="AO32" s="3108" t="s">
        <v>8632</v>
      </c>
      <c r="AP32" s="3107"/>
      <c r="AQ32" s="3107"/>
      <c r="AR32" s="3107"/>
      <c r="AS32" s="1737"/>
      <c r="AT32" s="1737"/>
      <c r="AU32" s="1737"/>
      <c r="AV32" s="1737"/>
      <c r="AW32" s="1737"/>
      <c r="AX32" s="1737"/>
      <c r="AY32" s="1737"/>
      <c r="AZ32" s="1737"/>
      <c r="BA32" s="1737"/>
      <c r="BB32" s="1737"/>
      <c r="BC32" s="1737"/>
      <c r="BD32" s="1737"/>
    </row>
    <row r="33" spans="1:56" ht="12" customHeight="1" thickBot="1" x14ac:dyDescent="0.25">
      <c r="A33" s="2144"/>
      <c r="B33" s="974"/>
      <c r="C33" s="5827"/>
      <c r="D33" s="5828"/>
      <c r="E33" s="5828"/>
      <c r="F33" s="5829"/>
      <c r="G33" s="2576"/>
      <c r="H33" s="2409"/>
      <c r="I33" s="5762"/>
      <c r="J33" s="5763"/>
      <c r="K33" s="5763"/>
      <c r="L33" s="5763"/>
      <c r="M33" s="5763"/>
      <c r="N33" s="5763"/>
      <c r="O33" s="5764"/>
      <c r="P33" s="1676"/>
      <c r="Q33" s="1677"/>
      <c r="R33" s="581"/>
      <c r="S33" s="2143"/>
      <c r="T33" s="2144"/>
      <c r="U33" s="974"/>
      <c r="V33" s="5695"/>
      <c r="W33" s="5684"/>
      <c r="X33" s="5685"/>
      <c r="Y33" s="5712"/>
      <c r="Z33" s="5712"/>
      <c r="AA33" s="5597"/>
      <c r="AB33" s="5597"/>
      <c r="AC33" s="5597"/>
      <c r="AD33" s="5685"/>
      <c r="AE33" s="5685"/>
      <c r="AF33" s="5712"/>
      <c r="AG33" s="5712"/>
      <c r="AH33" s="5597"/>
      <c r="AI33" s="5597"/>
      <c r="AJ33" s="5598"/>
      <c r="AK33" s="741"/>
      <c r="AL33" s="2158"/>
      <c r="AM33" s="1737"/>
      <c r="AN33" s="1737"/>
      <c r="AO33" s="1737"/>
      <c r="AP33" s="1737"/>
      <c r="AQ33" s="1737"/>
      <c r="AR33" s="1737"/>
      <c r="AS33" s="1737"/>
      <c r="AT33" s="1737"/>
      <c r="AU33" s="1737"/>
      <c r="AV33" s="1737"/>
      <c r="AW33" s="1737"/>
      <c r="AX33" s="1737"/>
      <c r="AY33" s="1737"/>
      <c r="AZ33" s="1737"/>
      <c r="BA33" s="1737"/>
      <c r="BB33" s="1737"/>
      <c r="BC33" s="1737"/>
      <c r="BD33" s="1737"/>
    </row>
    <row r="34" spans="1:56" ht="12" customHeight="1" thickBot="1" x14ac:dyDescent="0.25">
      <c r="A34" s="2144"/>
      <c r="B34" s="974"/>
      <c r="C34" s="5808" t="s">
        <v>8794</v>
      </c>
      <c r="D34" s="5809"/>
      <c r="E34" s="5809"/>
      <c r="F34" s="5809"/>
      <c r="G34" s="1871" t="s">
        <v>1381</v>
      </c>
      <c r="H34" s="2409"/>
      <c r="I34" s="5738"/>
      <c r="J34" s="5739"/>
      <c r="K34" s="5739"/>
      <c r="L34" s="5739"/>
      <c r="M34" s="5739"/>
      <c r="N34" s="5739"/>
      <c r="O34" s="5740"/>
      <c r="P34" s="1672"/>
      <c r="Q34" s="1673"/>
      <c r="R34" s="581"/>
      <c r="S34" s="2143"/>
      <c r="T34" s="2144"/>
      <c r="U34" s="974"/>
      <c r="V34" s="5695"/>
      <c r="W34" s="1392" t="s">
        <v>1551</v>
      </c>
      <c r="X34" s="1392" t="s">
        <v>1498</v>
      </c>
      <c r="Y34" s="1392" t="s">
        <v>1552</v>
      </c>
      <c r="Z34" s="1392" t="s">
        <v>1553</v>
      </c>
      <c r="AA34" s="1392" t="s">
        <v>1554</v>
      </c>
      <c r="AB34" s="1392" t="s">
        <v>1555</v>
      </c>
      <c r="AC34" s="1393" t="s">
        <v>1556</v>
      </c>
      <c r="AD34" s="1392" t="s">
        <v>1551</v>
      </c>
      <c r="AE34" s="1392" t="s">
        <v>1498</v>
      </c>
      <c r="AF34" s="1392" t="s">
        <v>1552</v>
      </c>
      <c r="AG34" s="1392" t="s">
        <v>1553</v>
      </c>
      <c r="AH34" s="1392" t="s">
        <v>1554</v>
      </c>
      <c r="AI34" s="1392" t="s">
        <v>1555</v>
      </c>
      <c r="AJ34" s="2136" t="s">
        <v>1556</v>
      </c>
      <c r="AK34" s="741"/>
      <c r="AL34" s="2158"/>
      <c r="AM34" s="1737" t="s">
        <v>9575</v>
      </c>
      <c r="AN34" s="1737"/>
      <c r="AO34" s="1737" t="s">
        <v>1399</v>
      </c>
      <c r="AP34" s="1737" t="s">
        <v>1370</v>
      </c>
      <c r="AQ34" s="1737"/>
      <c r="AR34" s="1737" t="s">
        <v>9582</v>
      </c>
      <c r="AS34" s="1737"/>
      <c r="AT34" s="1737"/>
      <c r="AU34" s="1737"/>
      <c r="AV34" s="1737"/>
      <c r="AW34" s="1737"/>
      <c r="AX34" s="1737"/>
      <c r="AY34" s="1737"/>
      <c r="AZ34" s="1737"/>
      <c r="BA34" s="1737"/>
      <c r="BB34" s="1737"/>
      <c r="BC34" s="1737"/>
      <c r="BD34" s="1737"/>
    </row>
    <row r="35" spans="1:56" ht="12" customHeight="1" thickBot="1" x14ac:dyDescent="0.25">
      <c r="A35" s="2144"/>
      <c r="B35" s="974"/>
      <c r="C35" s="2409"/>
      <c r="D35" s="2409"/>
      <c r="E35" s="2409"/>
      <c r="F35" s="2409"/>
      <c r="G35" s="2409"/>
      <c r="H35" s="2409"/>
      <c r="I35" s="2409"/>
      <c r="J35" s="2409"/>
      <c r="K35" s="2409"/>
      <c r="L35" s="2409"/>
      <c r="M35" s="2409"/>
      <c r="N35" s="2409"/>
      <c r="O35" s="2409"/>
      <c r="P35" s="2409"/>
      <c r="Q35" s="2409"/>
      <c r="R35" s="581"/>
      <c r="S35" s="2143"/>
      <c r="T35" s="2144"/>
      <c r="U35" s="974"/>
      <c r="V35" s="5695"/>
      <c r="W35" s="5721"/>
      <c r="X35" s="5722"/>
      <c r="Y35" s="5641"/>
      <c r="Z35" s="5728"/>
      <c r="AA35" s="5722"/>
      <c r="AB35" s="5639"/>
      <c r="AC35" s="5726"/>
      <c r="AD35" s="5699"/>
      <c r="AE35" s="5701"/>
      <c r="AF35" s="5701"/>
      <c r="AG35" s="5701"/>
      <c r="AH35" s="5701"/>
      <c r="AI35" s="5637"/>
      <c r="AJ35" s="5724"/>
      <c r="AK35" s="741"/>
      <c r="AL35" s="2158"/>
      <c r="AM35" s="1737" t="s">
        <v>1373</v>
      </c>
      <c r="AN35" s="3108" t="s">
        <v>6878</v>
      </c>
      <c r="AO35" s="1737" t="s">
        <v>2820</v>
      </c>
      <c r="AP35" s="1737" t="s">
        <v>1232</v>
      </c>
      <c r="AQ35" s="1737"/>
      <c r="AR35" s="1737" t="s">
        <v>1232</v>
      </c>
      <c r="AS35" s="1737"/>
      <c r="AT35" s="1737"/>
      <c r="AU35" s="1737"/>
      <c r="AV35" s="1737"/>
      <c r="AW35" s="1737"/>
      <c r="AX35" s="1737"/>
      <c r="AY35" s="1737"/>
      <c r="AZ35" s="1737"/>
      <c r="BA35" s="1737"/>
      <c r="BB35" s="1737"/>
      <c r="BC35" s="1737"/>
      <c r="BD35" s="1737"/>
    </row>
    <row r="36" spans="1:56" ht="12" customHeight="1" thickBot="1" x14ac:dyDescent="0.25">
      <c r="A36" s="2144"/>
      <c r="B36" s="974"/>
      <c r="C36" s="4439" t="s">
        <v>1916</v>
      </c>
      <c r="D36" s="4441"/>
      <c r="E36" s="1382" t="s">
        <v>7114</v>
      </c>
      <c r="F36" s="5830"/>
      <c r="G36" s="5831"/>
      <c r="H36" s="2409"/>
      <c r="I36" s="4343" t="s">
        <v>1824</v>
      </c>
      <c r="J36" s="4344"/>
      <c r="K36" s="4344"/>
      <c r="L36" s="4344"/>
      <c r="M36" s="4344"/>
      <c r="N36" s="4344"/>
      <c r="O36" s="4344"/>
      <c r="P36" s="4344"/>
      <c r="Q36" s="4345"/>
      <c r="R36" s="581"/>
      <c r="S36" s="2143"/>
      <c r="T36" s="2144"/>
      <c r="U36" s="974"/>
      <c r="V36" s="5695"/>
      <c r="W36" s="5721"/>
      <c r="X36" s="5723"/>
      <c r="Y36" s="5642"/>
      <c r="Z36" s="5729"/>
      <c r="AA36" s="5723"/>
      <c r="AB36" s="5640"/>
      <c r="AC36" s="5727"/>
      <c r="AD36" s="5700"/>
      <c r="AE36" s="5702"/>
      <c r="AF36" s="5702"/>
      <c r="AG36" s="5702"/>
      <c r="AH36" s="5702"/>
      <c r="AI36" s="5638"/>
      <c r="AJ36" s="5725"/>
      <c r="AK36" s="741"/>
      <c r="AL36" s="2158"/>
      <c r="AM36" s="1737" t="s">
        <v>1498</v>
      </c>
      <c r="AN36" s="3108" t="s">
        <v>2870</v>
      </c>
      <c r="AO36" s="1737" t="s">
        <v>2823</v>
      </c>
      <c r="AP36" s="1737" t="s">
        <v>1565</v>
      </c>
      <c r="AQ36" s="1737"/>
      <c r="AR36" s="1737" t="s">
        <v>1565</v>
      </c>
      <c r="AS36" s="1737"/>
      <c r="AT36" s="1737"/>
      <c r="AU36" s="1737"/>
      <c r="AV36" s="1737"/>
      <c r="AW36" s="1737"/>
      <c r="AX36" s="1737"/>
      <c r="AY36" s="1737"/>
      <c r="AZ36" s="1737"/>
      <c r="BA36" s="1737"/>
      <c r="BB36" s="1737"/>
      <c r="BC36" s="1737"/>
      <c r="BD36" s="1737"/>
    </row>
    <row r="37" spans="1:56" ht="12" customHeight="1" thickBot="1" x14ac:dyDescent="0.25">
      <c r="A37" s="2144"/>
      <c r="B37" s="974"/>
      <c r="C37" s="5492"/>
      <c r="D37" s="5494"/>
      <c r="E37" s="1680" t="s">
        <v>7115</v>
      </c>
      <c r="F37" s="5833"/>
      <c r="G37" s="5834"/>
      <c r="H37" s="2409"/>
      <c r="I37" s="5352" t="s">
        <v>1442</v>
      </c>
      <c r="J37" s="5842"/>
      <c r="K37" s="5842"/>
      <c r="L37" s="5842"/>
      <c r="M37" s="5842"/>
      <c r="N37" s="5842"/>
      <c r="O37" s="5843"/>
      <c r="P37" s="37" t="s">
        <v>1376</v>
      </c>
      <c r="Q37" s="15" t="s">
        <v>1377</v>
      </c>
      <c r="R37" s="581"/>
      <c r="S37" s="2143"/>
      <c r="T37" s="2144"/>
      <c r="U37" s="974"/>
      <c r="V37" s="5695"/>
      <c r="W37" s="3453" t="s">
        <v>1836</v>
      </c>
      <c r="X37" s="3453"/>
      <c r="Y37" s="3297"/>
      <c r="Z37" s="5693"/>
      <c r="AA37" s="3453" t="s">
        <v>1837</v>
      </c>
      <c r="AB37" s="3453"/>
      <c r="AC37" s="1705"/>
      <c r="AD37" s="3453" t="s">
        <v>1836</v>
      </c>
      <c r="AE37" s="3453"/>
      <c r="AF37" s="3297"/>
      <c r="AG37" s="5693"/>
      <c r="AH37" s="3453" t="s">
        <v>1837</v>
      </c>
      <c r="AI37" s="3453"/>
      <c r="AJ37" s="2326"/>
      <c r="AK37" s="741"/>
      <c r="AL37" s="2158"/>
      <c r="AM37" s="1737" t="s">
        <v>1378</v>
      </c>
      <c r="AN37" s="3108" t="s">
        <v>2831</v>
      </c>
      <c r="AO37" s="1737"/>
      <c r="AP37" s="1737" t="s">
        <v>2889</v>
      </c>
      <c r="AQ37" s="1737"/>
      <c r="AR37" s="1737" t="s">
        <v>2889</v>
      </c>
      <c r="AS37" s="3107"/>
      <c r="AT37" s="1737"/>
      <c r="AU37" s="1737"/>
      <c r="AV37" s="1737"/>
      <c r="AW37" s="1737"/>
      <c r="AX37" s="1737"/>
      <c r="AY37" s="1737"/>
      <c r="AZ37" s="1737"/>
      <c r="BA37" s="1737"/>
      <c r="BB37" s="1737"/>
      <c r="BC37" s="1737"/>
      <c r="BD37" s="1737"/>
    </row>
    <row r="38" spans="1:56" ht="12" customHeight="1" thickBot="1" x14ac:dyDescent="0.25">
      <c r="A38" s="2144"/>
      <c r="B38" s="974"/>
      <c r="C38" s="2409"/>
      <c r="D38" s="2409"/>
      <c r="E38" s="2409"/>
      <c r="F38" s="2409"/>
      <c r="G38" s="2409"/>
      <c r="H38" s="2409"/>
      <c r="I38" s="5518"/>
      <c r="J38" s="5519"/>
      <c r="K38" s="5519"/>
      <c r="L38" s="5519"/>
      <c r="M38" s="5519"/>
      <c r="N38" s="5519"/>
      <c r="O38" s="5520"/>
      <c r="P38" s="1674"/>
      <c r="Q38" s="1508"/>
      <c r="R38" s="581"/>
      <c r="S38" s="2143"/>
      <c r="T38" s="2144"/>
      <c r="U38" s="974"/>
      <c r="V38" s="5696"/>
      <c r="W38" s="5720" t="s">
        <v>1838</v>
      </c>
      <c r="X38" s="5720"/>
      <c r="Y38" s="5697"/>
      <c r="Z38" s="5698"/>
      <c r="AA38" s="5713" t="s">
        <v>1839</v>
      </c>
      <c r="AB38" s="5713"/>
      <c r="AC38" s="2327"/>
      <c r="AD38" s="5720" t="s">
        <v>1838</v>
      </c>
      <c r="AE38" s="5720"/>
      <c r="AF38" s="5697"/>
      <c r="AG38" s="5698"/>
      <c r="AH38" s="5713" t="s">
        <v>1839</v>
      </c>
      <c r="AI38" s="5713"/>
      <c r="AJ38" s="2137"/>
      <c r="AK38" s="741"/>
      <c r="AL38" s="2158"/>
      <c r="AM38" s="3107" t="s">
        <v>1383</v>
      </c>
      <c r="AN38" s="3108" t="s">
        <v>2832</v>
      </c>
      <c r="AO38" s="1737"/>
      <c r="AP38" s="3107" t="s">
        <v>3134</v>
      </c>
      <c r="AQ38" s="3107"/>
      <c r="AR38" s="3107" t="s">
        <v>3178</v>
      </c>
      <c r="AS38" s="3110"/>
      <c r="AT38" s="1737"/>
      <c r="AU38" s="1737"/>
      <c r="AV38" s="1737"/>
      <c r="AW38" s="1737"/>
      <c r="AX38" s="1737"/>
      <c r="AY38" s="1737"/>
      <c r="AZ38" s="1737"/>
      <c r="BA38" s="1737"/>
      <c r="BB38" s="1737"/>
      <c r="BC38" s="1737"/>
      <c r="BD38" s="1737"/>
    </row>
    <row r="39" spans="1:56" ht="12" customHeight="1" thickBot="1" x14ac:dyDescent="0.25">
      <c r="A39" s="2144"/>
      <c r="B39" s="974"/>
      <c r="C39" s="3307" t="s">
        <v>8643</v>
      </c>
      <c r="D39" s="3308"/>
      <c r="E39" s="3308"/>
      <c r="F39" s="3308"/>
      <c r="G39" s="3309"/>
      <c r="H39" s="2409"/>
      <c r="I39" s="5762"/>
      <c r="J39" s="5763"/>
      <c r="K39" s="5763"/>
      <c r="L39" s="5763"/>
      <c r="M39" s="5763"/>
      <c r="N39" s="5763"/>
      <c r="O39" s="5764"/>
      <c r="P39" s="2121"/>
      <c r="Q39" s="1677"/>
      <c r="R39" s="581"/>
      <c r="S39" s="2143"/>
      <c r="T39" s="2144"/>
      <c r="U39" s="974"/>
      <c r="V39" s="2409"/>
      <c r="W39" s="2409"/>
      <c r="X39" s="2409"/>
      <c r="Y39" s="2409"/>
      <c r="Z39" s="2409"/>
      <c r="AA39" s="2409"/>
      <c r="AB39" s="2409"/>
      <c r="AC39" s="2409"/>
      <c r="AD39" s="2409"/>
      <c r="AE39" s="2409"/>
      <c r="AF39" s="2409"/>
      <c r="AG39" s="2409"/>
      <c r="AH39" s="2409"/>
      <c r="AI39" s="2409"/>
      <c r="AJ39" s="2142"/>
      <c r="AK39" s="741"/>
      <c r="AL39" s="2158"/>
      <c r="AM39" s="3107" t="s">
        <v>1391</v>
      </c>
      <c r="AN39" s="3108" t="s">
        <v>3136</v>
      </c>
      <c r="AO39" s="3107"/>
      <c r="AP39" s="3107" t="s">
        <v>1210</v>
      </c>
      <c r="AQ39" s="3107"/>
      <c r="AR39" s="3107"/>
      <c r="AS39" s="3110"/>
      <c r="AT39" s="1737"/>
      <c r="AU39" s="1737"/>
      <c r="AV39" s="1737"/>
      <c r="AW39" s="1737"/>
      <c r="AX39" s="1737"/>
      <c r="AY39" s="1737"/>
      <c r="AZ39" s="1737"/>
      <c r="BA39" s="1737"/>
      <c r="BB39" s="1737"/>
      <c r="BC39" s="1737"/>
      <c r="BD39" s="1737"/>
    </row>
    <row r="40" spans="1:56" ht="12" customHeight="1" thickBot="1" x14ac:dyDescent="0.25">
      <c r="A40" s="2144"/>
      <c r="B40" s="974"/>
      <c r="C40" s="5851"/>
      <c r="D40" s="5852"/>
      <c r="E40" s="5852"/>
      <c r="F40" s="5852"/>
      <c r="G40" s="5853"/>
      <c r="H40" s="2409"/>
      <c r="I40" s="5518"/>
      <c r="J40" s="5519"/>
      <c r="K40" s="5519"/>
      <c r="L40" s="5519"/>
      <c r="M40" s="5519"/>
      <c r="N40" s="5519"/>
      <c r="O40" s="5520"/>
      <c r="P40" s="2123"/>
      <c r="Q40" s="1508"/>
      <c r="R40" s="581"/>
      <c r="S40" s="2143"/>
      <c r="T40" s="2144"/>
      <c r="U40" s="974"/>
      <c r="V40" s="3631" t="s">
        <v>1843</v>
      </c>
      <c r="W40" s="3631"/>
      <c r="X40" s="3631"/>
      <c r="Y40" s="3631"/>
      <c r="Z40" s="3631"/>
      <c r="AA40" s="3631"/>
      <c r="AB40" s="3631"/>
      <c r="AC40" s="3631"/>
      <c r="AD40" s="3631"/>
      <c r="AE40" s="3631"/>
      <c r="AF40" s="3631"/>
      <c r="AG40" s="3631"/>
      <c r="AH40" s="3631"/>
      <c r="AI40" s="3631"/>
      <c r="AJ40" s="5719"/>
      <c r="AK40" s="741"/>
      <c r="AL40" s="2158"/>
      <c r="AM40" s="1737" t="s">
        <v>1392</v>
      </c>
      <c r="AN40" s="3108" t="s">
        <v>6879</v>
      </c>
      <c r="AO40" s="3107"/>
      <c r="AP40" s="3107"/>
      <c r="AQ40" s="1737"/>
      <c r="AR40" s="1737"/>
      <c r="AS40" s="3093"/>
      <c r="AT40" s="1737"/>
      <c r="AU40" s="1737"/>
      <c r="AV40" s="1737"/>
      <c r="AW40" s="1737"/>
      <c r="AX40" s="1737"/>
      <c r="AY40" s="1737"/>
      <c r="AZ40" s="1737"/>
      <c r="BA40" s="1737"/>
      <c r="BB40" s="1737"/>
      <c r="BC40" s="1737"/>
      <c r="BD40" s="1737"/>
    </row>
    <row r="41" spans="1:56" ht="12" customHeight="1" thickBot="1" x14ac:dyDescent="0.25">
      <c r="A41" s="2144"/>
      <c r="B41" s="974"/>
      <c r="C41" s="5854"/>
      <c r="D41" s="5855"/>
      <c r="E41" s="5855"/>
      <c r="F41" s="5855"/>
      <c r="G41" s="5856"/>
      <c r="H41" s="2409"/>
      <c r="I41" s="5762"/>
      <c r="J41" s="5763"/>
      <c r="K41" s="5763"/>
      <c r="L41" s="5763"/>
      <c r="M41" s="5763"/>
      <c r="N41" s="5763"/>
      <c r="O41" s="5764"/>
      <c r="P41" s="2121"/>
      <c r="Q41" s="1677"/>
      <c r="R41" s="581"/>
      <c r="S41" s="2143"/>
      <c r="T41" s="2144"/>
      <c r="U41" s="974"/>
      <c r="V41" s="5873" t="s">
        <v>1844</v>
      </c>
      <c r="W41" s="5873"/>
      <c r="X41" s="5873"/>
      <c r="Y41" s="5872"/>
      <c r="Z41" s="5872"/>
      <c r="AA41" s="5872"/>
      <c r="AB41" s="5718"/>
      <c r="AC41" s="5718"/>
      <c r="AD41" s="5718"/>
      <c r="AE41" s="5718"/>
      <c r="AF41" s="5718"/>
      <c r="AG41" s="5718"/>
      <c r="AH41" s="5734"/>
      <c r="AI41" s="5734"/>
      <c r="AJ41" s="5735"/>
      <c r="AK41" s="741"/>
      <c r="AL41" s="2158"/>
      <c r="AM41" s="1737"/>
      <c r="AN41" s="1737"/>
      <c r="AO41" s="1737"/>
      <c r="AP41" s="1737"/>
      <c r="AQ41" s="1737"/>
      <c r="AR41" s="1737"/>
      <c r="AS41" s="1737"/>
      <c r="AT41" s="1737"/>
      <c r="AU41" s="1737"/>
      <c r="AV41" s="1737"/>
      <c r="AW41" s="1737"/>
      <c r="AX41" s="1737"/>
      <c r="AY41" s="1737"/>
      <c r="AZ41" s="1737"/>
      <c r="BA41" s="1737"/>
      <c r="BB41" s="1737"/>
      <c r="BC41" s="1737"/>
      <c r="BD41" s="1737"/>
    </row>
    <row r="42" spans="1:56" ht="12" customHeight="1" thickBot="1" x14ac:dyDescent="0.25">
      <c r="A42" s="2144"/>
      <c r="B42" s="974"/>
      <c r="C42" s="5864"/>
      <c r="D42" s="5865"/>
      <c r="E42" s="5865"/>
      <c r="F42" s="5865"/>
      <c r="G42" s="5866"/>
      <c r="H42" s="2409"/>
      <c r="I42" s="5518"/>
      <c r="J42" s="5519"/>
      <c r="K42" s="5519"/>
      <c r="L42" s="5519"/>
      <c r="M42" s="5519"/>
      <c r="N42" s="5519"/>
      <c r="O42" s="5520"/>
      <c r="P42" s="2123"/>
      <c r="Q42" s="1508"/>
      <c r="R42" s="581"/>
      <c r="S42" s="2143"/>
      <c r="T42" s="2144"/>
      <c r="U42" s="974"/>
      <c r="V42" s="5873"/>
      <c r="W42" s="5873"/>
      <c r="X42" s="5873"/>
      <c r="Y42" s="5872"/>
      <c r="Z42" s="5872"/>
      <c r="AA42" s="5872"/>
      <c r="AB42" s="5718"/>
      <c r="AC42" s="5718"/>
      <c r="AD42" s="5718"/>
      <c r="AE42" s="5718"/>
      <c r="AF42" s="5718"/>
      <c r="AG42" s="5718"/>
      <c r="AH42" s="5734"/>
      <c r="AI42" s="5734"/>
      <c r="AJ42" s="5735"/>
      <c r="AK42" s="741"/>
      <c r="AL42" s="2158"/>
      <c r="AM42" s="1737"/>
      <c r="AN42" s="1737"/>
      <c r="AO42" s="1737"/>
      <c r="AP42" s="1737"/>
      <c r="AQ42" s="1737"/>
      <c r="AR42" s="1737"/>
      <c r="AS42" s="1737"/>
      <c r="AT42" s="1737"/>
      <c r="AU42" s="1737"/>
      <c r="AV42" s="1737"/>
      <c r="AW42" s="1737"/>
      <c r="AX42" s="1737"/>
      <c r="AY42" s="1737"/>
      <c r="AZ42" s="1737"/>
      <c r="BA42" s="1737"/>
      <c r="BB42" s="1737"/>
      <c r="BC42" s="1737"/>
      <c r="BD42" s="1737"/>
    </row>
    <row r="43" spans="1:56" ht="12" customHeight="1" thickBot="1" x14ac:dyDescent="0.25">
      <c r="A43" s="2144"/>
      <c r="B43" s="974"/>
      <c r="C43" s="2409"/>
      <c r="D43" s="2409"/>
      <c r="E43" s="2409"/>
      <c r="F43" s="2409"/>
      <c r="G43" s="2409"/>
      <c r="H43" s="2409"/>
      <c r="I43" s="5762"/>
      <c r="J43" s="5763"/>
      <c r="K43" s="5763"/>
      <c r="L43" s="5763"/>
      <c r="M43" s="5763"/>
      <c r="N43" s="5763"/>
      <c r="O43" s="5764"/>
      <c r="P43" s="2121"/>
      <c r="Q43" s="1677"/>
      <c r="R43" s="581"/>
      <c r="S43" s="2143"/>
      <c r="T43" s="2144"/>
      <c r="U43" s="974"/>
      <c r="V43" s="3263" t="s">
        <v>1847</v>
      </c>
      <c r="W43" s="3263"/>
      <c r="X43" s="3263"/>
      <c r="Y43" s="5874"/>
      <c r="Z43" s="5874"/>
      <c r="AA43" s="5874"/>
      <c r="AB43" s="5875"/>
      <c r="AC43" s="5875"/>
      <c r="AD43" s="5875"/>
      <c r="AE43" s="5875"/>
      <c r="AF43" s="5875"/>
      <c r="AG43" s="5875"/>
      <c r="AH43" s="5621"/>
      <c r="AI43" s="5621"/>
      <c r="AJ43" s="5622"/>
      <c r="AK43" s="741"/>
      <c r="AL43" s="2158"/>
      <c r="AM43" s="1737"/>
      <c r="AN43" s="1737"/>
      <c r="AO43" s="1737"/>
      <c r="AP43" s="1737"/>
      <c r="AQ43" s="1737"/>
      <c r="AR43" s="1737"/>
      <c r="AS43" s="1737"/>
      <c r="AT43" s="1737"/>
      <c r="AU43" s="1737"/>
      <c r="AV43" s="1737"/>
      <c r="AW43" s="1737"/>
      <c r="AX43" s="1737"/>
      <c r="AY43" s="1737"/>
      <c r="AZ43" s="1737"/>
      <c r="BA43" s="1737"/>
      <c r="BB43" s="1737"/>
      <c r="BC43" s="1737"/>
      <c r="BD43" s="1737"/>
    </row>
    <row r="44" spans="1:56" ht="12" customHeight="1" thickBot="1" x14ac:dyDescent="0.25">
      <c r="A44" s="2144"/>
      <c r="B44" s="974"/>
      <c r="C44" s="3307" t="s">
        <v>1925</v>
      </c>
      <c r="D44" s="3308"/>
      <c r="E44" s="3308"/>
      <c r="F44" s="3308"/>
      <c r="G44" s="3309"/>
      <c r="H44" s="2409"/>
      <c r="I44" s="5518"/>
      <c r="J44" s="5519"/>
      <c r="K44" s="5519"/>
      <c r="L44" s="5519"/>
      <c r="M44" s="5519"/>
      <c r="N44" s="5519"/>
      <c r="O44" s="5520"/>
      <c r="P44" s="2123"/>
      <c r="Q44" s="1508"/>
      <c r="R44" s="581"/>
      <c r="S44" s="2143"/>
      <c r="T44" s="2144"/>
      <c r="U44" s="974"/>
      <c r="V44" s="5648" t="s">
        <v>1848</v>
      </c>
      <c r="W44" s="5648"/>
      <c r="X44" s="5648"/>
      <c r="Y44" s="5623"/>
      <c r="Z44" s="5623"/>
      <c r="AA44" s="5623"/>
      <c r="AB44" s="5624"/>
      <c r="AC44" s="5624"/>
      <c r="AD44" s="5624"/>
      <c r="AE44" s="5624"/>
      <c r="AF44" s="5624"/>
      <c r="AG44" s="5624"/>
      <c r="AH44" s="5625"/>
      <c r="AI44" s="5625"/>
      <c r="AJ44" s="5626"/>
      <c r="AK44" s="741"/>
      <c r="AL44" s="2158"/>
      <c r="AM44" s="1737"/>
      <c r="AN44" s="1737"/>
      <c r="AO44" s="1737"/>
      <c r="AP44" s="1737"/>
      <c r="AQ44" s="1737"/>
      <c r="AR44" s="1737"/>
      <c r="AS44" s="1737"/>
      <c r="AT44" s="1737"/>
      <c r="AU44" s="1737"/>
      <c r="AV44" s="1737"/>
      <c r="AW44" s="1737"/>
      <c r="AX44" s="1737"/>
      <c r="AY44" s="1737"/>
      <c r="AZ44" s="1737"/>
      <c r="BA44" s="1737"/>
      <c r="BB44" s="1737"/>
      <c r="BC44" s="1737"/>
      <c r="BD44" s="1737"/>
    </row>
    <row r="45" spans="1:56" ht="12" customHeight="1" x14ac:dyDescent="0.2">
      <c r="A45" s="2144"/>
      <c r="B45" s="974"/>
      <c r="C45" s="5857" t="s">
        <v>8642</v>
      </c>
      <c r="D45" s="5858"/>
      <c r="E45" s="5858"/>
      <c r="F45" s="5858"/>
      <c r="G45" s="1720"/>
      <c r="H45" s="2409"/>
      <c r="I45" s="5762"/>
      <c r="J45" s="5763"/>
      <c r="K45" s="5763"/>
      <c r="L45" s="5763"/>
      <c r="M45" s="5763"/>
      <c r="N45" s="5763"/>
      <c r="O45" s="5764"/>
      <c r="P45" s="2121"/>
      <c r="Q45" s="1677"/>
      <c r="R45" s="581"/>
      <c r="S45" s="2143"/>
      <c r="T45" s="2144"/>
      <c r="U45" s="974"/>
      <c r="V45" s="5649" t="s">
        <v>1849</v>
      </c>
      <c r="W45" s="5649"/>
      <c r="X45" s="5649"/>
      <c r="Y45" s="5628"/>
      <c r="Z45" s="5628"/>
      <c r="AA45" s="5628"/>
      <c r="AB45" s="5627"/>
      <c r="AC45" s="5627"/>
      <c r="AD45" s="5627"/>
      <c r="AE45" s="5627"/>
      <c r="AF45" s="5627"/>
      <c r="AG45" s="5627"/>
      <c r="AH45" s="5629"/>
      <c r="AI45" s="5629"/>
      <c r="AJ45" s="5630"/>
      <c r="AK45" s="741"/>
      <c r="AL45" s="2158"/>
      <c r="AM45" s="1737"/>
      <c r="AN45" s="1737"/>
      <c r="AO45" s="1737"/>
      <c r="AP45" s="1737"/>
      <c r="AQ45" s="1737"/>
      <c r="AR45" s="1737"/>
      <c r="AS45" s="1737"/>
      <c r="AT45" s="1737"/>
      <c r="AU45" s="3107"/>
      <c r="AV45" s="1737"/>
      <c r="AW45" s="1737"/>
      <c r="AX45" s="1737"/>
      <c r="AY45" s="1737"/>
      <c r="AZ45" s="1737"/>
      <c r="BA45" s="1737"/>
      <c r="BB45" s="1737"/>
      <c r="BC45" s="1737"/>
      <c r="BD45" s="1737"/>
    </row>
    <row r="46" spans="1:56" ht="12" customHeight="1" x14ac:dyDescent="0.2">
      <c r="A46" s="2144"/>
      <c r="B46" s="974"/>
      <c r="C46" s="5586" t="s">
        <v>8640</v>
      </c>
      <c r="D46" s="5587"/>
      <c r="E46" s="5587"/>
      <c r="F46" s="5587"/>
      <c r="G46" s="1721" t="s">
        <v>1381</v>
      </c>
      <c r="H46" s="2409"/>
      <c r="I46" s="5518"/>
      <c r="J46" s="5519"/>
      <c r="K46" s="5519"/>
      <c r="L46" s="5519"/>
      <c r="M46" s="5519"/>
      <c r="N46" s="5519"/>
      <c r="O46" s="5520"/>
      <c r="P46" s="2123"/>
      <c r="Q46" s="1508"/>
      <c r="R46" s="581"/>
      <c r="S46" s="2143"/>
      <c r="T46" s="2144"/>
      <c r="U46" s="974"/>
      <c r="V46" s="5648" t="s">
        <v>1850</v>
      </c>
      <c r="W46" s="5648"/>
      <c r="X46" s="5648"/>
      <c r="Y46" s="5623"/>
      <c r="Z46" s="5623"/>
      <c r="AA46" s="5623"/>
      <c r="AB46" s="5624"/>
      <c r="AC46" s="5624"/>
      <c r="AD46" s="5624"/>
      <c r="AE46" s="5624"/>
      <c r="AF46" s="5624"/>
      <c r="AG46" s="5624"/>
      <c r="AH46" s="5625"/>
      <c r="AI46" s="5625"/>
      <c r="AJ46" s="5626"/>
      <c r="AK46" s="741"/>
      <c r="AL46" s="2158"/>
      <c r="AM46" s="1737" t="s">
        <v>9597</v>
      </c>
      <c r="AN46" s="1737"/>
      <c r="AO46" s="1737"/>
      <c r="AP46" s="1737"/>
      <c r="AQ46" s="1737"/>
      <c r="AR46" s="1737"/>
      <c r="AS46" s="1737"/>
      <c r="AT46" s="3107"/>
      <c r="AU46" s="1737"/>
      <c r="AV46" s="1737"/>
      <c r="AW46" s="1737"/>
      <c r="AX46" s="1737"/>
      <c r="AY46" s="1737"/>
      <c r="AZ46" s="1737"/>
      <c r="BA46" s="1737"/>
      <c r="BB46" s="1737"/>
      <c r="BC46" s="1737"/>
      <c r="BD46" s="1737"/>
    </row>
    <row r="47" spans="1:56" ht="12" customHeight="1" thickBot="1" x14ac:dyDescent="0.25">
      <c r="A47" s="2144"/>
      <c r="B47" s="974"/>
      <c r="C47" s="5586" t="s">
        <v>8641</v>
      </c>
      <c r="D47" s="5587"/>
      <c r="E47" s="5587"/>
      <c r="F47" s="5587"/>
      <c r="G47" s="1721" t="s">
        <v>1381</v>
      </c>
      <c r="H47" s="2409"/>
      <c r="I47" s="5861"/>
      <c r="J47" s="5862"/>
      <c r="K47" s="5862"/>
      <c r="L47" s="5862"/>
      <c r="M47" s="5862"/>
      <c r="N47" s="5862"/>
      <c r="O47" s="5863"/>
      <c r="P47" s="1679"/>
      <c r="Q47" s="1678"/>
      <c r="R47" s="581"/>
      <c r="S47" s="2143"/>
      <c r="T47" s="2144"/>
      <c r="U47" s="974"/>
      <c r="V47" s="5876" t="s">
        <v>1851</v>
      </c>
      <c r="W47" s="5877"/>
      <c r="X47" s="5878"/>
      <c r="Y47" s="5618"/>
      <c r="Z47" s="5619"/>
      <c r="AA47" s="5620"/>
      <c r="AB47" s="5618"/>
      <c r="AC47" s="5619"/>
      <c r="AD47" s="5620"/>
      <c r="AE47" s="5618"/>
      <c r="AF47" s="5619"/>
      <c r="AG47" s="5620"/>
      <c r="AH47" s="5618"/>
      <c r="AI47" s="5619"/>
      <c r="AJ47" s="5879"/>
      <c r="AK47" s="741"/>
      <c r="AL47" s="2158"/>
      <c r="AM47" s="1737" t="s">
        <v>1234</v>
      </c>
      <c r="AN47" s="1737" t="s">
        <v>1399</v>
      </c>
      <c r="AO47" s="1737" t="s">
        <v>1370</v>
      </c>
      <c r="AP47" s="1737" t="s">
        <v>9593</v>
      </c>
      <c r="AQ47" s="1737" t="s">
        <v>9589</v>
      </c>
      <c r="AR47" s="1737" t="s">
        <v>9590</v>
      </c>
      <c r="AS47" s="3107" t="s">
        <v>9591</v>
      </c>
      <c r="AT47" s="1737" t="s">
        <v>9592</v>
      </c>
      <c r="AU47" s="1737" t="s">
        <v>8824</v>
      </c>
      <c r="AV47" s="1737" t="s">
        <v>1842</v>
      </c>
      <c r="AW47" s="1737" t="s">
        <v>1500</v>
      </c>
      <c r="AX47" s="1737" t="s">
        <v>9569</v>
      </c>
      <c r="AY47" s="1737" t="s">
        <v>2829</v>
      </c>
      <c r="AZ47" s="1737" t="s">
        <v>2830</v>
      </c>
      <c r="BA47" s="1737" t="s">
        <v>2821</v>
      </c>
      <c r="BB47" s="1737" t="s">
        <v>9596</v>
      </c>
      <c r="BC47" s="1737" t="s">
        <v>9595</v>
      </c>
      <c r="BD47" s="1737" t="s">
        <v>9594</v>
      </c>
    </row>
    <row r="48" spans="1:56" ht="12" customHeight="1" thickBot="1" x14ac:dyDescent="0.25">
      <c r="A48" s="2144"/>
      <c r="B48" s="974"/>
      <c r="C48" s="5859" t="s">
        <v>8645</v>
      </c>
      <c r="D48" s="5860"/>
      <c r="E48" s="5860"/>
      <c r="F48" s="5860"/>
      <c r="G48" s="1722" t="s">
        <v>1381</v>
      </c>
      <c r="H48" s="2409"/>
      <c r="I48" s="2409"/>
      <c r="J48" s="2409"/>
      <c r="K48" s="2409"/>
      <c r="L48" s="2409"/>
      <c r="M48" s="2409"/>
      <c r="N48" s="2409"/>
      <c r="O48" s="2409"/>
      <c r="P48" s="2409"/>
      <c r="Q48" s="2409"/>
      <c r="R48" s="581"/>
      <c r="S48" s="2143"/>
      <c r="T48" s="2144"/>
      <c r="U48" s="974"/>
      <c r="V48" s="2409"/>
      <c r="W48" s="2409"/>
      <c r="X48" s="2409"/>
      <c r="Y48" s="2409"/>
      <c r="Z48" s="2409"/>
      <c r="AA48" s="2409"/>
      <c r="AB48" s="2409"/>
      <c r="AC48" s="2409"/>
      <c r="AD48" s="2409"/>
      <c r="AE48" s="2409"/>
      <c r="AF48" s="2409"/>
      <c r="AG48" s="2409"/>
      <c r="AH48" s="2409"/>
      <c r="AI48" s="2409"/>
      <c r="AJ48" s="46"/>
      <c r="AK48" s="741"/>
      <c r="AL48" s="2158"/>
      <c r="AM48" s="1758">
        <f>D58</f>
        <v>0</v>
      </c>
      <c r="AN48" s="1758">
        <f>D59</f>
        <v>0</v>
      </c>
      <c r="AO48" s="1758">
        <f>D60</f>
        <v>0</v>
      </c>
      <c r="AP48" s="1758">
        <f>H59</f>
        <v>0</v>
      </c>
      <c r="AQ48" s="1758" t="str">
        <f>J60&amp;" "&amp;K60</f>
        <v xml:space="preserve"> </v>
      </c>
      <c r="AR48" s="1758" t="str">
        <f>L60&amp;" "&amp;M60</f>
        <v xml:space="preserve"> </v>
      </c>
      <c r="AS48" s="1758" t="str">
        <f>N60&amp;" "&amp;O60</f>
        <v xml:space="preserve"> </v>
      </c>
      <c r="AT48" s="1758" t="str">
        <f>P60&amp;" "&amp;Q60</f>
        <v xml:space="preserve"> </v>
      </c>
      <c r="AU48" s="1758">
        <f t="shared" ref="AU48:BA48" si="0">K58</f>
        <v>0</v>
      </c>
      <c r="AV48" s="1758">
        <f t="shared" si="0"/>
        <v>0</v>
      </c>
      <c r="AW48" s="1758">
        <f t="shared" si="0"/>
        <v>0</v>
      </c>
      <c r="AX48" s="1758">
        <f t="shared" si="0"/>
        <v>0</v>
      </c>
      <c r="AY48" s="1758">
        <f t="shared" si="0"/>
        <v>0</v>
      </c>
      <c r="AZ48" s="1758">
        <f t="shared" si="0"/>
        <v>0</v>
      </c>
      <c r="BA48" s="1758">
        <f t="shared" si="0"/>
        <v>0</v>
      </c>
      <c r="BB48" s="1758">
        <f>L59</f>
        <v>0</v>
      </c>
      <c r="BC48" s="1758">
        <f>N59</f>
        <v>0</v>
      </c>
      <c r="BD48" s="1758">
        <f>P59</f>
        <v>0</v>
      </c>
    </row>
    <row r="49" spans="1:56" ht="12" customHeight="1" thickBot="1" x14ac:dyDescent="0.25">
      <c r="A49" s="2144"/>
      <c r="B49" s="974"/>
      <c r="C49" s="2409"/>
      <c r="D49" s="2409"/>
      <c r="E49" s="2409"/>
      <c r="F49" s="2409"/>
      <c r="G49" s="2409"/>
      <c r="H49" s="2409"/>
      <c r="I49" s="5880" t="s">
        <v>1926</v>
      </c>
      <c r="J49" s="5850" t="s">
        <v>8639</v>
      </c>
      <c r="K49" s="5850"/>
      <c r="L49" s="5850"/>
      <c r="M49" s="5850"/>
      <c r="N49" s="1681"/>
      <c r="O49" s="1681"/>
      <c r="P49" s="1681"/>
      <c r="Q49" s="1682"/>
      <c r="R49" s="581"/>
      <c r="S49" s="2143"/>
      <c r="T49" s="2144"/>
      <c r="U49" s="974"/>
      <c r="V49" s="2409"/>
      <c r="W49" s="2409"/>
      <c r="X49" s="2409"/>
      <c r="Y49" s="2409"/>
      <c r="Z49" s="2409"/>
      <c r="AA49" s="2409"/>
      <c r="AB49" s="2409"/>
      <c r="AC49" s="2409"/>
      <c r="AD49" s="2409"/>
      <c r="AE49" s="2409"/>
      <c r="AF49" s="2409"/>
      <c r="AG49" s="2409"/>
      <c r="AH49" s="2409"/>
      <c r="AI49" s="2409"/>
      <c r="AJ49" s="2409"/>
      <c r="AK49" s="741"/>
      <c r="AL49" s="2158"/>
      <c r="AM49" s="1758">
        <f>D62</f>
        <v>0</v>
      </c>
      <c r="AN49" s="1758">
        <f>D63</f>
        <v>0</v>
      </c>
      <c r="AO49" s="1758">
        <f>D64</f>
        <v>0</v>
      </c>
      <c r="AP49" s="1758">
        <f>H63</f>
        <v>0</v>
      </c>
      <c r="AQ49" s="1758" t="str">
        <f>J64&amp;" "&amp;K64</f>
        <v xml:space="preserve"> </v>
      </c>
      <c r="AR49" s="1758" t="str">
        <f>L64&amp;" "&amp;M64</f>
        <v xml:space="preserve"> </v>
      </c>
      <c r="AS49" s="1758" t="str">
        <f>N64&amp;" "&amp;O64</f>
        <v xml:space="preserve"> </v>
      </c>
      <c r="AT49" s="1758" t="str">
        <f>P64&amp;" "&amp;Q64</f>
        <v xml:space="preserve"> </v>
      </c>
      <c r="AU49" s="1758">
        <f t="shared" ref="AU49:BA49" si="1">K62</f>
        <v>0</v>
      </c>
      <c r="AV49" s="1758">
        <f t="shared" si="1"/>
        <v>0</v>
      </c>
      <c r="AW49" s="1758">
        <f t="shared" si="1"/>
        <v>0</v>
      </c>
      <c r="AX49" s="1758">
        <f t="shared" si="1"/>
        <v>0</v>
      </c>
      <c r="AY49" s="1758">
        <f t="shared" si="1"/>
        <v>0</v>
      </c>
      <c r="AZ49" s="1758">
        <f t="shared" si="1"/>
        <v>0</v>
      </c>
      <c r="BA49" s="1758">
        <f t="shared" si="1"/>
        <v>0</v>
      </c>
      <c r="BB49" s="1758">
        <f>L63</f>
        <v>0</v>
      </c>
      <c r="BC49" s="1758">
        <f>N63</f>
        <v>0</v>
      </c>
      <c r="BD49" s="1758">
        <f>P63</f>
        <v>0</v>
      </c>
    </row>
    <row r="50" spans="1:56" ht="12" customHeight="1" thickBot="1" x14ac:dyDescent="0.25">
      <c r="A50" s="2144"/>
      <c r="B50" s="974"/>
      <c r="C50" s="4439" t="s">
        <v>8644</v>
      </c>
      <c r="D50" s="4441"/>
      <c r="E50" s="5884" t="s">
        <v>9328</v>
      </c>
      <c r="F50" s="5789"/>
      <c r="G50" s="5790"/>
      <c r="H50" s="2409"/>
      <c r="I50" s="5881"/>
      <c r="J50" s="5886" t="s">
        <v>8634</v>
      </c>
      <c r="K50" s="5886"/>
      <c r="L50" s="1606" t="s">
        <v>1381</v>
      </c>
      <c r="M50" s="5508" t="s">
        <v>8633</v>
      </c>
      <c r="N50" s="5508"/>
      <c r="O50" s="5508"/>
      <c r="P50" s="5882" t="s">
        <v>8637</v>
      </c>
      <c r="Q50" s="5883"/>
      <c r="R50" s="581"/>
      <c r="S50" s="2143"/>
      <c r="T50" s="2144"/>
      <c r="U50" s="974"/>
      <c r="V50" s="4914" t="s">
        <v>7119</v>
      </c>
      <c r="W50" s="4915"/>
      <c r="X50" s="4915"/>
      <c r="Y50" s="4915"/>
      <c r="Z50" s="4915"/>
      <c r="AA50" s="4915"/>
      <c r="AB50" s="4915"/>
      <c r="AC50" s="4915"/>
      <c r="AD50" s="4915"/>
      <c r="AE50" s="4915"/>
      <c r="AF50" s="4915"/>
      <c r="AG50" s="4915"/>
      <c r="AH50" s="4915"/>
      <c r="AI50" s="4915"/>
      <c r="AJ50" s="5482"/>
      <c r="AK50" s="741"/>
      <c r="AL50" s="2158"/>
      <c r="AM50" s="1758">
        <f>D66</f>
        <v>0</v>
      </c>
      <c r="AN50" s="1758">
        <f>D67</f>
        <v>0</v>
      </c>
      <c r="AO50" s="1758">
        <f>D68</f>
        <v>0</v>
      </c>
      <c r="AP50" s="1758">
        <f>H67</f>
        <v>0</v>
      </c>
      <c r="AQ50" s="1758" t="str">
        <f>J68&amp;" "&amp;K68</f>
        <v xml:space="preserve"> </v>
      </c>
      <c r="AR50" s="1758" t="str">
        <f>L68&amp;" "&amp;M68</f>
        <v xml:space="preserve"> </v>
      </c>
      <c r="AS50" s="1758" t="str">
        <f>N68&amp;" "&amp;O68</f>
        <v xml:space="preserve"> </v>
      </c>
      <c r="AT50" s="1758" t="str">
        <f>P68&amp;" "&amp;Q68</f>
        <v xml:space="preserve"> </v>
      </c>
      <c r="AU50" s="1758">
        <f t="shared" ref="AU50:BA50" si="2">K66</f>
        <v>0</v>
      </c>
      <c r="AV50" s="1758">
        <f t="shared" si="2"/>
        <v>0</v>
      </c>
      <c r="AW50" s="1758">
        <f t="shared" si="2"/>
        <v>0</v>
      </c>
      <c r="AX50" s="1758">
        <f t="shared" si="2"/>
        <v>0</v>
      </c>
      <c r="AY50" s="1758">
        <f t="shared" si="2"/>
        <v>0</v>
      </c>
      <c r="AZ50" s="1758">
        <f t="shared" si="2"/>
        <v>0</v>
      </c>
      <c r="BA50" s="1758">
        <f t="shared" si="2"/>
        <v>0</v>
      </c>
      <c r="BB50" s="1758">
        <f>L67</f>
        <v>0</v>
      </c>
      <c r="BC50" s="1758">
        <f>N67</f>
        <v>0</v>
      </c>
      <c r="BD50" s="1758">
        <f>P67</f>
        <v>0</v>
      </c>
    </row>
    <row r="51" spans="1:56" ht="12" customHeight="1" thickBot="1" x14ac:dyDescent="0.25">
      <c r="A51" s="2144"/>
      <c r="B51" s="974"/>
      <c r="C51" s="5492"/>
      <c r="D51" s="5494"/>
      <c r="E51" s="5885"/>
      <c r="F51" s="5791"/>
      <c r="G51" s="5792"/>
      <c r="H51" s="2409"/>
      <c r="I51" s="5746" t="str">
        <f>IF(IFERROR(VALUE(LEFT(N49,2)),0)+IFERROR(VALUE(LEFT(O49,2)),0)+IFERROR(VALUE(LEFT(P49,2)),0)+IFERROR(VALUE(LEFT(Q49,2)),0)&gt;3,"Exceso de bonos de transformación",IF($AQ$28=-1,"Sin poderes raciales",""))</f>
        <v/>
      </c>
      <c r="J51" s="5747"/>
      <c r="K51" s="5747"/>
      <c r="L51" s="5747"/>
      <c r="M51" s="5747"/>
      <c r="N51" s="5747"/>
      <c r="O51" s="5747"/>
      <c r="P51" s="5747"/>
      <c r="Q51" s="5748"/>
      <c r="R51" s="581"/>
      <c r="S51" s="2143"/>
      <c r="T51" s="2144"/>
      <c r="U51" s="974"/>
      <c r="V51" s="4917"/>
      <c r="W51" s="4918"/>
      <c r="X51" s="4918"/>
      <c r="Y51" s="4918"/>
      <c r="Z51" s="4918"/>
      <c r="AA51" s="4918"/>
      <c r="AB51" s="4918"/>
      <c r="AC51" s="4918"/>
      <c r="AD51" s="4918"/>
      <c r="AE51" s="4918"/>
      <c r="AF51" s="4918"/>
      <c r="AG51" s="4918"/>
      <c r="AH51" s="4918"/>
      <c r="AI51" s="4918"/>
      <c r="AJ51" s="5483"/>
      <c r="AK51" s="741"/>
      <c r="AL51" s="2158"/>
      <c r="AM51" s="1758">
        <f>D70</f>
        <v>0</v>
      </c>
      <c r="AN51" s="1758">
        <f>D71</f>
        <v>0</v>
      </c>
      <c r="AO51" s="1758">
        <f>D72</f>
        <v>0</v>
      </c>
      <c r="AP51" s="1758">
        <f>H71</f>
        <v>0</v>
      </c>
      <c r="AQ51" s="1758" t="str">
        <f>J72&amp;" "&amp;K72</f>
        <v xml:space="preserve"> </v>
      </c>
      <c r="AR51" s="1758" t="str">
        <f>L72&amp;" "&amp;M72</f>
        <v xml:space="preserve"> </v>
      </c>
      <c r="AS51" s="1758" t="str">
        <f>N72&amp;" "&amp;O72</f>
        <v xml:space="preserve"> </v>
      </c>
      <c r="AT51" s="1758" t="str">
        <f>P72&amp;" "&amp;Q72</f>
        <v xml:space="preserve"> </v>
      </c>
      <c r="AU51" s="1758">
        <f t="shared" ref="AU51:BA51" si="3">K70</f>
        <v>0</v>
      </c>
      <c r="AV51" s="1758">
        <f t="shared" si="3"/>
        <v>0</v>
      </c>
      <c r="AW51" s="1758">
        <f t="shared" si="3"/>
        <v>0</v>
      </c>
      <c r="AX51" s="1758">
        <f t="shared" si="3"/>
        <v>0</v>
      </c>
      <c r="AY51" s="1758">
        <f t="shared" si="3"/>
        <v>0</v>
      </c>
      <c r="AZ51" s="1758">
        <f t="shared" si="3"/>
        <v>0</v>
      </c>
      <c r="BA51" s="1758">
        <f t="shared" si="3"/>
        <v>0</v>
      </c>
      <c r="BB51" s="1758">
        <f>L71</f>
        <v>0</v>
      </c>
      <c r="BC51" s="1758">
        <f>N71</f>
        <v>0</v>
      </c>
      <c r="BD51" s="1758">
        <f>P71</f>
        <v>0</v>
      </c>
    </row>
    <row r="52" spans="1:56" ht="12" customHeight="1" thickBot="1" x14ac:dyDescent="0.25">
      <c r="A52" s="2144"/>
      <c r="B52" s="974"/>
      <c r="C52" s="5867" t="s">
        <v>8467</v>
      </c>
      <c r="D52" s="5867"/>
      <c r="E52" s="5867" t="s">
        <v>1381</v>
      </c>
      <c r="F52" s="5867"/>
      <c r="G52" s="5867"/>
      <c r="H52" s="2409"/>
      <c r="I52" s="2409"/>
      <c r="J52" s="2409"/>
      <c r="K52" s="2409"/>
      <c r="L52" s="2409"/>
      <c r="M52" s="2409"/>
      <c r="N52" s="2409"/>
      <c r="O52" s="2409"/>
      <c r="P52" s="2409"/>
      <c r="Q52" s="2409"/>
      <c r="R52" s="581"/>
      <c r="S52" s="2143"/>
      <c r="T52" s="2144"/>
      <c r="U52" s="974"/>
      <c r="V52" s="2409"/>
      <c r="W52" s="2409"/>
      <c r="X52" s="2409"/>
      <c r="Y52" s="2409"/>
      <c r="Z52" s="2409"/>
      <c r="AA52" s="2409"/>
      <c r="AB52" s="2409"/>
      <c r="AC52" s="2409"/>
      <c r="AD52" s="2409"/>
      <c r="AE52" s="2409"/>
      <c r="AF52" s="2409"/>
      <c r="AG52" s="2409"/>
      <c r="AH52" s="2409"/>
      <c r="AI52" s="2409"/>
      <c r="AJ52" s="2409"/>
      <c r="AK52" s="741"/>
      <c r="AL52" s="2158"/>
      <c r="AM52" s="1758">
        <f>D74</f>
        <v>0</v>
      </c>
      <c r="AN52" s="1758">
        <f>D75</f>
        <v>0</v>
      </c>
      <c r="AO52" s="1758">
        <f>D76</f>
        <v>0</v>
      </c>
      <c r="AP52" s="1758">
        <f>H74</f>
        <v>0</v>
      </c>
      <c r="AQ52" s="1758" t="str">
        <f>J76&amp;" "&amp;K76</f>
        <v xml:space="preserve"> </v>
      </c>
      <c r="AR52" s="1758" t="str">
        <f>L76&amp;" "&amp;M76</f>
        <v xml:space="preserve"> </v>
      </c>
      <c r="AS52" s="1758" t="str">
        <f>N76&amp;" "&amp;O76</f>
        <v xml:space="preserve"> </v>
      </c>
      <c r="AT52" s="1758" t="str">
        <f>P76&amp;" "&amp;Q76</f>
        <v xml:space="preserve"> </v>
      </c>
      <c r="AU52" s="1758">
        <f t="shared" ref="AU52:BA52" si="4">K74</f>
        <v>0</v>
      </c>
      <c r="AV52" s="1758">
        <f t="shared" si="4"/>
        <v>0</v>
      </c>
      <c r="AW52" s="1758">
        <f t="shared" si="4"/>
        <v>0</v>
      </c>
      <c r="AX52" s="1758">
        <f t="shared" si="4"/>
        <v>0</v>
      </c>
      <c r="AY52" s="1758">
        <f t="shared" si="4"/>
        <v>0</v>
      </c>
      <c r="AZ52" s="1758">
        <f t="shared" si="4"/>
        <v>0</v>
      </c>
      <c r="BA52" s="1758">
        <f t="shared" si="4"/>
        <v>0</v>
      </c>
      <c r="BB52" s="1758">
        <f>L75</f>
        <v>0</v>
      </c>
      <c r="BC52" s="1758">
        <f>N75</f>
        <v>0</v>
      </c>
      <c r="BD52" s="1758">
        <f>P75</f>
        <v>0</v>
      </c>
    </row>
    <row r="53" spans="1:56" ht="12" customHeight="1" thickBot="1" x14ac:dyDescent="0.25">
      <c r="A53" s="2144"/>
      <c r="B53" s="974"/>
      <c r="C53" s="2409"/>
      <c r="D53" s="2409"/>
      <c r="E53" s="2409"/>
      <c r="F53" s="2409"/>
      <c r="G53" s="2409"/>
      <c r="H53" s="2409"/>
      <c r="I53" s="2409"/>
      <c r="J53" s="2409"/>
      <c r="K53" s="2409"/>
      <c r="L53" s="2409"/>
      <c r="M53" s="2409"/>
      <c r="N53" s="2409"/>
      <c r="O53" s="2409"/>
      <c r="P53" s="2409"/>
      <c r="Q53" s="2409"/>
      <c r="R53" s="581"/>
      <c r="S53" s="2143"/>
      <c r="T53" s="2144"/>
      <c r="U53" s="974"/>
      <c r="V53" s="3631" t="s">
        <v>1831</v>
      </c>
      <c r="W53" s="3631"/>
      <c r="X53" s="3631"/>
      <c r="Y53" s="3631"/>
      <c r="Z53" s="3631"/>
      <c r="AA53" s="3631"/>
      <c r="AB53" s="3631"/>
      <c r="AC53" s="3631"/>
      <c r="AD53" s="2409"/>
      <c r="AE53" s="3639" t="s">
        <v>1832</v>
      </c>
      <c r="AF53" s="3640"/>
      <c r="AG53" s="3640"/>
      <c r="AH53" s="3640"/>
      <c r="AI53" s="3640"/>
      <c r="AJ53" s="3641"/>
      <c r="AK53" s="741"/>
      <c r="AL53" s="2158"/>
      <c r="AM53" s="1737"/>
      <c r="AN53" s="5963"/>
      <c r="AO53" s="5963"/>
      <c r="AP53" s="5963"/>
      <c r="AQ53" s="1737"/>
      <c r="AR53" s="1737"/>
      <c r="AS53" s="3093"/>
      <c r="AT53" s="3093"/>
      <c r="AU53" s="3093"/>
      <c r="AV53" s="1737"/>
      <c r="AW53" s="1737"/>
      <c r="AX53" s="1737"/>
      <c r="AY53" s="1737"/>
      <c r="AZ53" s="1737"/>
      <c r="BA53" s="1737"/>
      <c r="BB53" s="1737"/>
      <c r="BC53" s="1737"/>
      <c r="BD53" s="1737"/>
    </row>
    <row r="54" spans="1:56" ht="12" customHeight="1" x14ac:dyDescent="0.2">
      <c r="A54" s="2144"/>
      <c r="B54" s="974"/>
      <c r="C54" s="4914" t="s">
        <v>9568</v>
      </c>
      <c r="D54" s="4915"/>
      <c r="E54" s="4915"/>
      <c r="F54" s="4915"/>
      <c r="G54" s="4915"/>
      <c r="H54" s="4915"/>
      <c r="I54" s="4915"/>
      <c r="J54" s="4915"/>
      <c r="K54" s="4915"/>
      <c r="L54" s="4915"/>
      <c r="M54" s="4915"/>
      <c r="N54" s="4915"/>
      <c r="O54" s="4915"/>
      <c r="P54" s="4915"/>
      <c r="Q54" s="5482"/>
      <c r="R54" s="581"/>
      <c r="S54" s="2143"/>
      <c r="T54" s="2144"/>
      <c r="U54" s="974"/>
      <c r="V54" s="4928" t="s">
        <v>1441</v>
      </c>
      <c r="W54" s="4928"/>
      <c r="X54" s="4928"/>
      <c r="Y54" s="4928"/>
      <c r="Z54" s="4928"/>
      <c r="AA54" s="4928"/>
      <c r="AB54" s="2999" t="s">
        <v>1718</v>
      </c>
      <c r="AC54" s="16" t="s">
        <v>1509</v>
      </c>
      <c r="AD54" s="2409"/>
      <c r="AE54" s="1419" t="s">
        <v>1638</v>
      </c>
      <c r="AF54" s="5646" t="s">
        <v>1694</v>
      </c>
      <c r="AG54" s="4348"/>
      <c r="AH54" s="4348"/>
      <c r="AI54" s="4348"/>
      <c r="AJ54" s="1420" t="s">
        <v>1403</v>
      </c>
      <c r="AK54" s="741"/>
      <c r="AL54" s="2158"/>
      <c r="AM54" s="1737"/>
      <c r="AN54" s="3107"/>
      <c r="AO54" s="3107"/>
      <c r="AP54" s="3107"/>
      <c r="AQ54" s="1737"/>
      <c r="AR54" s="1737"/>
      <c r="AS54" s="3093"/>
      <c r="AT54" s="3093"/>
      <c r="AU54" s="3093"/>
      <c r="AV54" s="1737"/>
      <c r="AW54" s="1737"/>
      <c r="AX54" s="1737"/>
      <c r="AY54" s="1737"/>
      <c r="AZ54" s="1737"/>
      <c r="BA54" s="1737"/>
      <c r="BB54" s="1737"/>
      <c r="BC54" s="1737"/>
      <c r="BD54" s="1737"/>
    </row>
    <row r="55" spans="1:56" ht="12" customHeight="1" thickBot="1" x14ac:dyDescent="0.25">
      <c r="A55" s="2144"/>
      <c r="B55" s="974"/>
      <c r="C55" s="4917"/>
      <c r="D55" s="4918"/>
      <c r="E55" s="4918"/>
      <c r="F55" s="4918"/>
      <c r="G55" s="4918"/>
      <c r="H55" s="4918"/>
      <c r="I55" s="4918"/>
      <c r="J55" s="4918"/>
      <c r="K55" s="4918"/>
      <c r="L55" s="4918"/>
      <c r="M55" s="4918"/>
      <c r="N55" s="4918"/>
      <c r="O55" s="4918"/>
      <c r="P55" s="4918"/>
      <c r="Q55" s="5483"/>
      <c r="R55" s="581"/>
      <c r="S55" s="2143"/>
      <c r="T55" s="2144"/>
      <c r="U55" s="974"/>
      <c r="V55" s="5647"/>
      <c r="W55" s="5647"/>
      <c r="X55" s="5647"/>
      <c r="Y55" s="5647"/>
      <c r="Z55" s="5647"/>
      <c r="AA55" s="5647"/>
      <c r="AB55" s="2992"/>
      <c r="AC55" s="2130"/>
      <c r="AD55" s="2409"/>
      <c r="AE55" s="1421">
        <f>IF(Metamagia!X15=1,30,0)</f>
        <v>0</v>
      </c>
      <c r="AF55" s="4740"/>
      <c r="AG55" s="4741"/>
      <c r="AH55" s="4741"/>
      <c r="AI55" s="4742"/>
      <c r="AJ55" s="546" t="str">
        <f>IF(AF55=0,"",VLOOKUP(AF55,'Tablas Magia'!$D$6:$Z$680,3,FALSE))</f>
        <v/>
      </c>
      <c r="AK55" s="741"/>
      <c r="AL55" s="2158"/>
      <c r="AM55" s="1737"/>
      <c r="AN55" s="3107"/>
      <c r="AO55" s="3107"/>
      <c r="AP55" s="3107"/>
      <c r="AQ55" s="1737"/>
      <c r="AR55" s="1737"/>
      <c r="AS55" s="3093"/>
      <c r="AT55" s="3093"/>
      <c r="AU55" s="1737"/>
      <c r="AV55" s="1737"/>
      <c r="AW55" s="1737"/>
      <c r="AX55" s="1737"/>
      <c r="AY55" s="1737"/>
      <c r="AZ55" s="1737"/>
      <c r="BA55" s="1737"/>
      <c r="BB55" s="1737"/>
      <c r="BC55" s="1737"/>
      <c r="BD55" s="1737"/>
    </row>
    <row r="56" spans="1:56" ht="12" customHeight="1" thickBot="1" x14ac:dyDescent="0.25">
      <c r="A56" s="2144"/>
      <c r="B56" s="974"/>
      <c r="C56" s="2409"/>
      <c r="D56" s="2409"/>
      <c r="E56" s="2409"/>
      <c r="F56" s="2409"/>
      <c r="G56" s="2409"/>
      <c r="H56" s="2409"/>
      <c r="I56" s="2409"/>
      <c r="J56" s="2409"/>
      <c r="K56" s="2409"/>
      <c r="L56" s="2409"/>
      <c r="M56" s="2409"/>
      <c r="N56" s="2409"/>
      <c r="O56" s="2409"/>
      <c r="P56" s="2409"/>
      <c r="Q56" s="2409"/>
      <c r="R56" s="581"/>
      <c r="S56" s="2143"/>
      <c r="T56" s="2144"/>
      <c r="U56" s="974"/>
      <c r="V56" s="5403"/>
      <c r="W56" s="5403"/>
      <c r="X56" s="5403"/>
      <c r="Y56" s="5403"/>
      <c r="Z56" s="5403"/>
      <c r="AA56" s="5403"/>
      <c r="AB56" s="1690"/>
      <c r="AC56" s="2131"/>
      <c r="AD56" s="2409"/>
      <c r="AE56" s="1422">
        <f>IF(Metamagia!AD15=1,30,0)</f>
        <v>0</v>
      </c>
      <c r="AF56" s="5643"/>
      <c r="AG56" s="5644"/>
      <c r="AH56" s="5644"/>
      <c r="AI56" s="5645"/>
      <c r="AJ56" s="1423" t="str">
        <f>IF(AF56=0,"",VLOOKUP(AF56,'Tablas Magia'!$D$6:$Z$680,3,FALSE))</f>
        <v/>
      </c>
      <c r="AK56" s="741"/>
      <c r="AL56" s="2158"/>
      <c r="AM56" s="1737"/>
      <c r="AN56" s="1737"/>
      <c r="AO56" s="1737"/>
      <c r="AP56" s="1737"/>
      <c r="AQ56" s="1737"/>
      <c r="AR56" s="1737"/>
      <c r="AS56" s="1737"/>
      <c r="AT56" s="1737"/>
      <c r="AU56" s="1737"/>
      <c r="AV56" s="1737"/>
      <c r="AW56" s="1737"/>
      <c r="AX56" s="1737"/>
      <c r="AY56" s="1737"/>
      <c r="AZ56" s="1737"/>
      <c r="BA56" s="1737"/>
      <c r="BB56" s="1737"/>
      <c r="BC56" s="1737"/>
      <c r="BD56" s="1737"/>
    </row>
    <row r="57" spans="1:56" ht="12" customHeight="1" thickBot="1" x14ac:dyDescent="0.25">
      <c r="A57" s="2144"/>
      <c r="B57" s="974"/>
      <c r="C57" s="3307" t="s">
        <v>9572</v>
      </c>
      <c r="D57" s="3308"/>
      <c r="E57" s="3308"/>
      <c r="F57" s="3308"/>
      <c r="G57" s="3308"/>
      <c r="H57" s="3308"/>
      <c r="I57" s="3308"/>
      <c r="J57" s="5521"/>
      <c r="K57" s="2124" t="s">
        <v>8824</v>
      </c>
      <c r="L57" s="2124" t="s">
        <v>1842</v>
      </c>
      <c r="M57" s="2124" t="s">
        <v>1500</v>
      </c>
      <c r="N57" s="2124" t="s">
        <v>9569</v>
      </c>
      <c r="O57" s="2124" t="s">
        <v>2829</v>
      </c>
      <c r="P57" s="2124" t="s">
        <v>2830</v>
      </c>
      <c r="Q57" s="2127" t="s">
        <v>2821</v>
      </c>
      <c r="R57" s="581"/>
      <c r="S57" s="2143"/>
      <c r="T57" s="2144"/>
      <c r="U57" s="974"/>
      <c r="V57" s="4773"/>
      <c r="W57" s="4773"/>
      <c r="X57" s="4773"/>
      <c r="Y57" s="4773"/>
      <c r="Z57" s="4773"/>
      <c r="AA57" s="4773"/>
      <c r="AB57" s="2992"/>
      <c r="AC57" s="2130"/>
      <c r="AD57" s="2409"/>
      <c r="AE57" s="1424">
        <f>IF(Metamagia!R29=1,50,0)</f>
        <v>0</v>
      </c>
      <c r="AF57" s="4722"/>
      <c r="AG57" s="5797"/>
      <c r="AH57" s="5797"/>
      <c r="AI57" s="4724"/>
      <c r="AJ57" s="546" t="str">
        <f>IF(AF57=0,"",VLOOKUP(AF57,'Tablas Magia'!$D$6:$Z$680,3,FALSE))</f>
        <v/>
      </c>
      <c r="AK57" s="741"/>
      <c r="AL57" s="2158"/>
      <c r="AM57" s="1737"/>
      <c r="AN57" s="1737" t="s">
        <v>10150</v>
      </c>
      <c r="AO57" s="1737"/>
      <c r="AP57" s="1737"/>
      <c r="AQ57" s="1737"/>
      <c r="AR57" s="1737"/>
      <c r="AS57" s="1737"/>
      <c r="AT57" s="1737"/>
      <c r="AU57" s="1737"/>
      <c r="AV57" s="1737"/>
      <c r="AW57" s="1737"/>
      <c r="AX57" s="1737"/>
      <c r="AY57" s="1737"/>
      <c r="AZ57" s="1737"/>
      <c r="BA57" s="1737"/>
      <c r="BB57" s="1737"/>
      <c r="BC57" s="1737"/>
      <c r="BD57" s="1737"/>
    </row>
    <row r="58" spans="1:56" ht="12" customHeight="1" x14ac:dyDescent="0.2">
      <c r="A58" s="2144"/>
      <c r="B58" s="974"/>
      <c r="C58" s="2109" t="s">
        <v>9570</v>
      </c>
      <c r="D58" s="5522"/>
      <c r="E58" s="5523"/>
      <c r="F58" s="5523"/>
      <c r="G58" s="5523"/>
      <c r="H58" s="5523"/>
      <c r="I58" s="5523"/>
      <c r="J58" s="5524"/>
      <c r="K58" s="2577"/>
      <c r="L58" s="2565"/>
      <c r="M58" s="2111"/>
      <c r="N58" s="2577"/>
      <c r="O58" s="2565"/>
      <c r="P58" s="2565"/>
      <c r="Q58" s="2112"/>
      <c r="R58" s="581"/>
      <c r="S58" s="2143"/>
      <c r="T58" s="2144"/>
      <c r="U58" s="974"/>
      <c r="V58" s="5403"/>
      <c r="W58" s="5403"/>
      <c r="X58" s="5403"/>
      <c r="Y58" s="5403"/>
      <c r="Z58" s="5403"/>
      <c r="AA58" s="5403"/>
      <c r="AB58" s="1690"/>
      <c r="AC58" s="2131"/>
      <c r="AD58" s="2409"/>
      <c r="AE58" s="879">
        <f>IF(Metamagia!AG24=1,60,0)</f>
        <v>0</v>
      </c>
      <c r="AF58" s="5643"/>
      <c r="AG58" s="5644"/>
      <c r="AH58" s="5644"/>
      <c r="AI58" s="5645"/>
      <c r="AJ58" s="1423" t="str">
        <f>IF(AF58=0,"",VLOOKUP(AF58,'Tablas Magia'!$D$6:$Z$680,3,FALSE))</f>
        <v/>
      </c>
      <c r="AK58" s="741"/>
      <c r="AL58" s="1389"/>
      <c r="AM58" s="1737"/>
      <c r="AN58" s="1737" t="s">
        <v>1441</v>
      </c>
      <c r="AO58" s="1737" t="s">
        <v>2252</v>
      </c>
      <c r="AP58" s="1737"/>
      <c r="AQ58" s="1737"/>
      <c r="AR58" s="1737"/>
      <c r="AS58" s="1737"/>
      <c r="AT58" s="1737"/>
      <c r="AU58" s="1737"/>
      <c r="AV58" s="1737"/>
      <c r="AW58" s="1737"/>
      <c r="AX58" s="1737"/>
      <c r="AY58" s="1737"/>
      <c r="AZ58" s="1737"/>
      <c r="BA58" s="1737"/>
      <c r="BB58" s="1737"/>
      <c r="BC58" s="1737"/>
      <c r="BD58" s="1737"/>
    </row>
    <row r="59" spans="1:56" ht="12" customHeight="1" x14ac:dyDescent="0.2">
      <c r="A59" s="2144"/>
      <c r="B59" s="974"/>
      <c r="C59" s="2108" t="s">
        <v>1836</v>
      </c>
      <c r="D59" s="5525"/>
      <c r="E59" s="5526"/>
      <c r="F59" s="5527" t="s">
        <v>9571</v>
      </c>
      <c r="G59" s="5528"/>
      <c r="H59" s="2111"/>
      <c r="I59" s="2110"/>
      <c r="J59" s="2110"/>
      <c r="K59" s="2566" t="s">
        <v>8814</v>
      </c>
      <c r="L59" s="5502"/>
      <c r="M59" s="5503"/>
      <c r="N59" s="5502"/>
      <c r="O59" s="5503"/>
      <c r="P59" s="5502"/>
      <c r="Q59" s="5504"/>
      <c r="R59" s="581"/>
      <c r="S59" s="2143"/>
      <c r="T59" s="2144"/>
      <c r="U59" s="974"/>
      <c r="V59" s="4773"/>
      <c r="W59" s="4773"/>
      <c r="X59" s="4773"/>
      <c r="Y59" s="4773"/>
      <c r="Z59" s="4773"/>
      <c r="AA59" s="4773"/>
      <c r="AB59" s="2992"/>
      <c r="AC59" s="2130"/>
      <c r="AD59" s="2409"/>
      <c r="AE59" s="1424">
        <f>IF(Metamagia!X24=1,60,0)</f>
        <v>0</v>
      </c>
      <c r="AF59" s="4722"/>
      <c r="AG59" s="5797"/>
      <c r="AH59" s="5797"/>
      <c r="AI59" s="4724"/>
      <c r="AJ59" s="546" t="str">
        <f>IF(AF59=0,"",VLOOKUP(AF59,'Tablas Magia'!$D$6:$Z$680,3,FALSE))</f>
        <v/>
      </c>
      <c r="AK59" s="741"/>
      <c r="AL59" s="1389"/>
      <c r="AM59" s="1737"/>
      <c r="AN59" s="1737" t="s">
        <v>10151</v>
      </c>
      <c r="AO59" s="1737">
        <f>COUNTIF($AC$63:$AJ$63,AN59)</f>
        <v>0</v>
      </c>
      <c r="AP59" s="1737"/>
      <c r="AQ59" s="1737"/>
      <c r="AR59" s="1737"/>
      <c r="AS59" s="1737"/>
      <c r="AT59" s="1737"/>
      <c r="AU59" s="1737"/>
      <c r="AV59" s="1737"/>
      <c r="AW59" s="1737"/>
      <c r="AX59" s="1737"/>
      <c r="AY59" s="1737"/>
      <c r="AZ59" s="1737"/>
      <c r="BA59" s="1737"/>
      <c r="BB59" s="1737"/>
      <c r="BC59" s="1737"/>
      <c r="BD59" s="1737"/>
    </row>
    <row r="60" spans="1:56" ht="12" customHeight="1" thickBot="1" x14ac:dyDescent="0.25">
      <c r="A60" s="2144"/>
      <c r="B60" s="974"/>
      <c r="C60" s="2564" t="s">
        <v>1363</v>
      </c>
      <c r="D60" s="5510"/>
      <c r="E60" s="5511"/>
      <c r="F60" s="5507" t="s">
        <v>9573</v>
      </c>
      <c r="G60" s="5508"/>
      <c r="H60" s="5508"/>
      <c r="I60" s="5509"/>
      <c r="J60" s="2113"/>
      <c r="K60" s="2172"/>
      <c r="L60" s="2113"/>
      <c r="M60" s="2172"/>
      <c r="N60" s="2113"/>
      <c r="O60" s="2113"/>
      <c r="P60" s="2113"/>
      <c r="Q60" s="2114"/>
      <c r="R60" s="581"/>
      <c r="S60" s="2143"/>
      <c r="T60" s="2144"/>
      <c r="U60" s="974"/>
      <c r="V60" s="5403"/>
      <c r="W60" s="5403"/>
      <c r="X60" s="5403"/>
      <c r="Y60" s="5403"/>
      <c r="Z60" s="5403"/>
      <c r="AA60" s="5403"/>
      <c r="AB60" s="1690"/>
      <c r="AC60" s="2131"/>
      <c r="AD60" s="2409"/>
      <c r="AE60" s="879">
        <f>IF(Metamagia!AG39=1,70,0)</f>
        <v>0</v>
      </c>
      <c r="AF60" s="5643"/>
      <c r="AG60" s="5644"/>
      <c r="AH60" s="5644"/>
      <c r="AI60" s="5645"/>
      <c r="AJ60" s="1423" t="str">
        <f>IF(AF60=0,"",VLOOKUP(AF60,'Tablas Magia'!$D$6:$Z$680,3,FALSE))</f>
        <v/>
      </c>
      <c r="AK60" s="741"/>
      <c r="AL60" s="1389"/>
      <c r="AM60" s="1737"/>
      <c r="AN60" s="1737" t="s">
        <v>1740</v>
      </c>
      <c r="AO60" s="1737">
        <f>COUNTIF($AC$63:$AJ$63,AN60)</f>
        <v>0</v>
      </c>
      <c r="AP60" s="1737"/>
      <c r="AQ60" s="1737"/>
      <c r="AR60" s="1737"/>
      <c r="AS60" s="1737"/>
      <c r="AT60" s="1737"/>
      <c r="AU60" s="1737"/>
      <c r="AV60" s="1737"/>
      <c r="AW60" s="1737"/>
      <c r="AX60" s="1737"/>
      <c r="AY60" s="1737"/>
      <c r="AZ60" s="1737"/>
      <c r="BA60" s="1737"/>
      <c r="BB60" s="1737"/>
      <c r="BC60" s="1737"/>
      <c r="BD60" s="1737"/>
    </row>
    <row r="61" spans="1:56" ht="12" customHeight="1" thickBot="1" x14ac:dyDescent="0.25">
      <c r="A61" s="2144"/>
      <c r="B61" s="974"/>
      <c r="C61" s="3307" t="s">
        <v>9576</v>
      </c>
      <c r="D61" s="3308"/>
      <c r="E61" s="3308"/>
      <c r="F61" s="3308"/>
      <c r="G61" s="3308"/>
      <c r="H61" s="3308"/>
      <c r="I61" s="3308"/>
      <c r="J61" s="5521"/>
      <c r="K61" s="2124" t="s">
        <v>8824</v>
      </c>
      <c r="L61" s="2124" t="s">
        <v>1842</v>
      </c>
      <c r="M61" s="2124" t="s">
        <v>1500</v>
      </c>
      <c r="N61" s="2124" t="s">
        <v>9569</v>
      </c>
      <c r="O61" s="2124" t="s">
        <v>2829</v>
      </c>
      <c r="P61" s="2124" t="s">
        <v>2830</v>
      </c>
      <c r="Q61" s="2127" t="s">
        <v>2821</v>
      </c>
      <c r="R61" s="581"/>
      <c r="S61" s="2143"/>
      <c r="T61" s="2144"/>
      <c r="U61" s="974"/>
      <c r="V61" s="5868"/>
      <c r="W61" s="5868"/>
      <c r="X61" s="5868"/>
      <c r="Y61" s="5868"/>
      <c r="Z61" s="5868"/>
      <c r="AA61" s="5868"/>
      <c r="AB61" s="2197"/>
      <c r="AC61" s="1689"/>
      <c r="AD61" s="2409"/>
      <c r="AE61" s="1425">
        <f>IF(Metamagia!AA29=1,80,0)</f>
        <v>0</v>
      </c>
      <c r="AF61" s="5869"/>
      <c r="AG61" s="4720"/>
      <c r="AH61" s="4720"/>
      <c r="AI61" s="4721"/>
      <c r="AJ61" s="2994" t="str">
        <f>IF(AF61=0,"",VLOOKUP(AF61,'Tablas Magia'!$D$6:$Z$680,3,FALSE))</f>
        <v/>
      </c>
      <c r="AK61" s="741"/>
      <c r="AL61" s="1389"/>
      <c r="AM61" s="1737"/>
      <c r="AN61" s="1737" t="s">
        <v>10152</v>
      </c>
      <c r="AO61" s="1737">
        <f>COUNTIF($AC$63:$AJ$63,AN61)</f>
        <v>0</v>
      </c>
      <c r="AP61" s="1737"/>
      <c r="AQ61" s="1737"/>
      <c r="AR61" s="1737"/>
      <c r="AS61" s="1737"/>
      <c r="AT61" s="1737"/>
      <c r="AU61" s="1737"/>
      <c r="AV61" s="1737"/>
      <c r="AW61" s="1737"/>
      <c r="AX61" s="1737"/>
      <c r="AY61" s="1737"/>
      <c r="AZ61" s="1737"/>
      <c r="BA61" s="1737"/>
      <c r="BB61" s="1737"/>
      <c r="BC61" s="1737"/>
      <c r="BD61" s="1737"/>
    </row>
    <row r="62" spans="1:56" ht="12" customHeight="1" thickBot="1" x14ac:dyDescent="0.25">
      <c r="A62" s="2144"/>
      <c r="B62" s="974"/>
      <c r="C62" s="2109" t="s">
        <v>9570</v>
      </c>
      <c r="D62" s="5522"/>
      <c r="E62" s="5523"/>
      <c r="F62" s="5523"/>
      <c r="G62" s="5523"/>
      <c r="H62" s="5523"/>
      <c r="I62" s="5523"/>
      <c r="J62" s="5524"/>
      <c r="K62" s="2577"/>
      <c r="L62" s="2565"/>
      <c r="M62" s="2111"/>
      <c r="N62" s="2577"/>
      <c r="O62" s="2565"/>
      <c r="P62" s="2565"/>
      <c r="Q62" s="2112"/>
      <c r="R62" s="581"/>
      <c r="S62" s="2143"/>
      <c r="T62" s="2144"/>
      <c r="U62" s="974"/>
      <c r="V62" s="2409"/>
      <c r="W62" s="2409"/>
      <c r="X62" s="2409"/>
      <c r="Y62" s="2409"/>
      <c r="Z62" s="2409"/>
      <c r="AA62" s="2409"/>
      <c r="AB62" s="2409"/>
      <c r="AC62" s="2409"/>
      <c r="AD62" s="2409"/>
      <c r="AE62" s="2409"/>
      <c r="AF62" s="2409"/>
      <c r="AG62" s="2409"/>
      <c r="AH62" s="2409"/>
      <c r="AI62" s="2409"/>
      <c r="AJ62" s="2409"/>
      <c r="AK62" s="741"/>
      <c r="AL62" s="1389"/>
      <c r="AM62" s="1737"/>
      <c r="AN62" s="1737" t="s">
        <v>10153</v>
      </c>
      <c r="AO62" s="1737">
        <f>COUNTIF($AC$63:$AJ$63,AN62)</f>
        <v>0</v>
      </c>
      <c r="AP62" s="1737"/>
      <c r="AQ62" s="1737"/>
      <c r="AR62" s="1737"/>
      <c r="AS62" s="1737"/>
      <c r="AT62" s="1737"/>
      <c r="AU62" s="1737"/>
      <c r="AV62" s="1737"/>
      <c r="AW62" s="1737"/>
      <c r="AX62" s="1737"/>
      <c r="AY62" s="1737"/>
      <c r="AZ62" s="1737"/>
      <c r="BA62" s="1737"/>
      <c r="BB62" s="1737"/>
      <c r="BC62" s="1737"/>
      <c r="BD62" s="1737"/>
    </row>
    <row r="63" spans="1:56" ht="12" customHeight="1" thickBot="1" x14ac:dyDescent="0.25">
      <c r="A63" s="2144"/>
      <c r="B63" s="974"/>
      <c r="C63" s="2108" t="s">
        <v>1836</v>
      </c>
      <c r="D63" s="5525"/>
      <c r="E63" s="5526"/>
      <c r="F63" s="5527" t="s">
        <v>9571</v>
      </c>
      <c r="G63" s="5528"/>
      <c r="H63" s="2111"/>
      <c r="I63" s="2110"/>
      <c r="J63" s="2110"/>
      <c r="K63" s="2566" t="s">
        <v>8814</v>
      </c>
      <c r="L63" s="5502"/>
      <c r="M63" s="5503"/>
      <c r="N63" s="5502"/>
      <c r="O63" s="5503"/>
      <c r="P63" s="5502"/>
      <c r="Q63" s="5504"/>
      <c r="R63" s="581"/>
      <c r="S63" s="2143"/>
      <c r="T63" s="2144"/>
      <c r="U63" s="974"/>
      <c r="V63" s="3307" t="s">
        <v>10156</v>
      </c>
      <c r="W63" s="3308"/>
      <c r="X63" s="3308"/>
      <c r="Y63" s="3308"/>
      <c r="Z63" s="3308"/>
      <c r="AA63" s="5982"/>
      <c r="AB63" s="3000" t="s">
        <v>1381</v>
      </c>
      <c r="AC63" s="4488"/>
      <c r="AD63" s="5870"/>
      <c r="AE63" s="5870"/>
      <c r="AF63" s="5871"/>
      <c r="AG63" s="4488"/>
      <c r="AH63" s="5870"/>
      <c r="AI63" s="5870"/>
      <c r="AJ63" s="4489"/>
      <c r="AK63" s="741"/>
      <c r="AL63" s="1389"/>
      <c r="AM63" s="1737"/>
      <c r="AN63" s="1737" t="s">
        <v>10154</v>
      </c>
      <c r="AO63" s="1737">
        <f>COUNTIF($AC$63:$AJ$63,AN63)</f>
        <v>0</v>
      </c>
      <c r="AP63" s="1737"/>
      <c r="AQ63" s="1737"/>
      <c r="AR63" s="1737"/>
      <c r="AS63" s="1737"/>
      <c r="AT63" s="1737"/>
      <c r="AU63" s="1737"/>
      <c r="AV63" s="1737"/>
      <c r="AW63" s="1737"/>
      <c r="AX63" s="1737"/>
      <c r="AY63" s="1737"/>
      <c r="AZ63" s="1737"/>
      <c r="BA63" s="1737"/>
      <c r="BB63" s="1737"/>
      <c r="BC63" s="1737"/>
      <c r="BD63" s="1737"/>
    </row>
    <row r="64" spans="1:56" ht="12" customHeight="1" thickBot="1" x14ac:dyDescent="0.25">
      <c r="A64" s="2144"/>
      <c r="B64" s="974"/>
      <c r="C64" s="2564" t="s">
        <v>1363</v>
      </c>
      <c r="D64" s="5510"/>
      <c r="E64" s="5511"/>
      <c r="F64" s="5507" t="s">
        <v>9573</v>
      </c>
      <c r="G64" s="5508"/>
      <c r="H64" s="5508"/>
      <c r="I64" s="5509"/>
      <c r="J64" s="2113"/>
      <c r="K64" s="2113"/>
      <c r="L64" s="2113"/>
      <c r="M64" s="2113"/>
      <c r="N64" s="2113"/>
      <c r="O64" s="2113"/>
      <c r="P64" s="2113"/>
      <c r="Q64" s="2114"/>
      <c r="R64" s="581"/>
      <c r="S64" s="2143"/>
      <c r="T64" s="2144"/>
      <c r="U64" s="974"/>
      <c r="V64" s="2409"/>
      <c r="W64" s="2409"/>
      <c r="X64" s="2409"/>
      <c r="Y64" s="2409"/>
      <c r="Z64" s="2409"/>
      <c r="AA64" s="2409"/>
      <c r="AB64" s="2409"/>
      <c r="AC64" s="2409"/>
      <c r="AD64" s="2409"/>
      <c r="AE64" s="2409"/>
      <c r="AF64" s="2409"/>
      <c r="AG64" s="2409"/>
      <c r="AH64" s="2409"/>
      <c r="AI64" s="2409"/>
      <c r="AJ64" s="2409"/>
      <c r="AK64" s="741"/>
      <c r="AL64" s="1389"/>
      <c r="AM64" s="1737"/>
      <c r="AN64" s="1737" t="str">
        <f>IF(COUNTIF($AC$63:$AJ$63,"*"),"Dones demoníacos: ","")&amp;IF($AC$63&lt;&gt;"",$AC$63&amp;", ","")&amp;IF($AG$63&lt;&gt;"",$AG$63&amp;", ","")</f>
        <v/>
      </c>
      <c r="AO64" s="1737"/>
      <c r="AP64" s="1737"/>
      <c r="AQ64" s="1737"/>
      <c r="AR64" s="1737"/>
      <c r="AS64" s="1737"/>
      <c r="AT64" s="1737"/>
      <c r="AU64" s="1737"/>
      <c r="AV64" s="1737"/>
      <c r="AW64" s="1737"/>
      <c r="AX64" s="1737"/>
      <c r="AY64" s="1737"/>
      <c r="AZ64" s="1737"/>
      <c r="BA64" s="1737"/>
      <c r="BB64" s="1737"/>
      <c r="BC64" s="1737"/>
      <c r="BD64" s="1737"/>
    </row>
    <row r="65" spans="1:56" ht="12" customHeight="1" thickBot="1" x14ac:dyDescent="0.25">
      <c r="A65" s="2144"/>
      <c r="B65" s="974"/>
      <c r="C65" s="3307" t="s">
        <v>9577</v>
      </c>
      <c r="D65" s="3308"/>
      <c r="E65" s="3308"/>
      <c r="F65" s="3308"/>
      <c r="G65" s="3308"/>
      <c r="H65" s="3308"/>
      <c r="I65" s="3308"/>
      <c r="J65" s="5521"/>
      <c r="K65" s="2124" t="s">
        <v>8824</v>
      </c>
      <c r="L65" s="2124" t="s">
        <v>1842</v>
      </c>
      <c r="M65" s="2124" t="s">
        <v>1500</v>
      </c>
      <c r="N65" s="2124" t="s">
        <v>9569</v>
      </c>
      <c r="O65" s="2124" t="s">
        <v>2829</v>
      </c>
      <c r="P65" s="2124" t="s">
        <v>2830</v>
      </c>
      <c r="Q65" s="2127" t="s">
        <v>2821</v>
      </c>
      <c r="R65" s="581"/>
      <c r="S65" s="2143"/>
      <c r="T65" s="2144"/>
      <c r="U65" s="974"/>
      <c r="V65" s="5694" t="s">
        <v>1840</v>
      </c>
      <c r="W65" s="5352" t="s">
        <v>1841</v>
      </c>
      <c r="X65" s="5352"/>
      <c r="Y65" s="5352"/>
      <c r="Z65" s="5352"/>
      <c r="AA65" s="5352"/>
      <c r="AB65" s="40" t="s">
        <v>1490</v>
      </c>
      <c r="AC65" s="85" t="s">
        <v>1842</v>
      </c>
      <c r="AD65" s="4969" t="s">
        <v>1549</v>
      </c>
      <c r="AE65" s="4969"/>
      <c r="AF65" s="4969"/>
      <c r="AG65" s="4969"/>
      <c r="AH65" s="4969"/>
      <c r="AI65" s="4969"/>
      <c r="AJ65" s="4969"/>
      <c r="AK65" s="741"/>
      <c r="AL65" s="1389"/>
      <c r="AM65" s="1737"/>
      <c r="AN65" s="1737"/>
      <c r="AO65" s="1737"/>
      <c r="AP65" s="1737"/>
      <c r="AQ65" s="1737"/>
      <c r="AR65" s="1737"/>
      <c r="AS65" s="1737"/>
      <c r="AT65" s="1737"/>
      <c r="AU65" s="1737"/>
      <c r="AV65" s="1737"/>
      <c r="AW65" s="1737"/>
      <c r="AX65" s="1737"/>
      <c r="AY65" s="1737"/>
      <c r="AZ65" s="1737"/>
      <c r="BA65" s="1737"/>
      <c r="BB65" s="1737"/>
      <c r="BC65" s="1737"/>
      <c r="BD65" s="1737"/>
    </row>
    <row r="66" spans="1:56" ht="12" customHeight="1" x14ac:dyDescent="0.2">
      <c r="A66" s="2144"/>
      <c r="B66" s="974"/>
      <c r="C66" s="2109" t="s">
        <v>9570</v>
      </c>
      <c r="D66" s="5522"/>
      <c r="E66" s="5523"/>
      <c r="F66" s="5523"/>
      <c r="G66" s="5523"/>
      <c r="H66" s="5523"/>
      <c r="I66" s="5523"/>
      <c r="J66" s="5524"/>
      <c r="K66" s="2577"/>
      <c r="L66" s="2565"/>
      <c r="M66" s="2111"/>
      <c r="N66" s="2577"/>
      <c r="O66" s="2565"/>
      <c r="P66" s="2565"/>
      <c r="Q66" s="2112"/>
      <c r="R66" s="581"/>
      <c r="S66" s="2143"/>
      <c r="T66" s="2144"/>
      <c r="U66" s="974"/>
      <c r="V66" s="5695"/>
      <c r="W66" s="5496"/>
      <c r="X66" s="5496"/>
      <c r="Y66" s="5496"/>
      <c r="Z66" s="5496"/>
      <c r="AA66" s="5496"/>
      <c r="AB66" s="1683"/>
      <c r="AC66" s="1683"/>
      <c r="AD66" s="5497"/>
      <c r="AE66" s="5497"/>
      <c r="AF66" s="5497"/>
      <c r="AG66" s="5497"/>
      <c r="AH66" s="5497"/>
      <c r="AI66" s="5497"/>
      <c r="AJ66" s="5497"/>
      <c r="AK66" s="741"/>
      <c r="AL66" s="1389"/>
      <c r="AM66" s="1737"/>
      <c r="AN66" s="1737"/>
      <c r="AO66" s="1737"/>
      <c r="AP66" s="1737"/>
      <c r="AQ66" s="1737"/>
      <c r="AR66" s="1737"/>
      <c r="AS66" s="1737"/>
      <c r="AT66" s="1737"/>
      <c r="AU66" s="1737"/>
      <c r="AV66" s="1737"/>
      <c r="AW66" s="1737"/>
      <c r="AX66" s="1737"/>
      <c r="AY66" s="1737"/>
      <c r="AZ66" s="1737"/>
      <c r="BA66" s="1737"/>
      <c r="BB66" s="1737"/>
      <c r="BC66" s="1737"/>
      <c r="BD66" s="1737"/>
    </row>
    <row r="67" spans="1:56" ht="12" customHeight="1" x14ac:dyDescent="0.2">
      <c r="A67" s="2144"/>
      <c r="B67" s="974"/>
      <c r="C67" s="2108" t="s">
        <v>1836</v>
      </c>
      <c r="D67" s="5525"/>
      <c r="E67" s="5526"/>
      <c r="F67" s="5527" t="s">
        <v>9571</v>
      </c>
      <c r="G67" s="5528"/>
      <c r="H67" s="2111"/>
      <c r="I67" s="2110"/>
      <c r="J67" s="2110"/>
      <c r="K67" s="2566" t="s">
        <v>8814</v>
      </c>
      <c r="L67" s="5502"/>
      <c r="M67" s="5503"/>
      <c r="N67" s="5502"/>
      <c r="O67" s="5503"/>
      <c r="P67" s="5502"/>
      <c r="Q67" s="5504"/>
      <c r="R67" s="581"/>
      <c r="S67" s="2143"/>
      <c r="T67" s="2144"/>
      <c r="U67" s="974"/>
      <c r="V67" s="5695"/>
      <c r="W67" s="5977" t="s">
        <v>1845</v>
      </c>
      <c r="X67" s="5978"/>
      <c r="Y67" s="5495"/>
      <c r="Z67" s="5495"/>
      <c r="AA67" s="5495"/>
      <c r="AB67" s="5495"/>
      <c r="AC67" s="5495"/>
      <c r="AD67" s="5495"/>
      <c r="AE67" s="5495"/>
      <c r="AF67" s="5495"/>
      <c r="AG67" s="5495"/>
      <c r="AH67" s="5495"/>
      <c r="AI67" s="5495"/>
      <c r="AJ67" s="5495"/>
      <c r="AK67" s="741"/>
      <c r="AL67" s="1389"/>
      <c r="AM67" s="1737"/>
      <c r="AN67" s="1737"/>
      <c r="AO67" s="1737"/>
      <c r="AP67" s="1737"/>
      <c r="AQ67" s="1737"/>
      <c r="AR67" s="1737"/>
      <c r="AS67" s="1737"/>
      <c r="AT67" s="1737"/>
      <c r="AU67" s="1737"/>
      <c r="AV67" s="1737"/>
      <c r="AW67" s="1737"/>
      <c r="AX67" s="1737"/>
      <c r="AY67" s="1737"/>
      <c r="AZ67" s="1737"/>
      <c r="BA67" s="1737"/>
      <c r="BB67" s="1737"/>
      <c r="BC67" s="1737"/>
      <c r="BD67" s="1737"/>
    </row>
    <row r="68" spans="1:56" ht="12" customHeight="1" thickBot="1" x14ac:dyDescent="0.25">
      <c r="A68" s="2144"/>
      <c r="B68" s="974"/>
      <c r="C68" s="2564" t="s">
        <v>1363</v>
      </c>
      <c r="D68" s="5510"/>
      <c r="E68" s="5511"/>
      <c r="F68" s="5507" t="s">
        <v>9573</v>
      </c>
      <c r="G68" s="5508"/>
      <c r="H68" s="5508"/>
      <c r="I68" s="5509"/>
      <c r="J68" s="2113"/>
      <c r="K68" s="2113"/>
      <c r="L68" s="2113"/>
      <c r="M68" s="2113"/>
      <c r="N68" s="2113"/>
      <c r="O68" s="2113"/>
      <c r="P68" s="2113"/>
      <c r="Q68" s="2114"/>
      <c r="R68" s="581"/>
      <c r="S68" s="2143"/>
      <c r="T68" s="2144"/>
      <c r="U68" s="974"/>
      <c r="V68" s="5695"/>
      <c r="W68" s="5979" t="s">
        <v>1846</v>
      </c>
      <c r="X68" s="5980"/>
      <c r="Y68" s="5981"/>
      <c r="Z68" s="5981"/>
      <c r="AA68" s="5981"/>
      <c r="AB68" s="5981"/>
      <c r="AC68" s="5981"/>
      <c r="AD68" s="5981"/>
      <c r="AE68" s="5981"/>
      <c r="AF68" s="5981"/>
      <c r="AG68" s="5981"/>
      <c r="AH68" s="5981"/>
      <c r="AI68" s="5981"/>
      <c r="AJ68" s="5981"/>
      <c r="AK68" s="1710"/>
      <c r="AL68" s="2158"/>
      <c r="AM68" s="1737"/>
      <c r="AN68" s="1737"/>
      <c r="AO68" s="1737"/>
      <c r="AP68" s="1737"/>
      <c r="AQ68" s="1737"/>
      <c r="AR68" s="1737"/>
      <c r="AS68" s="1737"/>
      <c r="AT68" s="1737"/>
      <c r="AU68" s="1737"/>
      <c r="AV68" s="1737"/>
      <c r="AW68" s="1737"/>
      <c r="AX68" s="1737"/>
      <c r="AY68" s="1737"/>
      <c r="AZ68" s="1737"/>
      <c r="BA68" s="1737"/>
      <c r="BB68" s="1737"/>
      <c r="BC68" s="1737"/>
      <c r="BD68" s="1737"/>
    </row>
    <row r="69" spans="1:56" ht="12" customHeight="1" thickBot="1" x14ac:dyDescent="0.25">
      <c r="A69" s="2144"/>
      <c r="B69" s="974"/>
      <c r="C69" s="3307" t="s">
        <v>9578</v>
      </c>
      <c r="D69" s="3308"/>
      <c r="E69" s="3308"/>
      <c r="F69" s="3308"/>
      <c r="G69" s="3308"/>
      <c r="H69" s="3308"/>
      <c r="I69" s="3308"/>
      <c r="J69" s="5521"/>
      <c r="K69" s="2124" t="s">
        <v>8824</v>
      </c>
      <c r="L69" s="2124" t="s">
        <v>1842</v>
      </c>
      <c r="M69" s="2124" t="s">
        <v>1500</v>
      </c>
      <c r="N69" s="2124" t="s">
        <v>9569</v>
      </c>
      <c r="O69" s="2124" t="s">
        <v>2829</v>
      </c>
      <c r="P69" s="2124" t="s">
        <v>2830</v>
      </c>
      <c r="Q69" s="2127" t="s">
        <v>2821</v>
      </c>
      <c r="R69" s="581"/>
      <c r="S69" s="2143"/>
      <c r="T69" s="2144"/>
      <c r="U69" s="974"/>
      <c r="V69" s="5695"/>
      <c r="W69" s="5352" t="s">
        <v>1841</v>
      </c>
      <c r="X69" s="5352"/>
      <c r="Y69" s="5352"/>
      <c r="Z69" s="5352"/>
      <c r="AA69" s="5352"/>
      <c r="AB69" s="40" t="s">
        <v>1490</v>
      </c>
      <c r="AC69" s="85" t="s">
        <v>1842</v>
      </c>
      <c r="AD69" s="4969" t="s">
        <v>1549</v>
      </c>
      <c r="AE69" s="4969"/>
      <c r="AF69" s="4969"/>
      <c r="AG69" s="4969"/>
      <c r="AH69" s="4969"/>
      <c r="AI69" s="4969"/>
      <c r="AJ69" s="4969"/>
      <c r="AK69" s="741"/>
      <c r="AL69" s="2158"/>
      <c r="AM69" s="1737"/>
      <c r="AN69" s="1737"/>
      <c r="AO69" s="1737"/>
      <c r="AP69" s="1737"/>
      <c r="AQ69" s="1737"/>
      <c r="AR69" s="1737"/>
      <c r="AS69" s="1737"/>
      <c r="AT69" s="1737"/>
      <c r="AU69" s="1737"/>
      <c r="AV69" s="1737"/>
      <c r="AW69" s="1737"/>
      <c r="AX69" s="1737"/>
      <c r="AY69" s="1737"/>
      <c r="AZ69" s="1737"/>
      <c r="BA69" s="1737"/>
      <c r="BB69" s="1737"/>
      <c r="BC69" s="1737"/>
      <c r="BD69" s="1737"/>
    </row>
    <row r="70" spans="1:56" ht="12" customHeight="1" x14ac:dyDescent="0.2">
      <c r="A70" s="2144"/>
      <c r="B70" s="974"/>
      <c r="C70" s="2109" t="s">
        <v>9570</v>
      </c>
      <c r="D70" s="5522"/>
      <c r="E70" s="5523"/>
      <c r="F70" s="5523"/>
      <c r="G70" s="5523"/>
      <c r="H70" s="5523"/>
      <c r="I70" s="5523"/>
      <c r="J70" s="5524"/>
      <c r="K70" s="2577"/>
      <c r="L70" s="2565"/>
      <c r="M70" s="2111"/>
      <c r="N70" s="2577"/>
      <c r="O70" s="2565"/>
      <c r="P70" s="2565"/>
      <c r="Q70" s="2112"/>
      <c r="R70" s="581"/>
      <c r="S70" s="2143"/>
      <c r="T70" s="2144"/>
      <c r="U70" s="974"/>
      <c r="V70" s="5695"/>
      <c r="W70" s="5496"/>
      <c r="X70" s="5496"/>
      <c r="Y70" s="5496"/>
      <c r="Z70" s="5496"/>
      <c r="AA70" s="5496"/>
      <c r="AB70" s="1683"/>
      <c r="AC70" s="1683"/>
      <c r="AD70" s="5497"/>
      <c r="AE70" s="5497"/>
      <c r="AF70" s="5497"/>
      <c r="AG70" s="5497"/>
      <c r="AH70" s="5497"/>
      <c r="AI70" s="5497"/>
      <c r="AJ70" s="5497"/>
      <c r="AK70" s="741"/>
      <c r="AL70" s="2158"/>
      <c r="AM70" s="1737"/>
      <c r="AN70" s="1737"/>
      <c r="AO70" s="1737"/>
      <c r="AP70" s="1737"/>
      <c r="AQ70" s="1737"/>
      <c r="AR70" s="1737"/>
      <c r="AS70" s="1737"/>
      <c r="AT70" s="1737"/>
      <c r="AU70" s="1737"/>
      <c r="AV70" s="1737"/>
      <c r="AW70" s="1737"/>
      <c r="AX70" s="1737"/>
      <c r="AY70" s="1737"/>
      <c r="AZ70" s="1737"/>
      <c r="BA70" s="1737"/>
      <c r="BB70" s="1737"/>
      <c r="BC70" s="1737"/>
      <c r="BD70" s="1737"/>
    </row>
    <row r="71" spans="1:56" ht="12" customHeight="1" x14ac:dyDescent="0.2">
      <c r="A71" s="2144"/>
      <c r="B71" s="974"/>
      <c r="C71" s="2108" t="s">
        <v>1836</v>
      </c>
      <c r="D71" s="5525"/>
      <c r="E71" s="5526"/>
      <c r="F71" s="5527" t="s">
        <v>9571</v>
      </c>
      <c r="G71" s="5528"/>
      <c r="H71" s="2111"/>
      <c r="I71" s="2110"/>
      <c r="J71" s="2110"/>
      <c r="K71" s="2566" t="s">
        <v>8814</v>
      </c>
      <c r="L71" s="5502"/>
      <c r="M71" s="5503"/>
      <c r="N71" s="5502"/>
      <c r="O71" s="5503"/>
      <c r="P71" s="5502"/>
      <c r="Q71" s="5504"/>
      <c r="R71" s="581"/>
      <c r="S71" s="2143"/>
      <c r="T71" s="2144"/>
      <c r="U71" s="974"/>
      <c r="V71" s="5695"/>
      <c r="W71" s="5977" t="s">
        <v>1845</v>
      </c>
      <c r="X71" s="5978"/>
      <c r="Y71" s="5495"/>
      <c r="Z71" s="5495"/>
      <c r="AA71" s="5495"/>
      <c r="AB71" s="5495"/>
      <c r="AC71" s="5495"/>
      <c r="AD71" s="5495"/>
      <c r="AE71" s="5495"/>
      <c r="AF71" s="5495"/>
      <c r="AG71" s="5495"/>
      <c r="AH71" s="5495"/>
      <c r="AI71" s="5495"/>
      <c r="AJ71" s="5495"/>
      <c r="AK71" s="741"/>
      <c r="AL71" s="2158"/>
      <c r="AM71" s="1737"/>
      <c r="AN71" s="1737"/>
      <c r="AO71" s="1737"/>
      <c r="AP71" s="1737"/>
      <c r="AQ71" s="1737"/>
      <c r="AR71" s="1737"/>
      <c r="AS71" s="1737"/>
      <c r="AT71" s="1737"/>
      <c r="AU71" s="1737"/>
      <c r="AV71" s="1737"/>
      <c r="AW71" s="1737"/>
      <c r="AX71" s="1737"/>
      <c r="AY71" s="1737"/>
      <c r="AZ71" s="1737"/>
      <c r="BA71" s="1737"/>
      <c r="BB71" s="1737"/>
      <c r="BC71" s="1737"/>
      <c r="BD71" s="1737"/>
    </row>
    <row r="72" spans="1:56" ht="12" customHeight="1" thickBot="1" x14ac:dyDescent="0.25">
      <c r="A72" s="2144"/>
      <c r="B72" s="974"/>
      <c r="C72" s="2564" t="s">
        <v>1363</v>
      </c>
      <c r="D72" s="5510"/>
      <c r="E72" s="5511"/>
      <c r="F72" s="5507" t="s">
        <v>9573</v>
      </c>
      <c r="G72" s="5508"/>
      <c r="H72" s="5508"/>
      <c r="I72" s="5509"/>
      <c r="J72" s="2113"/>
      <c r="K72" s="2113"/>
      <c r="L72" s="2113"/>
      <c r="M72" s="2113"/>
      <c r="N72" s="2113"/>
      <c r="O72" s="2113"/>
      <c r="P72" s="2113"/>
      <c r="Q72" s="2114"/>
      <c r="R72" s="581"/>
      <c r="S72" s="2143"/>
      <c r="T72" s="2144"/>
      <c r="U72" s="974"/>
      <c r="V72" s="5696"/>
      <c r="W72" s="5979" t="s">
        <v>1846</v>
      </c>
      <c r="X72" s="5980"/>
      <c r="Y72" s="5981"/>
      <c r="Z72" s="5981"/>
      <c r="AA72" s="5981"/>
      <c r="AB72" s="5981"/>
      <c r="AC72" s="5981"/>
      <c r="AD72" s="5981"/>
      <c r="AE72" s="5981"/>
      <c r="AF72" s="5981"/>
      <c r="AG72" s="5981"/>
      <c r="AH72" s="5981"/>
      <c r="AI72" s="5981"/>
      <c r="AJ72" s="5981"/>
      <c r="AK72" s="741"/>
      <c r="AL72" s="2158"/>
      <c r="AM72" s="1737"/>
      <c r="AN72" s="1737"/>
      <c r="AO72" s="1737"/>
      <c r="AP72" s="1737"/>
      <c r="AQ72" s="1737"/>
      <c r="AR72" s="1737"/>
      <c r="AS72" s="1737"/>
      <c r="AT72" s="1737"/>
      <c r="AU72" s="1737"/>
      <c r="AV72" s="1737"/>
      <c r="AW72" s="1737"/>
      <c r="AX72" s="1737"/>
      <c r="AY72" s="1737"/>
      <c r="AZ72" s="1737"/>
      <c r="BA72" s="1737"/>
      <c r="BB72" s="1737"/>
      <c r="BC72" s="1737"/>
      <c r="BD72" s="1737"/>
    </row>
    <row r="73" spans="1:56" ht="12" customHeight="1" thickBot="1" x14ac:dyDescent="0.25">
      <c r="A73" s="2144"/>
      <c r="B73" s="974"/>
      <c r="C73" s="3307" t="s">
        <v>9579</v>
      </c>
      <c r="D73" s="3308"/>
      <c r="E73" s="3308"/>
      <c r="F73" s="3308"/>
      <c r="G73" s="3308"/>
      <c r="H73" s="3308"/>
      <c r="I73" s="3308"/>
      <c r="J73" s="5521"/>
      <c r="K73" s="2124" t="s">
        <v>8824</v>
      </c>
      <c r="L73" s="2124" t="s">
        <v>1842</v>
      </c>
      <c r="M73" s="2124" t="s">
        <v>1500</v>
      </c>
      <c r="N73" s="2124" t="s">
        <v>9569</v>
      </c>
      <c r="O73" s="2124" t="s">
        <v>2829</v>
      </c>
      <c r="P73" s="2124" t="s">
        <v>2830</v>
      </c>
      <c r="Q73" s="2127" t="s">
        <v>2821</v>
      </c>
      <c r="R73" s="581"/>
      <c r="S73" s="2143"/>
      <c r="T73" s="2144"/>
      <c r="U73" s="974"/>
      <c r="V73" s="2409"/>
      <c r="W73" s="2409"/>
      <c r="X73" s="2409"/>
      <c r="Y73" s="2409"/>
      <c r="Z73" s="2409"/>
      <c r="AA73" s="2409"/>
      <c r="AB73" s="2409"/>
      <c r="AC73" s="2409"/>
      <c r="AD73" s="2409"/>
      <c r="AE73" s="2409"/>
      <c r="AF73" s="2409"/>
      <c r="AG73" s="2409"/>
      <c r="AH73" s="2409"/>
      <c r="AI73" s="2409"/>
      <c r="AJ73" s="2409"/>
      <c r="AK73" s="741"/>
      <c r="AL73" s="2158"/>
      <c r="AM73" s="1737"/>
      <c r="AN73" s="1737"/>
      <c r="AO73" s="1737"/>
      <c r="AP73" s="1737"/>
      <c r="AQ73" s="1737"/>
      <c r="AR73" s="1737"/>
      <c r="AS73" s="1737"/>
      <c r="AT73" s="1737"/>
      <c r="AU73" s="1737"/>
      <c r="AV73" s="1737"/>
      <c r="AW73" s="1737"/>
      <c r="AX73" s="1737"/>
      <c r="AY73" s="1737"/>
      <c r="AZ73" s="1737"/>
      <c r="BA73" s="1737"/>
      <c r="BB73" s="1737"/>
      <c r="BC73" s="1737"/>
      <c r="BD73" s="1737"/>
    </row>
    <row r="74" spans="1:56" ht="12" customHeight="1" thickBot="1" x14ac:dyDescent="0.25">
      <c r="A74" s="2144"/>
      <c r="B74" s="974"/>
      <c r="C74" s="2109" t="s">
        <v>9570</v>
      </c>
      <c r="D74" s="5522"/>
      <c r="E74" s="5523"/>
      <c r="F74" s="5523"/>
      <c r="G74" s="5523"/>
      <c r="H74" s="5523"/>
      <c r="I74" s="5523"/>
      <c r="J74" s="5524"/>
      <c r="K74" s="2577"/>
      <c r="L74" s="2565"/>
      <c r="M74" s="2111"/>
      <c r="N74" s="2577"/>
      <c r="O74" s="2565"/>
      <c r="P74" s="2565"/>
      <c r="Q74" s="2112"/>
      <c r="R74" s="581"/>
      <c r="S74" s="2143"/>
      <c r="T74" s="2144"/>
      <c r="U74" s="974"/>
      <c r="V74" s="2409"/>
      <c r="W74" s="2409"/>
      <c r="X74" s="2409"/>
      <c r="Y74" s="2409"/>
      <c r="Z74" s="2409"/>
      <c r="AA74" s="2409"/>
      <c r="AB74" s="2409"/>
      <c r="AC74" s="2409"/>
      <c r="AD74" s="2409"/>
      <c r="AE74" s="2409"/>
      <c r="AF74" s="2409"/>
      <c r="AG74" s="2409"/>
      <c r="AH74" s="2409"/>
      <c r="AI74" s="2409"/>
      <c r="AJ74" s="2409"/>
      <c r="AK74" s="741"/>
      <c r="AL74" s="2158"/>
      <c r="AM74" s="1737"/>
      <c r="AN74" s="1737"/>
      <c r="AO74" s="1737"/>
      <c r="AP74" s="1737"/>
      <c r="AQ74" s="1737"/>
      <c r="AR74" s="1737"/>
      <c r="AS74" s="1737"/>
      <c r="AT74" s="1737"/>
      <c r="AU74" s="1737"/>
      <c r="AV74" s="1737"/>
      <c r="AW74" s="1737"/>
      <c r="AX74" s="1737"/>
      <c r="AY74" s="1737"/>
      <c r="AZ74" s="1737"/>
      <c r="BA74" s="1737"/>
      <c r="BB74" s="1737"/>
      <c r="BC74" s="1737"/>
      <c r="BD74" s="1737"/>
    </row>
    <row r="75" spans="1:56" ht="12" customHeight="1" x14ac:dyDescent="0.2">
      <c r="A75" s="2144"/>
      <c r="B75" s="974"/>
      <c r="C75" s="2108" t="s">
        <v>1836</v>
      </c>
      <c r="D75" s="5525"/>
      <c r="E75" s="5526"/>
      <c r="F75" s="5527" t="s">
        <v>9571</v>
      </c>
      <c r="G75" s="5528"/>
      <c r="H75" s="2111"/>
      <c r="I75" s="2110"/>
      <c r="J75" s="2110"/>
      <c r="K75" s="2566" t="s">
        <v>8814</v>
      </c>
      <c r="L75" s="5502"/>
      <c r="M75" s="5503"/>
      <c r="N75" s="5502"/>
      <c r="O75" s="5503"/>
      <c r="P75" s="5502"/>
      <c r="Q75" s="5504"/>
      <c r="R75" s="581"/>
      <c r="S75" s="2143"/>
      <c r="T75" s="2144"/>
      <c r="U75" s="974"/>
      <c r="V75" s="4914" t="s">
        <v>8590</v>
      </c>
      <c r="W75" s="4915"/>
      <c r="X75" s="4915"/>
      <c r="Y75" s="4915"/>
      <c r="Z75" s="4915"/>
      <c r="AA75" s="4915"/>
      <c r="AB75" s="4915"/>
      <c r="AC75" s="4915"/>
      <c r="AD75" s="4915"/>
      <c r="AE75" s="4915"/>
      <c r="AF75" s="4915"/>
      <c r="AG75" s="4915"/>
      <c r="AH75" s="4915"/>
      <c r="AI75" s="4915"/>
      <c r="AJ75" s="5482"/>
      <c r="AK75" s="741"/>
      <c r="AL75" s="2158"/>
      <c r="AM75" s="1737"/>
      <c r="AN75" s="1737"/>
      <c r="AO75" s="1737"/>
      <c r="AP75" s="1737"/>
      <c r="AQ75" s="1737"/>
      <c r="AR75" s="1737"/>
      <c r="AS75" s="1737"/>
      <c r="AT75" s="1737"/>
      <c r="AU75" s="1737"/>
      <c r="AV75" s="1737"/>
      <c r="AW75" s="1737"/>
      <c r="AX75" s="1737"/>
      <c r="AY75" s="1737"/>
      <c r="AZ75" s="1737"/>
      <c r="BA75" s="1737"/>
      <c r="BB75" s="1737"/>
      <c r="BC75" s="1737"/>
      <c r="BD75" s="1737"/>
    </row>
    <row r="76" spans="1:56" ht="12" customHeight="1" thickBot="1" x14ac:dyDescent="0.25">
      <c r="A76" s="2144"/>
      <c r="B76" s="974"/>
      <c r="C76" s="2564" t="s">
        <v>1363</v>
      </c>
      <c r="D76" s="5510"/>
      <c r="E76" s="5511"/>
      <c r="F76" s="5507" t="s">
        <v>9573</v>
      </c>
      <c r="G76" s="5508"/>
      <c r="H76" s="5508"/>
      <c r="I76" s="5509"/>
      <c r="J76" s="2113"/>
      <c r="K76" s="2113"/>
      <c r="L76" s="2113"/>
      <c r="M76" s="2113"/>
      <c r="N76" s="2113"/>
      <c r="O76" s="2113"/>
      <c r="P76" s="2113"/>
      <c r="Q76" s="2114"/>
      <c r="R76" s="581"/>
      <c r="S76" s="2143"/>
      <c r="T76" s="2144"/>
      <c r="U76" s="974"/>
      <c r="V76" s="4917"/>
      <c r="W76" s="4918"/>
      <c r="X76" s="4918"/>
      <c r="Y76" s="4918"/>
      <c r="Z76" s="4918"/>
      <c r="AA76" s="4918"/>
      <c r="AB76" s="4918"/>
      <c r="AC76" s="4918"/>
      <c r="AD76" s="4918"/>
      <c r="AE76" s="4918"/>
      <c r="AF76" s="4918"/>
      <c r="AG76" s="4918"/>
      <c r="AH76" s="4918"/>
      <c r="AI76" s="4918"/>
      <c r="AJ76" s="5483"/>
      <c r="AK76" s="741"/>
      <c r="AL76" s="2158"/>
      <c r="AM76" s="1737"/>
      <c r="AN76" s="1737"/>
      <c r="AO76" s="1737"/>
      <c r="AP76" s="1737"/>
      <c r="AQ76" s="1737"/>
      <c r="AR76" s="1737"/>
      <c r="AS76" s="1737"/>
      <c r="AT76" s="1737"/>
      <c r="AU76" s="1737"/>
      <c r="AV76" s="1737"/>
      <c r="AW76" s="1737"/>
      <c r="AX76" s="1737"/>
      <c r="AY76" s="1737"/>
      <c r="AZ76" s="1737"/>
      <c r="BA76" s="1737"/>
      <c r="BB76" s="1737"/>
      <c r="BC76" s="1737"/>
      <c r="BD76" s="1737"/>
    </row>
    <row r="77" spans="1:56" ht="12" customHeight="1" thickBot="1" x14ac:dyDescent="0.25">
      <c r="A77" s="2144"/>
      <c r="B77" s="974"/>
      <c r="C77" s="2676"/>
      <c r="D77" s="2677"/>
      <c r="E77" s="2677"/>
      <c r="F77" s="2676"/>
      <c r="G77" s="2676"/>
      <c r="H77" s="2676"/>
      <c r="I77" s="2676"/>
      <c r="J77" s="2677"/>
      <c r="K77" s="2677"/>
      <c r="L77" s="2677"/>
      <c r="M77" s="2677"/>
      <c r="N77" s="2677"/>
      <c r="O77" s="2677"/>
      <c r="P77" s="2677"/>
      <c r="Q77" s="2677"/>
      <c r="R77" s="581"/>
      <c r="S77" s="2143"/>
      <c r="T77" s="2144"/>
      <c r="U77" s="974"/>
      <c r="V77" s="2409"/>
      <c r="W77" s="2409"/>
      <c r="X77" s="2409"/>
      <c r="Y77" s="2409"/>
      <c r="Z77" s="2409"/>
      <c r="AA77" s="2409"/>
      <c r="AB77" s="2409"/>
      <c r="AC77" s="673"/>
      <c r="AD77" s="2409"/>
      <c r="AE77" s="2409"/>
      <c r="AF77" s="2409"/>
      <c r="AG77" s="2409"/>
      <c r="AH77" s="2409"/>
      <c r="AI77" s="2409"/>
      <c r="AJ77" s="2409"/>
      <c r="AK77" s="741"/>
      <c r="AL77" s="2158"/>
      <c r="AM77" s="1737"/>
      <c r="AN77" s="1737"/>
      <c r="AO77" s="1737"/>
      <c r="AP77" s="1737"/>
      <c r="AQ77" s="1737"/>
      <c r="AR77" s="1737"/>
      <c r="AS77" s="1737"/>
      <c r="AT77" s="1737"/>
      <c r="AU77" s="1737"/>
      <c r="AV77" s="1737"/>
      <c r="AW77" s="1737"/>
      <c r="AX77" s="1737"/>
      <c r="AY77" s="1737"/>
      <c r="AZ77" s="1737"/>
      <c r="BA77" s="1737"/>
      <c r="BB77" s="1737"/>
      <c r="BC77" s="1737"/>
      <c r="BD77" s="1737"/>
    </row>
    <row r="78" spans="1:56" ht="12" customHeight="1" thickBot="1" x14ac:dyDescent="0.25">
      <c r="A78" s="2144"/>
      <c r="B78" s="974"/>
      <c r="C78" s="4439" t="s">
        <v>9583</v>
      </c>
      <c r="D78" s="4440"/>
      <c r="E78" s="4441"/>
      <c r="F78" s="5959" t="s">
        <v>9581</v>
      </c>
      <c r="G78" s="5955"/>
      <c r="H78" s="5955"/>
      <c r="I78" s="5955"/>
      <c r="J78" s="5955"/>
      <c r="K78" s="5955"/>
      <c r="L78" s="5531"/>
      <c r="M78" s="5530" t="s">
        <v>9580</v>
      </c>
      <c r="N78" s="5531"/>
      <c r="O78" s="5530" t="s">
        <v>1370</v>
      </c>
      <c r="P78" s="5531"/>
      <c r="Q78" s="2128" t="s">
        <v>1403</v>
      </c>
      <c r="R78" s="581"/>
      <c r="S78" s="2143"/>
      <c r="T78" s="2144"/>
      <c r="U78" s="974"/>
      <c r="V78" s="5364" t="s">
        <v>9585</v>
      </c>
      <c r="W78" s="5365"/>
      <c r="X78" s="5365"/>
      <c r="Y78" s="5365"/>
      <c r="Z78" s="5365"/>
      <c r="AA78" s="5365"/>
      <c r="AB78" s="5971"/>
      <c r="AC78" s="2117"/>
      <c r="AD78" s="3307" t="s">
        <v>9584</v>
      </c>
      <c r="AE78" s="3308"/>
      <c r="AF78" s="3308"/>
      <c r="AG78" s="3308"/>
      <c r="AH78" s="3308"/>
      <c r="AI78" s="3308"/>
      <c r="AJ78" s="3309"/>
      <c r="AK78" s="741"/>
      <c r="AL78" s="2158"/>
      <c r="AM78" s="1737"/>
      <c r="AN78" s="1737"/>
      <c r="AO78" s="1737"/>
      <c r="AP78" s="1737"/>
      <c r="AQ78" s="1737"/>
      <c r="AR78" s="1737"/>
      <c r="AS78" s="1737"/>
      <c r="AT78" s="1737"/>
      <c r="AU78" s="1737"/>
      <c r="AV78" s="1737"/>
      <c r="AW78" s="1737"/>
      <c r="AX78" s="1737"/>
      <c r="AY78" s="1737"/>
      <c r="AZ78" s="1737"/>
      <c r="BA78" s="1737"/>
      <c r="BB78" s="1737"/>
      <c r="BC78" s="1737"/>
      <c r="BD78" s="1737"/>
    </row>
    <row r="79" spans="1:56" ht="12" customHeight="1" x14ac:dyDescent="0.2">
      <c r="A79" s="2144"/>
      <c r="B79" s="974"/>
      <c r="C79" s="5489"/>
      <c r="D79" s="5490"/>
      <c r="E79" s="5491"/>
      <c r="F79" s="5956"/>
      <c r="G79" s="5957"/>
      <c r="H79" s="5957"/>
      <c r="I79" s="5957"/>
      <c r="J79" s="5957"/>
      <c r="K79" s="5957"/>
      <c r="L79" s="5958"/>
      <c r="M79" s="5498"/>
      <c r="N79" s="5499"/>
      <c r="O79" s="5498"/>
      <c r="P79" s="5499"/>
      <c r="Q79" s="2563"/>
      <c r="R79" s="581"/>
      <c r="S79" s="2143"/>
      <c r="T79" s="2144"/>
      <c r="U79" s="974"/>
      <c r="V79" s="5972" t="s">
        <v>1441</v>
      </c>
      <c r="W79" s="5973"/>
      <c r="X79" s="5973"/>
      <c r="Y79" s="5973"/>
      <c r="Z79" s="5973"/>
      <c r="AA79" s="5974"/>
      <c r="AB79" s="3021" t="s">
        <v>1490</v>
      </c>
      <c r="AC79" s="2349"/>
      <c r="AD79" s="5964" t="s">
        <v>1441</v>
      </c>
      <c r="AE79" s="5965"/>
      <c r="AF79" s="5965"/>
      <c r="AG79" s="5965"/>
      <c r="AH79" s="5966"/>
      <c r="AI79" s="2914" t="s">
        <v>1030</v>
      </c>
      <c r="AJ79" s="3021" t="s">
        <v>1500</v>
      </c>
      <c r="AK79" s="741"/>
      <c r="AL79" s="2158"/>
      <c r="AM79" s="1737"/>
      <c r="AN79" s="1737"/>
      <c r="AO79" s="1737"/>
      <c r="AP79" s="1737"/>
      <c r="AQ79" s="1737"/>
      <c r="AR79" s="1737"/>
      <c r="AS79" s="1737"/>
      <c r="AT79" s="1737"/>
      <c r="AU79" s="1737"/>
      <c r="AV79" s="1737"/>
      <c r="AW79" s="1737"/>
      <c r="AX79" s="1737"/>
      <c r="AY79" s="1737"/>
      <c r="AZ79" s="1737"/>
      <c r="BA79" s="1737"/>
      <c r="BB79" s="1737"/>
      <c r="BC79" s="1737"/>
      <c r="BD79" s="1737"/>
    </row>
    <row r="80" spans="1:56" ht="12" customHeight="1" x14ac:dyDescent="0.2">
      <c r="A80" s="2144"/>
      <c r="B80" s="1385"/>
      <c r="C80" s="5489"/>
      <c r="D80" s="5490"/>
      <c r="E80" s="5491"/>
      <c r="F80" s="5512"/>
      <c r="G80" s="5513"/>
      <c r="H80" s="5513"/>
      <c r="I80" s="5513"/>
      <c r="J80" s="5513"/>
      <c r="K80" s="5513"/>
      <c r="L80" s="5514"/>
      <c r="M80" s="5500"/>
      <c r="N80" s="5501"/>
      <c r="O80" s="5500"/>
      <c r="P80" s="5501"/>
      <c r="Q80" s="2562"/>
      <c r="R80" s="1386"/>
      <c r="S80" s="2143"/>
      <c r="T80" s="2144"/>
      <c r="U80" s="1385"/>
      <c r="V80" s="5956"/>
      <c r="W80" s="5957"/>
      <c r="X80" s="5957"/>
      <c r="Y80" s="5957"/>
      <c r="Z80" s="5957"/>
      <c r="AA80" s="5958"/>
      <c r="AB80" s="2115"/>
      <c r="AC80" s="2349"/>
      <c r="AD80" s="5660"/>
      <c r="AE80" s="5661"/>
      <c r="AF80" s="5661"/>
      <c r="AG80" s="5661"/>
      <c r="AH80" s="5661"/>
      <c r="AI80" s="3003"/>
      <c r="AJ80" s="2115"/>
      <c r="AK80" s="741"/>
      <c r="AL80" s="2158"/>
      <c r="AM80" s="1737"/>
      <c r="AN80" s="1737"/>
      <c r="AO80" s="1737"/>
      <c r="AP80" s="1737"/>
      <c r="AQ80" s="1737"/>
      <c r="AR80" s="1737"/>
      <c r="AS80" s="1737"/>
      <c r="AT80" s="1737"/>
      <c r="AU80" s="1737"/>
      <c r="AV80" s="1737"/>
      <c r="AW80" s="1737"/>
      <c r="AX80" s="1737"/>
      <c r="AY80" s="1737"/>
      <c r="AZ80" s="1737"/>
      <c r="BA80" s="1737"/>
      <c r="BB80" s="1737"/>
      <c r="BC80" s="1737"/>
      <c r="BD80" s="1737"/>
    </row>
    <row r="81" spans="1:56" ht="12" customHeight="1" x14ac:dyDescent="0.2">
      <c r="A81" s="954"/>
      <c r="B81" s="489"/>
      <c r="C81" s="5489"/>
      <c r="D81" s="5490"/>
      <c r="E81" s="5491"/>
      <c r="F81" s="5515"/>
      <c r="G81" s="5516"/>
      <c r="H81" s="5516"/>
      <c r="I81" s="5516"/>
      <c r="J81" s="5516"/>
      <c r="K81" s="5516"/>
      <c r="L81" s="5517"/>
      <c r="M81" s="5505"/>
      <c r="N81" s="5506"/>
      <c r="O81" s="5505"/>
      <c r="P81" s="5506"/>
      <c r="Q81" s="2675"/>
      <c r="R81" s="581"/>
      <c r="S81" s="954"/>
      <c r="T81" s="954"/>
      <c r="U81" s="489"/>
      <c r="V81" s="5969"/>
      <c r="W81" s="5970"/>
      <c r="X81" s="5970"/>
      <c r="Y81" s="5970"/>
      <c r="Z81" s="5970"/>
      <c r="AA81" s="5975"/>
      <c r="AB81" s="2116"/>
      <c r="AC81" s="2349"/>
      <c r="AD81" s="5969"/>
      <c r="AE81" s="5970"/>
      <c r="AF81" s="5970"/>
      <c r="AG81" s="5970"/>
      <c r="AH81" s="5970"/>
      <c r="AI81" s="3002"/>
      <c r="AJ81" s="2116"/>
      <c r="AK81" s="741"/>
      <c r="AL81" s="2158"/>
      <c r="AM81" s="1737"/>
      <c r="AN81" s="1737"/>
      <c r="AO81" s="1737"/>
      <c r="AP81" s="1737"/>
      <c r="AQ81" s="1737"/>
      <c r="AR81" s="1737"/>
      <c r="AS81" s="1737"/>
      <c r="AT81" s="1737"/>
      <c r="AU81" s="1737"/>
      <c r="AV81" s="1737"/>
      <c r="AW81" s="1737"/>
      <c r="AX81" s="1737"/>
      <c r="AY81" s="1737"/>
      <c r="AZ81" s="1737"/>
      <c r="BA81" s="1737"/>
      <c r="BB81" s="1737"/>
      <c r="BC81" s="1737"/>
      <c r="BD81" s="1737"/>
    </row>
    <row r="82" spans="1:56" ht="12" customHeight="1" thickBot="1" x14ac:dyDescent="0.25">
      <c r="A82" s="954"/>
      <c r="B82" s="489"/>
      <c r="C82" s="5489"/>
      <c r="D82" s="5490"/>
      <c r="E82" s="5491"/>
      <c r="F82" s="5512"/>
      <c r="G82" s="5513"/>
      <c r="H82" s="5513"/>
      <c r="I82" s="5513"/>
      <c r="J82" s="5513"/>
      <c r="K82" s="5513"/>
      <c r="L82" s="5514"/>
      <c r="M82" s="5500"/>
      <c r="N82" s="5501"/>
      <c r="O82" s="5529"/>
      <c r="P82" s="5501"/>
      <c r="Q82" s="2674"/>
      <c r="R82" s="1387"/>
      <c r="S82" s="1388"/>
      <c r="T82" s="1388"/>
      <c r="U82" s="974"/>
      <c r="V82" s="5967"/>
      <c r="W82" s="5968"/>
      <c r="X82" s="5968"/>
      <c r="Y82" s="5968"/>
      <c r="Z82" s="5968"/>
      <c r="AA82" s="5976"/>
      <c r="AB82" s="3022"/>
      <c r="AC82" s="2349"/>
      <c r="AD82" s="5967"/>
      <c r="AE82" s="5968"/>
      <c r="AF82" s="5968"/>
      <c r="AG82" s="5968"/>
      <c r="AH82" s="5968"/>
      <c r="AI82" s="3004"/>
      <c r="AJ82" s="3022"/>
      <c r="AK82" s="741"/>
      <c r="AL82" s="2158"/>
      <c r="AM82" s="1737"/>
      <c r="AN82" s="1737"/>
      <c r="AO82" s="1737"/>
      <c r="AP82" s="1737"/>
      <c r="AQ82" s="1737"/>
      <c r="AR82" s="1737"/>
      <c r="AS82" s="1737"/>
      <c r="AT82" s="1737"/>
      <c r="AU82" s="1737"/>
      <c r="AV82" s="1737"/>
      <c r="AW82" s="1737"/>
      <c r="AX82" s="1737"/>
      <c r="AY82" s="1737"/>
      <c r="AZ82" s="1737"/>
      <c r="BA82" s="1737"/>
      <c r="BB82" s="1737"/>
      <c r="BC82" s="1737"/>
      <c r="BD82" s="1737"/>
    </row>
    <row r="83" spans="1:56" ht="12" customHeight="1" thickBot="1" x14ac:dyDescent="0.25">
      <c r="A83" s="954"/>
      <c r="B83" s="489"/>
      <c r="C83" s="5492"/>
      <c r="D83" s="5493"/>
      <c r="E83" s="5494"/>
      <c r="F83" s="5484"/>
      <c r="G83" s="5485"/>
      <c r="H83" s="5485"/>
      <c r="I83" s="5485"/>
      <c r="J83" s="5485"/>
      <c r="K83" s="5485"/>
      <c r="L83" s="5486"/>
      <c r="M83" s="5487"/>
      <c r="N83" s="5488"/>
      <c r="O83" s="5487"/>
      <c r="P83" s="5488"/>
      <c r="Q83" s="2201"/>
      <c r="R83" s="1387"/>
      <c r="S83" s="1388"/>
      <c r="T83" s="1388"/>
      <c r="U83" s="974"/>
      <c r="V83" s="2409"/>
      <c r="W83" s="2409"/>
      <c r="X83" s="2409"/>
      <c r="Y83" s="2409"/>
      <c r="Z83" s="2409"/>
      <c r="AA83" s="2409"/>
      <c r="AB83" s="2409"/>
      <c r="AC83" s="2409"/>
      <c r="AD83" s="2409"/>
      <c r="AE83" s="2409"/>
      <c r="AF83" s="2409"/>
      <c r="AG83" s="2409"/>
      <c r="AH83" s="2409"/>
      <c r="AI83" s="2409"/>
      <c r="AJ83" s="2409"/>
      <c r="AK83" s="741"/>
      <c r="AL83" s="2158"/>
      <c r="AM83" s="1737"/>
      <c r="AN83" s="1737"/>
      <c r="AO83" s="1737"/>
      <c r="AP83" s="1737"/>
      <c r="AQ83" s="1737"/>
      <c r="AR83" s="1737"/>
      <c r="AS83" s="1737"/>
      <c r="AT83" s="1737"/>
      <c r="AU83" s="1737"/>
      <c r="AV83" s="1737"/>
      <c r="AW83" s="1737"/>
      <c r="AX83" s="1737"/>
      <c r="AY83" s="1737"/>
      <c r="AZ83" s="1737"/>
      <c r="BA83" s="1737"/>
      <c r="BB83" s="1737"/>
      <c r="BC83" s="1737"/>
      <c r="BD83" s="1737"/>
    </row>
    <row r="84" spans="1:56" ht="12" customHeight="1" thickBot="1" x14ac:dyDescent="0.25">
      <c r="A84" s="954"/>
      <c r="B84" s="489"/>
      <c r="C84" s="2409"/>
      <c r="D84" s="2409"/>
      <c r="E84" s="2409"/>
      <c r="F84" s="2409"/>
      <c r="G84" s="2409"/>
      <c r="H84" s="2409"/>
      <c r="I84" s="2409"/>
      <c r="J84" s="2409"/>
      <c r="K84" s="2409"/>
      <c r="L84" s="2409"/>
      <c r="M84" s="2409"/>
      <c r="N84" s="2409"/>
      <c r="O84" s="2409"/>
      <c r="P84" s="2409"/>
      <c r="Q84" s="2409"/>
      <c r="R84" s="581"/>
      <c r="S84" s="954"/>
      <c r="T84" s="954"/>
      <c r="U84" s="489"/>
      <c r="V84" s="5960" t="s">
        <v>1916</v>
      </c>
      <c r="W84" s="5961"/>
      <c r="X84" s="5962"/>
      <c r="Y84" s="3023"/>
      <c r="Z84" s="5631" t="s">
        <v>8610</v>
      </c>
      <c r="AA84" s="5632"/>
      <c r="AB84" s="5633"/>
      <c r="AC84" s="2409"/>
      <c r="AD84" s="5599" t="s">
        <v>7116</v>
      </c>
      <c r="AE84" s="5600"/>
      <c r="AF84" s="5601"/>
      <c r="AG84" s="2409"/>
      <c r="AH84" s="5599" t="s">
        <v>7117</v>
      </c>
      <c r="AI84" s="5600"/>
      <c r="AJ84" s="5601"/>
      <c r="AK84" s="741"/>
      <c r="AL84" s="2158"/>
      <c r="AM84" s="1737"/>
      <c r="AN84" s="1737"/>
      <c r="AO84" s="1737"/>
      <c r="AP84" s="1737"/>
      <c r="AQ84" s="1737"/>
      <c r="AR84" s="1737"/>
      <c r="AS84" s="1737"/>
      <c r="AT84" s="1737"/>
      <c r="AU84" s="1737"/>
      <c r="AV84" s="1737"/>
      <c r="AW84" s="1737"/>
      <c r="AX84" s="1737"/>
      <c r="AY84" s="1737"/>
      <c r="AZ84" s="1737"/>
      <c r="BA84" s="1737"/>
      <c r="BB84" s="1737"/>
      <c r="BC84" s="1737"/>
      <c r="BD84" s="1737"/>
    </row>
    <row r="85" spans="1:56" ht="12" customHeight="1" thickBot="1" x14ac:dyDescent="0.25">
      <c r="A85" s="954"/>
      <c r="B85" s="489"/>
      <c r="C85" s="2409"/>
      <c r="D85" s="2409"/>
      <c r="E85" s="2409"/>
      <c r="F85" s="2409"/>
      <c r="G85" s="2409"/>
      <c r="H85" s="2409"/>
      <c r="I85" s="2409"/>
      <c r="J85" s="2409"/>
      <c r="K85" s="2409"/>
      <c r="L85" s="2409"/>
      <c r="M85" s="2409"/>
      <c r="N85" s="2409"/>
      <c r="O85" s="2409"/>
      <c r="P85" s="2409"/>
      <c r="Q85" s="2409"/>
      <c r="R85" s="1387"/>
      <c r="S85" s="1388"/>
      <c r="T85" s="1388"/>
      <c r="U85" s="974"/>
      <c r="V85" s="5650"/>
      <c r="W85" s="5651"/>
      <c r="X85" s="5652"/>
      <c r="Y85" s="3023"/>
      <c r="Z85" s="5634"/>
      <c r="AA85" s="5635"/>
      <c r="AB85" s="5636"/>
      <c r="AC85" s="2409"/>
      <c r="AD85" s="5656" t="s">
        <v>8609</v>
      </c>
      <c r="AE85" s="5657"/>
      <c r="AF85" s="1706"/>
      <c r="AG85" s="2409"/>
      <c r="AH85" s="5608"/>
      <c r="AI85" s="5609"/>
      <c r="AJ85" s="5610"/>
      <c r="AK85" s="741"/>
      <c r="AL85" s="1389"/>
      <c r="AM85" s="1737"/>
      <c r="AN85" s="1737"/>
      <c r="AO85" s="1737"/>
      <c r="AP85" s="1737"/>
      <c r="AQ85" s="1737"/>
      <c r="AR85" s="1737"/>
      <c r="AS85" s="1737"/>
      <c r="AT85" s="1737"/>
      <c r="AU85" s="1737"/>
      <c r="AV85" s="1737"/>
      <c r="AW85" s="1737"/>
      <c r="AX85" s="1737"/>
      <c r="AY85" s="1737"/>
      <c r="AZ85" s="1737"/>
      <c r="BA85" s="1737"/>
      <c r="BB85" s="1737"/>
      <c r="BC85" s="1737"/>
      <c r="BD85" s="1737"/>
    </row>
    <row r="86" spans="1:56" ht="12" customHeight="1" thickBot="1" x14ac:dyDescent="0.25">
      <c r="A86" s="954"/>
      <c r="B86" s="489"/>
      <c r="C86" s="4914" t="s">
        <v>7296</v>
      </c>
      <c r="D86" s="4915"/>
      <c r="E86" s="4915"/>
      <c r="F86" s="4915"/>
      <c r="G86" s="4915"/>
      <c r="H86" s="4915"/>
      <c r="I86" s="4915"/>
      <c r="J86" s="4915"/>
      <c r="K86" s="4915"/>
      <c r="L86" s="4915"/>
      <c r="M86" s="4915"/>
      <c r="N86" s="4915"/>
      <c r="O86" s="4915"/>
      <c r="P86" s="4915"/>
      <c r="Q86" s="5482"/>
      <c r="R86" s="1387"/>
      <c r="S86" s="1388"/>
      <c r="T86" s="1388"/>
      <c r="U86" s="974"/>
      <c r="V86" s="5653"/>
      <c r="W86" s="5654"/>
      <c r="X86" s="5655"/>
      <c r="Y86" s="3024"/>
      <c r="Z86" s="4884" t="s">
        <v>8608</v>
      </c>
      <c r="AA86" s="5616"/>
      <c r="AB86" s="5617"/>
      <c r="AC86" s="2409"/>
      <c r="AD86" s="5608"/>
      <c r="AE86" s="5609"/>
      <c r="AF86" s="5610"/>
      <c r="AG86" s="2409"/>
      <c r="AH86" s="5602"/>
      <c r="AI86" s="5603"/>
      <c r="AJ86" s="5604"/>
      <c r="AK86" s="741"/>
      <c r="AL86" s="2158"/>
      <c r="AM86" s="1737"/>
      <c r="AN86" s="1737"/>
      <c r="AO86" s="1737"/>
      <c r="AP86" s="1737"/>
      <c r="AQ86" s="1737"/>
      <c r="AR86" s="1737"/>
      <c r="AS86" s="1737"/>
      <c r="AT86" s="1737"/>
      <c r="AU86" s="1737"/>
      <c r="AV86" s="1737"/>
      <c r="AW86" s="1737"/>
      <c r="AX86" s="1737"/>
      <c r="AY86" s="1737"/>
      <c r="AZ86" s="1737"/>
      <c r="BA86" s="1737"/>
      <c r="BB86" s="1737"/>
      <c r="BC86" s="1737"/>
      <c r="BD86" s="1737"/>
    </row>
    <row r="87" spans="1:56" ht="12" customHeight="1" thickBot="1" x14ac:dyDescent="0.25">
      <c r="A87" s="954"/>
      <c r="B87" s="489"/>
      <c r="C87" s="4917"/>
      <c r="D87" s="4918"/>
      <c r="E87" s="4918"/>
      <c r="F87" s="4918"/>
      <c r="G87" s="4918"/>
      <c r="H87" s="4918"/>
      <c r="I87" s="4918"/>
      <c r="J87" s="4918"/>
      <c r="K87" s="4918"/>
      <c r="L87" s="4918"/>
      <c r="M87" s="4918"/>
      <c r="N87" s="4918"/>
      <c r="O87" s="4918"/>
      <c r="P87" s="4918"/>
      <c r="Q87" s="5483"/>
      <c r="R87" s="581"/>
      <c r="S87" s="954"/>
      <c r="T87" s="954"/>
      <c r="U87" s="489"/>
      <c r="V87" s="5650"/>
      <c r="W87" s="5651"/>
      <c r="X87" s="5652"/>
      <c r="Y87" s="3024"/>
      <c r="Z87" s="5614"/>
      <c r="AA87" s="5615"/>
      <c r="AB87" s="3577"/>
      <c r="AC87" s="2409"/>
      <c r="AD87" s="5602"/>
      <c r="AE87" s="5603"/>
      <c r="AF87" s="5604"/>
      <c r="AG87" s="2409"/>
      <c r="AH87" s="5611"/>
      <c r="AI87" s="5612"/>
      <c r="AJ87" s="5613"/>
      <c r="AK87" s="741"/>
      <c r="AL87" s="2158"/>
      <c r="AM87" s="1737"/>
      <c r="AN87" s="1737"/>
      <c r="AO87" s="1737"/>
      <c r="AP87" s="1737"/>
      <c r="AQ87" s="1737"/>
      <c r="AR87" s="1737"/>
      <c r="AS87" s="1737"/>
      <c r="AT87" s="1737"/>
      <c r="AU87" s="1737"/>
      <c r="AV87" s="1737"/>
      <c r="AW87" s="1737"/>
      <c r="AX87" s="1737"/>
      <c r="AY87" s="1737"/>
      <c r="AZ87" s="1737"/>
      <c r="BA87" s="1737"/>
      <c r="BB87" s="1737"/>
      <c r="BC87" s="1737"/>
      <c r="BD87" s="1737"/>
    </row>
    <row r="88" spans="1:56" ht="12" customHeight="1" thickBot="1" x14ac:dyDescent="0.25">
      <c r="A88" s="954"/>
      <c r="B88" s="489"/>
      <c r="C88" s="2409"/>
      <c r="D88" s="2409"/>
      <c r="E88" s="2409"/>
      <c r="F88" s="2409"/>
      <c r="G88" s="2409"/>
      <c r="H88" s="2409"/>
      <c r="I88" s="2409"/>
      <c r="J88" s="2409"/>
      <c r="K88" s="2409"/>
      <c r="L88" s="2409"/>
      <c r="M88" s="2409"/>
      <c r="N88" s="2409"/>
      <c r="O88" s="2409"/>
      <c r="P88" s="2409"/>
      <c r="Q88" s="2409"/>
      <c r="R88" s="581"/>
      <c r="S88" s="954"/>
      <c r="T88" s="954"/>
      <c r="U88" s="489"/>
      <c r="V88" s="5653"/>
      <c r="W88" s="5654"/>
      <c r="X88" s="5655"/>
      <c r="Y88" s="3024"/>
      <c r="Z88" s="5658" t="s">
        <v>9601</v>
      </c>
      <c r="AA88" s="5659"/>
      <c r="AB88" s="2198"/>
      <c r="AC88" s="2409"/>
      <c r="AD88" s="5605"/>
      <c r="AE88" s="5606"/>
      <c r="AF88" s="5607"/>
      <c r="AG88" s="2409"/>
      <c r="AH88" s="2409"/>
      <c r="AI88" s="2409"/>
      <c r="AJ88" s="673"/>
      <c r="AK88" s="741"/>
      <c r="AL88" s="2158"/>
      <c r="AM88" s="1737"/>
      <c r="AN88" s="1737"/>
      <c r="AO88" s="1737"/>
      <c r="AP88" s="1737"/>
      <c r="AQ88" s="1737"/>
      <c r="AR88" s="1737"/>
      <c r="AS88" s="1737"/>
      <c r="AT88" s="1737"/>
      <c r="AU88" s="1737"/>
      <c r="AV88" s="1737"/>
      <c r="AW88" s="1737"/>
      <c r="AX88" s="1737"/>
      <c r="AY88" s="1737"/>
      <c r="AZ88" s="1737"/>
      <c r="BA88" s="1737"/>
      <c r="BB88" s="1737"/>
      <c r="BC88" s="1737"/>
      <c r="BD88" s="1737"/>
    </row>
    <row r="89" spans="1:56" ht="12" customHeight="1" thickBot="1" x14ac:dyDescent="0.25">
      <c r="A89" s="954"/>
      <c r="B89" s="489"/>
      <c r="C89" s="2409"/>
      <c r="D89" s="3115" t="s">
        <v>7310</v>
      </c>
      <c r="E89" s="3117"/>
      <c r="F89" s="5955" t="str">
        <f>"Poderes adquiridos: "&amp;IF(Tablas!$J$1871&gt;0,"Influjo Sobrenatural"&amp;IF(Tablas!$J$1876&gt;0,", Demiurgo",""),IF(Tablas!$J$1876&gt;0,"Demiurgo","Ninguno"))</f>
        <v>Poderes adquiridos: Ninguno</v>
      </c>
      <c r="G89" s="5955"/>
      <c r="H89" s="5955"/>
      <c r="I89" s="5955"/>
      <c r="J89" s="5955"/>
      <c r="K89" s="5955"/>
      <c r="L89" s="5955"/>
      <c r="M89" s="5531"/>
      <c r="N89" s="5896" t="s">
        <v>7297</v>
      </c>
      <c r="O89" s="5897"/>
      <c r="P89" s="5898"/>
      <c r="Q89" s="2409"/>
      <c r="R89" s="581"/>
      <c r="S89" s="954"/>
      <c r="T89" s="954"/>
      <c r="U89" s="489"/>
      <c r="V89" s="2409"/>
      <c r="W89" s="2409"/>
      <c r="X89" s="2409"/>
      <c r="Y89" s="2409"/>
      <c r="Z89" s="2409"/>
      <c r="AA89" s="2409"/>
      <c r="AB89" s="2409"/>
      <c r="AC89" s="2409"/>
      <c r="AD89" s="2409"/>
      <c r="AE89" s="2409"/>
      <c r="AF89" s="2409"/>
      <c r="AG89" s="2409"/>
      <c r="AH89" s="2409"/>
      <c r="AI89" s="2409"/>
      <c r="AJ89" s="2409"/>
      <c r="AK89" s="741"/>
      <c r="AL89" s="2158"/>
      <c r="AM89" s="1737"/>
      <c r="AN89" s="1737"/>
      <c r="AO89" s="1737"/>
      <c r="AP89" s="1737"/>
      <c r="AQ89" s="1737"/>
      <c r="AR89" s="1737"/>
      <c r="AS89" s="1737"/>
      <c r="AT89" s="1737"/>
      <c r="AU89" s="1737"/>
      <c r="AV89" s="1737"/>
      <c r="AW89" s="1737"/>
      <c r="AX89" s="1737"/>
      <c r="AY89" s="1737"/>
      <c r="AZ89" s="1737"/>
      <c r="BA89" s="1737"/>
      <c r="BB89" s="1737"/>
      <c r="BC89" s="1737"/>
      <c r="BD89" s="1737"/>
    </row>
    <row r="90" spans="1:56" ht="12" customHeight="1" x14ac:dyDescent="0.2">
      <c r="A90" s="954"/>
      <c r="B90" s="489"/>
      <c r="C90" s="2409"/>
      <c r="D90" s="3145"/>
      <c r="E90" s="3203"/>
      <c r="F90" s="2578"/>
      <c r="G90" s="1687" t="s">
        <v>7295</v>
      </c>
      <c r="H90" s="1684"/>
      <c r="I90" s="1685"/>
      <c r="J90" s="1684"/>
      <c r="K90" s="1686"/>
      <c r="L90" s="1685"/>
      <c r="M90" s="2205"/>
      <c r="N90" s="1401" t="s">
        <v>1386</v>
      </c>
      <c r="O90" s="2579" t="s">
        <v>1391</v>
      </c>
      <c r="P90" s="2580" t="s">
        <v>1392</v>
      </c>
      <c r="Q90" s="2409"/>
      <c r="R90" s="581"/>
      <c r="S90" s="954"/>
      <c r="T90" s="954"/>
      <c r="U90" s="489"/>
      <c r="V90" s="5631" t="s">
        <v>8591</v>
      </c>
      <c r="W90" s="5632"/>
      <c r="X90" s="5632"/>
      <c r="Y90" s="5632"/>
      <c r="Z90" s="5632"/>
      <c r="AA90" s="5632"/>
      <c r="AB90" s="5632"/>
      <c r="AC90" s="5632"/>
      <c r="AD90" s="5632"/>
      <c r="AE90" s="5632"/>
      <c r="AF90" s="5632"/>
      <c r="AG90" s="5632"/>
      <c r="AH90" s="5632"/>
      <c r="AI90" s="5632"/>
      <c r="AJ90" s="5633"/>
      <c r="AK90" s="741"/>
      <c r="AL90" s="2158"/>
      <c r="AM90" s="1737"/>
      <c r="AN90" s="1737"/>
      <c r="AO90" s="1737"/>
      <c r="AP90" s="1737"/>
      <c r="AQ90" s="1737"/>
      <c r="AR90" s="1737"/>
      <c r="AS90" s="1737"/>
      <c r="AT90" s="1737"/>
      <c r="AU90" s="1737"/>
      <c r="AV90" s="1737"/>
      <c r="AW90" s="1737"/>
      <c r="AX90" s="1737"/>
      <c r="AY90" s="1737"/>
      <c r="AZ90" s="1737"/>
      <c r="BA90" s="1737"/>
      <c r="BB90" s="1737"/>
      <c r="BC90" s="1737"/>
      <c r="BD90" s="1737"/>
    </row>
    <row r="91" spans="1:56" ht="12" customHeight="1" thickBot="1" x14ac:dyDescent="0.25">
      <c r="A91" s="954"/>
      <c r="B91" s="489"/>
      <c r="C91" s="2409"/>
      <c r="D91" s="3209"/>
      <c r="E91" s="3727"/>
      <c r="F91" s="955"/>
      <c r="G91" s="948" t="s">
        <v>7298</v>
      </c>
      <c r="H91" s="1688"/>
      <c r="I91" s="2202"/>
      <c r="J91" s="2203"/>
      <c r="K91" s="2203"/>
      <c r="L91" s="2203"/>
      <c r="M91" s="2204"/>
      <c r="N91" s="2133">
        <f>IF(Tablas!$J$1871&gt;0,2*SUMPRODUCT(--ISNUMBER(SEARCH(Personalización!N$90,Personalización!$H$91))))+IF(Tablas!$J$1876&gt;0,SUMPRODUCT(--ISNUMBER(SEARCH(Personalización!N$90,Personalización!$H$90:$L$90))))</f>
        <v>0</v>
      </c>
      <c r="O91" s="956">
        <f>IF(Tablas!$J$1871&gt;0,2*SUMPRODUCT(--ISNUMBER(SEARCH(Personalización!O$90,Personalización!$H$91))))+IF(Tablas!$J$1876&gt;0,SUMPRODUCT(--ISNUMBER(SEARCH(Personalización!O$90,Personalización!$H$90:$L$90))))</f>
        <v>0</v>
      </c>
      <c r="P91" s="957">
        <f>IF(Tablas!$J$1871&gt;0,2*SUMPRODUCT(--ISNUMBER(SEARCH(Personalización!P$90,Personalización!$H$91))))+IF(Tablas!$J$1876&gt;0,SUMPRODUCT(--ISNUMBER(SEARCH(Personalización!P$90,Personalización!$H$90:$L$90))))</f>
        <v>0</v>
      </c>
      <c r="Q91" s="2409"/>
      <c r="R91" s="581"/>
      <c r="S91" s="954"/>
      <c r="T91" s="954"/>
      <c r="U91" s="489"/>
      <c r="V91" s="5662"/>
      <c r="W91" s="5663"/>
      <c r="X91" s="5663"/>
      <c r="Y91" s="5663"/>
      <c r="Z91" s="5663"/>
      <c r="AA91" s="5663"/>
      <c r="AB91" s="5663"/>
      <c r="AC91" s="5663"/>
      <c r="AD91" s="5663"/>
      <c r="AE91" s="5663"/>
      <c r="AF91" s="5663"/>
      <c r="AG91" s="5663"/>
      <c r="AH91" s="5663"/>
      <c r="AI91" s="5663"/>
      <c r="AJ91" s="5664"/>
      <c r="AK91" s="741"/>
      <c r="AL91" s="2158"/>
      <c r="AM91" s="1737"/>
      <c r="AN91" s="1737"/>
      <c r="AO91" s="1737"/>
      <c r="AP91" s="1737"/>
      <c r="AQ91" s="1737"/>
      <c r="AR91" s="1737"/>
      <c r="AS91" s="1737"/>
      <c r="AT91" s="1737"/>
      <c r="AU91" s="1737"/>
      <c r="AV91" s="1737"/>
      <c r="AW91" s="1737"/>
      <c r="AX91" s="1737"/>
      <c r="AY91" s="1737"/>
      <c r="AZ91" s="1737"/>
      <c r="BA91" s="1737"/>
      <c r="BB91" s="1737"/>
      <c r="BC91" s="1737"/>
      <c r="BD91" s="1737"/>
    </row>
    <row r="92" spans="1:56" ht="12" customHeight="1" thickBot="1" x14ac:dyDescent="0.25">
      <c r="A92" s="954"/>
      <c r="B92" s="489"/>
      <c r="C92" s="2409"/>
      <c r="D92" s="2409"/>
      <c r="E92" s="2409"/>
      <c r="F92" s="2409"/>
      <c r="G92" s="2409"/>
      <c r="H92" s="2409"/>
      <c r="I92" s="2409"/>
      <c r="J92" s="2409"/>
      <c r="K92" s="2409"/>
      <c r="L92" s="2409"/>
      <c r="M92" s="2409"/>
      <c r="N92" s="2409"/>
      <c r="O92" s="2409"/>
      <c r="P92" s="2409"/>
      <c r="Q92" s="2409"/>
      <c r="R92" s="581"/>
      <c r="S92" s="954"/>
      <c r="T92" s="954"/>
      <c r="U92" s="489"/>
      <c r="V92" s="5545" t="s">
        <v>1323</v>
      </c>
      <c r="W92" s="5546"/>
      <c r="X92" s="5547" t="s">
        <v>8599</v>
      </c>
      <c r="Y92" s="5547"/>
      <c r="Z92" s="5547"/>
      <c r="AA92" s="5547"/>
      <c r="AB92" s="5548"/>
      <c r="AC92" s="5540" t="s">
        <v>8615</v>
      </c>
      <c r="AD92" s="5541"/>
      <c r="AE92" s="5541"/>
      <c r="AF92" s="5542" t="s">
        <v>1728</v>
      </c>
      <c r="AG92" s="5543"/>
      <c r="AH92" s="5540" t="s">
        <v>8611</v>
      </c>
      <c r="AI92" s="5544"/>
      <c r="AJ92" s="3001" t="s">
        <v>1381</v>
      </c>
      <c r="AK92" s="741"/>
      <c r="AL92" s="2158"/>
      <c r="AM92" s="1737"/>
      <c r="AN92" s="1737" t="s">
        <v>9312</v>
      </c>
      <c r="AO92" s="1737" t="s">
        <v>1393</v>
      </c>
      <c r="AP92" s="1737" t="s">
        <v>7229</v>
      </c>
      <c r="AQ92" s="1737" t="s">
        <v>8330</v>
      </c>
      <c r="AR92" s="1737" t="s">
        <v>1566</v>
      </c>
      <c r="AS92" s="1737"/>
      <c r="AT92" s="1737"/>
      <c r="AU92" s="1737"/>
      <c r="AV92" s="1737"/>
      <c r="AW92" s="1737"/>
      <c r="AX92" s="1737"/>
      <c r="AY92" s="1737"/>
      <c r="AZ92" s="1737"/>
      <c r="BA92" s="1737"/>
      <c r="BB92" s="1737"/>
      <c r="BC92" s="1737"/>
      <c r="BD92" s="1737"/>
    </row>
    <row r="93" spans="1:56" ht="12" customHeight="1" x14ac:dyDescent="0.2">
      <c r="A93" s="954"/>
      <c r="B93" s="489"/>
      <c r="C93" s="5951" t="s">
        <v>7299</v>
      </c>
      <c r="D93" s="5954" t="s">
        <v>1323</v>
      </c>
      <c r="E93" s="5954"/>
      <c r="F93" s="5916"/>
      <c r="G93" s="5917"/>
      <c r="H93" s="5917"/>
      <c r="I93" s="5917"/>
      <c r="J93" s="5917"/>
      <c r="K93" s="5917"/>
      <c r="L93" s="5917"/>
      <c r="M93" s="5917"/>
      <c r="N93" s="5917"/>
      <c r="O93" s="5917"/>
      <c r="P93" s="5917"/>
      <c r="Q93" s="5918"/>
      <c r="R93" s="581"/>
      <c r="S93" s="954"/>
      <c r="T93" s="954"/>
      <c r="U93" s="489"/>
      <c r="V93" s="4109" t="s">
        <v>8614</v>
      </c>
      <c r="W93" s="5570"/>
      <c r="X93" s="5571"/>
      <c r="Y93" s="5566" t="s">
        <v>1544</v>
      </c>
      <c r="Z93" s="5568">
        <f>IFERROR(VLOOKUP(V94,Tabla_CaracterísticasGéminis,2,0)+IF(COUNTIF(W101:Z106,"Metal")&gt;0,VLOOKUP(V94,Tabla_CaracterísticasGéminis,2,0),0)+IF(AF92="Grande",50,IF(AF92="Enorme",150,0)),0)</f>
        <v>0</v>
      </c>
      <c r="AA93" s="5572" t="s">
        <v>8622</v>
      </c>
      <c r="AB93" s="5573"/>
      <c r="AC93" s="5574"/>
      <c r="AD93" s="5575"/>
      <c r="AE93" s="5576"/>
      <c r="AF93" s="5572"/>
      <c r="AG93" s="5573"/>
      <c r="AH93" s="5574"/>
      <c r="AI93" s="5575"/>
      <c r="AJ93" s="5576"/>
      <c r="AK93" s="741"/>
      <c r="AL93" s="2158"/>
      <c r="AM93" s="1737"/>
      <c r="AN93" s="1737" t="b">
        <f>AA95&lt;&gt;"-"</f>
        <v>0</v>
      </c>
      <c r="AO93" s="1737" t="str">
        <f>IF(AN93,X92&amp;": "&amp;AD95&amp;" "&amp;AC93&amp;IF(AB99&gt;0," +"&amp;AB99,"")&amp;IF(AH93="",""," y "&amp;AH93&amp;IF(AG99&gt;0," +"&amp;AG99,"")),"")</f>
        <v/>
      </c>
      <c r="AP93" s="1737" t="str">
        <f>IF(AN93,X92&amp;": "&amp;AA95&amp;" "&amp;AC93&amp;IF(AB99&gt;0," +"&amp;AB99,"")&amp;IF(AH93="",""," y "&amp;AF95&amp;" "&amp;AH93&amp;IF(AG99&gt;0," +"&amp;AG99,"")),"")</f>
        <v/>
      </c>
      <c r="AQ93" s="1737" t="str">
        <f>IF(AN93,X92&amp;": "&amp;IFERROR(MAX(AB95,AG95),AB95)&amp;" "&amp;IF(Par_Esq="Esq","Esquiva",AC93&amp;IF(AB99&gt;0," +"&amp;AB99,"")&amp;IF(AH93="",""," y "&amp;AH93&amp;IF(AG99&gt;0," +"&amp;AG99,""))),"")</f>
        <v/>
      </c>
      <c r="AR93" s="1737" t="str">
        <f>IF(AN93,X92&amp;": "&amp;AE95&amp;" "&amp;AC93&amp;IF(AB99&gt;0," +"&amp;AB99,"")&amp;IF($AA98="-",""," ("&amp;$AA98&amp;IF($AB98="-",""," / "&amp;$AB98)&amp;")")&amp;IF(AH93="",""," y "&amp;AJ95&amp;" "&amp;AH93&amp;IF(AG99&gt;0," +"&amp;AG99,""))&amp;IF($AF98="-",""," ("&amp;$AF98&amp;IF($AG98="-",""," / "&amp;$AG98)&amp;")"),"")</f>
        <v/>
      </c>
      <c r="AS93" s="1737"/>
      <c r="AT93" s="1737"/>
      <c r="AU93" s="1737"/>
      <c r="AV93" s="1737"/>
      <c r="AW93" s="1737"/>
      <c r="AX93" s="1737"/>
      <c r="AY93" s="1737"/>
      <c r="AZ93" s="1737"/>
      <c r="BA93" s="1737"/>
      <c r="BB93" s="1737"/>
      <c r="BC93" s="1737"/>
      <c r="BD93" s="1737"/>
    </row>
    <row r="94" spans="1:56" ht="12" customHeight="1" thickBot="1" x14ac:dyDescent="0.25">
      <c r="A94" s="954"/>
      <c r="B94" s="489"/>
      <c r="C94" s="5952"/>
      <c r="D94" s="5937" t="s">
        <v>7307</v>
      </c>
      <c r="E94" s="3479"/>
      <c r="F94" s="3479"/>
      <c r="G94" s="2134" t="s">
        <v>1820</v>
      </c>
      <c r="H94" s="2561" t="s">
        <v>1490</v>
      </c>
      <c r="I94" s="5937" t="s">
        <v>1549</v>
      </c>
      <c r="J94" s="3479"/>
      <c r="K94" s="3479"/>
      <c r="L94" s="3479"/>
      <c r="M94" s="3479"/>
      <c r="N94" s="3479"/>
      <c r="O94" s="3479"/>
      <c r="P94" s="3479"/>
      <c r="Q94" s="5941"/>
      <c r="R94" s="581"/>
      <c r="S94" s="954"/>
      <c r="T94" s="954"/>
      <c r="U94" s="489"/>
      <c r="V94" s="5577"/>
      <c r="W94" s="5578"/>
      <c r="X94" s="5579"/>
      <c r="Y94" s="5567"/>
      <c r="Z94" s="5569"/>
      <c r="AA94" s="1397" t="s">
        <v>1564</v>
      </c>
      <c r="AB94" s="5580" t="s">
        <v>1565</v>
      </c>
      <c r="AC94" s="5581"/>
      <c r="AD94" s="2129" t="s">
        <v>1393</v>
      </c>
      <c r="AE94" s="1398" t="s">
        <v>1566</v>
      </c>
      <c r="AF94" s="1397" t="s">
        <v>1564</v>
      </c>
      <c r="AG94" s="5580" t="s">
        <v>1565</v>
      </c>
      <c r="AH94" s="5581"/>
      <c r="AI94" s="2129" t="s">
        <v>1393</v>
      </c>
      <c r="AJ94" s="1398" t="s">
        <v>1566</v>
      </c>
      <c r="AK94" s="741" t="e">
        <f>IF(Z100&lt;1,0,VLOOKUP(Z100,Tabla_BonoStats,2))</f>
        <v>#N/A</v>
      </c>
      <c r="AL94" s="2158"/>
      <c r="AM94" s="1737"/>
      <c r="AN94" s="1737"/>
      <c r="AO94" s="1737"/>
      <c r="AP94" s="1737"/>
      <c r="AQ94" s="1737"/>
      <c r="AR94" s="1737"/>
      <c r="AS94" s="1737"/>
      <c r="AT94" s="1737"/>
      <c r="AU94" s="1737"/>
      <c r="AV94" s="1737"/>
      <c r="AW94" s="1737"/>
      <c r="AX94" s="1737"/>
      <c r="AY94" s="1737"/>
      <c r="AZ94" s="1737"/>
      <c r="BA94" s="1737"/>
      <c r="BB94" s="1737"/>
      <c r="BC94" s="1737"/>
      <c r="BD94" s="1737"/>
    </row>
    <row r="95" spans="1:56" ht="12" customHeight="1" x14ac:dyDescent="0.2">
      <c r="A95" s="954"/>
      <c r="B95" s="489"/>
      <c r="C95" s="5952"/>
      <c r="D95" s="5938"/>
      <c r="E95" s="5938"/>
      <c r="F95" s="5938"/>
      <c r="G95" s="1694"/>
      <c r="H95" s="1694"/>
      <c r="I95" s="5919"/>
      <c r="J95" s="5920"/>
      <c r="K95" s="5920"/>
      <c r="L95" s="5920"/>
      <c r="M95" s="5920"/>
      <c r="N95" s="5920"/>
      <c r="O95" s="5920"/>
      <c r="P95" s="5920"/>
      <c r="Q95" s="5921"/>
      <c r="R95" s="581"/>
      <c r="S95" s="954"/>
      <c r="T95" s="954"/>
      <c r="U95" s="489"/>
      <c r="V95" s="5560" t="s">
        <v>8607</v>
      </c>
      <c r="W95" s="5561"/>
      <c r="X95" s="5564">
        <f>IFERROR(VLOOKUP(V94,Tabla_CaracterísticasGéminis,4,0),0)</f>
        <v>0</v>
      </c>
      <c r="Y95" s="5566" t="s">
        <v>8604</v>
      </c>
      <c r="Z95" s="5568">
        <f>IFERROR(VLOOKUP(V94,Tabla_CaracterísticasGéminis,3,0)+IF(COUNTIF(W101:Z106,"Metal")&gt;0,4,0),0)</f>
        <v>0</v>
      </c>
      <c r="AA95" s="5536" t="str">
        <f>IFERROR(IF(OR(AC93="",Tablas!$H$1016=0),"-",IF(OR(AC93="Armas naturales",VLOOKUP(AC93,Tabla_ArmasyEscudos,9,0)="Conocida"),HA_final,"-")+AB99+AC105+5*MIN(4,COUNTIF(W101:Z106,"Capacidad de combate"))-10*MAX(0,AR96-Z100))+IF(AND(OR(AC93="Lanza",AC93="Vara"),AA93="A 1 mano"),-10,0),"-")</f>
        <v>-</v>
      </c>
      <c r="AB95" s="5538"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475" t="str">
        <f>IF(OR(AC93="",Tablas!$H$1016=0),"",Par_Esq)</f>
        <v/>
      </c>
      <c r="AD95" s="5549"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551"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36" t="str">
        <f>IFERROR(IF(OR(AH93="",Tablas!$H$1016=0),"-",IF(VLOOKUP(AH93,Tabla_ArmasyEscudos,9,0)="Conocida",HA_final,"-")-40+AG99+AH105+5*MIN(4,COUNTIF(W101:Z106,"Capacidad de combate"))-10*MAX(0,AR97-Z100))+IF(AND(OR(AH93="Lanza",AH93="Vara"),AF93="A 1 mano"),-10,0),"-")</f>
        <v>-</v>
      </c>
      <c r="AG95" s="5538"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475" t="str">
        <f>IF(OR(AH93="",Tablas!$H$1016=0),"",Par_Esq)</f>
        <v/>
      </c>
      <c r="AI95" s="5549" t="s">
        <v>1578</v>
      </c>
      <c r="AJ95" s="5551"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41"/>
      <c r="AL95" s="2158"/>
      <c r="AM95" s="1737"/>
      <c r="AN95" s="1737" t="s">
        <v>8616</v>
      </c>
      <c r="AO95" s="1737"/>
      <c r="AP95" s="1737"/>
      <c r="AQ95" s="1737" t="s">
        <v>8624</v>
      </c>
      <c r="AR95" s="1737" t="s">
        <v>8626</v>
      </c>
      <c r="AS95" s="1737" t="s">
        <v>8625</v>
      </c>
      <c r="AT95" s="1737" t="s">
        <v>1367</v>
      </c>
      <c r="AU95" s="1737" t="s">
        <v>8627</v>
      </c>
      <c r="AV95" s="1737"/>
      <c r="AW95" s="1737"/>
      <c r="AX95" s="1737"/>
      <c r="AY95" s="1737"/>
      <c r="AZ95" s="1737"/>
      <c r="BA95" s="1737"/>
      <c r="BB95" s="1737"/>
      <c r="BC95" s="1737"/>
      <c r="BD95" s="1737"/>
    </row>
    <row r="96" spans="1:56" ht="12" customHeight="1" thickBot="1" x14ac:dyDescent="0.25">
      <c r="A96" s="954"/>
      <c r="B96" s="489"/>
      <c r="C96" s="5952"/>
      <c r="D96" s="5905"/>
      <c r="E96" s="5905"/>
      <c r="F96" s="5905"/>
      <c r="G96" s="1695"/>
      <c r="H96" s="1695"/>
      <c r="I96" s="5913"/>
      <c r="J96" s="5914"/>
      <c r="K96" s="5914"/>
      <c r="L96" s="5914"/>
      <c r="M96" s="5914"/>
      <c r="N96" s="5914"/>
      <c r="O96" s="5914"/>
      <c r="P96" s="5914"/>
      <c r="Q96" s="5915"/>
      <c r="R96" s="581"/>
      <c r="S96" s="954"/>
      <c r="T96" s="954"/>
      <c r="U96" s="489"/>
      <c r="V96" s="5562"/>
      <c r="W96" s="5563"/>
      <c r="X96" s="5565"/>
      <c r="Y96" s="5567"/>
      <c r="Z96" s="5569"/>
      <c r="AA96" s="5537"/>
      <c r="AB96" s="5539"/>
      <c r="AC96" s="5476"/>
      <c r="AD96" s="5550"/>
      <c r="AE96" s="5552"/>
      <c r="AF96" s="5537"/>
      <c r="AG96" s="5539"/>
      <c r="AH96" s="5476"/>
      <c r="AI96" s="5550"/>
      <c r="AJ96" s="5552"/>
      <c r="AK96" s="741"/>
      <c r="AL96" s="2158"/>
      <c r="AM96" s="1737"/>
      <c r="AN96" s="1737" t="str">
        <f>ADDRESS(ROW(AN97),COLUMN(AN97))&amp;":"&amp;IF(AN101="",ADDRESS(ROW(AN99),COLUMN(AN99)),ADDRESS(ROW(AN101),COLUMN(AN101)))</f>
        <v>$AN$97:$AN$99</v>
      </c>
      <c r="AO96" s="1737"/>
      <c r="AP96" s="1737">
        <f>AC93</f>
        <v>0</v>
      </c>
      <c r="AQ96" s="1737" t="str">
        <f>IF(OR(AA93="A 2 manos",AA93="Proy. 2M"),"2M","")</f>
        <v/>
      </c>
      <c r="AR96" s="1737">
        <f ca="1">IFERROR(VLOOKUP(AC93,Tabla_ArmasyEscudos,IF(AQ96="2M",5,4),0),0)</f>
        <v>0</v>
      </c>
      <c r="AS96" s="1737">
        <f ca="1">IFERROR(IF(VLOOKUP(AC93,Tabla_ArmasyEscudos,18,0)&gt;0,IF(AC93="Atlatl",Z100+2,VLOOKUP(AC93,Tabla_ArmasyEscudos,18,0))+AB99/5,0),0)</f>
        <v>0</v>
      </c>
      <c r="AT96" s="1737">
        <f ca="1">IF(AS96&lt;1,0,VLOOKUP(AS96,Tablas!$C$14:$D$33,2))</f>
        <v>0</v>
      </c>
      <c r="AU96" s="1737" t="e">
        <f ca="1">VLOOKUP(AC93,Tabla_ArmasyEscudos,3,FALSE)+AE105+AB99</f>
        <v>#N/A</v>
      </c>
      <c r="AV96" s="1737"/>
      <c r="AW96" s="1737"/>
      <c r="AX96" s="1737"/>
      <c r="AY96" s="1737"/>
      <c r="AZ96" s="1737"/>
      <c r="BA96" s="1737"/>
      <c r="BB96" s="1737"/>
      <c r="BC96" s="1737"/>
      <c r="BD96" s="1737"/>
    </row>
    <row r="97" spans="1:56" ht="12" customHeight="1" x14ac:dyDescent="0.2">
      <c r="A97" s="954"/>
      <c r="B97" s="489"/>
      <c r="C97" s="5952"/>
      <c r="D97" s="5905"/>
      <c r="E97" s="5905"/>
      <c r="F97" s="5905"/>
      <c r="G97" s="1695"/>
      <c r="H97" s="1695"/>
      <c r="I97" s="5913"/>
      <c r="J97" s="5914"/>
      <c r="K97" s="5914"/>
      <c r="L97" s="5914"/>
      <c r="M97" s="5914"/>
      <c r="N97" s="5914"/>
      <c r="O97" s="5914"/>
      <c r="P97" s="5914"/>
      <c r="Q97" s="5915"/>
      <c r="R97" s="581"/>
      <c r="S97" s="954"/>
      <c r="T97" s="954"/>
      <c r="U97" s="489"/>
      <c r="V97" s="5553" t="s">
        <v>8612</v>
      </c>
      <c r="W97" s="3025"/>
      <c r="X97" s="3026" t="s">
        <v>1365</v>
      </c>
      <c r="Y97" s="3026" t="s">
        <v>8613</v>
      </c>
      <c r="Z97" s="3026" t="s">
        <v>1349</v>
      </c>
      <c r="AA97" s="2997" t="s">
        <v>8620</v>
      </c>
      <c r="AB97" s="2998" t="s">
        <v>8621</v>
      </c>
      <c r="AC97" s="2998" t="s">
        <v>1557</v>
      </c>
      <c r="AD97" s="2998" t="s">
        <v>1570</v>
      </c>
      <c r="AE97" s="1396" t="s">
        <v>1558</v>
      </c>
      <c r="AF97" s="2997" t="s">
        <v>8620</v>
      </c>
      <c r="AG97" s="2998" t="s">
        <v>8621</v>
      </c>
      <c r="AH97" s="2998" t="s">
        <v>1557</v>
      </c>
      <c r="AI97" s="2998" t="s">
        <v>1570</v>
      </c>
      <c r="AJ97" s="1396" t="s">
        <v>1558</v>
      </c>
      <c r="AK97" s="741"/>
      <c r="AL97" s="2158"/>
      <c r="AM97" s="1737"/>
      <c r="AN97" s="1737" t="s">
        <v>1965</v>
      </c>
      <c r="AO97" s="1737"/>
      <c r="AP97" s="1737">
        <f>AH93</f>
        <v>0</v>
      </c>
      <c r="AQ97" s="1737" t="str">
        <f>IF(OR(AF93="A 2 manos",AF93="Proy. 2M"),"2M","")</f>
        <v/>
      </c>
      <c r="AR97" s="1737">
        <f ca="1">IFERROR(VLOOKUP(AH93,Tabla_ArmasyEscudos,IF(AQ97="2M",5,4),0),0)</f>
        <v>0</v>
      </c>
      <c r="AS97" s="1737">
        <f ca="1">IFERROR(IF(VLOOKUP(AH93,Tabla_ArmasyEscudos,18,0)&gt;0,IF(AH93="Atlatl",Z100+2,VLOOKUP(AH93,Tabla_ArmasyEscudos,18,0))+AG99/5,0),0)</f>
        <v>0</v>
      </c>
      <c r="AT97" s="1737">
        <f ca="1">IF(AS97&lt;1,0,VLOOKUP(AS97,Tablas!$C$14:$D$33,2))</f>
        <v>0</v>
      </c>
      <c r="AU97" s="1737" t="e">
        <f ca="1">VLOOKUP(AH93,Tabla_ArmasyEscudos,3,FALSE)+AJ105+AG99</f>
        <v>#N/A</v>
      </c>
      <c r="AV97" s="1737"/>
      <c r="AW97" s="1737"/>
      <c r="AX97" s="1737"/>
      <c r="AY97" s="1737"/>
      <c r="AZ97" s="1737"/>
      <c r="BA97" s="1737"/>
      <c r="BB97" s="1737"/>
      <c r="BC97" s="1737"/>
      <c r="BD97" s="1737"/>
    </row>
    <row r="98" spans="1:56" ht="12" customHeight="1" x14ac:dyDescent="0.2">
      <c r="A98" s="954"/>
      <c r="B98" s="489"/>
      <c r="C98" s="5952"/>
      <c r="D98" s="5904"/>
      <c r="E98" s="5905"/>
      <c r="F98" s="5906"/>
      <c r="G98" s="1691"/>
      <c r="H98" s="1697"/>
      <c r="I98" s="5913"/>
      <c r="J98" s="5914"/>
      <c r="K98" s="5914"/>
      <c r="L98" s="5914"/>
      <c r="M98" s="5914"/>
      <c r="N98" s="5914"/>
      <c r="O98" s="5914"/>
      <c r="P98" s="5914"/>
      <c r="Q98" s="5915"/>
      <c r="R98" s="581"/>
      <c r="S98" s="954"/>
      <c r="T98" s="954"/>
      <c r="U98" s="489"/>
      <c r="V98" s="5554"/>
      <c r="W98" s="1459" t="s">
        <v>1373</v>
      </c>
      <c r="X98" s="2998" t="str">
        <f>IF(Tablas!$H$1016=0,"-",IF(Zen,DES,MIN(13,DES)))</f>
        <v>-</v>
      </c>
      <c r="Y98" s="2278"/>
      <c r="Z98" s="2998" t="str">
        <f>IFERROR(MIN(X98+Y98,IF(Zen,20,13)),"-")</f>
        <v>-</v>
      </c>
      <c r="AA98" s="1399" t="str">
        <f ca="1">IFERROR(IF(AC93="Armas naturales",IF(AD102="","-",AD102),VLOOKUP(IF(OR(AA93="Proy. 1M",AA93="Proy. 2M"),AD102,AC93),Tabla_ArmasyEscudos,6,0)),"-")</f>
        <v>-</v>
      </c>
      <c r="AB98" s="3027" t="str">
        <f ca="1">IFERROR(IF(AC93="Armas naturales",IF(AD103="","-",AD103),VLOOKUP(IF(OR(AA93="Proy. 1M",AA93="Proy. 2M"),AD102,AC93),Tabla_ArmasyEscudos,7,0)),"-")</f>
        <v>-</v>
      </c>
      <c r="AC98" s="3028"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28" t="str">
        <f>IFERROR(IF(OR(AC93="",Tablas!$H$1016=0),"-",IF(AC93="Armas naturales",AO106,IFERROR(VLOOKUP(AD102,Tabla_ArmasyEscudos,11,0)+2*AD103/5,VLOOKUP(AC93,Tabla_ArmasyEscudos,11,0)+2*AB99/5))+VLOOKUP(IF((AS96-AB99/5)&gt;0,AS96,Z100),Tabla_Fuerza,2)+IF(Extensióndelauraalarma,5,0)+IF(Ojos_de_la_Muerte,5,0)),"-")</f>
        <v>-</v>
      </c>
      <c r="AE98" s="3029" t="str">
        <f>IFERROR(IF(OR(AC93="",Tablas!$H$1016=0),"-",IF(AC93="Armas naturales",Presencia_final,VLOOKUP(AC93,Tabla_ArmasyEscudos,12,0)+50*MAX(AB99/5,0)&amp;IFERROR("/"&amp;VLOOKUP(AD102,Tabla_ArmasyEscudos,12,0)+50*MAX(AD103/5,0),""))),"-")</f>
        <v>-</v>
      </c>
      <c r="AF98" s="1399" t="str">
        <f ca="1">IFERROR(IF(AH93="Armas naturales",IF(AI102="","-",AI102),VLOOKUP(IF(AF93="Proy. 1M",AI102,AH93),Tabla_ArmasyEscudos,6,0)),"-")</f>
        <v>-</v>
      </c>
      <c r="AG98" s="3027" t="str">
        <f ca="1">IFERROR(IF(AH93="Armas naturales",IF(AI103="","-",AI103),VLOOKUP(IF(AF93="Proy. 1M",AI102,AH93),Tabla_ArmasyEscudos,7,0)),"-")</f>
        <v>-</v>
      </c>
      <c r="AH98" s="3028"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28" t="str">
        <f>IFERROR(IF(OR(AH93="",Tablas!$H$1016=0),"-",IF(AH93="Armas naturales",AO106,IFERROR(VLOOKUP(AI102,Tabla_ArmasyEscudos,11,0)+2*AI103/5,VLOOKUP(AH93,Tabla_ArmasyEscudos,11,0)+2*AG99/5))+VLOOKUP(IF((AS97-AG99/5)&gt;0,AS97,Z100),Tabla_Fuerza,2)+IF(Extensióndelauraalarma,5,0)+IF(Ojos_de_la_Muerte,5,0)),"-")</f>
        <v>-</v>
      </c>
      <c r="AJ98" s="3029" t="str">
        <f>IFERROR(IF(OR(AH93="",Tablas!$H$1016=0),"-",IF(AH93="Armas naturales",Presencia_final,VLOOKUP(AH93,Tabla_ArmasyEscudos,12,0)+50*MAX(AG99/5,0)&amp;IFERROR("/"&amp;VLOOKUP(AI102,Tabla_ArmasyEscudos,12,0)+50*MAX(AI103/5,0),""))),"-")</f>
        <v>-</v>
      </c>
      <c r="AK98" s="741"/>
      <c r="AL98" s="2158"/>
      <c r="AM98" s="1737"/>
      <c r="AN98" s="1737" t="s">
        <v>1966</v>
      </c>
      <c r="AO98" s="1737"/>
      <c r="AP98" s="1737"/>
      <c r="AQ98" s="1737"/>
      <c r="AR98" s="1737"/>
      <c r="AS98" s="1737"/>
      <c r="AT98" s="1737"/>
      <c r="AU98" s="1737"/>
      <c r="AV98" s="1737"/>
      <c r="AW98" s="1737"/>
      <c r="AX98" s="1737"/>
      <c r="AY98" s="1737"/>
      <c r="AZ98" s="1737"/>
      <c r="BA98" s="1737"/>
      <c r="BB98" s="1737"/>
      <c r="BC98" s="1737"/>
      <c r="BD98" s="1737"/>
    </row>
    <row r="99" spans="1:56" ht="12" customHeight="1" x14ac:dyDescent="0.2">
      <c r="A99" s="954"/>
      <c r="B99" s="489"/>
      <c r="C99" s="5952"/>
      <c r="D99" s="5983"/>
      <c r="E99" s="5984"/>
      <c r="F99" s="5985"/>
      <c r="G99" s="1698"/>
      <c r="H99" s="1691"/>
      <c r="I99" s="5922"/>
      <c r="J99" s="5923"/>
      <c r="K99" s="5923"/>
      <c r="L99" s="5923"/>
      <c r="M99" s="5923"/>
      <c r="N99" s="5923"/>
      <c r="O99" s="5923"/>
      <c r="P99" s="5923"/>
      <c r="Q99" s="5924"/>
      <c r="R99" s="1402"/>
      <c r="S99" s="954"/>
      <c r="T99" s="954"/>
      <c r="U99" s="489"/>
      <c r="V99" s="5554"/>
      <c r="W99" s="1459" t="s">
        <v>1378</v>
      </c>
      <c r="X99" s="1708" t="str">
        <f>IF(Tablas!$H$1016=0,"-",IF(Zen,DES,MIN(13,DES)))</f>
        <v>-</v>
      </c>
      <c r="Y99" s="2279"/>
      <c r="Z99" s="3030" t="str">
        <f>IFERROR(MIN(X99+Y99,IF(Zen,20,13)),"-")</f>
        <v>-</v>
      </c>
      <c r="AA99" s="1711" t="str">
        <f>IF(AND(AC93&lt;&gt;"",AC93&lt;&gt;"Armas naturales"),"Calidad:","")</f>
        <v/>
      </c>
      <c r="AB99" s="3031"/>
      <c r="AC99" s="5556" t="str">
        <f ca="1">IF(AA103="Calidad munición:",IF(AD103&lt;=0,"","TA defensor:"),IF(AB99&lt;=0,"","TA defensor:"))</f>
        <v/>
      </c>
      <c r="AD99" s="5556"/>
      <c r="AE99" s="3032" t="str">
        <f ca="1">IF(AC99="TA defensor:",IF(AA103="Calidad munición:",AD103/(-5),AB99/(-5)),"")</f>
        <v/>
      </c>
      <c r="AF99" s="1711" t="str">
        <f>IF(AND(AH93&lt;&gt;"",AH93&lt;&gt;"Armas naturales"),"Calidad:","")</f>
        <v/>
      </c>
      <c r="AG99" s="3033"/>
      <c r="AH99" s="5556" t="str">
        <f ca="1">IF(AF103="Calidad munición:",IF(AI103&lt;=0,"","TA defensor:"),IF(AG99&lt;=0,"","TA defensor:"))</f>
        <v/>
      </c>
      <c r="AI99" s="5556"/>
      <c r="AJ99" s="3032" t="str">
        <f ca="1">IF(AH99="TA defensor:",IF(AF103="Calidad munición:",AI103/(-5),AG99/(-5)),"")</f>
        <v/>
      </c>
      <c r="AK99" s="741"/>
      <c r="AL99" s="2158"/>
      <c r="AM99" s="1737"/>
      <c r="AN99" s="1737" t="s">
        <v>1728</v>
      </c>
      <c r="AO99" s="1737"/>
      <c r="AP99" s="1737"/>
      <c r="AQ99" s="1737"/>
      <c r="AR99" s="1737"/>
      <c r="AS99" s="1737"/>
      <c r="AT99" s="1737"/>
      <c r="AU99" s="1737"/>
      <c r="AV99" s="1737"/>
      <c r="AW99" s="1737"/>
      <c r="AX99" s="1737"/>
      <c r="AY99" s="1737"/>
      <c r="AZ99" s="1737"/>
      <c r="BA99" s="1737"/>
      <c r="BB99" s="1737"/>
      <c r="BC99" s="1737"/>
      <c r="BD99" s="1737"/>
    </row>
    <row r="100" spans="1:56" ht="12" customHeight="1" thickBot="1" x14ac:dyDescent="0.25">
      <c r="A100" s="954"/>
      <c r="B100" s="489"/>
      <c r="C100" s="5952"/>
      <c r="D100" s="5983"/>
      <c r="E100" s="5984"/>
      <c r="F100" s="5985"/>
      <c r="G100" s="1698"/>
      <c r="H100" s="1697"/>
      <c r="I100" s="5922"/>
      <c r="J100" s="5923"/>
      <c r="K100" s="5923"/>
      <c r="L100" s="5923"/>
      <c r="M100" s="5923"/>
      <c r="N100" s="5923"/>
      <c r="O100" s="5923"/>
      <c r="P100" s="5923"/>
      <c r="Q100" s="5924"/>
      <c r="R100" s="1402"/>
      <c r="S100" s="954"/>
      <c r="T100" s="954"/>
      <c r="U100" s="571"/>
      <c r="V100" s="5555"/>
      <c r="W100" s="1460" t="s">
        <v>1383</v>
      </c>
      <c r="X100" s="3034" t="str">
        <f>IF(Tablas!$H$1016=0,"-",IF(Zen,FUE-2,MIN(11,FUE-2)))</f>
        <v>-</v>
      </c>
      <c r="Y100" s="2280"/>
      <c r="Z100" s="2996" t="str">
        <f>IFERROR(MIN(20,MIN(X100+Y100,IF(Zen,20,13))+IF(COUNTIF(W101:Z106,"Fuerza excepcional")&gt;0,IF(X100+6&lt;15,6,MAX(15-X100,0)),0)),"-")</f>
        <v>-</v>
      </c>
      <c r="AA100" s="5557" t="str">
        <f ca="1">IFERROR(IF(AC93="Armas naturales","",SUBSTITUTE(VLOOKUP(AC93,Tabla_ArmasyEscudos,19,FALSE),"XXX",MAX(0,VLOOKUP(AC93,Tabla_ArmasyEscudos,17,FALSE)+VLOOKUP(Z100,Tabla_AlcanceFUE,2)))),"")</f>
        <v/>
      </c>
      <c r="AB100" s="5558"/>
      <c r="AC100" s="5558"/>
      <c r="AD100" s="5558"/>
      <c r="AE100" s="5559"/>
      <c r="AF100" s="5557" t="str">
        <f ca="1">IFERROR(IF(AH93="Armas naturales","",SUBSTITUTE(VLOOKUP(AH93,Tabla_ArmasyEscudos,19,FALSE),"XXX",MAX(0,VLOOKUP(AH93,Tabla_ArmasyEscudos,17,FALSE)+VLOOKUP(Z100,Tabla_AlcanceFUE,2)))),"")</f>
        <v/>
      </c>
      <c r="AG100" s="5558"/>
      <c r="AH100" s="5558"/>
      <c r="AI100" s="5558"/>
      <c r="AJ100" s="5559"/>
      <c r="AK100" s="741"/>
      <c r="AL100" s="2158"/>
      <c r="AM100" s="1737"/>
      <c r="AN100" s="1737" t="str">
        <f>IF(COUNTIF(W101:Z106,"Tamaño excepcional")&gt;0,"Grande","")</f>
        <v/>
      </c>
      <c r="AO100" s="1737"/>
      <c r="AP100" s="1737"/>
      <c r="AQ100" s="1737"/>
      <c r="AR100" s="1737"/>
      <c r="AS100" s="1737"/>
      <c r="AT100" s="1737"/>
      <c r="AU100" s="1737"/>
      <c r="AV100" s="1737"/>
      <c r="AW100" s="1737"/>
      <c r="AX100" s="1737"/>
      <c r="AY100" s="1737"/>
      <c r="AZ100" s="1737"/>
      <c r="BA100" s="1737"/>
      <c r="BB100" s="1737"/>
      <c r="BC100" s="1737"/>
      <c r="BD100" s="1737"/>
    </row>
    <row r="101" spans="1:56" ht="12" customHeight="1" x14ac:dyDescent="0.2">
      <c r="A101" s="954"/>
      <c r="B101" s="489"/>
      <c r="C101" s="5952"/>
      <c r="D101" s="5983"/>
      <c r="E101" s="5984"/>
      <c r="F101" s="5985"/>
      <c r="G101" s="1697"/>
      <c r="H101" s="1696"/>
      <c r="I101" s="5913"/>
      <c r="J101" s="5914"/>
      <c r="K101" s="5914"/>
      <c r="L101" s="5914"/>
      <c r="M101" s="5914"/>
      <c r="N101" s="5914"/>
      <c r="O101" s="5914"/>
      <c r="P101" s="5914"/>
      <c r="Q101" s="5915"/>
      <c r="R101" s="581"/>
      <c r="S101" s="954"/>
      <c r="T101" s="954"/>
      <c r="U101" s="489"/>
      <c r="V101" s="5554" t="s">
        <v>8592</v>
      </c>
      <c r="W101" s="5532"/>
      <c r="X101" s="5532"/>
      <c r="Y101" s="5532"/>
      <c r="Z101" s="5532"/>
      <c r="AA101" s="5533" t="str">
        <f ca="1">IFERROR(VLOOKUP(AD102,Tabla_ArmasyEscudos,19,0),"")</f>
        <v/>
      </c>
      <c r="AB101" s="5534"/>
      <c r="AC101" s="5534"/>
      <c r="AD101" s="5534"/>
      <c r="AE101" s="5535"/>
      <c r="AF101" s="5533" t="str">
        <f ca="1">IFERROR(VLOOKUP(AI102,Tabla_ArmasyEscudos,19,0),"")</f>
        <v/>
      </c>
      <c r="AG101" s="5534"/>
      <c r="AH101" s="5534"/>
      <c r="AI101" s="5534"/>
      <c r="AJ101" s="5535"/>
      <c r="AK101" s="741"/>
      <c r="AL101" s="1389"/>
      <c r="AM101" s="1737"/>
      <c r="AN101" s="1737" t="str">
        <f>IF(COUNTIF(W101:Z106,"Tamaño excepcional")&gt;0,"Enorme","")</f>
        <v/>
      </c>
      <c r="AO101" s="1737"/>
      <c r="AP101" s="1737"/>
      <c r="AQ101" s="1737"/>
      <c r="AR101" s="1737"/>
      <c r="AS101" s="1737"/>
      <c r="AT101" s="1737"/>
      <c r="AU101" s="1737"/>
      <c r="AV101" s="1737"/>
      <c r="AW101" s="1737"/>
      <c r="AX101" s="1737"/>
      <c r="AY101" s="1737"/>
      <c r="AZ101" s="1737"/>
      <c r="BA101" s="1737"/>
      <c r="BB101" s="1737"/>
      <c r="BC101" s="1737"/>
      <c r="BD101" s="1737"/>
    </row>
    <row r="102" spans="1:56" ht="12" customHeight="1" x14ac:dyDescent="0.2">
      <c r="A102" s="954"/>
      <c r="B102" s="489"/>
      <c r="C102" s="5952"/>
      <c r="D102" s="5910"/>
      <c r="E102" s="5910"/>
      <c r="F102" s="5910"/>
      <c r="G102" s="1697"/>
      <c r="H102" s="1691"/>
      <c r="I102" s="5911"/>
      <c r="J102" s="5661"/>
      <c r="K102" s="5661"/>
      <c r="L102" s="5661"/>
      <c r="M102" s="5661"/>
      <c r="N102" s="5661"/>
      <c r="O102" s="5661"/>
      <c r="P102" s="5661"/>
      <c r="Q102" s="5912"/>
      <c r="R102" s="1387"/>
      <c r="S102" s="1388"/>
      <c r="T102" s="1388"/>
      <c r="U102" s="974"/>
      <c r="V102" s="5554"/>
      <c r="W102" s="5583"/>
      <c r="X102" s="5584"/>
      <c r="Y102" s="5584"/>
      <c r="Z102" s="5585"/>
      <c r="AA102" s="4757" t="str">
        <f ca="1">IFERROR(IF(AC93="Armas naturales", "Armas naturales Crit. 1:",IF(ISNUMBER(FIND("Proyectiles",VLOOKUP(AC93,Tabla_ArmasyEscudos,8,0))),"Munición:","")),"")</f>
        <v/>
      </c>
      <c r="AB102" s="5593"/>
      <c r="AC102" s="5593"/>
      <c r="AD102" s="5594"/>
      <c r="AE102" s="5595"/>
      <c r="AF102" s="4757" t="str">
        <f ca="1">IFERROR(IF(AH93="Armas naturales", "Armas naturales Crit. 1:",IF(ISNUMBER(FIND("Proyectiles",VLOOKUP(AH93,Tabla_ArmasyEscudos,8,0))),"Munición:","")),"")</f>
        <v/>
      </c>
      <c r="AG102" s="5593"/>
      <c r="AH102" s="5593"/>
      <c r="AI102" s="5594"/>
      <c r="AJ102" s="5595"/>
      <c r="AK102" s="1710"/>
      <c r="AL102" s="2158"/>
      <c r="AM102" s="1737"/>
      <c r="AN102" s="5582" t="s">
        <v>1916</v>
      </c>
      <c r="AO102" s="5582"/>
      <c r="AP102" s="1737"/>
      <c r="AQ102" s="1737"/>
      <c r="AR102" s="1737"/>
      <c r="AS102" s="1737"/>
      <c r="AT102" s="1737"/>
      <c r="AU102" s="1737"/>
      <c r="AV102" s="1737"/>
      <c r="AW102" s="1737"/>
      <c r="AX102" s="1737"/>
      <c r="AY102" s="1737"/>
      <c r="AZ102" s="1737"/>
      <c r="BA102" s="1737"/>
      <c r="BB102" s="1737"/>
      <c r="BC102" s="1737"/>
      <c r="BD102" s="1737"/>
    </row>
    <row r="103" spans="1:56" ht="12" customHeight="1" x14ac:dyDescent="0.2">
      <c r="A103" s="954"/>
      <c r="B103" s="489"/>
      <c r="C103" s="5952"/>
      <c r="D103" s="5904"/>
      <c r="E103" s="5905"/>
      <c r="F103" s="5906"/>
      <c r="G103" s="1691"/>
      <c r="H103" s="1697"/>
      <c r="I103" s="5913"/>
      <c r="J103" s="5914"/>
      <c r="K103" s="5914"/>
      <c r="L103" s="5914"/>
      <c r="M103" s="5914"/>
      <c r="N103" s="5914"/>
      <c r="O103" s="5914"/>
      <c r="P103" s="5914"/>
      <c r="Q103" s="5915"/>
      <c r="R103" s="581"/>
      <c r="S103" s="954"/>
      <c r="T103" s="954"/>
      <c r="U103" s="489"/>
      <c r="V103" s="5554"/>
      <c r="W103" s="5583"/>
      <c r="X103" s="5584"/>
      <c r="Y103" s="5584"/>
      <c r="Z103" s="5585"/>
      <c r="AA103" s="5586" t="str">
        <f ca="1">IFERROR(IF(AC93="Armas naturales", "Armas naturales Crit. 2:",IF(ISNUMBER(FIND("Proyectiles",VLOOKUP(AC93,Tabla_ArmasyEscudos,8,0))),"Calidad Munición:","")),"")</f>
        <v/>
      </c>
      <c r="AB103" s="5587"/>
      <c r="AC103" s="5587"/>
      <c r="AD103" s="5588"/>
      <c r="AE103" s="5589"/>
      <c r="AF103" s="5586" t="str">
        <f ca="1">IFERROR(IF(AH93="Armas naturales", "Armas naturales Crit. 2:",IF(ISNUMBER(FIND("Proyectiles",VLOOKUP(AH93,Tabla_ArmasyEscudos,8,0))),"Calidad Munición:","")),"")</f>
        <v/>
      </c>
      <c r="AG103" s="5587"/>
      <c r="AH103" s="5587"/>
      <c r="AI103" s="5588"/>
      <c r="AJ103" s="5589"/>
      <c r="AK103" s="741"/>
      <c r="AL103" s="2158"/>
      <c r="AM103" s="1737"/>
      <c r="AN103" s="1737" t="s">
        <v>8618</v>
      </c>
      <c r="AO103" s="1737">
        <f>VLOOKUP(AF92,Tablas!$X$47:$AF$54,7,0)</f>
        <v>40</v>
      </c>
      <c r="AP103" s="1737"/>
      <c r="AQ103" s="1737"/>
      <c r="AR103" s="1737"/>
      <c r="AS103" s="1737"/>
      <c r="AT103" s="1737" t="s">
        <v>1456</v>
      </c>
      <c r="AU103" s="1737"/>
      <c r="AV103" s="1737"/>
      <c r="AW103" s="1737"/>
      <c r="AX103" s="1737"/>
      <c r="AY103" s="1737"/>
      <c r="AZ103" s="1737"/>
      <c r="BA103" s="1737"/>
      <c r="BB103" s="1737"/>
      <c r="BC103" s="1737"/>
      <c r="BD103" s="1737"/>
    </row>
    <row r="104" spans="1:56" ht="12" customHeight="1" x14ac:dyDescent="0.2">
      <c r="A104" s="954"/>
      <c r="B104" s="489"/>
      <c r="C104" s="5952"/>
      <c r="D104" s="5910"/>
      <c r="E104" s="5910"/>
      <c r="F104" s="5910"/>
      <c r="G104" s="1697"/>
      <c r="H104" s="1697"/>
      <c r="I104" s="5913"/>
      <c r="J104" s="5914"/>
      <c r="K104" s="5914"/>
      <c r="L104" s="5914"/>
      <c r="M104" s="5914"/>
      <c r="N104" s="5914"/>
      <c r="O104" s="5914"/>
      <c r="P104" s="5914"/>
      <c r="Q104" s="5915"/>
      <c r="R104" s="581"/>
      <c r="S104" s="954"/>
      <c r="T104" s="954"/>
      <c r="U104" s="489"/>
      <c r="V104" s="5554"/>
      <c r="W104" s="5583"/>
      <c r="X104" s="5584"/>
      <c r="Y104" s="5584"/>
      <c r="Z104" s="5585"/>
      <c r="AA104" s="1061" t="str">
        <f ca="1">IF(ISNUMBER(FIND("Proyectiles",VLOOKUP(AC93,Tabla_ArmasyEscudos,8,0))),"Rango:","")</f>
        <v/>
      </c>
      <c r="AB104" s="3035" t="str">
        <f ca="1">IFERROR(IF(AA104="Rango:",(VLOOKUP(AC93,Tabla_ArmasyEscudos,17,0)+IF((AS96-AB99/5)&gt;0,VLOOKUP(MIN(AS96,AB107),Tabla_AlcanceFUE,2,0),IF($Z100&lt;3,-30,VLOOKUP(MIN(IF(Zen_IP,20,13),AB107,$Z100),Tabla_AlcanceFUE,2))))*IF(AlcanceIncrementado,2,1)&amp;" m",""),"")</f>
        <v/>
      </c>
      <c r="AC104" s="5590" t="str">
        <f ca="1">IF(ISNUMBER(FIND("Proyectiles",VLOOKUP(AC93,Tabla_ArmasyEscudos,8,0))),"Recarga:","")</f>
        <v/>
      </c>
      <c r="AD104" s="5590"/>
      <c r="AE104" s="2995" t="str">
        <f ca="1">IFERROR(IF(AC104="Recarga:",VLOOKUP(AC93,Tabla_ArmasyEscudos,16,0),""),"")</f>
        <v/>
      </c>
      <c r="AF104" s="1061" t="str">
        <f ca="1">IF(ISNUMBER(FIND("Proyectiles",VLOOKUP(AH93,Tabla_ArmasyEscudos,8,0))),"Rango:","")</f>
        <v/>
      </c>
      <c r="AG104" s="3035" t="str">
        <f ca="1">IFERROR(IF(AF104="Rango:",(VLOOKUP(AH93,Tabla_ArmasyEscudos,17,0)+IF((AS97-AG99/5)&gt;0,VLOOKUP(MIN(AS97,AG107),Tabla_AlcanceFUE,2,0),IF($Z100&lt;3,-30,VLOOKUP(MIN(IF(Zen_IP,20,13),AG107,$Z100),Tabla_AlcanceFUE,2))))*IF(AlcanceIncrementado,2,1)&amp;" m",""),"")</f>
        <v/>
      </c>
      <c r="AH104" s="5590" t="str">
        <f ca="1">IF(ISNUMBER(FIND("Proyectiles",VLOOKUP(AH93,Tabla_ArmasyEscudos,8,0))),"Recarga:","")</f>
        <v/>
      </c>
      <c r="AI104" s="5590"/>
      <c r="AJ104" s="2995" t="str">
        <f ca="1">IFERROR(IF(AH104="Recarga:",VLOOKUP(AH93,Tabla_ArmasyEscudos,16,0),""),"")</f>
        <v/>
      </c>
      <c r="AK104" s="741"/>
      <c r="AL104" s="2158"/>
      <c r="AM104" s="1737"/>
      <c r="AN104" s="1737" t="s">
        <v>1393</v>
      </c>
      <c r="AO104" s="1737">
        <f>MIN(VLOOKUP(AF92,Tablas!$X$47:$AF$54,2,0),20)</f>
        <v>20</v>
      </c>
      <c r="AP104" s="1737"/>
      <c r="AQ104" s="1737"/>
      <c r="AR104" s="1737"/>
      <c r="AS104" s="1737"/>
      <c r="AT104" s="1737" t="s">
        <v>1456</v>
      </c>
      <c r="AU104" s="1737"/>
      <c r="AV104" s="1737"/>
      <c r="AW104" s="1737"/>
      <c r="AX104" s="1737"/>
      <c r="AY104" s="1737"/>
      <c r="AZ104" s="1737"/>
      <c r="BA104" s="1737"/>
      <c r="BB104" s="1737"/>
      <c r="BC104" s="1737"/>
      <c r="BD104" s="1737"/>
    </row>
    <row r="105" spans="1:56" ht="12" customHeight="1" x14ac:dyDescent="0.2">
      <c r="A105" s="1388"/>
      <c r="B105" s="489"/>
      <c r="C105" s="5952"/>
      <c r="D105" s="5904"/>
      <c r="E105" s="5905"/>
      <c r="F105" s="5906"/>
      <c r="G105" s="1696"/>
      <c r="H105" s="1697"/>
      <c r="I105" s="5907"/>
      <c r="J105" s="5908"/>
      <c r="K105" s="5908"/>
      <c r="L105" s="5908"/>
      <c r="M105" s="5908"/>
      <c r="N105" s="5908"/>
      <c r="O105" s="5908"/>
      <c r="P105" s="5908"/>
      <c r="Q105" s="5909"/>
      <c r="R105" s="581"/>
      <c r="S105" s="954"/>
      <c r="T105" s="954"/>
      <c r="U105" s="489"/>
      <c r="V105" s="5554"/>
      <c r="W105" s="5583"/>
      <c r="X105" s="5584"/>
      <c r="Y105" s="5584"/>
      <c r="Z105" s="5585"/>
      <c r="AA105" s="5591" t="s">
        <v>998</v>
      </c>
      <c r="AB105" s="2132" t="s">
        <v>7229</v>
      </c>
      <c r="AC105" s="2252"/>
      <c r="AD105" s="2132" t="s">
        <v>1393</v>
      </c>
      <c r="AE105" s="2254"/>
      <c r="AF105" s="5591" t="s">
        <v>998</v>
      </c>
      <c r="AG105" s="2132" t="s">
        <v>7229</v>
      </c>
      <c r="AH105" s="2256"/>
      <c r="AI105" s="2132" t="s">
        <v>1393</v>
      </c>
      <c r="AJ105" s="2254"/>
      <c r="AK105" s="741"/>
      <c r="AL105" s="2158"/>
      <c r="AM105" s="1737"/>
      <c r="AN105" s="1737" t="s">
        <v>1964</v>
      </c>
      <c r="AO105" s="1737">
        <f>VLOOKUP(AF92,Tablas!$X$47:$AF$54,9,0)</f>
        <v>12</v>
      </c>
      <c r="AP105" s="1737"/>
      <c r="AQ105" s="1737"/>
      <c r="AR105" s="1737"/>
      <c r="AS105" s="1737"/>
      <c r="AT105" s="1737" t="s">
        <v>1456</v>
      </c>
      <c r="AU105" s="1737"/>
      <c r="AV105" s="1737"/>
      <c r="AW105" s="1737"/>
      <c r="AX105" s="1737"/>
      <c r="AY105" s="1737"/>
      <c r="AZ105" s="1737"/>
      <c r="BA105" s="1737"/>
      <c r="BB105" s="1737"/>
      <c r="BC105" s="1737"/>
      <c r="BD105" s="1737"/>
    </row>
    <row r="106" spans="1:56" ht="12" customHeight="1" thickBot="1" x14ac:dyDescent="0.25">
      <c r="A106" s="1388"/>
      <c r="B106" s="974"/>
      <c r="C106" s="5952"/>
      <c r="D106" s="5910"/>
      <c r="E106" s="5910"/>
      <c r="F106" s="5910"/>
      <c r="G106" s="1691"/>
      <c r="H106" s="1697"/>
      <c r="I106" s="5913"/>
      <c r="J106" s="5914"/>
      <c r="K106" s="5914"/>
      <c r="L106" s="5914"/>
      <c r="M106" s="5914"/>
      <c r="N106" s="5914"/>
      <c r="O106" s="5914"/>
      <c r="P106" s="5914"/>
      <c r="Q106" s="5915"/>
      <c r="R106" s="581"/>
      <c r="S106" s="954"/>
      <c r="T106" s="954"/>
      <c r="U106" s="489"/>
      <c r="V106" s="5555"/>
      <c r="W106" s="5596"/>
      <c r="X106" s="5596"/>
      <c r="Y106" s="5596"/>
      <c r="Z106" s="5596"/>
      <c r="AA106" s="5592"/>
      <c r="AB106" s="1394" t="s">
        <v>8330</v>
      </c>
      <c r="AC106" s="2253"/>
      <c r="AD106" s="3036" t="s">
        <v>1566</v>
      </c>
      <c r="AE106" s="2255"/>
      <c r="AF106" s="5592"/>
      <c r="AG106" s="1394" t="s">
        <v>8330</v>
      </c>
      <c r="AH106" s="2257"/>
      <c r="AI106" s="3036" t="s">
        <v>1566</v>
      </c>
      <c r="AJ106" s="2255"/>
      <c r="AK106" s="741"/>
      <c r="AL106" s="2158"/>
      <c r="AM106" s="1737"/>
      <c r="AN106" s="1737" t="s">
        <v>1570</v>
      </c>
      <c r="AO106" s="1737">
        <f>VLOOKUP(AF92,Tablas!$X$47:$AF$54,8,0)</f>
        <v>0</v>
      </c>
      <c r="AP106" s="1737"/>
      <c r="AQ106" s="1737"/>
      <c r="AR106" s="1737"/>
      <c r="AS106" s="1737"/>
      <c r="AT106" s="1737" t="s">
        <v>1456</v>
      </c>
      <c r="AU106" s="1737"/>
      <c r="AV106" s="1737"/>
      <c r="AW106" s="1737"/>
      <c r="AX106" s="1737"/>
      <c r="AY106" s="1737"/>
      <c r="AZ106" s="1737"/>
      <c r="BA106" s="1737"/>
      <c r="BB106" s="1737"/>
      <c r="BC106" s="1737"/>
      <c r="BD106" s="1737"/>
    </row>
    <row r="107" spans="1:56" ht="12" customHeight="1" thickBot="1" x14ac:dyDescent="0.25">
      <c r="A107" s="954"/>
      <c r="B107" s="489"/>
      <c r="C107" s="5952"/>
      <c r="D107" s="5904"/>
      <c r="E107" s="5905"/>
      <c r="F107" s="5906"/>
      <c r="G107" s="1697"/>
      <c r="H107" s="1697"/>
      <c r="I107" s="5911"/>
      <c r="J107" s="5661"/>
      <c r="K107" s="5661"/>
      <c r="L107" s="5661"/>
      <c r="M107" s="5661"/>
      <c r="N107" s="5661"/>
      <c r="O107" s="5661"/>
      <c r="P107" s="5661"/>
      <c r="Q107" s="5912"/>
      <c r="R107" s="1387"/>
      <c r="S107" s="1388"/>
      <c r="T107" s="1388"/>
      <c r="U107" s="974"/>
      <c r="V107" s="2409"/>
      <c r="W107" s="2409"/>
      <c r="X107" s="2409"/>
      <c r="Y107" s="2409"/>
      <c r="Z107" s="2409"/>
      <c r="AA107" s="2409"/>
      <c r="AB107" s="2825">
        <f>IF(AB99&lt;0,10,IF(AB99&gt;20,20,INDEX(Tablas!$L$23:$L$33,MATCH(AB99,Tablas!$N$23:$N$33,0))))</f>
        <v>10</v>
      </c>
      <c r="AC107" s="2409"/>
      <c r="AD107" s="2409"/>
      <c r="AE107" s="2409"/>
      <c r="AF107" s="2409"/>
      <c r="AG107" s="2825">
        <f>IF(AG99&lt;0,10,IF(AG99&gt;20,20,INDEX(Tablas!$L$23:$L$33,MATCH(AG99,Tablas!$N$23:$N$33,0))))</f>
        <v>10</v>
      </c>
      <c r="AH107" s="2409"/>
      <c r="AI107" s="2409"/>
      <c r="AJ107" s="2409"/>
      <c r="AK107" s="741"/>
      <c r="AL107" s="2158"/>
      <c r="AM107" s="1737"/>
      <c r="AN107" s="1737"/>
      <c r="AO107" s="1737"/>
      <c r="AP107" s="1737"/>
      <c r="AQ107" s="1737"/>
      <c r="AR107" s="1737"/>
      <c r="AS107" s="1737"/>
      <c r="AT107" s="1737"/>
      <c r="AU107" s="1737"/>
      <c r="AV107" s="1737"/>
      <c r="AW107" s="1737"/>
      <c r="AX107" s="1737"/>
      <c r="AY107" s="1737"/>
      <c r="AZ107" s="1737"/>
      <c r="BA107" s="1737"/>
      <c r="BB107" s="1737"/>
      <c r="BC107" s="1737"/>
      <c r="BD107" s="1737"/>
    </row>
    <row r="108" spans="1:56" ht="12" customHeight="1" thickBot="1" x14ac:dyDescent="0.25">
      <c r="A108" s="954"/>
      <c r="B108" s="489"/>
      <c r="C108" s="5952"/>
      <c r="D108" s="5904"/>
      <c r="E108" s="5905"/>
      <c r="F108" s="5906"/>
      <c r="G108" s="1691"/>
      <c r="H108" s="1697"/>
      <c r="I108" s="5913"/>
      <c r="J108" s="5914"/>
      <c r="K108" s="5914"/>
      <c r="L108" s="5914"/>
      <c r="M108" s="5914"/>
      <c r="N108" s="5914"/>
      <c r="O108" s="5914"/>
      <c r="P108" s="5914"/>
      <c r="Q108" s="5915"/>
      <c r="R108" s="1387"/>
      <c r="S108" s="1388"/>
      <c r="T108" s="1388"/>
      <c r="U108" s="974"/>
      <c r="V108" s="5545" t="s">
        <v>1323</v>
      </c>
      <c r="W108" s="5546"/>
      <c r="X108" s="5547" t="s">
        <v>8600</v>
      </c>
      <c r="Y108" s="5547"/>
      <c r="Z108" s="5547"/>
      <c r="AA108" s="5547"/>
      <c r="AB108" s="5548"/>
      <c r="AC108" s="5540" t="s">
        <v>8615</v>
      </c>
      <c r="AD108" s="5541"/>
      <c r="AE108" s="5541"/>
      <c r="AF108" s="5542" t="s">
        <v>1728</v>
      </c>
      <c r="AG108" s="5543"/>
      <c r="AH108" s="5540" t="s">
        <v>8611</v>
      </c>
      <c r="AI108" s="5544"/>
      <c r="AJ108" s="3001"/>
      <c r="AK108" s="741"/>
      <c r="AL108" s="2158"/>
      <c r="AM108" s="1737"/>
      <c r="AN108" s="1737" t="s">
        <v>9312</v>
      </c>
      <c r="AO108" s="1737" t="s">
        <v>1393</v>
      </c>
      <c r="AP108" s="1737" t="s">
        <v>7229</v>
      </c>
      <c r="AQ108" s="1737" t="s">
        <v>8330</v>
      </c>
      <c r="AR108" s="1737" t="s">
        <v>1566</v>
      </c>
      <c r="AS108" s="1737"/>
      <c r="AT108" s="1737"/>
      <c r="AU108" s="1737"/>
      <c r="AV108" s="1737"/>
      <c r="AW108" s="1737"/>
      <c r="AX108" s="1737"/>
      <c r="AY108" s="1737"/>
      <c r="AZ108" s="1737"/>
      <c r="BA108" s="1737"/>
      <c r="BB108" s="1737"/>
      <c r="BC108" s="1737"/>
      <c r="BD108" s="1737"/>
    </row>
    <row r="109" spans="1:56" ht="12" customHeight="1" x14ac:dyDescent="0.2">
      <c r="A109" s="954"/>
      <c r="B109" s="489"/>
      <c r="C109" s="5952"/>
      <c r="D109" s="5910"/>
      <c r="E109" s="5910"/>
      <c r="F109" s="5910"/>
      <c r="G109" s="1697"/>
      <c r="H109" s="1696"/>
      <c r="I109" s="5911"/>
      <c r="J109" s="5661"/>
      <c r="K109" s="5661"/>
      <c r="L109" s="5661"/>
      <c r="M109" s="5661"/>
      <c r="N109" s="5661"/>
      <c r="O109" s="5661"/>
      <c r="P109" s="5661"/>
      <c r="Q109" s="5912"/>
      <c r="R109" s="1387"/>
      <c r="S109" s="1388"/>
      <c r="T109" s="1388"/>
      <c r="U109" s="974"/>
      <c r="V109" s="4109" t="s">
        <v>8614</v>
      </c>
      <c r="W109" s="5570"/>
      <c r="X109" s="5571"/>
      <c r="Y109" s="5566" t="s">
        <v>1544</v>
      </c>
      <c r="Z109" s="5568">
        <f>IFERROR(VLOOKUP(V110,Tabla_CaracterísticasGéminis,2,0)+IF(COUNTIF(W117:Z122,"Metal")&gt;0,VLOOKUP(V110,Tabla_CaracterísticasGéminis,2,0),0)+IF(AF108="Grande",50,IF(AF108="Enorme",150,0)),0)</f>
        <v>0</v>
      </c>
      <c r="AA109" s="5572" t="s">
        <v>8622</v>
      </c>
      <c r="AB109" s="5573"/>
      <c r="AC109" s="5574"/>
      <c r="AD109" s="5575"/>
      <c r="AE109" s="5576"/>
      <c r="AF109" s="5572"/>
      <c r="AG109" s="5573"/>
      <c r="AH109" s="5574"/>
      <c r="AI109" s="5575"/>
      <c r="AJ109" s="5576"/>
      <c r="AK109" s="741"/>
      <c r="AL109" s="2158"/>
      <c r="AM109" s="1737"/>
      <c r="AN109" s="1737" t="b">
        <f>AA111&lt;&gt;"-"</f>
        <v>0</v>
      </c>
      <c r="AO109" s="1737" t="str">
        <f>IF(AN109,X108&amp;": "&amp;AD111&amp;" "&amp;AC109&amp;IF(AB115&gt;0," +"&amp;AB115,"")&amp;IF(AH109="",""," y "&amp;AH109&amp;IF(AG115&gt;0," +"&amp;AG115,"")),"")</f>
        <v/>
      </c>
      <c r="AP109" s="1737" t="str">
        <f>IF(AN109,X108&amp;": "&amp;AA111&amp;" "&amp;AC109&amp;IF(AB115&gt;0," +"&amp;AB115,"")&amp;IF(AH109="",""," y "&amp;AF111&amp;" "&amp;AH109&amp;IF(AG115&gt;0," +"&amp;AG115,"")),"")</f>
        <v/>
      </c>
      <c r="AQ109" s="1737" t="str">
        <f>IF(AN109,X108&amp;": "&amp;IFERROR(MAX(AB111,AG111),AB111)&amp;" "&amp;IF(Par_Esq="Esq","Esquiva",AC109&amp;IF(AB115&gt;0," +"&amp;AB115,"")&amp;IF(AH109="",""," y "&amp;AH109&amp;IF(AG115&gt;0," +"&amp;AG115,""))),"")</f>
        <v/>
      </c>
      <c r="AR109" s="1737" t="str">
        <f>IF(AN109,X108&amp;": "&amp;AE111&amp;" "&amp;AC109&amp;IF(AB115&gt;0," +"&amp;AB115,"")&amp;IF($AA114="-",""," ("&amp;$AA114&amp;IF($AB114="-",""," / "&amp;$AB114)&amp;")")&amp;IF(AH109="",""," y "&amp;AJ111&amp;" "&amp;AH109&amp;IF(AG115&gt;0," +"&amp;AG115,""))&amp;IF($AF114="-",""," ("&amp;$AF114&amp;IF($AG114="-",""," / "&amp;$AG114)&amp;")"),"")</f>
        <v/>
      </c>
      <c r="AS109" s="1737"/>
      <c r="AT109" s="1737"/>
      <c r="AU109" s="1737"/>
      <c r="AV109" s="1737"/>
      <c r="AW109" s="1737"/>
      <c r="AX109" s="1737"/>
      <c r="AY109" s="1737"/>
      <c r="AZ109" s="1737"/>
      <c r="BA109" s="1737"/>
      <c r="BB109" s="1737"/>
      <c r="BC109" s="1737"/>
      <c r="BD109" s="1737"/>
    </row>
    <row r="110" spans="1:56" ht="12" customHeight="1" thickBot="1" x14ac:dyDescent="0.25">
      <c r="A110" s="954"/>
      <c r="B110" s="489"/>
      <c r="C110" s="5953"/>
      <c r="D110" s="5942"/>
      <c r="E110" s="5943"/>
      <c r="F110" s="5944"/>
      <c r="G110" s="2567"/>
      <c r="H110" s="2567"/>
      <c r="I110" s="5945"/>
      <c r="J110" s="5946"/>
      <c r="K110" s="5946"/>
      <c r="L110" s="5946"/>
      <c r="M110" s="5946"/>
      <c r="N110" s="5946"/>
      <c r="O110" s="5946"/>
      <c r="P110" s="5946"/>
      <c r="Q110" s="5947"/>
      <c r="R110" s="1387"/>
      <c r="S110" s="1388"/>
      <c r="T110" s="1388"/>
      <c r="U110" s="2140"/>
      <c r="V110" s="5577"/>
      <c r="W110" s="5578"/>
      <c r="X110" s="5579"/>
      <c r="Y110" s="5567"/>
      <c r="Z110" s="5569"/>
      <c r="AA110" s="1397" t="s">
        <v>1564</v>
      </c>
      <c r="AB110" s="5580" t="s">
        <v>1565</v>
      </c>
      <c r="AC110" s="5581"/>
      <c r="AD110" s="2129" t="s">
        <v>1393</v>
      </c>
      <c r="AE110" s="1398" t="s">
        <v>1566</v>
      </c>
      <c r="AF110" s="1397" t="s">
        <v>1564</v>
      </c>
      <c r="AG110" s="5580" t="s">
        <v>1565</v>
      </c>
      <c r="AH110" s="5581"/>
      <c r="AI110" s="2129" t="s">
        <v>1393</v>
      </c>
      <c r="AJ110" s="1398" t="s">
        <v>1566</v>
      </c>
      <c r="AK110" s="741" t="e">
        <f>IF(Z116&lt;1,0,VLOOKUP(Z116,Tabla_BonoStats,2))</f>
        <v>#N/A</v>
      </c>
      <c r="AL110" s="2158"/>
      <c r="AM110" s="1737"/>
      <c r="AN110" s="1737"/>
      <c r="AO110" s="1737"/>
      <c r="AP110" s="1737"/>
      <c r="AQ110" s="1737"/>
      <c r="AR110" s="1737" t="str">
        <f>IF(AN109,X108&amp;": "&amp;FLOOR(AE111*1.5,5)&amp;" "&amp;AC109&amp;IF(AB115&gt;0," +"&amp;AB115,"")&amp;IF(AH109="",""," y "&amp;FLOOR(AJ111*1.5,5)&amp;" "&amp;AH109&amp;IF(AG115&gt;0," +"&amp;AG115,"")),"")</f>
        <v/>
      </c>
      <c r="AS110" s="1737"/>
      <c r="AT110" s="1737"/>
      <c r="AU110" s="1737"/>
      <c r="AV110" s="1737"/>
      <c r="AW110" s="1737"/>
      <c r="AX110" s="1737"/>
      <c r="AY110" s="1737"/>
      <c r="AZ110" s="1737"/>
      <c r="BA110" s="1737"/>
      <c r="BB110" s="1737"/>
      <c r="BC110" s="1737"/>
      <c r="BD110" s="1737"/>
    </row>
    <row r="111" spans="1:56" ht="12" customHeight="1" thickBot="1" x14ac:dyDescent="0.25">
      <c r="A111" s="954"/>
      <c r="B111" s="571"/>
      <c r="C111" s="2409"/>
      <c r="D111" s="2409"/>
      <c r="E111" s="2409"/>
      <c r="F111" s="2409"/>
      <c r="G111" s="2409"/>
      <c r="H111" s="2409"/>
      <c r="I111" s="2409"/>
      <c r="J111" s="2409"/>
      <c r="K111" s="2409"/>
      <c r="L111" s="2409"/>
      <c r="M111" s="2409"/>
      <c r="N111" s="2409"/>
      <c r="O111" s="2409"/>
      <c r="P111" s="2409"/>
      <c r="Q111" s="2409"/>
      <c r="R111" s="2139"/>
      <c r="S111" s="1388"/>
      <c r="T111" s="1388"/>
      <c r="U111" s="2138"/>
      <c r="V111" s="5560" t="s">
        <v>8607</v>
      </c>
      <c r="W111" s="5561"/>
      <c r="X111" s="5564">
        <f>IFERROR(VLOOKUP(V110,Tabla_CaracterísticasGéminis,4,0),0)</f>
        <v>0</v>
      </c>
      <c r="Y111" s="5566" t="s">
        <v>8604</v>
      </c>
      <c r="Z111" s="5568">
        <f>IFERROR(VLOOKUP(V110,Tabla_CaracterísticasGéminis,3,0)+IF(COUNTIF(W117:Z122,"Metal")&gt;0,4,0),0)</f>
        <v>0</v>
      </c>
      <c r="AA111" s="5536" t="str">
        <f>IFERROR(IF(OR(AC109="",Tablas!$H$1016=0),"-",IF(OR(AC109="Armas naturales",VLOOKUP(AC109,Tabla_ArmasyEscudos,9,0)="Conocida"),HA_final,"-")+AB115+AC121+5*MIN(4,COUNTIF(W117:Z122,"Capacidad de combate"))-10*MAX(0,AR112-Z116))+IF(AND(OR(AC109="Lanza",AC109="Vara"),AA109="A 1 mano"),-10,0),"-")</f>
        <v>-</v>
      </c>
      <c r="AB111" s="5538"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475" t="str">
        <f>IF(OR(AC109="",Tablas!$H$1016=0),"",Par_Esq)</f>
        <v/>
      </c>
      <c r="AD111" s="5549" t="str">
        <f>IFERROR(IF(OR(AC109="",Tablas!$H$1016=0),"-",IF(AC109="Armas naturales",Turno_Nat_final-20+AO120,Turno_Nat_final-20+IF(ISNA(AU113),AU112,IF((AU112-AB115)=(AU113-AG115),MIN(AU112,AU113)-IF(VLOOKUP(AC109,Tabla_ArmasyEscudos,3,FALSE)&gt;=0,10,20),MIN(AU112,AU113))))+IF(COUNTIF(W117:Z122,"Metal")&gt;0,-40,0)),"-")</f>
        <v>-</v>
      </c>
      <c r="AE111" s="5551"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36" t="str">
        <f>IFERROR(IF(OR(AH109="",Tablas!$H$1016=0),"-",IF(VLOOKUP(AH109,Tabla_ArmasyEscudos,9,0)="Conocida",HA_final,"-")-40+AG115+AH121+5*MIN(4,COUNTIF(W117:Z122,"Capacidad de combate"))-10*MAX(0,AR113-Z116))+IF(AND(OR(AH109="Lanza",AH109="Vara"),AF109="A 1 mano"),-10,0),"-")</f>
        <v>-</v>
      </c>
      <c r="AG111" s="5538"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475" t="str">
        <f>IF(OR(AH109="",Tablas!$H$1016=0),"",Par_Esq)</f>
        <v/>
      </c>
      <c r="AI111" s="5549" t="s">
        <v>1578</v>
      </c>
      <c r="AJ111" s="5551"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41"/>
      <c r="AL111" s="2158"/>
      <c r="AM111" s="1737"/>
      <c r="AN111" s="1737" t="s">
        <v>8616</v>
      </c>
      <c r="AO111" s="1737"/>
      <c r="AP111" s="1737"/>
      <c r="AQ111" s="1737" t="s">
        <v>8624</v>
      </c>
      <c r="AR111" s="1737" t="s">
        <v>8626</v>
      </c>
      <c r="AS111" s="1737" t="s">
        <v>8625</v>
      </c>
      <c r="AT111" s="1737" t="s">
        <v>1367</v>
      </c>
      <c r="AU111" s="1737" t="s">
        <v>8627</v>
      </c>
      <c r="AV111" s="1737"/>
      <c r="AW111" s="1737"/>
      <c r="AX111" s="1737"/>
      <c r="AY111" s="1737"/>
      <c r="AZ111" s="1737"/>
      <c r="BA111" s="1737"/>
      <c r="BB111" s="1737"/>
      <c r="BC111" s="1737"/>
      <c r="BD111" s="1737"/>
    </row>
    <row r="112" spans="1:56" ht="12" customHeight="1" thickBot="1" x14ac:dyDescent="0.25">
      <c r="A112" s="954"/>
      <c r="B112" s="489"/>
      <c r="C112" s="2409"/>
      <c r="D112" s="2409"/>
      <c r="E112" s="5925" t="s">
        <v>6604</v>
      </c>
      <c r="F112" s="5926"/>
      <c r="G112" s="5926"/>
      <c r="H112" s="5926"/>
      <c r="I112" s="5926"/>
      <c r="J112" s="5926"/>
      <c r="K112" s="5927"/>
      <c r="L112" s="5939" t="s">
        <v>6606</v>
      </c>
      <c r="M112" s="5939"/>
      <c r="N112" s="5939"/>
      <c r="O112" s="5940"/>
      <c r="P112" s="2409"/>
      <c r="Q112" s="2409"/>
      <c r="R112" s="1387"/>
      <c r="S112" s="1388"/>
      <c r="T112" s="1388"/>
      <c r="U112" s="974"/>
      <c r="V112" s="5562"/>
      <c r="W112" s="5563"/>
      <c r="X112" s="5565"/>
      <c r="Y112" s="5567"/>
      <c r="Z112" s="5569"/>
      <c r="AA112" s="5537"/>
      <c r="AB112" s="5539"/>
      <c r="AC112" s="5476"/>
      <c r="AD112" s="5550"/>
      <c r="AE112" s="5552"/>
      <c r="AF112" s="5537"/>
      <c r="AG112" s="5539"/>
      <c r="AH112" s="5476"/>
      <c r="AI112" s="5550"/>
      <c r="AJ112" s="5552"/>
      <c r="AK112" s="741"/>
      <c r="AL112" s="2158"/>
      <c r="AM112" s="1737"/>
      <c r="AN112" s="1737" t="str">
        <f>ADDRESS(ROW(AN113),COLUMN(AN113))&amp;":"&amp;IF(AN117="",ADDRESS(ROW(AN115),COLUMN(AN115)),ADDRESS(ROW(AN117),COLUMN(AN117)))</f>
        <v>$AN$113:$AN$115</v>
      </c>
      <c r="AO112" s="1737"/>
      <c r="AP112" s="1737">
        <f>AC109</f>
        <v>0</v>
      </c>
      <c r="AQ112" s="1737" t="str">
        <f>IF(OR(AA109="A 2 manos",AA109="Proy. 2M"),"2M","")</f>
        <v/>
      </c>
      <c r="AR112" s="1737">
        <f ca="1">IFERROR(VLOOKUP(AC109,Tabla_ArmasyEscudos,IF(AQ112="2M",5,4),0),0)</f>
        <v>0</v>
      </c>
      <c r="AS112" s="1737">
        <f ca="1">IFERROR(IF(VLOOKUP(AC109,Tabla_ArmasyEscudos,18,0)&gt;0,IF(AC109="Atlatl",Z116+2,VLOOKUP(AC109,Tabla_ArmasyEscudos,18,0))+AB115/5,0),0)</f>
        <v>0</v>
      </c>
      <c r="AT112" s="1737">
        <f ca="1">IF(AS112&lt;1,0,VLOOKUP(AS112,Tablas!$C$14:$D$33,2))</f>
        <v>0</v>
      </c>
      <c r="AU112" s="1737" t="e">
        <f ca="1">VLOOKUP(AC109,Tabla_ArmasyEscudos,3,FALSE)+AE121+AB115</f>
        <v>#N/A</v>
      </c>
      <c r="AV112" s="1737"/>
      <c r="AW112" s="1737"/>
      <c r="AX112" s="1737"/>
      <c r="AY112" s="1737"/>
      <c r="AZ112" s="1737"/>
      <c r="BA112" s="1737"/>
      <c r="BB112" s="1737"/>
      <c r="BC112" s="1737"/>
      <c r="BD112" s="1737"/>
    </row>
    <row r="113" spans="1:56" ht="12" customHeight="1" x14ac:dyDescent="0.2">
      <c r="A113" s="954"/>
      <c r="B113" s="489"/>
      <c r="C113" s="2409"/>
      <c r="D113" s="2409"/>
      <c r="E113" s="5948"/>
      <c r="F113" s="5949"/>
      <c r="G113" s="5949"/>
      <c r="H113" s="5949"/>
      <c r="I113" s="5949"/>
      <c r="J113" s="5950"/>
      <c r="K113" s="1692"/>
      <c r="L113" s="5900"/>
      <c r="M113" s="5900"/>
      <c r="N113" s="5900"/>
      <c r="O113" s="5899"/>
      <c r="P113" s="2409"/>
      <c r="Q113" s="2409"/>
      <c r="R113" s="1387"/>
      <c r="S113" s="1388"/>
      <c r="T113" s="1388"/>
      <c r="U113" s="974"/>
      <c r="V113" s="5553" t="s">
        <v>8612</v>
      </c>
      <c r="W113" s="3025"/>
      <c r="X113" s="3026" t="s">
        <v>1365</v>
      </c>
      <c r="Y113" s="3026" t="s">
        <v>8613</v>
      </c>
      <c r="Z113" s="3026" t="s">
        <v>1349</v>
      </c>
      <c r="AA113" s="2997" t="s">
        <v>8620</v>
      </c>
      <c r="AB113" s="2998" t="s">
        <v>8621</v>
      </c>
      <c r="AC113" s="2998" t="s">
        <v>1557</v>
      </c>
      <c r="AD113" s="2998" t="s">
        <v>1570</v>
      </c>
      <c r="AE113" s="1396" t="s">
        <v>1558</v>
      </c>
      <c r="AF113" s="2997" t="s">
        <v>8620</v>
      </c>
      <c r="AG113" s="2998" t="s">
        <v>8621</v>
      </c>
      <c r="AH113" s="2998" t="s">
        <v>1557</v>
      </c>
      <c r="AI113" s="2998" t="s">
        <v>1570</v>
      </c>
      <c r="AJ113" s="1396" t="s">
        <v>1558</v>
      </c>
      <c r="AK113" s="741"/>
      <c r="AL113" s="2158"/>
      <c r="AM113" s="1737"/>
      <c r="AN113" s="1737" t="s">
        <v>1965</v>
      </c>
      <c r="AO113" s="1737"/>
      <c r="AP113" s="1737">
        <f>AH109</f>
        <v>0</v>
      </c>
      <c r="AQ113" s="1737" t="str">
        <f>IF(OR(AF109="A 2 manos",AF109="Proy. 2M"),"2M","")</f>
        <v/>
      </c>
      <c r="AR113" s="1737">
        <f ca="1">IFERROR(VLOOKUP(AH109,Tabla_ArmasyEscudos,IF(AQ113="2M",5,4),0),0)</f>
        <v>0</v>
      </c>
      <c r="AS113" s="1737">
        <f ca="1">IFERROR(IF(VLOOKUP(AH109,Tabla_ArmasyEscudos,18,0)&gt;0,IF(AH109="Atlatl",Z116+2,VLOOKUP(AH109,Tabla_ArmasyEscudos,18,0))+AG115/5,0),0)</f>
        <v>0</v>
      </c>
      <c r="AT113" s="1737">
        <f ca="1">IF(AS113&lt;1,0,VLOOKUP(AS113,Tablas!$C$14:$D$33,2))</f>
        <v>0</v>
      </c>
      <c r="AU113" s="1737" t="e">
        <f ca="1">VLOOKUP(AH109,Tabla_ArmasyEscudos,3,FALSE)+AJ121+AG115</f>
        <v>#N/A</v>
      </c>
      <c r="AV113" s="1737"/>
      <c r="AW113" s="1737"/>
      <c r="AX113" s="1737"/>
      <c r="AY113" s="1737"/>
      <c r="AZ113" s="1737"/>
      <c r="BA113" s="1737"/>
      <c r="BB113" s="1737"/>
      <c r="BC113" s="1737"/>
      <c r="BD113" s="1737"/>
    </row>
    <row r="114" spans="1:56" ht="12" customHeight="1" x14ac:dyDescent="0.2">
      <c r="A114" s="954"/>
      <c r="B114" s="489"/>
      <c r="C114" s="2409"/>
      <c r="D114" s="2409"/>
      <c r="E114" s="5887"/>
      <c r="F114" s="5888"/>
      <c r="G114" s="5888"/>
      <c r="H114" s="5888"/>
      <c r="I114" s="5888"/>
      <c r="J114" s="5889"/>
      <c r="K114" s="1699"/>
      <c r="L114" s="5900"/>
      <c r="M114" s="5900"/>
      <c r="N114" s="5900"/>
      <c r="O114" s="5899"/>
      <c r="P114" s="2409"/>
      <c r="Q114" s="2409"/>
      <c r="R114" s="1387"/>
      <c r="S114" s="1388"/>
      <c r="T114" s="1388"/>
      <c r="U114" s="974"/>
      <c r="V114" s="5554"/>
      <c r="W114" s="1459" t="s">
        <v>1373</v>
      </c>
      <c r="X114" s="1707" t="str">
        <f>IF(Tablas!$H$1016=0,"-",IF(Zen,DES,MIN(13,DES)))</f>
        <v>-</v>
      </c>
      <c r="Y114" s="2275"/>
      <c r="Z114" s="1709" t="str">
        <f>IFERROR(MIN(X114+Y114,IF(Zen,20,13)),"-")</f>
        <v>-</v>
      </c>
      <c r="AA114" s="1399" t="str">
        <f ca="1">IFERROR(IF(AC109="Armas naturales",IF(AD118="","-",AD118),VLOOKUP(IF(OR(AA109="Proy. 1M",AA109="Proy. 2M"),AD118,AC109),Tabla_ArmasyEscudos,6,0)),"-")</f>
        <v>-</v>
      </c>
      <c r="AB114" s="3027" t="str">
        <f ca="1">IFERROR(IF(AC109="Armas naturales",IF(AD119="","-",AD119),VLOOKUP(IF(OR(AA109="Proy. 1M",AA109="Proy. 2M"),AD118,AC109),Tabla_ArmasyEscudos,7,0)),"-")</f>
        <v>-</v>
      </c>
      <c r="AC114" s="3028"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43" t="str">
        <f>IFERROR(IF(OR(AC109="",Tablas!$H$1016=0),"-",IF(AC109="Armas naturales",AO122,IFERROR(VLOOKUP(AD118,Tabla_ArmasyEscudos,11,0)+2*AD119/5,VLOOKUP(AC109,Tabla_ArmasyEscudos,11,0)+2*AB115/5))+VLOOKUP(IF((AS112-AB115/5)&gt;0,AS112,Z116),Tabla_Fuerza,2)+IF(Extensióndelauraalarma,5,0)+IF(Ojos_de_la_Muerte,5,0)),"-")</f>
        <v>-</v>
      </c>
      <c r="AE114" s="3029" t="str">
        <f>IFERROR(IF(OR(AC109="",Tablas!$H$1016=0),"-",IF(AC109="Armas naturales",Presencia_final,VLOOKUP(AC109,Tabla_ArmasyEscudos,12,0)+50*MAX(AB115/5,0)&amp;IFERROR("/"&amp;VLOOKUP(AD118,Tabla_ArmasyEscudos,12,0)+50*MAX(AD119/5,0),""))),"-")</f>
        <v>-</v>
      </c>
      <c r="AF114" s="1399" t="str">
        <f ca="1">IFERROR(IF(AH109="Armas naturales",IF(AI118="","-",AI118),VLOOKUP(IF(AF109="Proy. 1M",AI118,AH109),Tabla_ArmasyEscudos,6,0)),"-")</f>
        <v>-</v>
      </c>
      <c r="AG114" s="3027" t="str">
        <f ca="1">IFERROR(IF(AH109="Armas naturales",IF(AI119="","-",AI119),VLOOKUP(IF(AF109="Proy. 1M",AI118,AH109),Tabla_ArmasyEscudos,7,0)),"-")</f>
        <v>-</v>
      </c>
      <c r="AH114" s="3028"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43" t="str">
        <f>IFERROR(IF(OR(AH109="",Tablas!$H$1016=0),"-",IF(AH109="Armas naturales",AO122,IFERROR(VLOOKUP(AI118,Tabla_ArmasyEscudos,11,0)+2*AI119/5,VLOOKUP(AH109,Tabla_ArmasyEscudos,11,0)+2*AG115/5))+VLOOKUP(IF((AS113-AG115/5)&gt;0,AS113,Z116),Tabla_Fuerza,2)+IF(Extensióndelauraalarma,5,0)+IF(Ojos_de_la_Muerte,5,0)),"-")</f>
        <v>-</v>
      </c>
      <c r="AJ114" s="3029" t="str">
        <f>IFERROR(IF(OR(AH109="",Tablas!$H$1016=0),"-",IF(AH109="Armas naturales",Presencia_final,VLOOKUP(AH109,Tabla_ArmasyEscudos,12,0)+50*MAX(AG115/5,0)&amp;IFERROR("/"&amp;VLOOKUP(AI118,Tabla_ArmasyEscudos,12,0)+50*MAX(AI119/5,0),""))),"-")</f>
        <v>-</v>
      </c>
      <c r="AK114" s="741"/>
      <c r="AL114" s="2158"/>
      <c r="AM114" s="1737"/>
      <c r="AN114" s="1737" t="s">
        <v>1966</v>
      </c>
      <c r="AO114" s="1737"/>
      <c r="AP114" s="1737"/>
      <c r="AQ114" s="1737"/>
      <c r="AR114" s="1737"/>
      <c r="AS114" s="1737"/>
      <c r="AT114" s="1737"/>
      <c r="AU114" s="1737"/>
      <c r="AV114" s="1737"/>
      <c r="AW114" s="1737"/>
      <c r="AX114" s="1737"/>
      <c r="AY114" s="1737"/>
      <c r="AZ114" s="1737"/>
      <c r="BA114" s="1737"/>
      <c r="BB114" s="1737"/>
      <c r="BC114" s="1737"/>
      <c r="BD114" s="1737"/>
    </row>
    <row r="115" spans="1:56" ht="12" customHeight="1" x14ac:dyDescent="0.2">
      <c r="A115" s="954"/>
      <c r="B115" s="489"/>
      <c r="C115" s="2409"/>
      <c r="D115" s="2409"/>
      <c r="E115" s="5928"/>
      <c r="F115" s="5929"/>
      <c r="G115" s="5929"/>
      <c r="H115" s="5929"/>
      <c r="I115" s="5929"/>
      <c r="J115" s="5930"/>
      <c r="K115" s="1699"/>
      <c r="L115" s="5900"/>
      <c r="M115" s="5900"/>
      <c r="N115" s="5900"/>
      <c r="O115" s="5899"/>
      <c r="P115" s="2409"/>
      <c r="Q115" s="2409"/>
      <c r="R115" s="1387"/>
      <c r="S115" s="1388"/>
      <c r="T115" s="1388"/>
      <c r="U115" s="974"/>
      <c r="V115" s="5554"/>
      <c r="W115" s="1459" t="s">
        <v>1378</v>
      </c>
      <c r="X115" s="1708" t="str">
        <f>IF(Tablas!$H$1016=0,"-",IF(Zen,DES,MIN(13,DES)))</f>
        <v>-</v>
      </c>
      <c r="Y115" s="2276"/>
      <c r="Z115" s="3030" t="str">
        <f>IFERROR(MIN(X115+Y115,IF(Zen,20,13)),"-")</f>
        <v>-</v>
      </c>
      <c r="AA115" s="1711" t="str">
        <f>IF(AND(AC109&lt;&gt;"",AC109&lt;&gt;"Armas naturales"),"Calidad:","")</f>
        <v/>
      </c>
      <c r="AB115" s="3033"/>
      <c r="AC115" s="5556" t="str">
        <f ca="1">IF(AA119="Calidad munición:",IF(AD119&lt;=0,"","TA defensor:"),IF(AB115&lt;=0,"","TA defensor:"))</f>
        <v/>
      </c>
      <c r="AD115" s="5556"/>
      <c r="AE115" s="3032" t="str">
        <f ca="1">IF(AC115="TA defensor:",IF(AA119="Calidad munición:",AD119/(-5),AB115/(-5)),"")</f>
        <v/>
      </c>
      <c r="AF115" s="1711" t="str">
        <f>IF(AND(AH109&lt;&gt;"",AH109&lt;&gt;"Armas naturales"),"Calidad:","")</f>
        <v/>
      </c>
      <c r="AG115" s="3033"/>
      <c r="AH115" s="5556" t="str">
        <f ca="1">IF(AF119="Calidad munición:",IF(AI119&lt;=0,"","TA defensor:"),IF(AG115&lt;=0,"","TA defensor:"))</f>
        <v/>
      </c>
      <c r="AI115" s="5556"/>
      <c r="AJ115" s="3032" t="str">
        <f ca="1">IF(AH115="TA defensor:",IF(AF119="Calidad munición:",AI119/(-5),AG115/(-5)),"")</f>
        <v/>
      </c>
      <c r="AK115" s="741"/>
      <c r="AL115" s="2158"/>
      <c r="AM115" s="1737"/>
      <c r="AN115" s="1737" t="s">
        <v>1728</v>
      </c>
      <c r="AO115" s="1737"/>
      <c r="AP115" s="1737"/>
      <c r="AQ115" s="1737"/>
      <c r="AR115" s="1737"/>
      <c r="AS115" s="1737"/>
      <c r="AT115" s="1737"/>
      <c r="AU115" s="1737"/>
      <c r="AV115" s="1737"/>
      <c r="AW115" s="1737"/>
      <c r="AX115" s="1737"/>
      <c r="AY115" s="1737"/>
      <c r="AZ115" s="1737"/>
      <c r="BA115" s="1737"/>
      <c r="BB115" s="1737"/>
      <c r="BC115" s="1737"/>
      <c r="BD115" s="1737"/>
    </row>
    <row r="116" spans="1:56" ht="12" customHeight="1" thickBot="1" x14ac:dyDescent="0.25">
      <c r="A116" s="954"/>
      <c r="B116" s="489"/>
      <c r="C116" s="2409"/>
      <c r="D116" s="2409"/>
      <c r="E116" s="5901"/>
      <c r="F116" s="5902"/>
      <c r="G116" s="5902"/>
      <c r="H116" s="5902"/>
      <c r="I116" s="5902"/>
      <c r="J116" s="5903"/>
      <c r="K116" s="1693"/>
      <c r="L116" s="5900"/>
      <c r="M116" s="5900"/>
      <c r="N116" s="5900"/>
      <c r="O116" s="5899"/>
      <c r="P116" s="2409"/>
      <c r="Q116" s="2409"/>
      <c r="R116" s="1387"/>
      <c r="S116" s="1388"/>
      <c r="T116" s="1388"/>
      <c r="U116" s="974"/>
      <c r="V116" s="5555"/>
      <c r="W116" s="1460" t="s">
        <v>1383</v>
      </c>
      <c r="X116" s="3034" t="str">
        <f>IF(Tablas!$H$1016=0,"-",IF(Zen,FUE-2,MIN(11,FUE-2)))</f>
        <v>-</v>
      </c>
      <c r="Y116" s="2277"/>
      <c r="Z116" s="2996" t="str">
        <f>IFERROR(MIN(20,MIN(X116+Y116,IF(Zen,20,13))+IF(COUNTIF(W117:Z122,"Fuerza excepcional")&gt;0,IF(X116+6&lt;15,6,MAX(15-X116,0)),0)),"-")</f>
        <v>-</v>
      </c>
      <c r="AA116" s="5557" t="str">
        <f ca="1">IFERROR(IF(AC109="Armas naturales","",VLOOKUP(AC109,Tabla_ArmasyEscudos,19,0)),"")</f>
        <v/>
      </c>
      <c r="AB116" s="5558"/>
      <c r="AC116" s="5558"/>
      <c r="AD116" s="5558"/>
      <c r="AE116" s="5559"/>
      <c r="AF116" s="5557" t="str">
        <f ca="1">IFERROR(IF(AH109="Armas naturales","",VLOOKUP(AH109,Tabla_ArmasyEscudos,19,0)),"")</f>
        <v/>
      </c>
      <c r="AG116" s="5558"/>
      <c r="AH116" s="5558"/>
      <c r="AI116" s="5558"/>
      <c r="AJ116" s="5559"/>
      <c r="AK116" s="741"/>
      <c r="AL116" s="2158"/>
      <c r="AM116" s="1737"/>
      <c r="AN116" s="1737" t="str">
        <f>IF(COUNTIF(W117:Z122,"Tamaño excepcional")&gt;0,"Grande","")</f>
        <v/>
      </c>
      <c r="AO116" s="1737"/>
      <c r="AP116" s="1737"/>
      <c r="AQ116" s="1737"/>
      <c r="AR116" s="1737"/>
      <c r="AS116" s="1737"/>
      <c r="AT116" s="1737"/>
      <c r="AU116" s="1737"/>
      <c r="AV116" s="1737"/>
      <c r="AW116" s="1737"/>
      <c r="AX116" s="1737"/>
      <c r="AY116" s="1737"/>
      <c r="AZ116" s="1737"/>
      <c r="BA116" s="1737"/>
      <c r="BB116" s="1737"/>
      <c r="BC116" s="1737"/>
      <c r="BD116" s="1737"/>
    </row>
    <row r="117" spans="1:56" ht="12" customHeight="1" x14ac:dyDescent="0.2">
      <c r="A117" s="954"/>
      <c r="B117" s="489"/>
      <c r="C117" s="2409"/>
      <c r="D117" s="2409"/>
      <c r="E117" s="5928"/>
      <c r="F117" s="5929"/>
      <c r="G117" s="5929"/>
      <c r="H117" s="5929"/>
      <c r="I117" s="5929"/>
      <c r="J117" s="5930"/>
      <c r="K117" s="1699"/>
      <c r="L117" s="5900"/>
      <c r="M117" s="5900"/>
      <c r="N117" s="5900"/>
      <c r="O117" s="5899"/>
      <c r="P117" s="2409"/>
      <c r="Q117" s="2409"/>
      <c r="R117" s="1387"/>
      <c r="S117" s="1388"/>
      <c r="T117" s="1388"/>
      <c r="U117" s="974"/>
      <c r="V117" s="5554" t="s">
        <v>8592</v>
      </c>
      <c r="W117" s="5532"/>
      <c r="X117" s="5532"/>
      <c r="Y117" s="5532"/>
      <c r="Z117" s="5532"/>
      <c r="AA117" s="5533" t="str">
        <f ca="1">IFERROR(VLOOKUP(AD118,Tabla_ArmasyEscudos,19,0),"")</f>
        <v/>
      </c>
      <c r="AB117" s="5534"/>
      <c r="AC117" s="5534"/>
      <c r="AD117" s="5534"/>
      <c r="AE117" s="5535"/>
      <c r="AF117" s="5533" t="str">
        <f ca="1">IFERROR(VLOOKUP(AI118,Tabla_ArmasyEscudos,19,0),"")</f>
        <v/>
      </c>
      <c r="AG117" s="5534"/>
      <c r="AH117" s="5534"/>
      <c r="AI117" s="5534"/>
      <c r="AJ117" s="5535"/>
      <c r="AK117" s="741"/>
      <c r="AL117" s="1389"/>
      <c r="AM117" s="1737"/>
      <c r="AN117" s="1737" t="str">
        <f>IF(COUNTIF(W117:Z122,"Tamaño excepcional")&gt;0,"Enorme","")</f>
        <v/>
      </c>
      <c r="AO117" s="1737"/>
      <c r="AP117" s="1737"/>
      <c r="AQ117" s="1737"/>
      <c r="AR117" s="1737"/>
      <c r="AS117" s="1737"/>
      <c r="AT117" s="1737"/>
      <c r="AU117" s="1737"/>
      <c r="AV117" s="1737"/>
      <c r="AW117" s="1737"/>
      <c r="AX117" s="1737"/>
      <c r="AY117" s="1737"/>
      <c r="AZ117" s="1737"/>
      <c r="BA117" s="1737"/>
      <c r="BB117" s="1737"/>
      <c r="BC117" s="1737"/>
      <c r="BD117" s="1737"/>
    </row>
    <row r="118" spans="1:56" ht="12" customHeight="1" x14ac:dyDescent="0.2">
      <c r="A118" s="954"/>
      <c r="B118" s="489"/>
      <c r="C118" s="2409"/>
      <c r="D118" s="2409"/>
      <c r="E118" s="5901"/>
      <c r="F118" s="5902"/>
      <c r="G118" s="5902"/>
      <c r="H118" s="5902"/>
      <c r="I118" s="5902"/>
      <c r="J118" s="5903"/>
      <c r="K118" s="1699"/>
      <c r="L118" s="5900"/>
      <c r="M118" s="5900"/>
      <c r="N118" s="5900"/>
      <c r="O118" s="5899"/>
      <c r="P118" s="2409"/>
      <c r="Q118" s="2409"/>
      <c r="R118" s="1387"/>
      <c r="S118" s="1388"/>
      <c r="T118" s="1388"/>
      <c r="U118" s="974"/>
      <c r="V118" s="5554"/>
      <c r="W118" s="5583"/>
      <c r="X118" s="5584"/>
      <c r="Y118" s="5584"/>
      <c r="Z118" s="5585"/>
      <c r="AA118" s="4757" t="str">
        <f ca="1">IFERROR(IF(AC109="Armas naturales", "Armas naturales Crit. 1:",IF(ISNUMBER(FIND("Proyectiles",VLOOKUP(AC109,Tabla_ArmasyEscudos,8,0))),"Munición:","")),"")</f>
        <v/>
      </c>
      <c r="AB118" s="5593"/>
      <c r="AC118" s="5593"/>
      <c r="AD118" s="5594"/>
      <c r="AE118" s="5595"/>
      <c r="AF118" s="4757" t="str">
        <f ca="1">IFERROR(IF(AH109="Armas naturales", "Armas naturales Crit. 1:",IF(ISNUMBER(FIND("Proyectiles",VLOOKUP(AH109,Tabla_ArmasyEscudos,8,0))),"Munición:","")),"")</f>
        <v/>
      </c>
      <c r="AG118" s="5593"/>
      <c r="AH118" s="5593"/>
      <c r="AI118" s="5594"/>
      <c r="AJ118" s="5595"/>
      <c r="AK118" s="1710"/>
      <c r="AL118" s="1389"/>
      <c r="AM118" s="1737"/>
      <c r="AN118" s="5582" t="s">
        <v>1916</v>
      </c>
      <c r="AO118" s="5582"/>
      <c r="AP118" s="1737"/>
      <c r="AQ118" s="1737"/>
      <c r="AR118" s="1737"/>
      <c r="AS118" s="1737"/>
      <c r="AT118" s="1737"/>
      <c r="AU118" s="1737"/>
      <c r="AV118" s="1737"/>
      <c r="AW118" s="1737"/>
      <c r="AX118" s="1737"/>
      <c r="AY118" s="1737"/>
      <c r="AZ118" s="1737"/>
      <c r="BA118" s="1737"/>
      <c r="BB118" s="1737"/>
      <c r="BC118" s="1737"/>
      <c r="BD118" s="1737"/>
    </row>
    <row r="119" spans="1:56" ht="12" customHeight="1" x14ac:dyDescent="0.2">
      <c r="A119" s="954"/>
      <c r="B119" s="489"/>
      <c r="C119" s="2409"/>
      <c r="D119" s="2409"/>
      <c r="E119" s="5931"/>
      <c r="F119" s="5932"/>
      <c r="G119" s="5932"/>
      <c r="H119" s="5932"/>
      <c r="I119" s="5932"/>
      <c r="J119" s="5933"/>
      <c r="K119" s="1693"/>
      <c r="L119" s="5900"/>
      <c r="M119" s="5900"/>
      <c r="N119" s="5900"/>
      <c r="O119" s="5899"/>
      <c r="P119" s="2409"/>
      <c r="Q119" s="2409"/>
      <c r="R119" s="1387"/>
      <c r="S119" s="1388"/>
      <c r="T119" s="1388"/>
      <c r="U119" s="974"/>
      <c r="V119" s="5554"/>
      <c r="W119" s="5583"/>
      <c r="X119" s="5584"/>
      <c r="Y119" s="5584"/>
      <c r="Z119" s="5585"/>
      <c r="AA119" s="5586" t="str">
        <f ca="1">IFERROR(IF(AC109="Armas naturales", "Armas naturales Crit. 2:",IF(ISNUMBER(FIND("Proyectiles",VLOOKUP(AC109,Tabla_ArmasyEscudos,8,0))),"Calidad Munición:","")),"")</f>
        <v/>
      </c>
      <c r="AB119" s="5587"/>
      <c r="AC119" s="5587"/>
      <c r="AD119" s="5588"/>
      <c r="AE119" s="5589"/>
      <c r="AF119" s="5586" t="str">
        <f ca="1">IFERROR(IF(AH109="Armas naturales", "Armas naturales Crit. 2:",IF(ISNUMBER(FIND("Proyectiles",VLOOKUP(AH109,Tabla_ArmasyEscudos,8,0))),"Calidad Munición:","")),"")</f>
        <v/>
      </c>
      <c r="AG119" s="5587"/>
      <c r="AH119" s="5587"/>
      <c r="AI119" s="5588"/>
      <c r="AJ119" s="5589"/>
      <c r="AK119" s="741"/>
      <c r="AL119" s="1389"/>
      <c r="AM119" s="1737"/>
      <c r="AN119" s="1737" t="s">
        <v>8618</v>
      </c>
      <c r="AO119" s="1737">
        <f>VLOOKUP(AF108,Tablas!$X$47:$AF$54,7,0)</f>
        <v>40</v>
      </c>
      <c r="AP119" s="1737"/>
      <c r="AQ119" s="1737"/>
      <c r="AR119" s="1737"/>
      <c r="AS119" s="1737"/>
      <c r="AT119" s="1737" t="s">
        <v>1456</v>
      </c>
      <c r="AU119" s="1737"/>
      <c r="AV119" s="1737"/>
      <c r="AW119" s="1737"/>
      <c r="AX119" s="1737"/>
      <c r="AY119" s="1737"/>
      <c r="AZ119" s="1737"/>
      <c r="BA119" s="1737"/>
      <c r="BB119" s="1737"/>
      <c r="BC119" s="1737"/>
      <c r="BD119" s="1737"/>
    </row>
    <row r="120" spans="1:56" ht="12" customHeight="1" x14ac:dyDescent="0.2">
      <c r="A120" s="954"/>
      <c r="B120" s="489"/>
      <c r="C120" s="2409"/>
      <c r="D120" s="2409"/>
      <c r="E120" s="5893" t="s">
        <v>6605</v>
      </c>
      <c r="F120" s="5894"/>
      <c r="G120" s="5894"/>
      <c r="H120" s="5894"/>
      <c r="I120" s="5894"/>
      <c r="J120" s="5894"/>
      <c r="K120" s="5895"/>
      <c r="L120" s="5900"/>
      <c r="M120" s="5900"/>
      <c r="N120" s="5900"/>
      <c r="O120" s="5899"/>
      <c r="P120" s="2409"/>
      <c r="Q120" s="2409"/>
      <c r="R120" s="1387"/>
      <c r="S120" s="1388"/>
      <c r="T120" s="1388"/>
      <c r="U120" s="974"/>
      <c r="V120" s="5554"/>
      <c r="W120" s="5532"/>
      <c r="X120" s="5532"/>
      <c r="Y120" s="5532"/>
      <c r="Z120" s="5532"/>
      <c r="AA120" s="1061" t="str">
        <f ca="1">IF(ISNUMBER(FIND("Proyectiles",VLOOKUP(AC109,Tabla_ArmasyEscudos,8,0))),"Rango:","")</f>
        <v/>
      </c>
      <c r="AB120" s="3035" t="str">
        <f ca="1">IFERROR(IF(AA120="Rango:",(VLOOKUP(AC109,Tabla_ArmasyEscudos,17,0)+IF((AS112-AB115/5)&gt;0,VLOOKUP(MIN(AS112,AB123),Tabla_AlcanceFUE,2,0),IF($Z116&lt;3,-30,VLOOKUP(MIN(IF(Zen_IP,20,13),AB123,$Z116),Tabla_AlcanceFUE,2))))*IF(AlcanceIncrementado,2,1)&amp;" m",""),"")</f>
        <v/>
      </c>
      <c r="AC120" s="5590" t="str">
        <f ca="1">IF(ISNUMBER(FIND("Proyectiles",VLOOKUP(AC109,Tabla_ArmasyEscudos,8,0))),"Recarga:","")</f>
        <v/>
      </c>
      <c r="AD120" s="5590"/>
      <c r="AE120" s="2995" t="str">
        <f ca="1">IFERROR(IF(AC120="Recarga:",VLOOKUP(AC109,Tabla_ArmasyEscudos,16,0),""),"")</f>
        <v/>
      </c>
      <c r="AF120" s="1061" t="str">
        <f ca="1">IF(ISNUMBER(FIND("Proyectiles",VLOOKUP(AH109,Tabla_ArmasyEscudos,8,0))),"Rango:","")</f>
        <v/>
      </c>
      <c r="AG120" s="3035" t="str">
        <f ca="1">IFERROR(IF(AF120="Rango:",(VLOOKUP(AH109,Tabla_ArmasyEscudos,17,0)+IF((AS113-AG115/5)&gt;0,VLOOKUP(MIN(AS113,AG123),Tabla_AlcanceFUE,2,0),IF($Z116&lt;3,-30,VLOOKUP(MIN(IF(Zen_IP,20,13),AG123,$Z116),Tabla_AlcanceFUE,2))))*IF(AlcanceIncrementado,2,1)&amp;" m",""),"")</f>
        <v/>
      </c>
      <c r="AH120" s="5590" t="str">
        <f ca="1">IF(ISNUMBER(FIND("Proyectiles",VLOOKUP(AH109,Tabla_ArmasyEscudos,8,0))),"Recarga:","")</f>
        <v/>
      </c>
      <c r="AI120" s="5590"/>
      <c r="AJ120" s="2995" t="str">
        <f ca="1">IFERROR(IF(AH120="Recarga:",VLOOKUP(AH109,Tabla_ArmasyEscudos,16,0),""),"")</f>
        <v/>
      </c>
      <c r="AK120" s="741"/>
      <c r="AL120" s="1389"/>
      <c r="AM120" s="1737"/>
      <c r="AN120" s="1737" t="s">
        <v>1393</v>
      </c>
      <c r="AO120" s="1737">
        <f>MIN(VLOOKUP(AF108,Tablas!$X$47:$AF$54,2,0),20)</f>
        <v>20</v>
      </c>
      <c r="AP120" s="1737"/>
      <c r="AQ120" s="1737"/>
      <c r="AR120" s="1737"/>
      <c r="AS120" s="1737"/>
      <c r="AT120" s="1737" t="s">
        <v>1456</v>
      </c>
      <c r="AU120" s="1737"/>
      <c r="AV120" s="1737"/>
      <c r="AW120" s="1737"/>
      <c r="AX120" s="1737"/>
      <c r="AY120" s="1737"/>
      <c r="AZ120" s="1737"/>
      <c r="BA120" s="1737"/>
      <c r="BB120" s="1737"/>
      <c r="BC120" s="1737"/>
      <c r="BD120" s="1737"/>
    </row>
    <row r="121" spans="1:56" ht="12" customHeight="1" x14ac:dyDescent="0.2">
      <c r="A121" s="954"/>
      <c r="B121" s="489"/>
      <c r="C121" s="2409"/>
      <c r="D121" s="2409"/>
      <c r="E121" s="5934"/>
      <c r="F121" s="5935"/>
      <c r="G121" s="5935"/>
      <c r="H121" s="5935"/>
      <c r="I121" s="5935"/>
      <c r="J121" s="5936"/>
      <c r="K121" s="1692"/>
      <c r="L121" s="5900"/>
      <c r="M121" s="5900"/>
      <c r="N121" s="5900"/>
      <c r="O121" s="5899"/>
      <c r="P121" s="2409"/>
      <c r="Q121" s="2409"/>
      <c r="R121" s="1387"/>
      <c r="S121" s="1388"/>
      <c r="T121" s="1388"/>
      <c r="U121" s="974"/>
      <c r="V121" s="5554"/>
      <c r="W121" s="5583"/>
      <c r="X121" s="5584"/>
      <c r="Y121" s="5584"/>
      <c r="Z121" s="5585"/>
      <c r="AA121" s="5591" t="s">
        <v>998</v>
      </c>
      <c r="AB121" s="2132" t="s">
        <v>7229</v>
      </c>
      <c r="AC121" s="2256"/>
      <c r="AD121" s="2132" t="s">
        <v>1393</v>
      </c>
      <c r="AE121" s="2254"/>
      <c r="AF121" s="5591" t="s">
        <v>998</v>
      </c>
      <c r="AG121" s="2132" t="s">
        <v>7229</v>
      </c>
      <c r="AH121" s="2256"/>
      <c r="AI121" s="2132" t="s">
        <v>1393</v>
      </c>
      <c r="AJ121" s="2254"/>
      <c r="AK121" s="741"/>
      <c r="AL121" s="1389"/>
      <c r="AM121" s="1737"/>
      <c r="AN121" s="1737" t="s">
        <v>1964</v>
      </c>
      <c r="AO121" s="1737">
        <f>VLOOKUP(AF108,Tablas!$X$47:$AF$54,9,0)</f>
        <v>12</v>
      </c>
      <c r="AP121" s="1737"/>
      <c r="AQ121" s="1737"/>
      <c r="AR121" s="1737"/>
      <c r="AS121" s="1737"/>
      <c r="AT121" s="1737" t="s">
        <v>1456</v>
      </c>
      <c r="AU121" s="1737"/>
      <c r="AV121" s="1737"/>
      <c r="AW121" s="1737"/>
      <c r="AX121" s="1737"/>
      <c r="AY121" s="1737"/>
      <c r="AZ121" s="1737"/>
      <c r="BA121" s="1737"/>
      <c r="BB121" s="1737"/>
      <c r="BC121" s="1737"/>
      <c r="BD121" s="1737"/>
    </row>
    <row r="122" spans="1:56" ht="12" customHeight="1" thickBot="1" x14ac:dyDescent="0.25">
      <c r="A122" s="954"/>
      <c r="B122" s="489"/>
      <c r="C122" s="2409"/>
      <c r="D122" s="2409"/>
      <c r="E122" s="5928"/>
      <c r="F122" s="5929"/>
      <c r="G122" s="5929"/>
      <c r="H122" s="5929"/>
      <c r="I122" s="5929"/>
      <c r="J122" s="5930"/>
      <c r="K122" s="1699"/>
      <c r="L122" s="5900"/>
      <c r="M122" s="5900"/>
      <c r="N122" s="5900"/>
      <c r="O122" s="5899"/>
      <c r="P122" s="2409"/>
      <c r="Q122" s="2409"/>
      <c r="R122" s="1387"/>
      <c r="S122" s="1388"/>
      <c r="T122" s="1388"/>
      <c r="U122" s="974"/>
      <c r="V122" s="5555"/>
      <c r="W122" s="5596"/>
      <c r="X122" s="5596"/>
      <c r="Y122" s="5596"/>
      <c r="Z122" s="5596"/>
      <c r="AA122" s="5592"/>
      <c r="AB122" s="1394" t="s">
        <v>8330</v>
      </c>
      <c r="AC122" s="2257"/>
      <c r="AD122" s="3036" t="s">
        <v>1566</v>
      </c>
      <c r="AE122" s="2255"/>
      <c r="AF122" s="5592"/>
      <c r="AG122" s="1394" t="s">
        <v>8330</v>
      </c>
      <c r="AH122" s="2257"/>
      <c r="AI122" s="3036" t="s">
        <v>1566</v>
      </c>
      <c r="AJ122" s="2255"/>
      <c r="AK122" s="741"/>
      <c r="AL122" s="1389"/>
      <c r="AM122" s="1737"/>
      <c r="AN122" s="1737" t="s">
        <v>1570</v>
      </c>
      <c r="AO122" s="1737">
        <f>VLOOKUP(AF108,Tablas!$X$47:$AF$54,8,0)</f>
        <v>0</v>
      </c>
      <c r="AP122" s="1737"/>
      <c r="AQ122" s="1737"/>
      <c r="AR122" s="1737"/>
      <c r="AS122" s="1737"/>
      <c r="AT122" s="1737" t="s">
        <v>1456</v>
      </c>
      <c r="AU122" s="1737"/>
      <c r="AV122" s="1737"/>
      <c r="AW122" s="1737"/>
      <c r="AX122" s="1737"/>
      <c r="AY122" s="1737"/>
      <c r="AZ122" s="1737"/>
      <c r="BA122" s="1737"/>
      <c r="BB122" s="1737"/>
      <c r="BC122" s="1737"/>
      <c r="BD122" s="1737"/>
    </row>
    <row r="123" spans="1:56" ht="12" customHeight="1" thickBot="1" x14ac:dyDescent="0.25">
      <c r="A123" s="954"/>
      <c r="B123" s="489"/>
      <c r="C123" s="2409"/>
      <c r="D123" s="2409"/>
      <c r="E123" s="5901"/>
      <c r="F123" s="5902"/>
      <c r="G123" s="5902"/>
      <c r="H123" s="5902"/>
      <c r="I123" s="5902"/>
      <c r="J123" s="5903"/>
      <c r="K123" s="1700"/>
      <c r="L123" s="5900"/>
      <c r="M123" s="5900"/>
      <c r="N123" s="5900"/>
      <c r="O123" s="5899"/>
      <c r="P123" s="2409"/>
      <c r="Q123" s="2409"/>
      <c r="R123" s="1387"/>
      <c r="S123" s="1388"/>
      <c r="T123" s="1388"/>
      <c r="U123" s="974"/>
      <c r="V123" s="2409"/>
      <c r="W123" s="2409"/>
      <c r="X123" s="2409"/>
      <c r="Y123" s="2409"/>
      <c r="Z123" s="2409"/>
      <c r="AA123" s="2409"/>
      <c r="AB123" s="2825">
        <f>IF(AB115&lt;0,10,IF(AB115&gt;20,20,INDEX(Tablas!$L$23:$L$33,MATCH(AB115,Tablas!$N$23:$N$33,0))))</f>
        <v>10</v>
      </c>
      <c r="AC123" s="2409"/>
      <c r="AD123" s="2409"/>
      <c r="AE123" s="2409"/>
      <c r="AF123" s="2409"/>
      <c r="AG123" s="2825">
        <f>IF(AG115&lt;0,10,IF(AG115&gt;20,20,INDEX(Tablas!$L$23:$L$33,MATCH(AG115,Tablas!$N$23:$N$33,0))))</f>
        <v>10</v>
      </c>
      <c r="AH123" s="2409"/>
      <c r="AI123" s="2409"/>
      <c r="AJ123" s="2141"/>
      <c r="AK123" s="741"/>
      <c r="AL123" s="1404"/>
      <c r="AM123" s="1737"/>
      <c r="AN123" s="1737"/>
      <c r="AO123" s="1737"/>
      <c r="AP123" s="3093"/>
      <c r="AQ123" s="3093"/>
      <c r="AR123" s="3093"/>
      <c r="AS123" s="3093"/>
      <c r="AT123" s="3093"/>
      <c r="AU123" s="3093"/>
      <c r="AV123" s="1737"/>
      <c r="AW123" s="1737"/>
      <c r="AX123" s="1737"/>
      <c r="AY123" s="1737"/>
      <c r="AZ123" s="1737"/>
      <c r="BA123" s="1737"/>
      <c r="BB123" s="1737"/>
      <c r="BC123" s="1737"/>
      <c r="BD123" s="1737"/>
    </row>
    <row r="124" spans="1:56" ht="12" customHeight="1" thickBot="1" x14ac:dyDescent="0.25">
      <c r="A124" s="954"/>
      <c r="B124" s="489"/>
      <c r="C124" s="2409"/>
      <c r="D124" s="2409"/>
      <c r="E124" s="5887"/>
      <c r="F124" s="5888"/>
      <c r="G124" s="5888"/>
      <c r="H124" s="5888"/>
      <c r="I124" s="5888"/>
      <c r="J124" s="5889"/>
      <c r="K124" s="1700"/>
      <c r="L124" s="5900"/>
      <c r="M124" s="5900"/>
      <c r="N124" s="5900"/>
      <c r="O124" s="5899"/>
      <c r="P124" s="2409"/>
      <c r="Q124" s="2409"/>
      <c r="R124" s="1387"/>
      <c r="S124" s="1388"/>
      <c r="T124" s="1388"/>
      <c r="U124" s="974"/>
      <c r="V124" s="5545" t="s">
        <v>1323</v>
      </c>
      <c r="W124" s="5546"/>
      <c r="X124" s="5547" t="s">
        <v>8601</v>
      </c>
      <c r="Y124" s="5547"/>
      <c r="Z124" s="5547"/>
      <c r="AA124" s="5547"/>
      <c r="AB124" s="5548"/>
      <c r="AC124" s="5540" t="s">
        <v>8615</v>
      </c>
      <c r="AD124" s="5541"/>
      <c r="AE124" s="5541"/>
      <c r="AF124" s="5542" t="s">
        <v>1728</v>
      </c>
      <c r="AG124" s="5543"/>
      <c r="AH124" s="5540" t="s">
        <v>8611</v>
      </c>
      <c r="AI124" s="5544"/>
      <c r="AJ124" s="3001"/>
      <c r="AK124" s="741"/>
      <c r="AL124" s="1389"/>
      <c r="AM124" s="1737"/>
      <c r="AN124" s="1737" t="s">
        <v>9312</v>
      </c>
      <c r="AO124" s="1737" t="s">
        <v>1393</v>
      </c>
      <c r="AP124" s="1737" t="s">
        <v>7229</v>
      </c>
      <c r="AQ124" s="1737" t="s">
        <v>8330</v>
      </c>
      <c r="AR124" s="1737" t="s">
        <v>1566</v>
      </c>
      <c r="AS124" s="1737"/>
      <c r="AT124" s="1737"/>
      <c r="AU124" s="1737"/>
      <c r="AV124" s="1737"/>
      <c r="AW124" s="1737"/>
      <c r="AX124" s="1737"/>
      <c r="AY124" s="1737"/>
      <c r="AZ124" s="1737"/>
      <c r="BA124" s="1737"/>
      <c r="BB124" s="1737"/>
      <c r="BC124" s="1737"/>
      <c r="BD124" s="1737"/>
    </row>
    <row r="125" spans="1:56" ht="12" customHeight="1" x14ac:dyDescent="0.2">
      <c r="A125" s="954"/>
      <c r="B125" s="489"/>
      <c r="C125" s="2409"/>
      <c r="D125" s="2409"/>
      <c r="E125" s="5928"/>
      <c r="F125" s="5929"/>
      <c r="G125" s="5929"/>
      <c r="H125" s="5929"/>
      <c r="I125" s="5929"/>
      <c r="J125" s="5930"/>
      <c r="K125" s="1693"/>
      <c r="L125" s="5900"/>
      <c r="M125" s="5900"/>
      <c r="N125" s="5900"/>
      <c r="O125" s="5899"/>
      <c r="P125" s="2409"/>
      <c r="Q125" s="2409"/>
      <c r="R125" s="1387"/>
      <c r="S125" s="1388"/>
      <c r="T125" s="1388"/>
      <c r="U125" s="974"/>
      <c r="V125" s="4109" t="s">
        <v>8614</v>
      </c>
      <c r="W125" s="5570"/>
      <c r="X125" s="5571"/>
      <c r="Y125" s="5566" t="s">
        <v>1544</v>
      </c>
      <c r="Z125" s="5568">
        <f>IFERROR(VLOOKUP(V126,Tabla_CaracterísticasGéminis,2,0)+IF(COUNTIF(W133:Z138,"Metal")&gt;0,VLOOKUP(V126,Tabla_CaracterísticasGéminis,2,0),0)+IF(AF124="Grande",50,IF(AF124="Enorme",150,0)),0)</f>
        <v>0</v>
      </c>
      <c r="AA125" s="5572" t="s">
        <v>8622</v>
      </c>
      <c r="AB125" s="5573"/>
      <c r="AC125" s="5574"/>
      <c r="AD125" s="5575"/>
      <c r="AE125" s="5576"/>
      <c r="AF125" s="5572"/>
      <c r="AG125" s="5573"/>
      <c r="AH125" s="5574"/>
      <c r="AI125" s="5575"/>
      <c r="AJ125" s="5576"/>
      <c r="AK125" s="741"/>
      <c r="AL125" s="1389"/>
      <c r="AM125" s="1737"/>
      <c r="AN125" s="1737" t="b">
        <f>AA127&lt;&gt;"-"</f>
        <v>0</v>
      </c>
      <c r="AO125" s="1737" t="str">
        <f>IF(AN125,X124&amp;": "&amp;AD127&amp;" "&amp;AC125&amp;IF(AB131&gt;0," +"&amp;AB131,"")&amp;IF(AH125="",""," y "&amp;AH125&amp;IF(AG131&gt;0," +"&amp;AG131,"")),"")</f>
        <v/>
      </c>
      <c r="AP125" s="1737" t="str">
        <f>IF(AN125,X124&amp;": "&amp;AA127&amp;" "&amp;AC125&amp;IF(AB131&gt;0," +"&amp;AB131,"")&amp;IF(AH125="",""," y "&amp;AF127&amp;" "&amp;AH125&amp;IF(AG131&gt;0," +"&amp;AG131,"")),"")</f>
        <v/>
      </c>
      <c r="AQ125" s="1737" t="str">
        <f>IF(AN125,X124&amp;": "&amp;IFERROR(MAX(AB127,AG127),AB127)&amp;" "&amp;IF(Par_Esq="Esq","Esquiva",AC125&amp;IF(AB131&gt;0," +"&amp;AB131,"")&amp;IF(AH125="",""," y "&amp;AH125&amp;IF(AG131&gt;0," +"&amp;AG131,""))),"")</f>
        <v/>
      </c>
      <c r="AR125" s="1737" t="str">
        <f>IF(AN125,X124&amp;": "&amp;AE127&amp;" "&amp;AC125&amp;IF(AB131&gt;0," +"&amp;AB131,"")&amp;IF($AA130="-",""," ("&amp;$AA130&amp;IF($AB130="-",""," / "&amp;$AB130)&amp;")")&amp;IF(AH125="",""," y "&amp;AJ127&amp;" "&amp;AH125&amp;IF(AG131&gt;0," +"&amp;AG131,""))&amp;IF($AF130="-",""," ("&amp;$AF130&amp;IF($AG130="-",""," / "&amp;$AG130)&amp;")"),"")</f>
        <v/>
      </c>
      <c r="AS125" s="1737"/>
      <c r="AT125" s="1737"/>
      <c r="AU125" s="1737"/>
      <c r="AV125" s="1737"/>
      <c r="AW125" s="1737"/>
      <c r="AX125" s="1737"/>
      <c r="AY125" s="1737"/>
      <c r="AZ125" s="1737"/>
      <c r="BA125" s="1737"/>
      <c r="BB125" s="1737"/>
      <c r="BC125" s="1737"/>
      <c r="BD125" s="1737"/>
    </row>
    <row r="126" spans="1:56" ht="12" customHeight="1" thickBot="1" x14ac:dyDescent="0.25">
      <c r="A126" s="954"/>
      <c r="B126" s="489"/>
      <c r="C126" s="2409"/>
      <c r="D126" s="2409"/>
      <c r="E126" s="5887"/>
      <c r="F126" s="5888"/>
      <c r="G126" s="5888"/>
      <c r="H126" s="5888"/>
      <c r="I126" s="5888"/>
      <c r="J126" s="5889"/>
      <c r="K126" s="1699"/>
      <c r="L126" s="5900"/>
      <c r="M126" s="5900"/>
      <c r="N126" s="5900"/>
      <c r="O126" s="5899"/>
      <c r="P126" s="2409"/>
      <c r="Q126" s="2409"/>
      <c r="R126" s="1387"/>
      <c r="S126" s="1388"/>
      <c r="T126" s="1388"/>
      <c r="U126" s="974"/>
      <c r="V126" s="5577"/>
      <c r="W126" s="5578"/>
      <c r="X126" s="5579"/>
      <c r="Y126" s="5567"/>
      <c r="Z126" s="5569"/>
      <c r="AA126" s="1397" t="s">
        <v>1564</v>
      </c>
      <c r="AB126" s="5580" t="s">
        <v>1565</v>
      </c>
      <c r="AC126" s="5581"/>
      <c r="AD126" s="2129" t="s">
        <v>1393</v>
      </c>
      <c r="AE126" s="1398" t="s">
        <v>1566</v>
      </c>
      <c r="AF126" s="1397" t="s">
        <v>1564</v>
      </c>
      <c r="AG126" s="5580" t="s">
        <v>1565</v>
      </c>
      <c r="AH126" s="5581"/>
      <c r="AI126" s="2129" t="s">
        <v>1393</v>
      </c>
      <c r="AJ126" s="1398" t="s">
        <v>1566</v>
      </c>
      <c r="AK126" s="741" t="e">
        <f>IF(Z132&lt;1,0,VLOOKUP(Z132,Tabla_BonoStats,2))</f>
        <v>#N/A</v>
      </c>
      <c r="AL126" s="1389"/>
      <c r="AM126" s="1737"/>
      <c r="AN126" s="1737"/>
      <c r="AO126" s="1737"/>
      <c r="AP126" s="1737"/>
      <c r="AQ126" s="1737"/>
      <c r="AR126" s="1737"/>
      <c r="AS126" s="1737"/>
      <c r="AT126" s="1737"/>
      <c r="AU126" s="1737"/>
      <c r="AV126" s="1737"/>
      <c r="AW126" s="1737"/>
      <c r="AX126" s="1737"/>
      <c r="AY126" s="1737"/>
      <c r="AZ126" s="1737"/>
      <c r="BA126" s="1737"/>
      <c r="BB126" s="1737"/>
      <c r="BC126" s="1737"/>
      <c r="BD126" s="1737"/>
    </row>
    <row r="127" spans="1:56" ht="12" customHeight="1" thickBot="1" x14ac:dyDescent="0.25">
      <c r="A127" s="954"/>
      <c r="B127" s="489"/>
      <c r="C127" s="2409"/>
      <c r="D127" s="2409"/>
      <c r="E127" s="5890"/>
      <c r="F127" s="5891"/>
      <c r="G127" s="5891"/>
      <c r="H127" s="5891"/>
      <c r="I127" s="5891"/>
      <c r="J127" s="5892"/>
      <c r="K127" s="2135"/>
      <c r="L127" s="5987"/>
      <c r="M127" s="5987"/>
      <c r="N127" s="5987"/>
      <c r="O127" s="5986"/>
      <c r="P127" s="2409"/>
      <c r="Q127" s="2409"/>
      <c r="R127" s="1387"/>
      <c r="S127" s="1388"/>
      <c r="T127" s="1388"/>
      <c r="U127" s="974"/>
      <c r="V127" s="5560" t="s">
        <v>8607</v>
      </c>
      <c r="W127" s="5561"/>
      <c r="X127" s="5564">
        <f>IFERROR(VLOOKUP(V126,Tabla_CaracterísticasGéminis,4,0),0)</f>
        <v>0</v>
      </c>
      <c r="Y127" s="5566" t="s">
        <v>8604</v>
      </c>
      <c r="Z127" s="5568">
        <f>IFERROR(VLOOKUP(V126,Tabla_CaracterísticasGéminis,3,0)+IF(COUNTIF(W133:Z138,"Metal")&gt;0,4,0),0)</f>
        <v>0</v>
      </c>
      <c r="AA127" s="5536" t="str">
        <f>IFERROR(IF(OR(AC125="",Tablas!$H$1016=0),"-",IF(OR(AC125="Armas naturales",VLOOKUP(AC125,Tabla_ArmasyEscudos,9,0)="Conocida"),HA_final,"-")+AB131+AC137+5*MIN(4,COUNTIF(W133:Z138,"Capacidad de combate"))-10*MAX(0,AR128-Z132))+IF(AND(OR(AC125="Lanza",AC125="Vara"),AA125="A 1 mano"),-10,0),"-")</f>
        <v>-</v>
      </c>
      <c r="AB127" s="5538"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475" t="str">
        <f>IF(OR(AC125="",Tablas!$H$1016=0),"",Par_Esq)</f>
        <v/>
      </c>
      <c r="AD127" s="5549" t="str">
        <f>IFERROR(IF(OR(AC125="",Tablas!$H$1016=0),"-",IF(AC125="Armas naturales",Turno_Nat_final-20+AO136,Turno_Nat_final-20+IF(ISNA(AU129),AU128,IF((AU128-AB131)=(AU129-AG131),MIN(AU128,AU129)-IF(VLOOKUP(AC125,Tabla_ArmasyEscudos,3,FALSE)&gt;=0,10,20),MIN(AU128,AU129))))+IF(COUNTIF(W133:Z138,"Metal")&gt;0,-40,0)),"-")</f>
        <v>-</v>
      </c>
      <c r="AE127" s="5551"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36" t="str">
        <f>IFERROR(IF(OR(AH125="",Tablas!$H$1016=0),"-",IF(VLOOKUP(AH125,Tabla_ArmasyEscudos,9,0)="Conocida",HA_final,"-")-40+AG131+AH137+5*MIN(4,COUNTIF(W133:Z138,"Capacidad de combate"))-10*MAX(0,AR129-Z132))+IF(AND(OR(AH125="Lanza",AH125="Vara"),AF125="A 1 mano"),-10,0),"-")</f>
        <v>-</v>
      </c>
      <c r="AG127" s="5538"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475" t="str">
        <f>IF(OR(AH125="",Tablas!$H$1016=0),"",Par_Esq)</f>
        <v/>
      </c>
      <c r="AI127" s="5549" t="s">
        <v>1578</v>
      </c>
      <c r="AJ127" s="5551"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41"/>
      <c r="AL127" s="1389"/>
      <c r="AM127" s="1737"/>
      <c r="AN127" s="1737" t="s">
        <v>8616</v>
      </c>
      <c r="AO127" s="1737"/>
      <c r="AP127" s="1737"/>
      <c r="AQ127" s="1737" t="s">
        <v>8624</v>
      </c>
      <c r="AR127" s="1737" t="s">
        <v>8626</v>
      </c>
      <c r="AS127" s="1737" t="s">
        <v>8625</v>
      </c>
      <c r="AT127" s="1737" t="s">
        <v>1367</v>
      </c>
      <c r="AU127" s="1737" t="s">
        <v>8627</v>
      </c>
      <c r="AV127" s="1737"/>
      <c r="AW127" s="1737"/>
      <c r="AX127" s="1737"/>
      <c r="AY127" s="1737"/>
      <c r="AZ127" s="1737"/>
      <c r="BA127" s="1737"/>
      <c r="BB127" s="1737"/>
      <c r="BC127" s="1737"/>
      <c r="BD127" s="1737"/>
    </row>
    <row r="128" spans="1:56" ht="12" customHeight="1" thickBot="1" x14ac:dyDescent="0.25">
      <c r="A128" s="954"/>
      <c r="B128" s="489"/>
      <c r="R128" s="1387"/>
      <c r="S128" s="1388"/>
      <c r="T128" s="1388"/>
      <c r="U128" s="974"/>
      <c r="V128" s="5562"/>
      <c r="W128" s="5563"/>
      <c r="X128" s="5565"/>
      <c r="Y128" s="5567"/>
      <c r="Z128" s="5569"/>
      <c r="AA128" s="5537"/>
      <c r="AB128" s="5539"/>
      <c r="AC128" s="5476"/>
      <c r="AD128" s="5550"/>
      <c r="AE128" s="5552"/>
      <c r="AF128" s="5537"/>
      <c r="AG128" s="5539"/>
      <c r="AH128" s="5476"/>
      <c r="AI128" s="5550"/>
      <c r="AJ128" s="5552"/>
      <c r="AK128" s="741"/>
      <c r="AL128" s="1389"/>
      <c r="AM128" s="3055"/>
      <c r="AN128" s="1737" t="str">
        <f>ADDRESS(ROW(AN129),COLUMN(AN129))&amp;":"&amp;IF(AN133="",ADDRESS(ROW(AN131),COLUMN(AN131)),ADDRESS(ROW(AN133),COLUMN(AN133)))</f>
        <v>$AN$129:$AN$131</v>
      </c>
      <c r="AO128" s="1737"/>
      <c r="AP128" s="1737">
        <f>AC125</f>
        <v>0</v>
      </c>
      <c r="AQ128" s="1737" t="str">
        <f>IF(OR(AA125="A 2 manos",AA125="Proy. 2M"),"2M","")</f>
        <v/>
      </c>
      <c r="AR128" s="1737">
        <f ca="1">IFERROR(VLOOKUP(AC125,Tabla_ArmasyEscudos,IF(AQ128="2M",5,4),0),0)</f>
        <v>0</v>
      </c>
      <c r="AS128" s="1737">
        <f ca="1">IFERROR(IF(VLOOKUP(AC125,Tabla_ArmasyEscudos,18,0)&gt;0,IF(AC125="Atlatl",Z132+2,VLOOKUP(AC125,Tabla_ArmasyEscudos,18,0))+AB131/5,0),0)</f>
        <v>0</v>
      </c>
      <c r="AT128" s="1737">
        <f ca="1">IF(AS128&lt;1,0,VLOOKUP(AS128,Tablas!$C$14:$D$33,2))</f>
        <v>0</v>
      </c>
      <c r="AU128" s="1737" t="e">
        <f ca="1">VLOOKUP(AC125,Tabla_ArmasyEscudos,3,FALSE)+AE137+AB131</f>
        <v>#N/A</v>
      </c>
      <c r="AV128" s="1737"/>
      <c r="AW128" s="1737"/>
      <c r="AX128" s="1737"/>
      <c r="AY128" s="1737"/>
      <c r="AZ128" s="1737"/>
      <c r="BA128" s="1737"/>
      <c r="BB128" s="1737"/>
      <c r="BC128" s="1737"/>
      <c r="BD128" s="1737"/>
    </row>
    <row r="129" spans="1:56" ht="12" customHeight="1" thickBot="1" x14ac:dyDescent="0.25">
      <c r="A129" s="954"/>
      <c r="B129" s="489"/>
      <c r="C129" s="2691"/>
      <c r="D129" s="2768"/>
      <c r="E129" s="2768"/>
      <c r="F129" s="2768"/>
      <c r="G129" s="2768"/>
      <c r="H129" s="2768"/>
      <c r="I129" s="2768"/>
      <c r="J129" s="2768"/>
      <c r="K129" s="2768"/>
      <c r="L129" s="2768"/>
      <c r="M129" s="2768"/>
      <c r="N129" s="2768"/>
      <c r="O129" s="2768"/>
      <c r="P129" s="2768"/>
      <c r="Q129" s="2768"/>
      <c r="R129" s="1387"/>
      <c r="S129" s="1388"/>
      <c r="T129" s="1388"/>
      <c r="U129" s="974"/>
      <c r="V129" s="5553" t="s">
        <v>8612</v>
      </c>
      <c r="W129" s="3025"/>
      <c r="X129" s="3026" t="s">
        <v>1365</v>
      </c>
      <c r="Y129" s="3026" t="s">
        <v>8613</v>
      </c>
      <c r="Z129" s="3026" t="s">
        <v>1349</v>
      </c>
      <c r="AA129" s="2997" t="s">
        <v>8620</v>
      </c>
      <c r="AB129" s="2998" t="s">
        <v>8621</v>
      </c>
      <c r="AC129" s="2998" t="s">
        <v>1557</v>
      </c>
      <c r="AD129" s="2998" t="s">
        <v>1570</v>
      </c>
      <c r="AE129" s="1396" t="s">
        <v>1558</v>
      </c>
      <c r="AF129" s="2997" t="s">
        <v>8620</v>
      </c>
      <c r="AG129" s="2998" t="s">
        <v>8621</v>
      </c>
      <c r="AH129" s="2998" t="s">
        <v>1557</v>
      </c>
      <c r="AI129" s="2998" t="s">
        <v>1570</v>
      </c>
      <c r="AJ129" s="1396" t="s">
        <v>1558</v>
      </c>
      <c r="AK129" s="741"/>
      <c r="AL129" s="1389"/>
      <c r="AM129" s="1737"/>
      <c r="AN129" s="1737" t="s">
        <v>1965</v>
      </c>
      <c r="AO129" s="1737"/>
      <c r="AP129" s="1737">
        <f>AH125</f>
        <v>0</v>
      </c>
      <c r="AQ129" s="1737" t="str">
        <f>IF(OR(AF125="A 2 manos",AF125="Proy. 2M"),"2M","")</f>
        <v/>
      </c>
      <c r="AR129" s="1737">
        <f ca="1">IFERROR(VLOOKUP(AH125,Tabla_ArmasyEscudos,IF(AQ129="2M",5,4),0),0)</f>
        <v>0</v>
      </c>
      <c r="AS129" s="1737">
        <f ca="1">IFERROR(IF(VLOOKUP(AH125,Tabla_ArmasyEscudos,18,0)&gt;0,IF(AH125="Atlatl",Z132+2,VLOOKUP(AH125,Tabla_ArmasyEscudos,18,0))+AG131/5,0),0)</f>
        <v>0</v>
      </c>
      <c r="AT129" s="1737">
        <f ca="1">IF(AS129&lt;1,0,VLOOKUP(AS129,Tablas!$C$14:$D$33,2))</f>
        <v>0</v>
      </c>
      <c r="AU129" s="1737" t="e">
        <f ca="1">VLOOKUP(AH125,Tabla_ArmasyEscudos,3,FALSE)+AJ137+AG131</f>
        <v>#N/A</v>
      </c>
      <c r="AV129" s="1737"/>
      <c r="AW129" s="1737"/>
      <c r="AX129" s="1737"/>
      <c r="AY129" s="1737"/>
      <c r="AZ129" s="1737"/>
      <c r="BA129" s="1737"/>
      <c r="BB129" s="1737"/>
      <c r="BC129" s="1737"/>
      <c r="BD129" s="1737"/>
    </row>
    <row r="130" spans="1:56" ht="12" customHeight="1" x14ac:dyDescent="0.2">
      <c r="A130" s="954"/>
      <c r="B130" s="489"/>
      <c r="C130" s="4914" t="s">
        <v>9616</v>
      </c>
      <c r="D130" s="4915"/>
      <c r="E130" s="4915"/>
      <c r="F130" s="4915"/>
      <c r="G130" s="4915"/>
      <c r="H130" s="4915"/>
      <c r="I130" s="4915"/>
      <c r="J130" s="4915"/>
      <c r="K130" s="4915"/>
      <c r="L130" s="4915"/>
      <c r="M130" s="4915"/>
      <c r="N130" s="4915"/>
      <c r="O130" s="4915"/>
      <c r="P130" s="4915"/>
      <c r="Q130" s="5482"/>
      <c r="R130" s="1387"/>
      <c r="S130" s="1388"/>
      <c r="T130" s="1388"/>
      <c r="U130" s="974"/>
      <c r="V130" s="5554"/>
      <c r="W130" s="1459" t="s">
        <v>1373</v>
      </c>
      <c r="X130" s="1707" t="str">
        <f>IF(Tablas!$H$1016=0,"-",IF(Zen,DES,MIN(13,DES)))</f>
        <v>-</v>
      </c>
      <c r="Y130" s="2278"/>
      <c r="Z130" s="2998" t="str">
        <f>IFERROR(MIN(X130+Y130,IF(Zen,20,13)),"-")</f>
        <v>-</v>
      </c>
      <c r="AA130" s="1399" t="str">
        <f ca="1">IFERROR(IF(AC125="Armas naturales",IF(AD134="","-",AD134),VLOOKUP(IF(OR(AA125="Proy. 1M",AA125="Proy. 2M"),AD134,AC125),Tabla_ArmasyEscudos,6,0)),"-")</f>
        <v>-</v>
      </c>
      <c r="AB130" s="3027" t="str">
        <f ca="1">IFERROR(IF(AC125="Armas naturales",IF(AD135="","-",AD135),VLOOKUP(IF(OR(AA125="Proy. 1M",AA125="Proy. 2M"),AD134,AC125),Tabla_ArmasyEscudos,7,0)),"-")</f>
        <v>-</v>
      </c>
      <c r="AC130" s="3028"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43" t="str">
        <f>IFERROR(IF(OR(AC125="",Tablas!$H$1016=0),"-",IF(AC125="Armas naturales",AO138,IFERROR(VLOOKUP(AD134,Tabla_ArmasyEscudos,11,0)+2*AD135/5,VLOOKUP(AC125,Tabla_ArmasyEscudos,11,0)+2*AB131/5))+VLOOKUP(IF((AS128-AB131/5)&gt;0,AS128,Z132),Tabla_Fuerza,2)+IF(Extensióndelauraalarma,5,0)+IF(Ojos_de_la_Muerte,5,0)),"-")</f>
        <v>-</v>
      </c>
      <c r="AE130" s="3029" t="str">
        <f>IFERROR(IF(OR(AC125="",Tablas!$H$1016=0),"-",IF(AC125="Armas naturales",Presencia_final,VLOOKUP(AC125,Tabla_ArmasyEscudos,12,0)+50*MAX(AB131/5,0)&amp;IFERROR("/"&amp;VLOOKUP(AD134,Tabla_ArmasyEscudos,12,0)+50*MAX(AD135/5,0),""))),"-")</f>
        <v>-</v>
      </c>
      <c r="AF130" s="1399" t="str">
        <f ca="1">IFERROR(IF(AH125="Armas naturales",IF(AI134="","-",AI134),VLOOKUP(IF(AF125="Proy. 1M",AI134,AH125),Tabla_ArmasyEscudos,6,0)),"-")</f>
        <v>-</v>
      </c>
      <c r="AG130" s="3027" t="str">
        <f ca="1">IFERROR(IF(AH125="Armas naturales",IF(AI135="","-",AI135),VLOOKUP(IF(AF125="Proy. 1M",AI134,AH125),Tabla_ArmasyEscudos,7,0)),"-")</f>
        <v>-</v>
      </c>
      <c r="AH130" s="3028"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43" t="str">
        <f>IFERROR(IF(OR(AH125="",Tablas!$H$1016=0),"-",IF(AH125="Armas naturales",AO138,IFERROR(VLOOKUP(AI134,Tabla_ArmasyEscudos,11,0)+2*AI135/5,VLOOKUP(AH125,Tabla_ArmasyEscudos,11,0)+2*AG131/5))+VLOOKUP(IF((AS129-AG131/5)&gt;0,AS129,Z132),Tabla_Fuerza,2)+IF(Extensióndelauraalarma,5,0)+IF(Ojos_de_la_Muerte,5,0)),"-")</f>
        <v>-</v>
      </c>
      <c r="AJ130" s="3029" t="str">
        <f>IFERROR(IF(OR(AH125="",Tablas!$H$1016=0),"-",IF(AH125="Armas naturales",Presencia_final,VLOOKUP(AH125,Tabla_ArmasyEscudos,12,0)+50*MAX(AG131/5,0)&amp;IFERROR("/"&amp;VLOOKUP(AI134,Tabla_ArmasyEscudos,12,0)+50*MAX(AI135/5,0),""))),"-")</f>
        <v>-</v>
      </c>
      <c r="AK130" s="741"/>
      <c r="AL130" s="1389"/>
      <c r="AM130" s="1737"/>
      <c r="AN130" s="1737" t="s">
        <v>1966</v>
      </c>
      <c r="AO130" s="1737"/>
      <c r="AP130" s="1737"/>
      <c r="AQ130" s="1737"/>
      <c r="AR130" s="1737"/>
      <c r="AS130" s="1737"/>
      <c r="AT130" s="1737"/>
      <c r="AU130" s="1737"/>
      <c r="AV130" s="1737"/>
      <c r="AW130" s="1737"/>
      <c r="AX130" s="1737"/>
      <c r="AY130" s="1737"/>
      <c r="AZ130" s="1737"/>
      <c r="BA130" s="1737"/>
      <c r="BB130" s="1737"/>
      <c r="BC130" s="1737"/>
      <c r="BD130" s="1737"/>
    </row>
    <row r="131" spans="1:56" ht="12" customHeight="1" thickBot="1" x14ac:dyDescent="0.25">
      <c r="A131" s="954"/>
      <c r="B131" s="489"/>
      <c r="C131" s="4917"/>
      <c r="D131" s="4918"/>
      <c r="E131" s="4918"/>
      <c r="F131" s="4918"/>
      <c r="G131" s="4918"/>
      <c r="H131" s="4918"/>
      <c r="I131" s="4918"/>
      <c r="J131" s="4918"/>
      <c r="K131" s="4918"/>
      <c r="L131" s="4918"/>
      <c r="M131" s="4918"/>
      <c r="N131" s="4918"/>
      <c r="O131" s="4918"/>
      <c r="P131" s="4918"/>
      <c r="Q131" s="5483"/>
      <c r="R131" s="1387"/>
      <c r="S131" s="1388"/>
      <c r="T131" s="1388"/>
      <c r="U131" s="974"/>
      <c r="V131" s="5554"/>
      <c r="W131" s="1459" t="s">
        <v>1378</v>
      </c>
      <c r="X131" s="1708" t="str">
        <f>IF(Tablas!$H$1016=0,"-",IF(Zen,DES,MIN(13,DES)))</f>
        <v>-</v>
      </c>
      <c r="Y131" s="2279"/>
      <c r="Z131" s="3030" t="str">
        <f>IFERROR(MIN(X131+Y131,IF(Zen,20,13)),"-")</f>
        <v>-</v>
      </c>
      <c r="AA131" s="1711" t="str">
        <f>IF(AND(AC125&lt;&gt;"",AC125&lt;&gt;"Armas naturales"),"Calidad:","")</f>
        <v/>
      </c>
      <c r="AB131" s="3033"/>
      <c r="AC131" s="5556" t="str">
        <f ca="1">IF(AA135="Calidad munición:",IF(AD135&lt;=0,"","TA defensor:"),IF(AB131&lt;=0,"","TA defensor:"))</f>
        <v/>
      </c>
      <c r="AD131" s="5556"/>
      <c r="AE131" s="3032" t="str">
        <f ca="1">IF(AC131="TA defensor:",IF(AA135="Calidad munición:",AD135/(-5),AB131/(-5)),"")</f>
        <v/>
      </c>
      <c r="AF131" s="1711" t="str">
        <f>IF(AND(AH125&lt;&gt;"",AH125&lt;&gt;"Armas naturales"),"Calidad:","")</f>
        <v/>
      </c>
      <c r="AG131" s="3033"/>
      <c r="AH131" s="5556" t="str">
        <f ca="1">IF(AF135="Calidad munición:",IF(AI135&lt;=0,"","TA defensor:"),IF(AG131&lt;=0,"","TA defensor:"))</f>
        <v/>
      </c>
      <c r="AI131" s="5556"/>
      <c r="AJ131" s="3032" t="str">
        <f ca="1">IF(AH131="TA defensor:",IF(AF135="Calidad munición:",AI135/(-5),AG131/(-5)),"")</f>
        <v/>
      </c>
      <c r="AK131" s="741"/>
      <c r="AL131" s="1389"/>
      <c r="AM131" s="1737"/>
      <c r="AN131" s="1737" t="s">
        <v>1728</v>
      </c>
      <c r="AO131" s="1737"/>
      <c r="AP131" s="1737"/>
      <c r="AQ131" s="1737"/>
      <c r="AR131" s="1737"/>
      <c r="AS131" s="1737"/>
      <c r="AT131" s="1737"/>
      <c r="AU131" s="1737"/>
      <c r="AV131" s="1737"/>
      <c r="AW131" s="1737"/>
      <c r="AX131" s="1737"/>
      <c r="AY131" s="1737"/>
      <c r="AZ131" s="1737"/>
      <c r="BA131" s="1737"/>
      <c r="BB131" s="1737"/>
      <c r="BC131" s="1737"/>
      <c r="BD131" s="1737"/>
    </row>
    <row r="132" spans="1:56" ht="12" customHeight="1" thickBot="1" x14ac:dyDescent="0.25">
      <c r="A132" s="954"/>
      <c r="B132" s="489"/>
      <c r="C132" s="2768"/>
      <c r="D132" s="2768"/>
      <c r="E132" s="2768"/>
      <c r="F132" s="2768"/>
      <c r="G132" s="2768"/>
      <c r="H132" s="2768"/>
      <c r="I132" s="2768"/>
      <c r="J132" s="2768"/>
      <c r="K132" s="2768"/>
      <c r="L132" s="2768"/>
      <c r="M132" s="2768"/>
      <c r="N132" s="2768"/>
      <c r="O132" s="2768"/>
      <c r="P132" s="2768"/>
      <c r="Q132" s="2768"/>
      <c r="R132" s="1387"/>
      <c r="S132" s="1388"/>
      <c r="T132" s="1388"/>
      <c r="U132" s="974"/>
      <c r="V132" s="5555"/>
      <c r="W132" s="1460" t="s">
        <v>1383</v>
      </c>
      <c r="X132" s="3034" t="str">
        <f>IF(Tablas!$H$1016=0,"-",IF(Zen,FUE-2,MIN(11,FUE-2)))</f>
        <v>-</v>
      </c>
      <c r="Y132" s="2280"/>
      <c r="Z132" s="2996" t="str">
        <f>IFERROR(MIN(20,MIN(X132+Y132,IF(Zen,20,13))+IF(COUNTIF(W133:Z138,"Fuerza excepcional")&gt;0,IF(X132+6&lt;15,6,MAX(15-X132,0)),0)),"-")</f>
        <v>-</v>
      </c>
      <c r="AA132" s="5557" t="str">
        <f ca="1">IFERROR(IF(AC125="Armas naturales","",VLOOKUP(AC125,Tabla_ArmasyEscudos,19,0)),"")</f>
        <v/>
      </c>
      <c r="AB132" s="5558"/>
      <c r="AC132" s="5558"/>
      <c r="AD132" s="5558"/>
      <c r="AE132" s="5559"/>
      <c r="AF132" s="5557" t="str">
        <f ca="1">IFERROR(IF(AH125="Armas naturales","",VLOOKUP(AH125,Tabla_ArmasyEscudos,19,0)),"")</f>
        <v/>
      </c>
      <c r="AG132" s="5558"/>
      <c r="AH132" s="5558"/>
      <c r="AI132" s="5558"/>
      <c r="AJ132" s="5559"/>
      <c r="AK132" s="741"/>
      <c r="AL132" s="1389"/>
      <c r="AM132" s="1737"/>
      <c r="AN132" s="1737" t="str">
        <f>IF(COUNTIF(W133:Z138,"Tamaño excepcional")&gt;0,"Grande","")</f>
        <v/>
      </c>
      <c r="AO132" s="1737"/>
      <c r="AP132" s="1737"/>
      <c r="AQ132" s="1737"/>
      <c r="AR132" s="1737"/>
      <c r="AS132" s="1737"/>
      <c r="AT132" s="1737"/>
      <c r="AU132" s="1737"/>
      <c r="AV132" s="1737"/>
      <c r="AW132" s="1737"/>
      <c r="AX132" s="1737"/>
      <c r="AY132" s="1737"/>
      <c r="AZ132" s="1737"/>
      <c r="BA132" s="1737"/>
      <c r="BB132" s="1737"/>
      <c r="BC132" s="1737"/>
      <c r="BD132" s="1737"/>
    </row>
    <row r="133" spans="1:56" ht="12" customHeight="1" thickBot="1" x14ac:dyDescent="0.25">
      <c r="A133" s="954"/>
      <c r="B133" s="489"/>
      <c r="C133" s="3307" t="s">
        <v>9615</v>
      </c>
      <c r="D133" s="3308"/>
      <c r="E133" s="3308"/>
      <c r="F133" s="3308"/>
      <c r="G133" s="3308"/>
      <c r="H133" s="3308"/>
      <c r="I133" s="3308"/>
      <c r="J133" s="3308"/>
      <c r="K133" s="3308"/>
      <c r="L133" s="3308"/>
      <c r="M133" s="3308"/>
      <c r="N133" s="3308"/>
      <c r="O133" s="3308"/>
      <c r="P133" s="3308"/>
      <c r="Q133" s="3309"/>
      <c r="R133" s="1387"/>
      <c r="S133" s="1388"/>
      <c r="T133" s="1388"/>
      <c r="U133" s="974"/>
      <c r="V133" s="5554" t="s">
        <v>8592</v>
      </c>
      <c r="W133" s="5532"/>
      <c r="X133" s="5532"/>
      <c r="Y133" s="5532"/>
      <c r="Z133" s="5532"/>
      <c r="AA133" s="5533" t="str">
        <f ca="1">IFERROR(VLOOKUP(AD134,Tabla_ArmasyEscudos,19,0),"")</f>
        <v/>
      </c>
      <c r="AB133" s="5534"/>
      <c r="AC133" s="5534"/>
      <c r="AD133" s="5534"/>
      <c r="AE133" s="5535"/>
      <c r="AF133" s="5533" t="str">
        <f ca="1">IFERROR(VLOOKUP(AI134,Tabla_ArmasyEscudos,19,0),"")</f>
        <v/>
      </c>
      <c r="AG133" s="5534"/>
      <c r="AH133" s="5534"/>
      <c r="AI133" s="5534"/>
      <c r="AJ133" s="5535"/>
      <c r="AK133" s="741"/>
      <c r="AL133" s="1389"/>
      <c r="AM133" s="1737"/>
      <c r="AN133" s="1737" t="str">
        <f>IF(COUNTIF(W133:Z138,"Tamaño excepcional")&gt;0,"Enorme","")</f>
        <v/>
      </c>
      <c r="AO133" s="1737"/>
      <c r="AP133" s="1737"/>
      <c r="AQ133" s="1737"/>
      <c r="AR133" s="1737"/>
      <c r="AS133" s="1737"/>
      <c r="AT133" s="1737"/>
      <c r="AU133" s="1737"/>
      <c r="AV133" s="1737"/>
      <c r="AW133" s="1737"/>
      <c r="AX133" s="1737"/>
      <c r="AY133" s="1737"/>
      <c r="AZ133" s="1737"/>
      <c r="BA133" s="1737"/>
      <c r="BB133" s="1737"/>
      <c r="BC133" s="1737"/>
      <c r="BD133" s="1737"/>
    </row>
    <row r="134" spans="1:56" ht="12" customHeight="1" x14ac:dyDescent="0.2">
      <c r="A134" s="954"/>
      <c r="B134" s="489"/>
      <c r="C134" s="3756"/>
      <c r="D134" s="3757"/>
      <c r="E134" s="3757"/>
      <c r="F134" s="3757"/>
      <c r="G134" s="3757"/>
      <c r="H134" s="3757"/>
      <c r="I134" s="3757"/>
      <c r="J134" s="3757"/>
      <c r="K134" s="3757"/>
      <c r="L134" s="3757"/>
      <c r="M134" s="3757"/>
      <c r="N134" s="3757"/>
      <c r="O134" s="3757"/>
      <c r="P134" s="3757"/>
      <c r="Q134" s="3758"/>
      <c r="R134" s="1387"/>
      <c r="S134" s="1388"/>
      <c r="T134" s="1388"/>
      <c r="U134" s="974"/>
      <c r="V134" s="5554"/>
      <c r="W134" s="5583"/>
      <c r="X134" s="5584"/>
      <c r="Y134" s="5584"/>
      <c r="Z134" s="5585"/>
      <c r="AA134" s="4757" t="str">
        <f ca="1">IFERROR(IF(AC125="Armas naturales", "Armas naturales Crit. 1:",IF(ISNUMBER(FIND("Proyectiles",VLOOKUP(AC125,Tabla_ArmasyEscudos,8,0))),"Munición:","")),"")</f>
        <v/>
      </c>
      <c r="AB134" s="5593"/>
      <c r="AC134" s="5593"/>
      <c r="AD134" s="5594"/>
      <c r="AE134" s="5595"/>
      <c r="AF134" s="4757" t="str">
        <f ca="1">IFERROR(IF(AH125="Armas naturales", "Armas naturales Crit. 1:",IF(ISNUMBER(FIND("Proyectiles",VLOOKUP(AH125,Tabla_ArmasyEscudos,8,0))),"Munición:","")),"")</f>
        <v/>
      </c>
      <c r="AG134" s="5593"/>
      <c r="AH134" s="5593"/>
      <c r="AI134" s="5594"/>
      <c r="AJ134" s="5595"/>
      <c r="AK134" s="741"/>
      <c r="AL134" s="1389"/>
      <c r="AM134" s="1737"/>
      <c r="AN134" s="5582" t="s">
        <v>1916</v>
      </c>
      <c r="AO134" s="5582"/>
      <c r="AP134" s="1737"/>
      <c r="AQ134" s="1737"/>
      <c r="AR134" s="1737"/>
      <c r="AS134" s="1737"/>
      <c r="AT134" s="1737"/>
      <c r="AU134" s="1737"/>
      <c r="AV134" s="1737"/>
      <c r="AW134" s="1737"/>
      <c r="AX134" s="1737"/>
      <c r="AY134" s="1737"/>
      <c r="AZ134" s="1737"/>
      <c r="BA134" s="1737"/>
      <c r="BB134" s="1737"/>
      <c r="BC134" s="1737"/>
      <c r="BD134" s="1737"/>
    </row>
    <row r="135" spans="1:56" ht="12" customHeight="1" x14ac:dyDescent="0.2">
      <c r="A135" s="954"/>
      <c r="B135" s="489"/>
      <c r="C135" s="3759"/>
      <c r="D135" s="3515"/>
      <c r="E135" s="3515"/>
      <c r="F135" s="3515"/>
      <c r="G135" s="3515"/>
      <c r="H135" s="3515"/>
      <c r="I135" s="3515"/>
      <c r="J135" s="3515"/>
      <c r="K135" s="3515"/>
      <c r="L135" s="3515"/>
      <c r="M135" s="3515"/>
      <c r="N135" s="3515"/>
      <c r="O135" s="3515"/>
      <c r="P135" s="3515"/>
      <c r="Q135" s="3761"/>
      <c r="R135" s="1387"/>
      <c r="S135" s="1388"/>
      <c r="T135" s="1388"/>
      <c r="U135" s="974"/>
      <c r="V135" s="5554"/>
      <c r="W135" s="5583"/>
      <c r="X135" s="5584"/>
      <c r="Y135" s="5584"/>
      <c r="Z135" s="5585"/>
      <c r="AA135" s="5586" t="str">
        <f ca="1">IFERROR(IF(AC125="Armas naturales", "Armas naturales Crit. 2:",IF(ISNUMBER(FIND("Proyectiles",VLOOKUP(AC125,Tabla_ArmasyEscudos,8,0))),"Calidad Munición:","")),"")</f>
        <v/>
      </c>
      <c r="AB135" s="5587"/>
      <c r="AC135" s="5587"/>
      <c r="AD135" s="5588"/>
      <c r="AE135" s="5589"/>
      <c r="AF135" s="5586" t="str">
        <f ca="1">IFERROR(IF(AH125="Armas naturales", "Armas naturales Crit. 2:",IF(ISNUMBER(FIND("Proyectiles",VLOOKUP(AH125,Tabla_ArmasyEscudos,8,0))),"Calidad Munición:","")),"")</f>
        <v/>
      </c>
      <c r="AG135" s="5587"/>
      <c r="AH135" s="5587"/>
      <c r="AI135" s="5588"/>
      <c r="AJ135" s="5589"/>
      <c r="AK135" s="741"/>
      <c r="AL135" s="1389"/>
      <c r="AM135" s="1737"/>
      <c r="AN135" s="1737" t="s">
        <v>8618</v>
      </c>
      <c r="AO135" s="1737">
        <f>VLOOKUP(AF124,Tablas!$X$47:$AF$54,7,0)</f>
        <v>40</v>
      </c>
      <c r="AP135" s="1737"/>
      <c r="AQ135" s="1737"/>
      <c r="AR135" s="1737"/>
      <c r="AS135" s="1737"/>
      <c r="AT135" s="1737" t="s">
        <v>1456</v>
      </c>
      <c r="AU135" s="1737"/>
      <c r="AV135" s="1737"/>
      <c r="AW135" s="1737"/>
      <c r="AX135" s="1737"/>
      <c r="AY135" s="1737"/>
      <c r="AZ135" s="1737"/>
      <c r="BA135" s="1737"/>
      <c r="BB135" s="1737"/>
      <c r="BC135" s="1737"/>
      <c r="BD135" s="1737"/>
    </row>
    <row r="136" spans="1:56" ht="12" customHeight="1" x14ac:dyDescent="0.2">
      <c r="A136" s="954"/>
      <c r="B136" s="489"/>
      <c r="C136" s="3759"/>
      <c r="D136" s="3515"/>
      <c r="E136" s="3515"/>
      <c r="F136" s="3515"/>
      <c r="G136" s="3515"/>
      <c r="H136" s="3515"/>
      <c r="I136" s="3515"/>
      <c r="J136" s="3515"/>
      <c r="K136" s="3515"/>
      <c r="L136" s="3515"/>
      <c r="M136" s="3515"/>
      <c r="N136" s="3515"/>
      <c r="O136" s="3515"/>
      <c r="P136" s="3515"/>
      <c r="Q136" s="3761"/>
      <c r="R136" s="1387"/>
      <c r="S136" s="1388"/>
      <c r="T136" s="1388"/>
      <c r="U136" s="974"/>
      <c r="V136" s="5554"/>
      <c r="W136" s="5532"/>
      <c r="X136" s="5532"/>
      <c r="Y136" s="5532"/>
      <c r="Z136" s="5532"/>
      <c r="AA136" s="1061" t="str">
        <f ca="1">IF(ISNUMBER(FIND("Proyectiles",VLOOKUP(AC125,Tabla_ArmasyEscudos,8,0))),"Rango:","")</f>
        <v/>
      </c>
      <c r="AB136" s="3035" t="str">
        <f ca="1">IFERROR(IF(AA136="Rango:",(VLOOKUP(AC125,Tabla_ArmasyEscudos,17,0)+IF((AS128-AB131/5)&gt;0,VLOOKUP(MIN(AS128,AB139),Tabla_AlcanceFUE,2,0),IF($Z132&lt;3,-30,VLOOKUP(MIN(IF(Zen_IP,20,13),AB139,$Z132),Tabla_AlcanceFUE,2))))*IF(AlcanceIncrementado,2,1)&amp;" m",""),"")</f>
        <v/>
      </c>
      <c r="AC136" s="5590" t="str">
        <f ca="1">IF(ISNUMBER(FIND("Proyectiles",VLOOKUP(AC125,Tabla_ArmasyEscudos,8,0))),"Recarga:","")</f>
        <v/>
      </c>
      <c r="AD136" s="5590"/>
      <c r="AE136" s="2995" t="str">
        <f ca="1">IFERROR(IF(AC136="Recarga:",VLOOKUP(AC125,Tabla_ArmasyEscudos,16,0),""),"")</f>
        <v/>
      </c>
      <c r="AF136" s="1061" t="str">
        <f ca="1">IF(ISNUMBER(FIND("Proyectiles",VLOOKUP(AH125,Tabla_ArmasyEscudos,8,0))),"Rango:","")</f>
        <v/>
      </c>
      <c r="AG136" s="3035" t="str">
        <f ca="1">IFERROR(IF(AF136="Rango:",(VLOOKUP(AH125,Tabla_ArmasyEscudos,17,0)+IF((AS129-AG131/5)&gt;0,VLOOKUP(MIN(AS129,AG139),Tabla_AlcanceFUE,2,0),IF($Z132&lt;3,-30,VLOOKUP(MIN(IF(Zen_IP,20,13),AG139,$Z132),Tabla_AlcanceFUE,2))))*IF(AlcanceIncrementado,2,1)&amp;" m",""),"")</f>
        <v/>
      </c>
      <c r="AH136" s="5590" t="str">
        <f ca="1">IF(ISNUMBER(FIND("Proyectiles",VLOOKUP(AH125,Tabla_ArmasyEscudos,8,0))),"Recarga:","")</f>
        <v/>
      </c>
      <c r="AI136" s="5590"/>
      <c r="AJ136" s="2995" t="str">
        <f ca="1">IFERROR(IF(AH136="Recarga:",VLOOKUP(AH125,Tabla_ArmasyEscudos,16,0),""),"")</f>
        <v/>
      </c>
      <c r="AK136" s="741"/>
      <c r="AL136" s="1389"/>
      <c r="AM136" s="1737"/>
      <c r="AN136" s="1737" t="s">
        <v>1393</v>
      </c>
      <c r="AO136" s="1737">
        <f>MIN(VLOOKUP(AF124,Tablas!$X$47:$AF$54,2,0),20)</f>
        <v>20</v>
      </c>
      <c r="AP136" s="1737"/>
      <c r="AQ136" s="1737"/>
      <c r="AR136" s="1737"/>
      <c r="AS136" s="1737"/>
      <c r="AT136" s="1737" t="s">
        <v>1456</v>
      </c>
      <c r="AU136" s="1737"/>
      <c r="AV136" s="1737"/>
      <c r="AW136" s="1737"/>
      <c r="AX136" s="1737"/>
      <c r="AY136" s="1737"/>
      <c r="AZ136" s="1737"/>
      <c r="BA136" s="1737"/>
      <c r="BB136" s="1737"/>
      <c r="BC136" s="1737"/>
      <c r="BD136" s="1737"/>
    </row>
    <row r="137" spans="1:56" ht="12" customHeight="1" x14ac:dyDescent="0.2">
      <c r="A137" s="954"/>
      <c r="B137" s="489"/>
      <c r="C137" s="3759"/>
      <c r="D137" s="3515"/>
      <c r="E137" s="3515"/>
      <c r="F137" s="3515"/>
      <c r="G137" s="3515"/>
      <c r="H137" s="3515"/>
      <c r="I137" s="3515"/>
      <c r="J137" s="3515"/>
      <c r="K137" s="3515"/>
      <c r="L137" s="3515"/>
      <c r="M137" s="3515"/>
      <c r="N137" s="3515"/>
      <c r="O137" s="3515"/>
      <c r="P137" s="3515"/>
      <c r="Q137" s="3761"/>
      <c r="R137" s="1387"/>
      <c r="S137" s="1388"/>
      <c r="T137" s="1388"/>
      <c r="U137" s="974"/>
      <c r="V137" s="5554"/>
      <c r="W137" s="5583"/>
      <c r="X137" s="5584"/>
      <c r="Y137" s="5584"/>
      <c r="Z137" s="5585"/>
      <c r="AA137" s="5591" t="s">
        <v>998</v>
      </c>
      <c r="AB137" s="2132" t="s">
        <v>7229</v>
      </c>
      <c r="AC137" s="2256"/>
      <c r="AD137" s="2132" t="s">
        <v>1393</v>
      </c>
      <c r="AE137" s="2254"/>
      <c r="AF137" s="5591" t="s">
        <v>998</v>
      </c>
      <c r="AG137" s="2132" t="s">
        <v>7229</v>
      </c>
      <c r="AH137" s="2256"/>
      <c r="AI137" s="2132" t="s">
        <v>1393</v>
      </c>
      <c r="AJ137" s="2254"/>
      <c r="AK137" s="741"/>
      <c r="AL137" s="1389"/>
      <c r="AM137" s="1737"/>
      <c r="AN137" s="1737" t="s">
        <v>1964</v>
      </c>
      <c r="AO137" s="1737">
        <f>VLOOKUP(AF124,Tablas!$X$47:$AF$54,9,0)</f>
        <v>12</v>
      </c>
      <c r="AP137" s="1737"/>
      <c r="AQ137" s="1737"/>
      <c r="AR137" s="1737"/>
      <c r="AS137" s="1737"/>
      <c r="AT137" s="1737" t="s">
        <v>1456</v>
      </c>
      <c r="AU137" s="1737"/>
      <c r="AV137" s="1737"/>
      <c r="AW137" s="1737"/>
      <c r="AX137" s="1737"/>
      <c r="AY137" s="1737"/>
      <c r="AZ137" s="1737"/>
      <c r="BA137" s="1737"/>
      <c r="BB137" s="1737"/>
      <c r="BC137" s="1737"/>
      <c r="BD137" s="1737"/>
    </row>
    <row r="138" spans="1:56" ht="12" customHeight="1" thickBot="1" x14ac:dyDescent="0.25">
      <c r="A138" s="954"/>
      <c r="B138" s="489"/>
      <c r="C138" s="3762"/>
      <c r="D138" s="3763"/>
      <c r="E138" s="3763"/>
      <c r="F138" s="3763"/>
      <c r="G138" s="3763"/>
      <c r="H138" s="3763"/>
      <c r="I138" s="3763"/>
      <c r="J138" s="3763"/>
      <c r="K138" s="3763"/>
      <c r="L138" s="3763"/>
      <c r="M138" s="3763"/>
      <c r="N138" s="3763"/>
      <c r="O138" s="3763"/>
      <c r="P138" s="3763"/>
      <c r="Q138" s="3764"/>
      <c r="R138" s="1387"/>
      <c r="S138" s="1388"/>
      <c r="T138" s="1388"/>
      <c r="U138" s="974"/>
      <c r="V138" s="5555"/>
      <c r="W138" s="5596"/>
      <c r="X138" s="5596"/>
      <c r="Y138" s="5596"/>
      <c r="Z138" s="5596"/>
      <c r="AA138" s="5592"/>
      <c r="AB138" s="1394" t="s">
        <v>8330</v>
      </c>
      <c r="AC138" s="2257"/>
      <c r="AD138" s="3036" t="s">
        <v>1566</v>
      </c>
      <c r="AE138" s="2255"/>
      <c r="AF138" s="5592"/>
      <c r="AG138" s="1394" t="s">
        <v>8330</v>
      </c>
      <c r="AH138" s="2257"/>
      <c r="AI138" s="3036" t="s">
        <v>1566</v>
      </c>
      <c r="AJ138" s="2255"/>
      <c r="AK138" s="741"/>
      <c r="AL138" s="1389"/>
      <c r="AM138" s="1737"/>
      <c r="AN138" s="1737" t="s">
        <v>1570</v>
      </c>
      <c r="AO138" s="1737">
        <f>VLOOKUP(AF124,Tablas!$X$47:$AF$54,8,0)</f>
        <v>0</v>
      </c>
      <c r="AP138" s="1737"/>
      <c r="AQ138" s="1737"/>
      <c r="AR138" s="1737"/>
      <c r="AS138" s="1737"/>
      <c r="AT138" s="1737" t="s">
        <v>1456</v>
      </c>
      <c r="AU138" s="1737"/>
      <c r="AV138" s="1737"/>
      <c r="AW138" s="1737"/>
      <c r="AX138" s="1737"/>
      <c r="AY138" s="1737"/>
      <c r="AZ138" s="1737"/>
      <c r="BA138" s="1737"/>
      <c r="BB138" s="1737"/>
      <c r="BC138" s="1737"/>
      <c r="BD138" s="1737"/>
    </row>
    <row r="139" spans="1:56" ht="12" customHeight="1" thickBot="1" x14ac:dyDescent="0.25">
      <c r="A139" s="954"/>
      <c r="B139" s="491"/>
      <c r="C139" s="577"/>
      <c r="D139" s="577"/>
      <c r="E139" s="577"/>
      <c r="F139" s="577"/>
      <c r="G139" s="577"/>
      <c r="H139" s="577"/>
      <c r="I139" s="577"/>
      <c r="J139" s="577"/>
      <c r="K139" s="577"/>
      <c r="L139" s="577"/>
      <c r="M139" s="577"/>
      <c r="N139" s="577"/>
      <c r="O139" s="577"/>
      <c r="P139" s="577"/>
      <c r="Q139" s="577"/>
      <c r="R139" s="1403"/>
      <c r="S139" s="1388"/>
      <c r="T139" s="2146"/>
      <c r="U139" s="1400"/>
      <c r="V139" s="577"/>
      <c r="W139" s="577"/>
      <c r="X139" s="577"/>
      <c r="Y139" s="577"/>
      <c r="Z139" s="577"/>
      <c r="AA139" s="577"/>
      <c r="AB139" s="3037">
        <f>IF(AB131&lt;0,10,IF(AB131&gt;20,20,INDEX(Tablas!$L$23:$L$33,MATCH(AB131,Tablas!$N$23:$N$33,0))))</f>
        <v>10</v>
      </c>
      <c r="AC139" s="577"/>
      <c r="AD139" s="577"/>
      <c r="AE139" s="577"/>
      <c r="AF139" s="577"/>
      <c r="AG139" s="3037">
        <f>IF(AG131&lt;0,10,IF(AG131&gt;20,20,INDEX(Tablas!$L$23:$L$33,MATCH(AG131,Tablas!$N$23:$N$33,0))))</f>
        <v>10</v>
      </c>
      <c r="AH139" s="577"/>
      <c r="AI139" s="577"/>
      <c r="AJ139" s="577"/>
      <c r="AK139" s="744"/>
      <c r="AL139" s="1389"/>
      <c r="AM139" s="1737"/>
      <c r="AN139" s="1737"/>
      <c r="AO139" s="1737"/>
      <c r="AP139" s="1737"/>
      <c r="AQ139" s="1737"/>
      <c r="AR139" s="1737"/>
      <c r="AS139" s="1737"/>
      <c r="AT139" s="1737"/>
      <c r="AU139" s="1737"/>
      <c r="AV139" s="1737"/>
      <c r="AW139" s="1737"/>
      <c r="AX139" s="1737"/>
      <c r="AY139" s="1737"/>
      <c r="AZ139" s="1737"/>
      <c r="BA139" s="1737"/>
      <c r="BB139" s="1737"/>
      <c r="BC139" s="1737"/>
      <c r="BD139" s="1737"/>
    </row>
    <row r="140" spans="1:56" ht="12" customHeight="1" x14ac:dyDescent="0.2">
      <c r="A140" s="954"/>
      <c r="B140" s="954"/>
      <c r="C140" s="954"/>
      <c r="D140" s="954"/>
      <c r="E140" s="954"/>
      <c r="F140" s="954"/>
      <c r="G140" s="954"/>
      <c r="H140" s="954"/>
      <c r="I140" s="954"/>
      <c r="J140" s="954"/>
      <c r="K140" s="954"/>
      <c r="L140" s="954"/>
      <c r="M140" s="954"/>
      <c r="N140" s="954"/>
      <c r="O140" s="954"/>
      <c r="P140" s="954"/>
      <c r="Q140" s="954"/>
      <c r="R140" s="1388"/>
      <c r="S140" s="1388"/>
      <c r="T140" s="1388"/>
      <c r="U140" s="1388"/>
      <c r="V140" s="954"/>
      <c r="W140" s="954"/>
      <c r="X140" s="954"/>
      <c r="Y140" s="954"/>
      <c r="Z140" s="954"/>
      <c r="AA140" s="954"/>
      <c r="AB140" s="954"/>
      <c r="AC140" s="954"/>
      <c r="AD140" s="954"/>
      <c r="AE140" s="954"/>
      <c r="AF140" s="954"/>
      <c r="AG140" s="954"/>
      <c r="AH140" s="954"/>
      <c r="AI140" s="954"/>
      <c r="AJ140" s="954"/>
      <c r="AK140" s="1389"/>
      <c r="AL140" s="1389"/>
      <c r="AM140" s="1737"/>
      <c r="AN140" s="1737"/>
      <c r="AO140" s="1737"/>
      <c r="AP140" s="1737"/>
      <c r="AQ140" s="1737"/>
      <c r="AR140" s="1737"/>
      <c r="AS140" s="1737"/>
      <c r="AT140" s="1737"/>
      <c r="AU140" s="1737"/>
      <c r="AV140" s="1737"/>
      <c r="AW140" s="1737"/>
      <c r="AX140" s="1737"/>
      <c r="AY140" s="1737"/>
      <c r="AZ140" s="1737"/>
      <c r="BA140" s="1737"/>
      <c r="BB140" s="1737"/>
      <c r="BC140" s="1737"/>
      <c r="BD140" s="1737"/>
    </row>
  </sheetData>
  <sheetProtection selectLockedCells="1"/>
  <dataConsolidate/>
  <mergeCells count="675">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s>
  <phoneticPr fontId="9" type="noConversion"/>
  <conditionalFormatting sqref="V55:AA55">
    <cfRule type="cellIs" dxfId="502" priority="205" stopIfTrue="1" operator="equal">
      <formula>"Armas naturales"</formula>
    </cfRule>
  </conditionalFormatting>
  <conditionalFormatting sqref="Y33:Z33 AF33:AG33">
    <cfRule type="cellIs" dxfId="501" priority="209" stopIfTrue="1" operator="greaterThan">
      <formula>0</formula>
    </cfRule>
  </conditionalFormatting>
  <conditionalFormatting sqref="AE55 AE57 AE59 AE61">
    <cfRule type="cellIs" dxfId="500" priority="210" stopIfTrue="1" operator="equal">
      <formula>0</formula>
    </cfRule>
  </conditionalFormatting>
  <conditionalFormatting sqref="AE56 AE58 AE60">
    <cfRule type="cellIs" dxfId="499" priority="211" stopIfTrue="1" operator="equal">
      <formula>0</formula>
    </cfRule>
  </conditionalFormatting>
  <conditionalFormatting sqref="V56">
    <cfRule type="cellIs" dxfId="498" priority="218" stopIfTrue="1" operator="equal">
      <formula>"Armas naturales"</formula>
    </cfRule>
  </conditionalFormatting>
  <conditionalFormatting sqref="V57">
    <cfRule type="cellIs" dxfId="497" priority="219" stopIfTrue="1" operator="equal">
      <formula>"Armas naturales"</formula>
    </cfRule>
  </conditionalFormatting>
  <conditionalFormatting sqref="V58">
    <cfRule type="cellIs" dxfId="496" priority="220" stopIfTrue="1" operator="equal">
      <formula>"Armas naturales"</formula>
    </cfRule>
  </conditionalFormatting>
  <conditionalFormatting sqref="V59">
    <cfRule type="cellIs" dxfId="495" priority="221" stopIfTrue="1" operator="equal">
      <formula>"Armas naturales"</formula>
    </cfRule>
  </conditionalFormatting>
  <conditionalFormatting sqref="V60">
    <cfRule type="cellIs" dxfId="494" priority="222" stopIfTrue="1" operator="equal">
      <formula>"Armas naturales"</formula>
    </cfRule>
  </conditionalFormatting>
  <conditionalFormatting sqref="E12">
    <cfRule type="expression" dxfId="493" priority="184" stopIfTrue="1">
      <formula>NOT(#REF!="")</formula>
    </cfRule>
  </conditionalFormatting>
  <conditionalFormatting sqref="E15:G16">
    <cfRule type="expression" dxfId="492" priority="4851">
      <formula>$C15=""</formula>
    </cfRule>
  </conditionalFormatting>
  <conditionalFormatting sqref="AD88">
    <cfRule type="expression" dxfId="491" priority="5843">
      <formula>$AF$85&lt;&gt;"Si"</formula>
    </cfRule>
  </conditionalFormatting>
  <conditionalFormatting sqref="AD103:AE103">
    <cfRule type="expression" dxfId="490" priority="56">
      <formula>AA103&lt;&gt;""</formula>
    </cfRule>
  </conditionalFormatting>
  <conditionalFormatting sqref="AD102:AE102">
    <cfRule type="expression" dxfId="489" priority="67">
      <formula>AA102&lt;&gt;""</formula>
    </cfRule>
    <cfRule type="expression" dxfId="488" priority="155">
      <formula>OR(AD102="-",AD102="FIL",AD102="PEN",AD102="CON")</formula>
    </cfRule>
  </conditionalFormatting>
  <conditionalFormatting sqref="N49:Q49">
    <cfRule type="expression" dxfId="487" priority="79">
      <formula>$I$51="Exceso de bonos de transformación"</formula>
    </cfRule>
  </conditionalFormatting>
  <conditionalFormatting sqref="AJ19:AJ20">
    <cfRule type="expression" dxfId="486" priority="75">
      <formula>$AG19&lt;&gt;""</formula>
    </cfRule>
  </conditionalFormatting>
  <conditionalFormatting sqref="AJ23">
    <cfRule type="expression" dxfId="485" priority="74">
      <formula>$AG23&lt;&gt;""</formula>
    </cfRule>
  </conditionalFormatting>
  <conditionalFormatting sqref="AJ27">
    <cfRule type="expression" dxfId="484" priority="73">
      <formula>$AG27&lt;&gt;""</formula>
    </cfRule>
  </conditionalFormatting>
  <conditionalFormatting sqref="AJ24">
    <cfRule type="expression" dxfId="483" priority="72">
      <formula>$AG25&lt;&gt;""</formula>
    </cfRule>
  </conditionalFormatting>
  <conditionalFormatting sqref="AJ28">
    <cfRule type="expression" dxfId="482" priority="71">
      <formula>$AG29&lt;&gt;""</formula>
    </cfRule>
  </conditionalFormatting>
  <conditionalFormatting sqref="AJ21">
    <cfRule type="expression" dxfId="481" priority="70">
      <formula>$AG21&lt;&gt;""</formula>
    </cfRule>
  </conditionalFormatting>
  <conditionalFormatting sqref="AJ25">
    <cfRule type="expression" dxfId="480" priority="69">
      <formula>$AG25&lt;&gt;""</formula>
    </cfRule>
  </conditionalFormatting>
  <conditionalFormatting sqref="AJ29">
    <cfRule type="expression" dxfId="479" priority="68">
      <formula>$AG29&lt;&gt;""</formula>
    </cfRule>
  </conditionalFormatting>
  <conditionalFormatting sqref="AI102:AJ102">
    <cfRule type="expression" dxfId="478" priority="65">
      <formula>AF102&lt;&gt;""</formula>
    </cfRule>
    <cfRule type="expression" dxfId="477" priority="66">
      <formula>OR(AI102="-",AI102="FIL",AI102="PEN",AI102="CON")</formula>
    </cfRule>
  </conditionalFormatting>
  <conditionalFormatting sqref="AD118:AE118">
    <cfRule type="expression" dxfId="476" priority="63">
      <formula>AA118&lt;&gt;""</formula>
    </cfRule>
    <cfRule type="expression" dxfId="475" priority="64">
      <formula>OR(AD118="-",AD118="FIL",AD118="PEN",AD118="CON")</formula>
    </cfRule>
  </conditionalFormatting>
  <conditionalFormatting sqref="AI118:AJ118">
    <cfRule type="expression" dxfId="474" priority="61">
      <formula>AF118&lt;&gt;""</formula>
    </cfRule>
    <cfRule type="expression" dxfId="473" priority="62">
      <formula>OR(AI118="-",AI118="FIL",AI118="PEN",AI118="CON")</formula>
    </cfRule>
  </conditionalFormatting>
  <conditionalFormatting sqref="AD134:AE134">
    <cfRule type="expression" dxfId="472" priority="59">
      <formula>AA134&lt;&gt;""</formula>
    </cfRule>
    <cfRule type="expression" dxfId="471" priority="60">
      <formula>OR(AD134="-",AD134="FIL",AD134="PEN",AD134="CON")</formula>
    </cfRule>
  </conditionalFormatting>
  <conditionalFormatting sqref="AI134:AJ134">
    <cfRule type="expression" dxfId="470" priority="57">
      <formula>AF134&lt;&gt;""</formula>
    </cfRule>
    <cfRule type="expression" dxfId="469" priority="58">
      <formula>OR(AI134="-",AI134="FIL",AI134="PEN",AI134="CON")</formula>
    </cfRule>
  </conditionalFormatting>
  <conditionalFormatting sqref="AB99">
    <cfRule type="expression" dxfId="468" priority="45">
      <formula>AA99&lt;&gt;""</formula>
    </cfRule>
  </conditionalFormatting>
  <conditionalFormatting sqref="AG99">
    <cfRule type="expression" dxfId="467" priority="43">
      <formula>AF99&lt;&gt;""</formula>
    </cfRule>
  </conditionalFormatting>
  <conditionalFormatting sqref="AG115">
    <cfRule type="expression" dxfId="466" priority="42">
      <formula>AF115&lt;&gt;""</formula>
    </cfRule>
  </conditionalFormatting>
  <conditionalFormatting sqref="AB115">
    <cfRule type="expression" dxfId="465" priority="41">
      <formula>AA115&lt;&gt;""</formula>
    </cfRule>
  </conditionalFormatting>
  <conditionalFormatting sqref="AB131">
    <cfRule type="expression" dxfId="464" priority="40">
      <formula>AA131&lt;&gt;""</formula>
    </cfRule>
  </conditionalFormatting>
  <conditionalFormatting sqref="AG131">
    <cfRule type="expression" dxfId="463" priority="39">
      <formula>AF131&lt;&gt;""</formula>
    </cfRule>
  </conditionalFormatting>
  <conditionalFormatting sqref="AC93:AE93 AH93:AI93 AH109:AI109 AH125:AJ125">
    <cfRule type="expression" dxfId="462" priority="17">
      <formula>OR(AA95="-",AD95="-")</formula>
    </cfRule>
    <cfRule type="expression" dxfId="461" priority="38">
      <formula>AA93&lt;&gt;""</formula>
    </cfRule>
  </conditionalFormatting>
  <conditionalFormatting sqref="AI103:AJ103">
    <cfRule type="expression" dxfId="460" priority="31">
      <formula>AF103&lt;&gt;""</formula>
    </cfRule>
  </conditionalFormatting>
  <conditionalFormatting sqref="AD119:AE119">
    <cfRule type="expression" dxfId="459" priority="30">
      <formula>AA119&lt;&gt;""</formula>
    </cfRule>
  </conditionalFormatting>
  <conditionalFormatting sqref="AI119:AJ119">
    <cfRule type="expression" dxfId="458" priority="29">
      <formula>AF119&lt;&gt;""</formula>
    </cfRule>
  </conditionalFormatting>
  <conditionalFormatting sqref="AD135:AE135">
    <cfRule type="expression" dxfId="457" priority="28">
      <formula>AA135&lt;&gt;""</formula>
    </cfRule>
  </conditionalFormatting>
  <conditionalFormatting sqref="AI135:AJ135">
    <cfRule type="expression" dxfId="456" priority="27">
      <formula>AF135&lt;&gt;""</formula>
    </cfRule>
  </conditionalFormatting>
  <conditionalFormatting sqref="E15:G15">
    <cfRule type="expression" dxfId="455" priority="26">
      <formula>C15&lt;&gt;""</formula>
    </cfRule>
  </conditionalFormatting>
  <conditionalFormatting sqref="E16:G16">
    <cfRule type="expression" dxfId="454" priority="25">
      <formula>C16&lt;&gt;""</formula>
    </cfRule>
  </conditionalFormatting>
  <conditionalFormatting sqref="E52:G52">
    <cfRule type="expression" dxfId="453" priority="8658">
      <formula>AND($AN$14,Raza="Ebudan")</formula>
    </cfRule>
  </conditionalFormatting>
  <conditionalFormatting sqref="E52:G52">
    <cfRule type="expression" dxfId="452" priority="8659">
      <formula>AND($AN$14,Raza="Ebudan")</formula>
    </cfRule>
  </conditionalFormatting>
  <conditionalFormatting sqref="C52:D52">
    <cfRule type="expression" dxfId="451" priority="8660">
      <formula>AND($AN$14,Raza="Ebudan")</formula>
    </cfRule>
  </conditionalFormatting>
  <conditionalFormatting sqref="C52:D52">
    <cfRule type="expression" dxfId="450" priority="8661">
      <formula>AND($AN$14,Raza="Ebudan")</formula>
    </cfRule>
  </conditionalFormatting>
  <conditionalFormatting sqref="AF93:AG93">
    <cfRule type="expression" dxfId="449" priority="24">
      <formula>OR(AC93="Armas naturales",AA93="A 2 manos",AA93="Proy. 2M")</formula>
    </cfRule>
  </conditionalFormatting>
  <conditionalFormatting sqref="AF109:AG109">
    <cfRule type="expression" dxfId="448" priority="21">
      <formula>OR(AC109="Armas naturales",AA109="A 2 manos",AA109="Proy. 2M")</formula>
    </cfRule>
  </conditionalFormatting>
  <conditionalFormatting sqref="AF125:AG125">
    <cfRule type="expression" dxfId="447" priority="18">
      <formula>OR(AC125="Armas naturales",AA125="A 2 manos",AA125="Proy. 2M")</formula>
    </cfRule>
  </conditionalFormatting>
  <conditionalFormatting sqref="AF55:AJ61">
    <cfRule type="expression" dxfId="446" priority="8667">
      <formula>$AJ55&gt;$AE55</formula>
    </cfRule>
  </conditionalFormatting>
  <conditionalFormatting sqref="AF124:AG124 AF108:AG108 AF92:AG92">
    <cfRule type="expression" dxfId="445" priority="8683">
      <formula>COUNTIF($AN97:$AN101,$AF92)=0</formula>
    </cfRule>
  </conditionalFormatting>
  <conditionalFormatting sqref="AC109:AE109">
    <cfRule type="expression" dxfId="444" priority="13">
      <formula>OR(AA111="-",AD111="-")</formula>
    </cfRule>
    <cfRule type="expression" dxfId="443" priority="14">
      <formula>AA109&lt;&gt;""</formula>
    </cfRule>
  </conditionalFormatting>
  <conditionalFormatting sqref="AC125:AE125">
    <cfRule type="expression" dxfId="442" priority="9">
      <formula>OR(AA127="-",AD127="-")</formula>
    </cfRule>
    <cfRule type="expression" dxfId="441" priority="10">
      <formula>AA125&lt;&gt;""</formula>
    </cfRule>
  </conditionalFormatting>
  <conditionalFormatting sqref="AJ93">
    <cfRule type="expression" dxfId="440" priority="8691">
      <formula>OR(AH95="-",AK111="-")</formula>
    </cfRule>
    <cfRule type="expression" dxfId="439" priority="8692">
      <formula>AH93&lt;&gt;""</formula>
    </cfRule>
  </conditionalFormatting>
  <conditionalFormatting sqref="AJ109">
    <cfRule type="expression" dxfId="438" priority="8695">
      <formula>OR(AH111="-",#REF!="-")</formula>
    </cfRule>
    <cfRule type="expression" dxfId="437" priority="8696">
      <formula>AH109&lt;&gt;""</formula>
    </cfRule>
  </conditionalFormatting>
  <conditionalFormatting sqref="Q21">
    <cfRule type="cellIs" dxfId="436" priority="6" operator="greaterThan">
      <formula>160</formula>
    </cfRule>
  </conditionalFormatting>
  <conditionalFormatting sqref="AC63 AG63">
    <cfRule type="expression" dxfId="435" priority="9522">
      <formula>$AB$63="Si"</formula>
    </cfRule>
  </conditionalFormatting>
  <conditionalFormatting sqref="AC21:AE21 AC25:AE25 AC29:AE29">
    <cfRule type="cellIs" dxfId="434" priority="9614" stopIfTrue="1" operator="greaterThan">
      <formula>$K$90</formula>
    </cfRule>
  </conditionalFormatting>
  <conditionalFormatting sqref="H24:H26 K24:K26 N24:N26 Q24:Q26">
    <cfRule type="expression" dxfId="433" priority="1">
      <formula>NOT(ISNUMBER(H24))</formula>
    </cfRule>
  </conditionalFormatting>
  <dataValidations count="62">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C93:AE93 AC125:AE125 AH93:AJ93 AC109:AE109 AH109:AJ109 AH125:AJ125">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C63:AJ63">
      <formula1>IF($AB$63="Si",Tabla_FamiliarDemonio,"")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 xmlns:xm="http://schemas.microsoft.com/office/excel/2006/main">
          <x14:cfRule type="expression" priority="9734" id="{64E9A5DC-FA1B-4A39-963B-7A4D699CC190}">
            <xm:f>Tablas!$G$487&gt;0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12"/>
  <sheetViews>
    <sheetView topLeftCell="AA814" zoomScaleNormal="100" workbookViewId="0">
      <selection activeCell="AS822" sqref="AS822"/>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9" customWidth="1"/>
    <col min="9" max="10" width="7.7109375" customWidth="1"/>
    <col min="11" max="11" width="12.5703125" customWidth="1"/>
    <col min="12" max="12" width="7.7109375" customWidth="1"/>
    <col min="13" max="13" width="7.28515625" customWidth="1"/>
    <col min="14" max="14" width="22.42578125" style="559" customWidth="1"/>
    <col min="15" max="24" width="7.7109375" customWidth="1"/>
    <col min="25" max="25" width="14.5703125" style="559" customWidth="1"/>
    <col min="26" max="26" width="36.85546875" style="559" customWidth="1"/>
    <col min="27" max="27" width="12.28515625" style="559" customWidth="1"/>
    <col min="28" max="41" width="7.7109375" style="559"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9">
        <v>2</v>
      </c>
      <c r="C1" s="699">
        <v>3</v>
      </c>
      <c r="D1" s="699">
        <v>4</v>
      </c>
      <c r="E1" s="699">
        <v>5</v>
      </c>
      <c r="F1" s="699">
        <v>6</v>
      </c>
      <c r="G1" s="699">
        <v>7</v>
      </c>
      <c r="H1" s="699">
        <v>8</v>
      </c>
      <c r="I1" s="699">
        <v>9</v>
      </c>
      <c r="J1" s="699">
        <v>10</v>
      </c>
      <c r="K1" s="699">
        <v>11</v>
      </c>
      <c r="L1" s="699">
        <v>12</v>
      </c>
      <c r="M1" s="699">
        <v>13</v>
      </c>
      <c r="N1" s="699">
        <v>14</v>
      </c>
      <c r="O1" s="699">
        <v>15</v>
      </c>
      <c r="P1" s="699">
        <v>16</v>
      </c>
      <c r="Q1" s="699">
        <v>17</v>
      </c>
      <c r="R1" s="699">
        <v>18</v>
      </c>
      <c r="S1" s="699">
        <v>19</v>
      </c>
      <c r="T1" s="699">
        <v>20</v>
      </c>
      <c r="U1" s="699">
        <v>21</v>
      </c>
      <c r="V1" s="699">
        <v>22</v>
      </c>
      <c r="W1" s="699">
        <v>23</v>
      </c>
      <c r="X1" s="699">
        <v>24</v>
      </c>
      <c r="Y1" s="699">
        <v>25</v>
      </c>
      <c r="Z1" s="699">
        <v>26</v>
      </c>
      <c r="AA1" s="699">
        <v>27</v>
      </c>
      <c r="AB1" s="699">
        <v>28</v>
      </c>
      <c r="AC1" s="699">
        <v>29</v>
      </c>
      <c r="AD1" s="699">
        <v>30</v>
      </c>
      <c r="AE1" s="699">
        <v>31</v>
      </c>
      <c r="AF1" s="699">
        <v>32</v>
      </c>
      <c r="AG1" s="699">
        <v>33</v>
      </c>
      <c r="AH1" s="699">
        <v>34</v>
      </c>
      <c r="AI1" s="699">
        <v>35</v>
      </c>
      <c r="AJ1" s="699">
        <v>36</v>
      </c>
      <c r="AK1" s="699">
        <v>37</v>
      </c>
      <c r="AL1" s="699">
        <v>38</v>
      </c>
      <c r="AM1" s="699">
        <v>39</v>
      </c>
      <c r="AN1" s="699">
        <v>40</v>
      </c>
      <c r="AO1" s="699">
        <v>41</v>
      </c>
      <c r="AP1" s="699">
        <v>42</v>
      </c>
      <c r="AQ1" s="699">
        <v>43</v>
      </c>
      <c r="AR1" s="699">
        <v>44</v>
      </c>
      <c r="AS1" s="699">
        <v>45</v>
      </c>
      <c r="AT1" s="699">
        <v>46</v>
      </c>
      <c r="AU1" s="699">
        <v>47</v>
      </c>
      <c r="AV1" s="699">
        <v>48</v>
      </c>
      <c r="AW1" s="699">
        <v>49</v>
      </c>
      <c r="AX1" s="699">
        <v>50</v>
      </c>
      <c r="AY1" s="699">
        <v>51</v>
      </c>
      <c r="AZ1" s="699">
        <v>52</v>
      </c>
      <c r="BA1" s="699">
        <v>53</v>
      </c>
      <c r="BB1" s="699">
        <v>54</v>
      </c>
      <c r="BC1" s="699">
        <v>55</v>
      </c>
      <c r="BD1" s="699">
        <v>56</v>
      </c>
      <c r="BE1" s="699">
        <v>57</v>
      </c>
      <c r="BF1" s="699">
        <v>58</v>
      </c>
      <c r="BG1" s="699">
        <v>59</v>
      </c>
      <c r="BH1" s="699">
        <v>60</v>
      </c>
      <c r="BI1" s="699">
        <v>61</v>
      </c>
      <c r="BJ1" s="699">
        <v>62</v>
      </c>
      <c r="BK1" s="699">
        <v>63</v>
      </c>
      <c r="BL1" s="699">
        <v>64</v>
      </c>
      <c r="BM1" s="699">
        <v>65</v>
      </c>
      <c r="BN1" s="699">
        <v>66</v>
      </c>
      <c r="BO1" s="699">
        <v>67</v>
      </c>
      <c r="BP1" s="699">
        <v>68</v>
      </c>
      <c r="BQ1" s="699">
        <v>69</v>
      </c>
      <c r="BR1" s="699">
        <v>70</v>
      </c>
      <c r="BS1" s="699">
        <v>71</v>
      </c>
      <c r="BT1" s="699">
        <v>72</v>
      </c>
      <c r="BU1" s="699">
        <v>73</v>
      </c>
      <c r="BV1" s="699">
        <v>74</v>
      </c>
      <c r="BW1" s="699">
        <v>75</v>
      </c>
      <c r="BX1" s="699">
        <v>76</v>
      </c>
      <c r="BY1" s="699">
        <v>77</v>
      </c>
      <c r="BZ1" s="699">
        <v>78</v>
      </c>
      <c r="CA1" s="699">
        <v>79</v>
      </c>
      <c r="CB1" s="699">
        <v>80</v>
      </c>
      <c r="CC1" s="699">
        <v>81</v>
      </c>
      <c r="CD1" s="699">
        <v>82</v>
      </c>
      <c r="CE1" s="699">
        <v>83</v>
      </c>
      <c r="CF1" s="699">
        <v>84</v>
      </c>
      <c r="CG1" s="699">
        <v>85</v>
      </c>
      <c r="CH1" s="699">
        <v>86</v>
      </c>
      <c r="CI1" s="699">
        <v>87</v>
      </c>
      <c r="CJ1" s="699">
        <v>88</v>
      </c>
      <c r="CK1" s="699">
        <v>89</v>
      </c>
      <c r="CL1" s="699">
        <v>90</v>
      </c>
      <c r="CM1" s="699">
        <v>91</v>
      </c>
      <c r="CN1" s="699">
        <v>92</v>
      </c>
      <c r="CO1" s="699">
        <v>93</v>
      </c>
      <c r="CP1" s="699">
        <v>94</v>
      </c>
      <c r="CQ1" s="699">
        <v>95</v>
      </c>
      <c r="CR1" s="699">
        <v>96</v>
      </c>
      <c r="CS1" s="699">
        <v>97</v>
      </c>
      <c r="CT1" s="699">
        <v>98</v>
      </c>
      <c r="CU1" s="699">
        <v>99</v>
      </c>
      <c r="CV1" s="699">
        <v>100</v>
      </c>
      <c r="CW1" s="699">
        <v>101</v>
      </c>
      <c r="CX1" s="699">
        <v>102</v>
      </c>
      <c r="CY1" s="699">
        <v>103</v>
      </c>
      <c r="CZ1" s="699">
        <v>104</v>
      </c>
      <c r="DA1" s="699">
        <v>105</v>
      </c>
      <c r="DB1" s="699">
        <v>106</v>
      </c>
      <c r="DC1" s="699">
        <v>107</v>
      </c>
      <c r="DD1" s="699">
        <v>108</v>
      </c>
      <c r="DE1" s="699">
        <v>109</v>
      </c>
      <c r="DF1" s="699">
        <v>110</v>
      </c>
    </row>
    <row r="2" spans="1:110" ht="12.75" customHeight="1" x14ac:dyDescent="0.2">
      <c r="A2" s="227">
        <v>2</v>
      </c>
      <c r="B2" s="5988"/>
      <c r="C2" s="6003" t="s">
        <v>7319</v>
      </c>
      <c r="D2" s="6003"/>
      <c r="E2" s="6003"/>
      <c r="F2" s="6003"/>
      <c r="G2" s="6003"/>
      <c r="H2" s="6003"/>
      <c r="I2" s="6003"/>
      <c r="J2" s="6003"/>
      <c r="K2" s="6003"/>
      <c r="L2" s="6003"/>
      <c r="M2" s="6003"/>
      <c r="N2" s="6003"/>
      <c r="O2" s="6003"/>
      <c r="P2" s="6003"/>
      <c r="Q2" s="6003"/>
      <c r="R2" s="6003"/>
      <c r="S2" s="6003"/>
      <c r="T2" s="6003"/>
      <c r="U2" s="6003"/>
      <c r="V2" s="6003"/>
      <c r="W2" s="6003"/>
      <c r="X2" s="6003"/>
      <c r="Y2" s="6003"/>
      <c r="Z2" s="6003"/>
      <c r="AA2" s="6003"/>
      <c r="AB2" s="6003"/>
      <c r="AC2" s="6003"/>
      <c r="AD2" s="6003"/>
      <c r="AE2" s="6003"/>
      <c r="AF2" s="6003"/>
      <c r="AG2" s="6003"/>
      <c r="AH2" s="6003"/>
      <c r="AI2" s="6003"/>
      <c r="AJ2" s="1435"/>
      <c r="AK2" s="1435"/>
      <c r="AL2" s="1435"/>
      <c r="AM2" s="1435"/>
      <c r="AN2" s="1435"/>
      <c r="AO2" s="1435"/>
      <c r="AP2" s="1436"/>
      <c r="AQ2" s="1436"/>
      <c r="AR2" s="1436"/>
      <c r="AS2" s="1436"/>
      <c r="AT2" s="1436"/>
      <c r="AU2" s="1436"/>
      <c r="AV2" s="1436"/>
      <c r="AW2" s="1436"/>
      <c r="AX2" s="1436"/>
      <c r="AY2" s="1436"/>
      <c r="AZ2" s="1436"/>
      <c r="BA2" s="1436"/>
      <c r="BB2" s="1436"/>
      <c r="BC2" s="1436"/>
      <c r="BD2" s="1436"/>
      <c r="BE2" s="1436"/>
      <c r="BF2" s="1436"/>
      <c r="BG2" s="1436"/>
      <c r="BH2" s="1436"/>
      <c r="BI2" s="1436"/>
      <c r="BJ2" s="1436"/>
      <c r="BK2" s="1436"/>
      <c r="BL2" s="1436"/>
      <c r="BM2" s="1436"/>
      <c r="BN2" s="1436"/>
      <c r="BO2" s="1436"/>
      <c r="BP2" s="1436"/>
      <c r="BQ2" s="1436"/>
      <c r="BR2" s="1436"/>
      <c r="BS2" s="1436"/>
      <c r="BT2" s="1436"/>
      <c r="BU2" s="1436"/>
      <c r="BV2" s="1436"/>
      <c r="BW2" s="1436"/>
      <c r="BX2" s="1436"/>
      <c r="BY2" s="1436"/>
      <c r="BZ2" s="1436"/>
      <c r="CA2" s="1436"/>
      <c r="CB2" s="1436"/>
      <c r="CC2" s="1436"/>
      <c r="CD2" s="1436"/>
      <c r="CE2" s="1436"/>
      <c r="CF2" s="1436"/>
      <c r="CG2" s="1436"/>
      <c r="CH2" s="1436"/>
      <c r="CI2" s="1436"/>
      <c r="CJ2" s="1436"/>
      <c r="CK2" s="1436"/>
      <c r="CL2" s="1436"/>
      <c r="CM2" s="1436"/>
      <c r="CN2" s="1436"/>
      <c r="CO2" s="1436"/>
      <c r="CP2" s="1436"/>
      <c r="CQ2" s="1436"/>
      <c r="CR2" s="1436"/>
      <c r="CS2" s="1436"/>
      <c r="CT2" s="1436"/>
      <c r="CU2" s="1436"/>
      <c r="CV2" s="1436"/>
      <c r="CW2" s="1436"/>
      <c r="CX2" s="1436"/>
      <c r="CY2" s="1436"/>
      <c r="CZ2" s="1436"/>
      <c r="DA2" s="1436"/>
      <c r="DB2" s="1436"/>
      <c r="DC2" s="1436"/>
      <c r="DD2" s="1436"/>
      <c r="DE2" s="1436"/>
      <c r="DF2" s="1436"/>
    </row>
    <row r="3" spans="1:110" ht="12.75" customHeight="1" x14ac:dyDescent="0.2">
      <c r="A3" s="227">
        <v>3</v>
      </c>
      <c r="B3" s="5988"/>
      <c r="C3" s="6003"/>
      <c r="D3" s="6003"/>
      <c r="E3" s="6003"/>
      <c r="F3" s="6003"/>
      <c r="G3" s="6003"/>
      <c r="H3" s="6003"/>
      <c r="I3" s="6003"/>
      <c r="J3" s="6003"/>
      <c r="K3" s="6003"/>
      <c r="L3" s="6003"/>
      <c r="M3" s="6003"/>
      <c r="N3" s="6003"/>
      <c r="O3" s="6003"/>
      <c r="P3" s="6003"/>
      <c r="Q3" s="6003"/>
      <c r="R3" s="6003"/>
      <c r="S3" s="6003"/>
      <c r="T3" s="6003"/>
      <c r="U3" s="6003"/>
      <c r="V3" s="6003"/>
      <c r="W3" s="6003"/>
      <c r="X3" s="6003"/>
      <c r="Y3" s="6003"/>
      <c r="Z3" s="6003"/>
      <c r="AA3" s="6003"/>
      <c r="AB3" s="6003"/>
      <c r="AC3" s="6003"/>
      <c r="AD3" s="6003"/>
      <c r="AE3" s="6003"/>
      <c r="AF3" s="6003"/>
      <c r="AG3" s="6003"/>
      <c r="AH3" s="6003"/>
      <c r="AI3" s="6003"/>
      <c r="AJ3" s="1435"/>
      <c r="AK3" s="1435"/>
      <c r="AL3" s="1435"/>
      <c r="AM3" s="1435"/>
      <c r="AN3" s="1435"/>
      <c r="AO3" s="1435"/>
      <c r="AP3" s="1436"/>
      <c r="AQ3" s="1436"/>
      <c r="AR3" s="1436"/>
      <c r="AS3" s="1436"/>
      <c r="AT3" s="1436"/>
      <c r="AU3" s="1436"/>
      <c r="AV3" s="1436"/>
      <c r="AW3" s="1436"/>
      <c r="AX3" s="1436"/>
      <c r="AY3" s="1436"/>
      <c r="AZ3" s="1436"/>
      <c r="BA3" s="1436"/>
      <c r="BB3" s="1436"/>
      <c r="BC3" s="1436"/>
      <c r="BD3" s="1436"/>
      <c r="BE3" s="1436"/>
      <c r="BF3" s="1436"/>
      <c r="BG3" s="1436"/>
      <c r="BH3" s="1436"/>
      <c r="BI3" s="1436"/>
      <c r="BJ3" s="1436"/>
      <c r="BK3" s="1436"/>
      <c r="BL3" s="1436"/>
      <c r="BM3" s="1436"/>
      <c r="BN3" s="1436"/>
      <c r="BO3" s="1436"/>
      <c r="BP3" s="1436"/>
      <c r="BQ3" s="1436"/>
      <c r="BR3" s="1436"/>
      <c r="BS3" s="1436"/>
      <c r="BT3" s="1436"/>
      <c r="BU3" s="1436"/>
      <c r="BV3" s="1436"/>
      <c r="BW3" s="1436"/>
      <c r="BX3" s="1436"/>
      <c r="BY3" s="1436"/>
      <c r="BZ3" s="1436"/>
      <c r="CA3" s="1436"/>
      <c r="CB3" s="1436"/>
      <c r="CC3" s="1436"/>
      <c r="CD3" s="1436"/>
      <c r="CE3" s="1436"/>
      <c r="CF3" s="1436"/>
      <c r="CG3" s="1436"/>
      <c r="CH3" s="1436"/>
      <c r="CI3" s="1436"/>
      <c r="CJ3" s="1436"/>
      <c r="CK3" s="1436"/>
      <c r="CL3" s="1436"/>
      <c r="CM3" s="1436"/>
      <c r="CN3" s="1436"/>
      <c r="CO3" s="1436"/>
      <c r="CP3" s="1436"/>
      <c r="CQ3" s="1436"/>
      <c r="CR3" s="1436"/>
      <c r="CS3" s="1436"/>
      <c r="CT3" s="1436"/>
      <c r="CU3" s="1436"/>
      <c r="CV3" s="1436"/>
      <c r="CW3" s="1436"/>
      <c r="CX3" s="1436"/>
      <c r="CY3" s="1436"/>
      <c r="CZ3" s="1436"/>
      <c r="DA3" s="1436"/>
      <c r="DB3" s="1436"/>
      <c r="DC3" s="1436"/>
      <c r="DD3" s="1436"/>
      <c r="DE3" s="1436"/>
      <c r="DF3" s="1436"/>
    </row>
    <row r="4" spans="1:110" ht="12.75" customHeight="1" x14ac:dyDescent="0.2">
      <c r="A4" s="227">
        <v>4</v>
      </c>
      <c r="B4" s="5988"/>
      <c r="C4" s="6003"/>
      <c r="D4" s="6003"/>
      <c r="E4" s="6003"/>
      <c r="F4" s="6003"/>
      <c r="G4" s="6003"/>
      <c r="H4" s="6003"/>
      <c r="I4" s="6003"/>
      <c r="J4" s="6003"/>
      <c r="K4" s="6003"/>
      <c r="L4" s="6003"/>
      <c r="M4" s="6003"/>
      <c r="N4" s="6003"/>
      <c r="O4" s="6003"/>
      <c r="P4" s="6003"/>
      <c r="Q4" s="6003"/>
      <c r="R4" s="6003"/>
      <c r="S4" s="6003"/>
      <c r="T4" s="6003"/>
      <c r="U4" s="6003"/>
      <c r="V4" s="6003"/>
      <c r="W4" s="6003"/>
      <c r="X4" s="6003"/>
      <c r="Y4" s="6003"/>
      <c r="Z4" s="6003"/>
      <c r="AA4" s="6003"/>
      <c r="AB4" s="6003"/>
      <c r="AC4" s="6003"/>
      <c r="AD4" s="6003"/>
      <c r="AE4" s="6003"/>
      <c r="AF4" s="6003"/>
      <c r="AG4" s="6003"/>
      <c r="AH4" s="6003"/>
      <c r="AI4" s="6003"/>
      <c r="AJ4" s="1435"/>
      <c r="AK4" s="1435"/>
      <c r="AL4" s="1435"/>
      <c r="AM4" s="1435"/>
      <c r="AN4" s="1435"/>
      <c r="AO4" s="1435"/>
      <c r="AP4" s="1436"/>
      <c r="AQ4" s="1436"/>
      <c r="AR4" s="1436"/>
      <c r="AS4" s="1436"/>
      <c r="AT4" s="1436"/>
      <c r="AU4" s="1436"/>
      <c r="AV4" s="1436"/>
      <c r="AW4" s="1436"/>
      <c r="AX4" s="1436"/>
      <c r="AY4" s="1436"/>
      <c r="AZ4" s="1436"/>
      <c r="BA4" s="1436"/>
      <c r="BB4" s="1436"/>
      <c r="BC4" s="1436"/>
      <c r="BD4" s="1436"/>
      <c r="BE4" s="1436"/>
      <c r="BF4" s="1436"/>
      <c r="BG4" s="1436"/>
      <c r="BH4" s="1436"/>
      <c r="BI4" s="1436"/>
      <c r="BJ4" s="1436"/>
      <c r="BK4" s="1436"/>
      <c r="BL4" s="1436"/>
      <c r="BM4" s="1436"/>
      <c r="BN4" s="1436"/>
      <c r="BO4" s="1436"/>
      <c r="BP4" s="1436"/>
      <c r="BQ4" s="1436"/>
      <c r="BR4" s="1436"/>
      <c r="BS4" s="1436"/>
      <c r="BT4" s="1436"/>
      <c r="BU4" s="1436"/>
      <c r="BV4" s="1436"/>
      <c r="BW4" s="1436"/>
      <c r="BX4" s="1436"/>
      <c r="BY4" s="1436"/>
      <c r="BZ4" s="1436"/>
      <c r="CA4" s="1436"/>
      <c r="CB4" s="1436"/>
      <c r="CC4" s="1436"/>
      <c r="CD4" s="1436"/>
      <c r="CE4" s="1436"/>
      <c r="CF4" s="1436"/>
      <c r="CG4" s="1436"/>
      <c r="CH4" s="1436"/>
      <c r="CI4" s="1436"/>
      <c r="CJ4" s="1436"/>
      <c r="CK4" s="1436"/>
      <c r="CL4" s="1436"/>
      <c r="CM4" s="1436"/>
      <c r="CN4" s="1436"/>
      <c r="CO4" s="1436"/>
      <c r="CP4" s="1436"/>
      <c r="CQ4" s="1436"/>
      <c r="CR4" s="1436"/>
      <c r="CS4" s="1436"/>
      <c r="CT4" s="1436"/>
      <c r="CU4" s="1436"/>
      <c r="CV4" s="1436"/>
      <c r="CW4" s="1436"/>
      <c r="CX4" s="1436"/>
      <c r="CY4" s="1436"/>
      <c r="CZ4" s="1436"/>
      <c r="DA4" s="1436"/>
      <c r="DB4" s="1436"/>
      <c r="DC4" s="1436"/>
      <c r="DD4" s="1436"/>
      <c r="DE4" s="1436"/>
      <c r="DF4" s="1436"/>
    </row>
    <row r="5" spans="1:110" ht="13.5" customHeight="1" thickBot="1" x14ac:dyDescent="0.25">
      <c r="A5" s="227">
        <v>5</v>
      </c>
      <c r="B5" s="5988"/>
      <c r="H5"/>
      <c r="I5" s="559"/>
      <c r="N5"/>
      <c r="O5" s="559"/>
    </row>
    <row r="6" spans="1:110" ht="12.75" customHeight="1" thickBot="1" x14ac:dyDescent="0.25">
      <c r="A6" s="227">
        <v>6</v>
      </c>
      <c r="B6" s="5988"/>
      <c r="C6" s="3631" t="s">
        <v>2087</v>
      </c>
      <c r="E6" s="3631" t="s">
        <v>1303</v>
      </c>
      <c r="G6" s="3631" t="s">
        <v>810</v>
      </c>
      <c r="H6" s="3631"/>
      <c r="I6" s="559"/>
      <c r="J6" s="6112" t="s">
        <v>8665</v>
      </c>
      <c r="K6" s="6112"/>
      <c r="L6" s="6112"/>
      <c r="M6" s="6112"/>
      <c r="N6" s="6112"/>
      <c r="O6" s="6112"/>
      <c r="P6" s="6112"/>
      <c r="Q6" s="6112"/>
      <c r="S6" s="6038" t="s">
        <v>6593</v>
      </c>
      <c r="T6" s="6039"/>
      <c r="U6" s="6039"/>
      <c r="V6" s="6039"/>
      <c r="W6" s="6039"/>
      <c r="X6" s="6040"/>
      <c r="Y6" s="1209"/>
      <c r="Z6" s="1209"/>
    </row>
    <row r="7" spans="1:110" ht="12.75" customHeight="1" thickBot="1" x14ac:dyDescent="0.25">
      <c r="A7" s="227">
        <v>7</v>
      </c>
      <c r="B7" s="5988"/>
      <c r="C7" s="3631"/>
      <c r="E7" s="3631"/>
      <c r="G7" s="3631"/>
      <c r="H7" s="3631"/>
      <c r="I7" s="559"/>
      <c r="J7" s="6112" t="s">
        <v>8666</v>
      </c>
      <c r="K7" s="6112"/>
      <c r="L7" s="6112"/>
      <c r="M7" s="6112"/>
      <c r="N7" s="6112"/>
      <c r="O7" s="6112"/>
      <c r="P7" s="6112"/>
      <c r="Q7" s="6112"/>
      <c r="S7" s="6041"/>
      <c r="T7" s="6042"/>
      <c r="U7" s="6042"/>
      <c r="V7" s="6042"/>
      <c r="W7" s="6042"/>
      <c r="X7" s="6043"/>
      <c r="Y7" s="1209"/>
      <c r="Z7" s="1209"/>
    </row>
    <row r="8" spans="1:110" ht="12.75" customHeight="1" thickBot="1" x14ac:dyDescent="0.25">
      <c r="A8" s="227">
        <v>8</v>
      </c>
      <c r="B8" s="5988"/>
      <c r="C8" s="214" t="s">
        <v>2584</v>
      </c>
      <c r="E8" s="224" t="s">
        <v>1304</v>
      </c>
      <c r="G8" s="183" t="s">
        <v>811</v>
      </c>
      <c r="H8" s="36"/>
      <c r="I8" s="559"/>
      <c r="J8" s="6109" t="s">
        <v>10082</v>
      </c>
      <c r="K8" s="6109"/>
      <c r="L8" s="6109"/>
      <c r="M8" s="6109"/>
      <c r="N8" s="6109"/>
      <c r="O8" s="6109"/>
      <c r="P8" s="6109"/>
      <c r="Q8" s="6109"/>
      <c r="S8" s="683"/>
      <c r="T8" s="174" t="s">
        <v>6603</v>
      </c>
      <c r="U8" s="187" t="s">
        <v>6602</v>
      </c>
      <c r="V8" s="187" t="s">
        <v>6597</v>
      </c>
      <c r="W8" s="187" t="s">
        <v>6598</v>
      </c>
      <c r="X8" s="684" t="s">
        <v>647</v>
      </c>
    </row>
    <row r="9" spans="1:110" ht="12.75" customHeight="1" thickBot="1" x14ac:dyDescent="0.25">
      <c r="A9" s="227">
        <v>9</v>
      </c>
      <c r="B9" s="5988"/>
      <c r="C9" s="215" t="s">
        <v>1381</v>
      </c>
      <c r="E9" s="225" t="s">
        <v>1305</v>
      </c>
      <c r="G9" s="184" t="s">
        <v>812</v>
      </c>
      <c r="H9" s="69"/>
      <c r="I9" s="559"/>
      <c r="J9" s="6109"/>
      <c r="K9" s="6109"/>
      <c r="L9" s="6109"/>
      <c r="M9" s="6109"/>
      <c r="N9" s="6109"/>
      <c r="O9" s="6109"/>
      <c r="P9" s="6109"/>
      <c r="Q9" s="6109"/>
      <c r="S9" s="619" t="s">
        <v>6594</v>
      </c>
      <c r="T9" s="86">
        <f>VLOOKUP($S9&amp;$X$15,$U$14:$W$22,2,FALSE)</f>
        <v>0</v>
      </c>
      <c r="U9" s="86">
        <f>VLOOKUP($S9&amp;$X$15,$U$14:$W$22,3,FALSE)</f>
        <v>0</v>
      </c>
      <c r="V9" s="86">
        <f>1/4</f>
        <v>0.25</v>
      </c>
      <c r="W9" s="86"/>
      <c r="X9" s="490">
        <v>0</v>
      </c>
    </row>
    <row r="10" spans="1:110" ht="12.75" customHeight="1" thickBot="1" x14ac:dyDescent="0.25">
      <c r="A10" s="227">
        <v>10</v>
      </c>
      <c r="B10" s="5988"/>
      <c r="H10"/>
      <c r="I10" s="559"/>
      <c r="N10"/>
      <c r="O10" s="559"/>
      <c r="S10" s="619" t="s">
        <v>1728</v>
      </c>
      <c r="T10" s="86">
        <f>VLOOKUP($S10&amp;$X$15,$U$14:$W$22,2,FALSE)</f>
        <v>10</v>
      </c>
      <c r="U10" s="86">
        <f>VLOOKUP($S10&amp;$X$15,$U$14:$W$22,3,FALSE)</f>
        <v>0.1</v>
      </c>
      <c r="V10" s="86">
        <v>0.5</v>
      </c>
      <c r="W10" s="86"/>
      <c r="X10" s="490">
        <v>1</v>
      </c>
    </row>
    <row r="11" spans="1:110" ht="12.75" customHeight="1" thickBot="1" x14ac:dyDescent="0.25">
      <c r="A11" s="227">
        <v>11</v>
      </c>
      <c r="B11" s="5988"/>
      <c r="C11" s="6114" t="s">
        <v>1981</v>
      </c>
      <c r="D11" s="6114"/>
      <c r="E11" s="6114"/>
      <c r="G11" s="6113" t="s">
        <v>2003</v>
      </c>
      <c r="H11" s="6113"/>
      <c r="I11" s="6113"/>
      <c r="J11" s="6113"/>
      <c r="L11" s="6033" t="s">
        <v>1144</v>
      </c>
      <c r="M11" s="6034"/>
      <c r="N11" s="6035"/>
      <c r="O11" s="559"/>
      <c r="P11" s="4931" t="s">
        <v>1202</v>
      </c>
      <c r="Q11" s="4931"/>
      <c r="S11" s="619" t="s">
        <v>6595</v>
      </c>
      <c r="T11" s="86">
        <f>VLOOKUP($S11&amp;$X$15,$U$14:$W$22,2,FALSE)</f>
        <v>20</v>
      </c>
      <c r="U11" s="86">
        <f>VLOOKUP($S11&amp;$X$15,$U$14:$W$22,3,FALSE)</f>
        <v>0.25</v>
      </c>
      <c r="V11" s="86">
        <v>1</v>
      </c>
      <c r="W11" s="86"/>
      <c r="X11" s="490">
        <v>1</v>
      </c>
    </row>
    <row r="12" spans="1:110" ht="12.75" customHeight="1" thickBot="1" x14ac:dyDescent="0.25">
      <c r="A12" s="227">
        <v>12</v>
      </c>
      <c r="B12" s="5988"/>
      <c r="C12" s="6114"/>
      <c r="D12" s="6114"/>
      <c r="E12" s="6114"/>
      <c r="G12" s="6113"/>
      <c r="H12" s="6113"/>
      <c r="I12" s="6113"/>
      <c r="J12" s="6113"/>
      <c r="L12" s="6036"/>
      <c r="M12" s="4931"/>
      <c r="N12" s="6037"/>
      <c r="O12" s="559"/>
      <c r="P12" s="4931"/>
      <c r="Q12" s="4931"/>
      <c r="S12" s="747" t="s">
        <v>7076</v>
      </c>
      <c r="T12" s="492" t="s">
        <v>1456</v>
      </c>
      <c r="U12" s="492" t="s">
        <v>1456</v>
      </c>
      <c r="V12" s="492" t="s">
        <v>1456</v>
      </c>
      <c r="W12" s="492" t="s">
        <v>1456</v>
      </c>
      <c r="X12" s="685" t="s">
        <v>1456</v>
      </c>
    </row>
    <row r="13" spans="1:110" ht="12.75" customHeight="1" thickBot="1" x14ac:dyDescent="0.25">
      <c r="A13" s="227">
        <v>13</v>
      </c>
      <c r="B13" s="5988"/>
      <c r="C13" s="599" t="s">
        <v>1982</v>
      </c>
      <c r="D13" s="174" t="s">
        <v>1367</v>
      </c>
      <c r="E13" s="175" t="s">
        <v>1490</v>
      </c>
      <c r="G13" s="173" t="s">
        <v>1383</v>
      </c>
      <c r="H13" s="174" t="s">
        <v>2004</v>
      </c>
      <c r="I13" s="174" t="s">
        <v>2005</v>
      </c>
      <c r="J13" s="175" t="s">
        <v>2006</v>
      </c>
      <c r="L13" s="1410" t="s">
        <v>1383</v>
      </c>
      <c r="M13" s="1411" t="s">
        <v>1145</v>
      </c>
      <c r="N13" s="1412" t="s">
        <v>8652</v>
      </c>
      <c r="O13" s="559"/>
      <c r="P13" s="200" t="s">
        <v>1203</v>
      </c>
      <c r="Q13" s="202" t="s">
        <v>1204</v>
      </c>
      <c r="S13" s="689"/>
      <c r="T13" s="692" t="s">
        <v>2048</v>
      </c>
      <c r="U13" s="750" t="s">
        <v>6601</v>
      </c>
      <c r="V13" s="693" t="s">
        <v>6596</v>
      </c>
      <c r="W13" s="694" t="s">
        <v>2805</v>
      </c>
      <c r="X13" s="686" t="s">
        <v>6600</v>
      </c>
    </row>
    <row r="14" spans="1:110" ht="12.75" customHeight="1" x14ac:dyDescent="0.2">
      <c r="A14" s="227">
        <v>14</v>
      </c>
      <c r="B14" s="5988"/>
      <c r="C14" s="600">
        <v>1</v>
      </c>
      <c r="D14" s="192">
        <v>-30</v>
      </c>
      <c r="E14" s="193">
        <v>1</v>
      </c>
      <c r="G14" s="194">
        <v>1</v>
      </c>
      <c r="H14" s="86">
        <v>0</v>
      </c>
      <c r="I14" s="86">
        <v>0.5</v>
      </c>
      <c r="J14" s="50">
        <v>1</v>
      </c>
      <c r="L14" s="1409">
        <v>1</v>
      </c>
      <c r="M14" s="1344">
        <v>-30</v>
      </c>
      <c r="N14" s="1345"/>
      <c r="O14" s="559"/>
      <c r="P14" s="71">
        <v>1</v>
      </c>
      <c r="Q14" s="232">
        <v>1</v>
      </c>
      <c r="S14" s="689" t="s">
        <v>6594</v>
      </c>
      <c r="T14" s="993" t="s">
        <v>2064</v>
      </c>
      <c r="U14" s="751" t="str">
        <f>S14&amp;T14</f>
        <v>BajoMístico</v>
      </c>
      <c r="V14" s="86">
        <v>40</v>
      </c>
      <c r="W14" s="695">
        <f>0.3</f>
        <v>0.3</v>
      </c>
      <c r="X14" s="687" t="str">
        <f>IF(PDs!O7="","",VLOOKUP(PDs!O7,$D$202:$CH$223,83,FALSE))</f>
        <v/>
      </c>
    </row>
    <row r="15" spans="1:110" ht="12.75" customHeight="1" thickBot="1" x14ac:dyDescent="0.25">
      <c r="A15" s="227">
        <v>15</v>
      </c>
      <c r="B15" s="5988"/>
      <c r="C15" s="601">
        <v>2</v>
      </c>
      <c r="D15" s="86">
        <v>-20</v>
      </c>
      <c r="E15" s="50">
        <v>2</v>
      </c>
      <c r="G15" s="194">
        <v>2</v>
      </c>
      <c r="H15" s="86">
        <v>0</v>
      </c>
      <c r="I15" s="86">
        <v>5</v>
      </c>
      <c r="J15" s="50">
        <v>10</v>
      </c>
      <c r="L15" s="619">
        <v>2</v>
      </c>
      <c r="M15" s="86">
        <v>-30</v>
      </c>
      <c r="N15" s="490"/>
      <c r="O15" s="559"/>
      <c r="P15" s="71">
        <v>2</v>
      </c>
      <c r="Q15" s="232">
        <v>1</v>
      </c>
      <c r="S15" s="690" t="s">
        <v>6594</v>
      </c>
      <c r="T15" s="993" t="s">
        <v>6599</v>
      </c>
      <c r="U15" s="751" t="str">
        <f t="shared" ref="U15:U22" si="0">S15&amp;T15</f>
        <v>BajoMixto</v>
      </c>
      <c r="V15" s="86">
        <v>20</v>
      </c>
      <c r="W15" s="695">
        <f>0.2</f>
        <v>0.2</v>
      </c>
      <c r="X15" s="688" t="str">
        <f>IF(X14="MísticoSin","Místico",IF(ISNUMBER(SEARCH("Místico",X14)),"Mixto","Otros"))</f>
        <v>Otros</v>
      </c>
    </row>
    <row r="16" spans="1:110" ht="12.75" customHeight="1" x14ac:dyDescent="0.2">
      <c r="A16" s="227">
        <v>16</v>
      </c>
      <c r="B16" s="5988"/>
      <c r="C16" s="601">
        <v>3</v>
      </c>
      <c r="D16" s="86">
        <v>-10</v>
      </c>
      <c r="E16" s="50">
        <v>3</v>
      </c>
      <c r="G16" s="194">
        <v>3</v>
      </c>
      <c r="H16" s="86">
        <v>0</v>
      </c>
      <c r="I16" s="86">
        <v>10</v>
      </c>
      <c r="J16" s="50">
        <v>20</v>
      </c>
      <c r="L16" s="619">
        <v>3</v>
      </c>
      <c r="M16" s="86">
        <v>-30</v>
      </c>
      <c r="N16" s="490"/>
      <c r="O16" s="559"/>
      <c r="P16" s="71">
        <v>3</v>
      </c>
      <c r="Q16" s="232">
        <v>1</v>
      </c>
      <c r="S16" s="690" t="s">
        <v>6594</v>
      </c>
      <c r="T16" s="993" t="s">
        <v>6403</v>
      </c>
      <c r="U16" s="751" t="str">
        <f t="shared" si="0"/>
        <v>BajoOtros</v>
      </c>
      <c r="V16" s="86">
        <v>0</v>
      </c>
      <c r="W16" s="695">
        <v>0</v>
      </c>
    </row>
    <row r="17" spans="1:36" ht="12.75" customHeight="1" x14ac:dyDescent="0.2">
      <c r="A17" s="227">
        <v>17</v>
      </c>
      <c r="B17" s="5988"/>
      <c r="C17" s="601">
        <v>4</v>
      </c>
      <c r="D17" s="86">
        <v>-5</v>
      </c>
      <c r="E17" s="50">
        <v>4</v>
      </c>
      <c r="G17" s="194">
        <v>4</v>
      </c>
      <c r="H17" s="86">
        <v>0</v>
      </c>
      <c r="I17" s="86">
        <v>15</v>
      </c>
      <c r="J17" s="50">
        <v>40</v>
      </c>
      <c r="L17" s="619">
        <v>4</v>
      </c>
      <c r="M17" s="86">
        <v>-10</v>
      </c>
      <c r="N17" s="490"/>
      <c r="O17" s="559"/>
      <c r="P17" s="71">
        <v>4</v>
      </c>
      <c r="Q17" s="232">
        <v>1</v>
      </c>
      <c r="S17" s="689" t="s">
        <v>1728</v>
      </c>
      <c r="T17" s="994" t="s">
        <v>2064</v>
      </c>
      <c r="U17" s="752" t="str">
        <f t="shared" si="0"/>
        <v>MedioMístico</v>
      </c>
      <c r="V17" s="697">
        <v>50</v>
      </c>
      <c r="W17" s="698">
        <v>0.5</v>
      </c>
    </row>
    <row r="18" spans="1:36" ht="12.75" customHeight="1" thickBot="1" x14ac:dyDescent="0.25">
      <c r="A18" s="227">
        <v>18</v>
      </c>
      <c r="B18" s="5988"/>
      <c r="C18" s="601">
        <v>5</v>
      </c>
      <c r="D18" s="86">
        <v>0</v>
      </c>
      <c r="E18" s="50">
        <v>5</v>
      </c>
      <c r="G18" s="194">
        <v>5</v>
      </c>
      <c r="H18" s="86">
        <v>0</v>
      </c>
      <c r="I18" s="86">
        <v>25</v>
      </c>
      <c r="J18" s="50">
        <v>60</v>
      </c>
      <c r="L18" s="619">
        <v>5</v>
      </c>
      <c r="M18" s="86">
        <v>0</v>
      </c>
      <c r="N18" s="490"/>
      <c r="O18" s="559"/>
      <c r="P18" s="71">
        <v>5</v>
      </c>
      <c r="Q18" s="232">
        <v>1</v>
      </c>
      <c r="S18" s="690" t="s">
        <v>1728</v>
      </c>
      <c r="T18" s="993" t="s">
        <v>6599</v>
      </c>
      <c r="U18" s="751" t="str">
        <f t="shared" si="0"/>
        <v>MedioMixto</v>
      </c>
      <c r="V18" s="86">
        <v>40</v>
      </c>
      <c r="W18" s="695">
        <v>0.4</v>
      </c>
    </row>
    <row r="19" spans="1:36" ht="12.75" customHeight="1" x14ac:dyDescent="0.2">
      <c r="A19" s="227">
        <v>19</v>
      </c>
      <c r="B19" s="5988"/>
      <c r="C19" s="602">
        <v>6</v>
      </c>
      <c r="D19" s="86">
        <v>5</v>
      </c>
      <c r="E19" s="50">
        <v>6</v>
      </c>
      <c r="G19" s="88">
        <v>6</v>
      </c>
      <c r="H19" s="86">
        <v>0</v>
      </c>
      <c r="I19" s="86">
        <v>40</v>
      </c>
      <c r="J19" s="50">
        <v>120</v>
      </c>
      <c r="L19" s="619">
        <v>6</v>
      </c>
      <c r="M19" s="86">
        <v>0</v>
      </c>
      <c r="N19" s="490"/>
      <c r="O19" s="559"/>
      <c r="P19" s="71">
        <v>6</v>
      </c>
      <c r="Q19" s="232">
        <v>1</v>
      </c>
      <c r="S19" s="691" t="s">
        <v>1728</v>
      </c>
      <c r="T19" s="995" t="s">
        <v>6403</v>
      </c>
      <c r="U19" s="753" t="str">
        <f t="shared" si="0"/>
        <v>MedioOtros</v>
      </c>
      <c r="V19" s="696">
        <v>10</v>
      </c>
      <c r="W19" s="696">
        <v>0.1</v>
      </c>
      <c r="X19" s="6107" t="s">
        <v>7159</v>
      </c>
    </row>
    <row r="20" spans="1:36" ht="12.75" customHeight="1" x14ac:dyDescent="0.2">
      <c r="A20" s="227">
        <v>20</v>
      </c>
      <c r="B20" s="5988"/>
      <c r="C20" s="602">
        <v>7</v>
      </c>
      <c r="D20" s="86">
        <v>5</v>
      </c>
      <c r="E20" s="50">
        <v>7</v>
      </c>
      <c r="G20" s="88">
        <v>7</v>
      </c>
      <c r="H20" s="86">
        <v>0</v>
      </c>
      <c r="I20" s="86">
        <v>60</v>
      </c>
      <c r="J20" s="50">
        <v>180</v>
      </c>
      <c r="L20" s="619">
        <v>7</v>
      </c>
      <c r="M20" s="86">
        <v>10</v>
      </c>
      <c r="N20" s="490"/>
      <c r="O20" s="559"/>
      <c r="P20" s="71">
        <v>7</v>
      </c>
      <c r="Q20" s="232">
        <v>1</v>
      </c>
      <c r="S20" s="690" t="s">
        <v>6595</v>
      </c>
      <c r="T20" s="993" t="s">
        <v>2064</v>
      </c>
      <c r="U20" s="751" t="str">
        <f t="shared" si="0"/>
        <v>AltoMístico</v>
      </c>
      <c r="V20" s="86">
        <v>60</v>
      </c>
      <c r="W20" s="86">
        <v>0.8</v>
      </c>
      <c r="X20" s="6108"/>
    </row>
    <row r="21" spans="1:36" ht="12.75" customHeight="1" x14ac:dyDescent="0.2">
      <c r="A21" s="227">
        <v>21</v>
      </c>
      <c r="B21" s="5988"/>
      <c r="C21" s="602">
        <v>8</v>
      </c>
      <c r="D21" s="86">
        <v>10</v>
      </c>
      <c r="E21" s="50">
        <v>8</v>
      </c>
      <c r="G21" s="88">
        <v>8</v>
      </c>
      <c r="H21" s="86">
        <v>1</v>
      </c>
      <c r="I21" s="86">
        <v>80</v>
      </c>
      <c r="J21" s="50">
        <v>260</v>
      </c>
      <c r="L21" s="619">
        <v>8</v>
      </c>
      <c r="M21" s="86">
        <v>20</v>
      </c>
      <c r="N21" s="490"/>
      <c r="O21" s="559"/>
      <c r="P21" s="71">
        <v>8</v>
      </c>
      <c r="Q21" s="232">
        <v>1</v>
      </c>
      <c r="S21" s="690" t="s">
        <v>6595</v>
      </c>
      <c r="T21" s="993" t="s">
        <v>6599</v>
      </c>
      <c r="U21" s="751" t="str">
        <f t="shared" si="0"/>
        <v>AltoMixto</v>
      </c>
      <c r="V21" s="86">
        <v>50</v>
      </c>
      <c r="W21" s="86">
        <v>0.6</v>
      </c>
      <c r="X21" s="6110" t="b">
        <f>AND(Nivel_Sobrenatural&lt;&gt;Tablas!S12,General!$X$12="")</f>
        <v>0</v>
      </c>
    </row>
    <row r="22" spans="1:36" ht="12.75" customHeight="1" thickBot="1" x14ac:dyDescent="0.25">
      <c r="A22" s="227">
        <v>22</v>
      </c>
      <c r="B22" s="5988"/>
      <c r="C22" s="602">
        <v>9</v>
      </c>
      <c r="D22" s="86">
        <v>10</v>
      </c>
      <c r="E22" s="50">
        <v>10</v>
      </c>
      <c r="G22" s="88">
        <v>9</v>
      </c>
      <c r="H22" s="86">
        <v>1</v>
      </c>
      <c r="I22" s="86">
        <v>100</v>
      </c>
      <c r="J22" s="50">
        <v>350</v>
      </c>
      <c r="L22" s="619">
        <v>9</v>
      </c>
      <c r="M22" s="86">
        <v>30</v>
      </c>
      <c r="N22" s="490"/>
      <c r="O22" s="559"/>
      <c r="P22" s="71">
        <v>9</v>
      </c>
      <c r="Q22" s="232">
        <v>1</v>
      </c>
      <c r="S22" s="691" t="s">
        <v>6595</v>
      </c>
      <c r="T22" s="995" t="s">
        <v>6403</v>
      </c>
      <c r="U22" s="753" t="str">
        <f t="shared" si="0"/>
        <v>AltoOtros</v>
      </c>
      <c r="V22" s="696">
        <v>20</v>
      </c>
      <c r="W22" s="696">
        <v>0.25</v>
      </c>
      <c r="X22" s="6111"/>
    </row>
    <row r="23" spans="1:36" ht="12.75" customHeight="1" thickBot="1" x14ac:dyDescent="0.25">
      <c r="A23" s="227">
        <v>23</v>
      </c>
      <c r="B23" s="5988"/>
      <c r="C23" s="601">
        <v>10</v>
      </c>
      <c r="D23" s="86">
        <v>15</v>
      </c>
      <c r="E23" s="50">
        <v>15</v>
      </c>
      <c r="G23" s="194">
        <v>10</v>
      </c>
      <c r="H23" s="86">
        <v>2</v>
      </c>
      <c r="I23" s="86">
        <v>150</v>
      </c>
      <c r="J23" s="50">
        <v>420</v>
      </c>
      <c r="L23" s="619">
        <v>10</v>
      </c>
      <c r="M23" s="86">
        <v>50</v>
      </c>
      <c r="N23" s="490">
        <v>0</v>
      </c>
      <c r="O23" s="559"/>
      <c r="P23" s="71">
        <v>10</v>
      </c>
      <c r="Q23" s="232">
        <v>2</v>
      </c>
      <c r="S23" s="559"/>
    </row>
    <row r="24" spans="1:36" ht="12.75" customHeight="1" x14ac:dyDescent="0.2">
      <c r="A24" s="227">
        <v>24</v>
      </c>
      <c r="B24" s="5988"/>
      <c r="C24" s="602">
        <v>11</v>
      </c>
      <c r="D24" s="86">
        <v>20</v>
      </c>
      <c r="E24" s="50">
        <v>20</v>
      </c>
      <c r="G24" s="88">
        <v>11</v>
      </c>
      <c r="H24" s="86">
        <v>3</v>
      </c>
      <c r="I24" s="86">
        <v>200</v>
      </c>
      <c r="J24" s="50">
        <v>600</v>
      </c>
      <c r="L24" s="619">
        <v>11</v>
      </c>
      <c r="M24" s="86">
        <v>100</v>
      </c>
      <c r="N24" s="490">
        <v>5</v>
      </c>
      <c r="O24" s="559"/>
      <c r="P24" s="71">
        <v>11</v>
      </c>
      <c r="Q24" s="232">
        <v>2</v>
      </c>
      <c r="T24" s="6098" t="s">
        <v>7178</v>
      </c>
      <c r="U24" s="6100"/>
      <c r="W24" s="6033" t="s">
        <v>1142</v>
      </c>
      <c r="X24" s="6034"/>
      <c r="Y24" s="6035"/>
      <c r="AA24" s="6084" t="s">
        <v>2073</v>
      </c>
      <c r="AB24" s="6085"/>
      <c r="AC24" s="6086"/>
      <c r="AE24" s="6084" t="s">
        <v>2076</v>
      </c>
      <c r="AF24" s="6085"/>
      <c r="AG24" s="6086"/>
      <c r="AI24" s="6004" t="s">
        <v>1475</v>
      </c>
      <c r="AJ24" s="6005"/>
    </row>
    <row r="25" spans="1:36" ht="12.75" customHeight="1" x14ac:dyDescent="0.2">
      <c r="A25" s="227">
        <v>25</v>
      </c>
      <c r="B25" s="5988"/>
      <c r="C25" s="602">
        <v>12</v>
      </c>
      <c r="D25" s="86">
        <v>20</v>
      </c>
      <c r="E25" s="50">
        <v>30</v>
      </c>
      <c r="G25" s="88">
        <v>12</v>
      </c>
      <c r="H25" s="86">
        <v>3</v>
      </c>
      <c r="I25" s="86">
        <v>350</v>
      </c>
      <c r="J25" s="50">
        <v>1000</v>
      </c>
      <c r="L25" s="619">
        <v>12</v>
      </c>
      <c r="M25" s="86">
        <v>250</v>
      </c>
      <c r="N25" s="490"/>
      <c r="O25" s="559"/>
      <c r="P25" s="71">
        <v>12</v>
      </c>
      <c r="Q25" s="232">
        <v>2</v>
      </c>
      <c r="T25" s="6101"/>
      <c r="U25" s="6103"/>
      <c r="W25" s="6036"/>
      <c r="X25" s="4931"/>
      <c r="Y25" s="6037"/>
      <c r="AA25" s="6087"/>
      <c r="AB25" s="6088"/>
      <c r="AC25" s="6089"/>
      <c r="AE25" s="6087"/>
      <c r="AF25" s="6088"/>
      <c r="AG25" s="6089"/>
      <c r="AI25" s="6006"/>
      <c r="AJ25" s="6007"/>
    </row>
    <row r="26" spans="1:36" ht="13.5" customHeight="1" thickBot="1" x14ac:dyDescent="0.25">
      <c r="A26" s="227">
        <v>26</v>
      </c>
      <c r="B26" s="5988"/>
      <c r="C26" s="602">
        <v>13</v>
      </c>
      <c r="D26" s="86">
        <v>25</v>
      </c>
      <c r="E26" s="50">
        <v>40</v>
      </c>
      <c r="G26" s="88">
        <v>13</v>
      </c>
      <c r="H26" s="86">
        <v>4</v>
      </c>
      <c r="I26" s="86">
        <v>1000</v>
      </c>
      <c r="J26" s="50">
        <v>3000</v>
      </c>
      <c r="L26" s="619">
        <v>13</v>
      </c>
      <c r="M26" s="86">
        <v>500</v>
      </c>
      <c r="N26" s="490">
        <v>10</v>
      </c>
      <c r="O26" s="559"/>
      <c r="P26" s="71">
        <v>13</v>
      </c>
      <c r="Q26" s="232">
        <v>3</v>
      </c>
      <c r="T26" s="619">
        <v>0</v>
      </c>
      <c r="U26" s="490" t="s">
        <v>1456</v>
      </c>
      <c r="W26" s="1196" t="s">
        <v>1376</v>
      </c>
      <c r="X26" s="1197" t="s">
        <v>1377</v>
      </c>
      <c r="Y26" s="1210" t="s">
        <v>1143</v>
      </c>
      <c r="AA26" s="1211" t="s">
        <v>2074</v>
      </c>
      <c r="AB26" s="1185" t="s">
        <v>1358</v>
      </c>
      <c r="AC26" s="1212" t="s">
        <v>2075</v>
      </c>
      <c r="AE26" s="1211" t="s">
        <v>2077</v>
      </c>
      <c r="AF26" s="1213" t="s">
        <v>2078</v>
      </c>
      <c r="AG26" s="1212" t="s">
        <v>2075</v>
      </c>
      <c r="AI26" s="1214" t="s">
        <v>1386</v>
      </c>
      <c r="AJ26" s="1215" t="s">
        <v>1141</v>
      </c>
    </row>
    <row r="27" spans="1:36" ht="12.75" customHeight="1" x14ac:dyDescent="0.2">
      <c r="A27" s="227">
        <v>27</v>
      </c>
      <c r="B27" s="5988"/>
      <c r="C27" s="602">
        <v>14</v>
      </c>
      <c r="D27" s="86">
        <v>25</v>
      </c>
      <c r="E27" s="50">
        <v>50</v>
      </c>
      <c r="G27" s="88">
        <v>14</v>
      </c>
      <c r="H27" s="86">
        <v>4</v>
      </c>
      <c r="I27" s="86">
        <v>5000</v>
      </c>
      <c r="J27" s="50">
        <v>25000</v>
      </c>
      <c r="L27" s="619">
        <v>14</v>
      </c>
      <c r="M27" s="86">
        <v>1000</v>
      </c>
      <c r="N27" s="490"/>
      <c r="O27" s="559"/>
      <c r="P27" s="71">
        <v>14</v>
      </c>
      <c r="Q27" s="232">
        <v>3</v>
      </c>
      <c r="T27" s="619">
        <v>20</v>
      </c>
      <c r="U27" s="490" t="s">
        <v>7179</v>
      </c>
      <c r="W27" s="88">
        <v>0</v>
      </c>
      <c r="X27" s="86">
        <v>0</v>
      </c>
      <c r="Y27" s="1216"/>
      <c r="AA27" s="602">
        <v>0</v>
      </c>
      <c r="AB27" s="47" t="s">
        <v>1456</v>
      </c>
      <c r="AC27" s="1216" t="s">
        <v>1456</v>
      </c>
      <c r="AE27" s="602">
        <v>0</v>
      </c>
      <c r="AF27" s="47" t="s">
        <v>2079</v>
      </c>
      <c r="AG27" s="1216">
        <v>0</v>
      </c>
      <c r="AI27" s="1217">
        <v>1</v>
      </c>
      <c r="AJ27" s="1216">
        <v>1</v>
      </c>
    </row>
    <row r="28" spans="1:36" ht="12.75" customHeight="1" x14ac:dyDescent="0.2">
      <c r="A28" s="227">
        <v>28</v>
      </c>
      <c r="B28" s="5988"/>
      <c r="C28" s="601">
        <v>15</v>
      </c>
      <c r="D28" s="86">
        <v>30</v>
      </c>
      <c r="E28" s="50">
        <v>60</v>
      </c>
      <c r="G28" s="194">
        <v>15</v>
      </c>
      <c r="H28" s="86">
        <v>5</v>
      </c>
      <c r="I28" s="86">
        <v>15000</v>
      </c>
      <c r="J28" s="50">
        <v>100000</v>
      </c>
      <c r="L28" s="619">
        <v>15</v>
      </c>
      <c r="M28" s="86">
        <v>5000</v>
      </c>
      <c r="N28" s="490">
        <v>15</v>
      </c>
      <c r="O28" s="559"/>
      <c r="P28" s="71">
        <v>15</v>
      </c>
      <c r="Q28" s="232">
        <v>3</v>
      </c>
      <c r="T28" s="619">
        <v>40</v>
      </c>
      <c r="U28" s="490" t="s">
        <v>7180</v>
      </c>
      <c r="W28" s="88">
        <v>5</v>
      </c>
      <c r="X28" s="86">
        <v>0</v>
      </c>
      <c r="Y28" s="1216"/>
      <c r="AA28" s="602">
        <v>9</v>
      </c>
      <c r="AB28" s="47">
        <v>20</v>
      </c>
      <c r="AC28" s="135">
        <v>5</v>
      </c>
      <c r="AE28" s="602">
        <v>10</v>
      </c>
      <c r="AF28" s="47" t="s">
        <v>2080</v>
      </c>
      <c r="AG28" s="135">
        <v>-1</v>
      </c>
      <c r="AI28" s="1217">
        <v>2</v>
      </c>
      <c r="AJ28" s="1216">
        <v>1</v>
      </c>
    </row>
    <row r="29" spans="1:36" ht="12.75" customHeight="1" x14ac:dyDescent="0.2">
      <c r="A29" s="227">
        <v>29</v>
      </c>
      <c r="B29" s="5988"/>
      <c r="C29" s="601">
        <v>16</v>
      </c>
      <c r="D29" s="86">
        <v>35</v>
      </c>
      <c r="E29" s="50">
        <v>70</v>
      </c>
      <c r="G29" s="194">
        <v>16</v>
      </c>
      <c r="H29" s="86">
        <v>5</v>
      </c>
      <c r="I29" s="86">
        <v>100000</v>
      </c>
      <c r="J29" s="50">
        <v>500000</v>
      </c>
      <c r="L29" s="619">
        <v>16</v>
      </c>
      <c r="M29" s="86">
        <v>10000</v>
      </c>
      <c r="N29" s="490"/>
      <c r="O29" s="559"/>
      <c r="P29" s="71">
        <v>16</v>
      </c>
      <c r="Q29" s="232">
        <v>4</v>
      </c>
      <c r="T29" s="880">
        <v>80</v>
      </c>
      <c r="U29" s="490" t="s">
        <v>7181</v>
      </c>
      <c r="W29" s="88">
        <v>10</v>
      </c>
      <c r="X29" s="86">
        <v>0</v>
      </c>
      <c r="Y29" s="1216"/>
      <c r="AA29" s="602">
        <v>13</v>
      </c>
      <c r="AB29" s="47">
        <v>30</v>
      </c>
      <c r="AC29" s="135">
        <v>10</v>
      </c>
      <c r="AE29" s="602">
        <v>20</v>
      </c>
      <c r="AF29" s="47" t="s">
        <v>2081</v>
      </c>
      <c r="AG29" s="135">
        <v>-3</v>
      </c>
      <c r="AI29" s="1217">
        <v>3</v>
      </c>
      <c r="AJ29" s="1216">
        <v>1</v>
      </c>
    </row>
    <row r="30" spans="1:36" ht="12.75" customHeight="1" x14ac:dyDescent="0.2">
      <c r="A30" s="227">
        <v>30</v>
      </c>
      <c r="B30" s="5988"/>
      <c r="C30" s="602">
        <v>17</v>
      </c>
      <c r="D30" s="86">
        <v>35</v>
      </c>
      <c r="E30" s="50">
        <v>80</v>
      </c>
      <c r="G30" s="88">
        <v>17</v>
      </c>
      <c r="H30" s="86">
        <v>5</v>
      </c>
      <c r="I30" s="86">
        <v>500000</v>
      </c>
      <c r="J30" s="2372">
        <v>2500000</v>
      </c>
      <c r="L30" s="619">
        <v>17</v>
      </c>
      <c r="M30" s="86">
        <v>10000</v>
      </c>
      <c r="N30" s="490"/>
      <c r="O30" s="559"/>
      <c r="P30" s="71">
        <v>17</v>
      </c>
      <c r="Q30" s="232">
        <v>4</v>
      </c>
      <c r="T30" s="880">
        <v>120</v>
      </c>
      <c r="U30" s="490" t="s">
        <v>7190</v>
      </c>
      <c r="W30" s="88">
        <v>15</v>
      </c>
      <c r="X30" s="86">
        <v>0</v>
      </c>
      <c r="Y30" s="1216"/>
      <c r="AA30" s="602">
        <v>16</v>
      </c>
      <c r="AB30" s="47">
        <v>50</v>
      </c>
      <c r="AC30" s="135">
        <v>15</v>
      </c>
      <c r="AE30" s="602">
        <v>30</v>
      </c>
      <c r="AF30" s="47" t="s">
        <v>2082</v>
      </c>
      <c r="AG30" s="135">
        <v>-5</v>
      </c>
      <c r="AI30" s="1217">
        <v>4</v>
      </c>
      <c r="AJ30" s="1216">
        <v>1</v>
      </c>
    </row>
    <row r="31" spans="1:36" s="559" customFormat="1" ht="14.85" customHeight="1" x14ac:dyDescent="0.2">
      <c r="A31" s="227">
        <v>31</v>
      </c>
      <c r="B31" s="5988"/>
      <c r="C31" s="602">
        <v>18</v>
      </c>
      <c r="D31" s="86">
        <v>40</v>
      </c>
      <c r="E31" s="50">
        <v>90</v>
      </c>
      <c r="F31"/>
      <c r="G31" s="88">
        <v>18</v>
      </c>
      <c r="H31" s="86">
        <v>5</v>
      </c>
      <c r="I31" s="2376">
        <v>1000000</v>
      </c>
      <c r="J31" s="50">
        <v>10000000</v>
      </c>
      <c r="K31"/>
      <c r="L31" s="619">
        <v>18</v>
      </c>
      <c r="M31" s="86">
        <v>10000</v>
      </c>
      <c r="N31" s="490"/>
      <c r="P31" s="71">
        <v>18</v>
      </c>
      <c r="Q31" s="232">
        <v>4</v>
      </c>
      <c r="R31"/>
      <c r="T31" s="880">
        <v>140</v>
      </c>
      <c r="U31" s="490" t="s">
        <v>7182</v>
      </c>
      <c r="W31" s="88">
        <v>20</v>
      </c>
      <c r="X31" s="86">
        <v>0</v>
      </c>
      <c r="Y31" s="1216"/>
      <c r="AA31" s="602">
        <v>19</v>
      </c>
      <c r="AB31" s="47">
        <v>80</v>
      </c>
      <c r="AC31" s="135">
        <v>20</v>
      </c>
      <c r="AE31" s="602">
        <v>40</v>
      </c>
      <c r="AF31" s="47" t="s">
        <v>2083</v>
      </c>
      <c r="AG31" s="135">
        <v>-10</v>
      </c>
      <c r="AI31" s="1217">
        <v>5</v>
      </c>
      <c r="AJ31" s="1216">
        <v>1</v>
      </c>
    </row>
    <row r="32" spans="1:36" s="559" customFormat="1" ht="12.75" customHeight="1" x14ac:dyDescent="0.2">
      <c r="A32" s="227">
        <v>32</v>
      </c>
      <c r="B32" s="5988"/>
      <c r="C32" s="602">
        <v>19</v>
      </c>
      <c r="D32" s="86">
        <v>40</v>
      </c>
      <c r="E32" s="50">
        <v>100</v>
      </c>
      <c r="F32"/>
      <c r="G32" s="88">
        <v>19</v>
      </c>
      <c r="H32" s="86">
        <v>5</v>
      </c>
      <c r="I32" s="2373">
        <v>10000000</v>
      </c>
      <c r="J32" s="2372">
        <v>150000000</v>
      </c>
      <c r="K32"/>
      <c r="L32" s="619">
        <v>19</v>
      </c>
      <c r="M32" s="86">
        <v>10000</v>
      </c>
      <c r="N32" s="490"/>
      <c r="P32" s="71">
        <v>19</v>
      </c>
      <c r="Q32" s="232">
        <v>4</v>
      </c>
      <c r="R32"/>
      <c r="T32" s="880">
        <v>180</v>
      </c>
      <c r="U32" s="490" t="s">
        <v>7183</v>
      </c>
      <c r="W32" s="88">
        <v>25</v>
      </c>
      <c r="X32" s="86">
        <v>0</v>
      </c>
      <c r="Y32" s="1216"/>
      <c r="AA32" s="602">
        <v>22</v>
      </c>
      <c r="AB32" s="47">
        <v>120</v>
      </c>
      <c r="AC32" s="135">
        <v>25</v>
      </c>
      <c r="AE32" s="602">
        <v>50</v>
      </c>
      <c r="AF32" s="47" t="s">
        <v>2084</v>
      </c>
      <c r="AG32" s="135">
        <v>-15</v>
      </c>
      <c r="AI32" s="1217">
        <v>6</v>
      </c>
      <c r="AJ32" s="1216">
        <v>2</v>
      </c>
    </row>
    <row r="33" spans="1:41" s="223" customFormat="1" ht="14.85" customHeight="1" thickBot="1" x14ac:dyDescent="0.25">
      <c r="A33" s="227">
        <v>33</v>
      </c>
      <c r="B33" s="5988"/>
      <c r="C33" s="603">
        <v>20</v>
      </c>
      <c r="D33" s="190">
        <v>45</v>
      </c>
      <c r="E33" s="182">
        <v>150</v>
      </c>
      <c r="F33"/>
      <c r="G33" s="195">
        <v>20</v>
      </c>
      <c r="H33" s="190">
        <v>5</v>
      </c>
      <c r="I33" s="2375">
        <v>1E+100</v>
      </c>
      <c r="J33" s="2374">
        <v>1E+100</v>
      </c>
      <c r="K33"/>
      <c r="L33" s="713">
        <v>20</v>
      </c>
      <c r="M33" s="492">
        <v>10000</v>
      </c>
      <c r="N33" s="685">
        <v>20</v>
      </c>
      <c r="O33" s="559"/>
      <c r="P33" s="249">
        <v>20</v>
      </c>
      <c r="Q33" s="233">
        <v>4</v>
      </c>
      <c r="R33"/>
      <c r="T33" s="880">
        <v>240</v>
      </c>
      <c r="U33" s="490" t="s">
        <v>7184</v>
      </c>
      <c r="W33" s="88">
        <v>30</v>
      </c>
      <c r="X33" s="86">
        <v>50</v>
      </c>
      <c r="Y33" s="1216">
        <v>1</v>
      </c>
      <c r="Z33" s="559"/>
      <c r="AA33" s="602">
        <v>25</v>
      </c>
      <c r="AB33" s="47">
        <v>150</v>
      </c>
      <c r="AC33" s="135">
        <v>30</v>
      </c>
      <c r="AD33" s="559"/>
      <c r="AE33" s="602">
        <v>70</v>
      </c>
      <c r="AF33" s="47" t="s">
        <v>2085</v>
      </c>
      <c r="AG33" s="135">
        <v>-25</v>
      </c>
      <c r="AH33" s="559"/>
      <c r="AI33" s="1217">
        <v>7</v>
      </c>
      <c r="AJ33" s="1216">
        <v>3</v>
      </c>
      <c r="AK33" s="559"/>
      <c r="AL33" s="559"/>
      <c r="AM33" s="559"/>
      <c r="AN33" s="559"/>
      <c r="AO33" s="559"/>
    </row>
    <row r="34" spans="1:41" s="559" customFormat="1" ht="14.85" customHeight="1" thickBot="1" x14ac:dyDescent="0.25">
      <c r="A34" s="227">
        <v>34</v>
      </c>
      <c r="B34" s="5988"/>
      <c r="C34"/>
      <c r="D34"/>
      <c r="E34"/>
      <c r="F34"/>
      <c r="G34"/>
      <c r="H34"/>
      <c r="J34"/>
      <c r="K34"/>
      <c r="L34"/>
      <c r="M34"/>
      <c r="N34"/>
      <c r="P34"/>
      <c r="Q34"/>
      <c r="R34"/>
      <c r="T34" s="880">
        <v>280</v>
      </c>
      <c r="U34" s="490" t="s">
        <v>7185</v>
      </c>
      <c r="W34" s="88">
        <v>35</v>
      </c>
      <c r="X34" s="86">
        <v>150</v>
      </c>
      <c r="Y34" s="1216">
        <v>3</v>
      </c>
      <c r="AA34" s="602">
        <v>29</v>
      </c>
      <c r="AB34" s="47">
        <v>200</v>
      </c>
      <c r="AC34" s="135">
        <v>40</v>
      </c>
      <c r="AE34" s="1218">
        <v>100</v>
      </c>
      <c r="AF34" s="605" t="s">
        <v>2086</v>
      </c>
      <c r="AG34" s="610" t="s">
        <v>1456</v>
      </c>
      <c r="AI34" s="1217">
        <v>8</v>
      </c>
      <c r="AJ34" s="1216">
        <v>4</v>
      </c>
    </row>
    <row r="35" spans="1:41" ht="14.85" customHeight="1" x14ac:dyDescent="0.2">
      <c r="A35" s="227">
        <v>35</v>
      </c>
      <c r="B35" s="5988"/>
      <c r="C35" s="3115" t="s">
        <v>1983</v>
      </c>
      <c r="D35" s="3116"/>
      <c r="E35" s="3116"/>
      <c r="F35" s="3116"/>
      <c r="G35" s="3116"/>
      <c r="H35" s="3117"/>
      <c r="J35" s="6105" t="s">
        <v>2007</v>
      </c>
      <c r="K35" s="6106"/>
      <c r="M35" s="6038" t="s">
        <v>2092</v>
      </c>
      <c r="N35" s="6039"/>
      <c r="O35" s="6040"/>
      <c r="Q35" s="3115" t="s">
        <v>2089</v>
      </c>
      <c r="R35" s="3117"/>
      <c r="T35" s="880">
        <v>320</v>
      </c>
      <c r="U35" s="490" t="s">
        <v>7186</v>
      </c>
      <c r="W35" s="88">
        <v>40</v>
      </c>
      <c r="X35" s="86">
        <v>300</v>
      </c>
      <c r="Y35" s="1216">
        <v>6</v>
      </c>
      <c r="AA35" s="602">
        <v>32</v>
      </c>
      <c r="AB35" s="47">
        <v>350</v>
      </c>
      <c r="AC35" s="135">
        <v>50</v>
      </c>
      <c r="AI35" s="1217">
        <v>9</v>
      </c>
      <c r="AJ35" s="1216">
        <v>4</v>
      </c>
    </row>
    <row r="36" spans="1:41" ht="14.85" customHeight="1" thickBot="1" x14ac:dyDescent="0.25">
      <c r="A36" s="227">
        <v>36</v>
      </c>
      <c r="B36" s="5988"/>
      <c r="C36" s="3145"/>
      <c r="D36" s="4737"/>
      <c r="E36" s="4737"/>
      <c r="F36" s="4737"/>
      <c r="G36" s="4737"/>
      <c r="H36" s="3203"/>
      <c r="J36" s="6105"/>
      <c r="K36" s="6106"/>
      <c r="M36" s="1192" t="s">
        <v>2093</v>
      </c>
      <c r="N36" s="174" t="s">
        <v>2094</v>
      </c>
      <c r="O36" s="1171" t="s">
        <v>2095</v>
      </c>
      <c r="Q36" s="3145"/>
      <c r="R36" s="3203"/>
      <c r="T36" s="880">
        <v>440</v>
      </c>
      <c r="U36" s="490" t="s">
        <v>7187</v>
      </c>
      <c r="W36" s="88">
        <v>45</v>
      </c>
      <c r="X36" s="86">
        <v>500</v>
      </c>
      <c r="Y36" s="1216">
        <v>10</v>
      </c>
      <c r="AA36" s="1218">
        <v>35</v>
      </c>
      <c r="AB36" s="605">
        <v>500</v>
      </c>
      <c r="AC36" s="610">
        <v>60</v>
      </c>
      <c r="AI36" s="1217">
        <v>10</v>
      </c>
      <c r="AJ36" s="1216">
        <v>5</v>
      </c>
    </row>
    <row r="37" spans="1:41" ht="14.85" customHeight="1" thickBot="1" x14ac:dyDescent="0.25">
      <c r="A37" s="227">
        <v>37</v>
      </c>
      <c r="B37" s="5988"/>
      <c r="C37" s="1184" t="s">
        <v>1498</v>
      </c>
      <c r="D37" s="1185" t="s">
        <v>1368</v>
      </c>
      <c r="E37" s="6029" t="s">
        <v>1984</v>
      </c>
      <c r="F37" s="6029"/>
      <c r="G37" s="1186" t="s">
        <v>1985</v>
      </c>
      <c r="H37" s="1187" t="s">
        <v>1477</v>
      </c>
      <c r="J37" s="173" t="s">
        <v>2008</v>
      </c>
      <c r="K37" s="188" t="s">
        <v>1387</v>
      </c>
      <c r="M37" s="1193">
        <v>1</v>
      </c>
      <c r="N37" s="86">
        <v>5</v>
      </c>
      <c r="O37" s="1142">
        <v>0</v>
      </c>
      <c r="Q37" s="683" t="s">
        <v>2090</v>
      </c>
      <c r="R37" s="684" t="s">
        <v>2091</v>
      </c>
      <c r="T37" s="880" t="s">
        <v>7188</v>
      </c>
      <c r="U37" s="490" t="s">
        <v>7187</v>
      </c>
      <c r="W37" s="189">
        <v>50</v>
      </c>
      <c r="X37" s="190">
        <v>750</v>
      </c>
      <c r="Y37" s="1219">
        <v>15</v>
      </c>
      <c r="AI37" s="1217">
        <v>11</v>
      </c>
      <c r="AJ37" s="1216">
        <v>6</v>
      </c>
    </row>
    <row r="38" spans="1:41" ht="14.85" customHeight="1" thickBot="1" x14ac:dyDescent="0.25">
      <c r="A38" s="227">
        <v>38</v>
      </c>
      <c r="B38" s="5988"/>
      <c r="C38" s="619">
        <v>1</v>
      </c>
      <c r="D38" s="47">
        <v>0</v>
      </c>
      <c r="E38" s="58"/>
      <c r="F38" s="58" t="s">
        <v>1986</v>
      </c>
      <c r="G38" s="264" t="s">
        <v>1986</v>
      </c>
      <c r="H38" s="1188" t="str">
        <f>""</f>
        <v/>
      </c>
      <c r="J38" s="88">
        <v>1</v>
      </c>
      <c r="K38" s="196" t="s">
        <v>2009</v>
      </c>
      <c r="M38" s="1193">
        <v>2</v>
      </c>
      <c r="N38" s="86">
        <v>20</v>
      </c>
      <c r="O38" s="1142">
        <v>0</v>
      </c>
      <c r="Q38" s="619">
        <v>0</v>
      </c>
      <c r="R38" s="490">
        <v>1</v>
      </c>
      <c r="T38" s="881" t="s">
        <v>7189</v>
      </c>
      <c r="U38" s="685" t="s">
        <v>7187</v>
      </c>
      <c r="AI38" s="1217">
        <v>12</v>
      </c>
      <c r="AJ38" s="1216">
        <v>7</v>
      </c>
    </row>
    <row r="39" spans="1:41" ht="12.75" customHeight="1" thickBot="1" x14ac:dyDescent="0.25">
      <c r="A39" s="227">
        <v>39</v>
      </c>
      <c r="B39" s="5988"/>
      <c r="C39" s="619">
        <v>2</v>
      </c>
      <c r="D39" s="47">
        <v>0</v>
      </c>
      <c r="E39" s="58"/>
      <c r="F39" s="58" t="s">
        <v>1986</v>
      </c>
      <c r="G39" s="264" t="s">
        <v>1986</v>
      </c>
      <c r="H39" s="1166" t="str">
        <f>""</f>
        <v/>
      </c>
      <c r="J39" s="88">
        <v>2</v>
      </c>
      <c r="K39" s="196" t="s">
        <v>2010</v>
      </c>
      <c r="M39" s="1193">
        <v>3</v>
      </c>
      <c r="N39" s="86">
        <v>40</v>
      </c>
      <c r="O39" s="1142">
        <v>0</v>
      </c>
      <c r="Q39" s="619">
        <v>11</v>
      </c>
      <c r="R39" s="490">
        <v>2</v>
      </c>
      <c r="W39" s="6033" t="s">
        <v>7069</v>
      </c>
      <c r="X39" s="6035"/>
      <c r="AI39" s="1217">
        <v>13</v>
      </c>
      <c r="AJ39" s="1216">
        <v>8</v>
      </c>
    </row>
    <row r="40" spans="1:41" ht="12.75" customHeight="1" thickBot="1" x14ac:dyDescent="0.25">
      <c r="A40" s="227">
        <v>40</v>
      </c>
      <c r="B40" s="5988"/>
      <c r="C40" s="619">
        <v>3</v>
      </c>
      <c r="D40" s="47">
        <v>1</v>
      </c>
      <c r="E40" s="58">
        <f>I40*IF($G$516,0.5,1)*IF(Acumulacion="Sí",PDs!$T$188,1)</f>
        <v>10</v>
      </c>
      <c r="F40" s="58" t="s">
        <v>10118</v>
      </c>
      <c r="G40" s="1189" t="s">
        <v>1987</v>
      </c>
      <c r="H40" s="1166" t="str">
        <f>""</f>
        <v/>
      </c>
      <c r="I40" s="2669">
        <v>10</v>
      </c>
      <c r="J40" s="88">
        <v>3</v>
      </c>
      <c r="K40" s="196" t="s">
        <v>2011</v>
      </c>
      <c r="M40" s="1193">
        <v>4</v>
      </c>
      <c r="N40" s="86">
        <v>55</v>
      </c>
      <c r="O40" s="1142">
        <v>0</v>
      </c>
      <c r="Q40" s="619">
        <v>15</v>
      </c>
      <c r="R40" s="490">
        <v>3</v>
      </c>
      <c r="T40" s="3115" t="s">
        <v>1246</v>
      </c>
      <c r="U40" s="3117"/>
      <c r="W40" s="6093"/>
      <c r="X40" s="6094"/>
      <c r="AI40" s="1217">
        <v>14</v>
      </c>
      <c r="AJ40" s="1216">
        <v>9</v>
      </c>
    </row>
    <row r="41" spans="1:41" ht="12.75" customHeight="1" x14ac:dyDescent="0.2">
      <c r="A41" s="227">
        <v>41</v>
      </c>
      <c r="B41" s="5988"/>
      <c r="C41" s="619">
        <v>4</v>
      </c>
      <c r="D41" s="47">
        <v>1</v>
      </c>
      <c r="E41" s="58">
        <f>I41*IF($G$516,0.5,1)*IF(Acumulacion="Sí",PDs!$T$188,1)</f>
        <v>10</v>
      </c>
      <c r="F41" s="58" t="s">
        <v>10118</v>
      </c>
      <c r="G41" s="1189" t="s">
        <v>1987</v>
      </c>
      <c r="H41" s="1166" t="str">
        <f>""</f>
        <v/>
      </c>
      <c r="I41" s="2669">
        <v>10</v>
      </c>
      <c r="J41" s="88">
        <v>4</v>
      </c>
      <c r="K41" s="196" t="s">
        <v>2012</v>
      </c>
      <c r="M41" s="1193">
        <v>5</v>
      </c>
      <c r="N41" s="86">
        <v>70</v>
      </c>
      <c r="O41" s="1142">
        <v>5</v>
      </c>
      <c r="Q41" s="619">
        <v>20</v>
      </c>
      <c r="R41" s="490">
        <v>4</v>
      </c>
      <c r="T41" s="3145"/>
      <c r="U41" s="3203"/>
      <c r="W41" s="326" t="s">
        <v>1377</v>
      </c>
      <c r="X41" s="621"/>
      <c r="AI41" s="1217">
        <v>15</v>
      </c>
      <c r="AJ41" s="1216">
        <v>10</v>
      </c>
    </row>
    <row r="42" spans="1:41" ht="12.75" customHeight="1" thickBot="1" x14ac:dyDescent="0.25">
      <c r="A42" s="227">
        <v>42</v>
      </c>
      <c r="B42" s="5988"/>
      <c r="C42" s="619">
        <v>5</v>
      </c>
      <c r="D42" s="47">
        <v>1</v>
      </c>
      <c r="E42" s="58">
        <f>I42*IF($G$516,0.5,1)*IF(Acumulacion="Sí",PDs!$T$188,1)</f>
        <v>10</v>
      </c>
      <c r="F42" s="58" t="s">
        <v>10118</v>
      </c>
      <c r="G42" s="1189" t="s">
        <v>1987</v>
      </c>
      <c r="H42" s="1166" t="str">
        <f>""</f>
        <v/>
      </c>
      <c r="I42" s="2669">
        <v>10</v>
      </c>
      <c r="J42" s="88">
        <v>5</v>
      </c>
      <c r="K42" s="196" t="s">
        <v>2013</v>
      </c>
      <c r="M42" s="1193">
        <v>6</v>
      </c>
      <c r="N42" s="86">
        <v>85</v>
      </c>
      <c r="O42" s="1142">
        <v>5</v>
      </c>
      <c r="Q42" s="619">
        <v>23</v>
      </c>
      <c r="R42" s="490">
        <v>5</v>
      </c>
      <c r="T42" s="1198">
        <v>0</v>
      </c>
      <c r="U42" s="490">
        <v>200</v>
      </c>
      <c r="W42" s="664" t="s">
        <v>1143</v>
      </c>
      <c r="X42" s="622"/>
      <c r="AI42" s="1217">
        <v>16</v>
      </c>
      <c r="AJ42" s="1216">
        <v>10</v>
      </c>
    </row>
    <row r="43" spans="1:41" ht="12.75" customHeight="1" thickBot="1" x14ac:dyDescent="0.25">
      <c r="A43" s="227">
        <v>43</v>
      </c>
      <c r="B43" s="5988"/>
      <c r="C43" s="619">
        <v>6</v>
      </c>
      <c r="D43" s="47">
        <v>1</v>
      </c>
      <c r="E43" s="58">
        <f>I43*IF($G$516,0.5,1)*IF(Acumulacion="Sí",PDs!$T$188,1)</f>
        <v>10</v>
      </c>
      <c r="F43" s="58" t="s">
        <v>10118</v>
      </c>
      <c r="G43" s="1189" t="s">
        <v>1987</v>
      </c>
      <c r="H43" s="1166" t="str">
        <f>""</f>
        <v/>
      </c>
      <c r="I43" s="2669">
        <v>10</v>
      </c>
      <c r="J43" s="88">
        <v>6</v>
      </c>
      <c r="K43" s="196" t="s">
        <v>2014</v>
      </c>
      <c r="M43" s="1193">
        <v>7</v>
      </c>
      <c r="N43" s="86">
        <v>95</v>
      </c>
      <c r="O43" s="1142">
        <v>5</v>
      </c>
      <c r="Q43" s="619">
        <v>26</v>
      </c>
      <c r="R43" s="490">
        <v>6</v>
      </c>
      <c r="T43" s="1198">
        <v>4</v>
      </c>
      <c r="U43" s="490">
        <v>280</v>
      </c>
      <c r="AI43" s="1217">
        <v>17</v>
      </c>
      <c r="AJ43" s="1216">
        <v>10</v>
      </c>
    </row>
    <row r="44" spans="1:41" ht="14.85" customHeight="1" x14ac:dyDescent="0.2">
      <c r="A44" s="227">
        <v>44</v>
      </c>
      <c r="B44" s="5988"/>
      <c r="C44" s="619">
        <v>7</v>
      </c>
      <c r="D44" s="47">
        <v>1</v>
      </c>
      <c r="E44" s="58">
        <f>I44*IF($G$516,0.5,1)*IF(Acumulacion="Sí",PDs!$T$188,1)</f>
        <v>10</v>
      </c>
      <c r="F44" s="58" t="s">
        <v>10118</v>
      </c>
      <c r="G44" s="1189" t="s">
        <v>1987</v>
      </c>
      <c r="H44" s="1166" t="str">
        <f>""</f>
        <v/>
      </c>
      <c r="I44" s="2669">
        <v>10</v>
      </c>
      <c r="J44" s="88">
        <v>7</v>
      </c>
      <c r="K44" s="196" t="s">
        <v>2015</v>
      </c>
      <c r="M44" s="1193">
        <v>8</v>
      </c>
      <c r="N44" s="86">
        <v>110</v>
      </c>
      <c r="O44" s="1142">
        <v>10</v>
      </c>
      <c r="Q44" s="619">
        <v>29</v>
      </c>
      <c r="R44" s="490">
        <v>8</v>
      </c>
      <c r="T44" s="1198">
        <v>7</v>
      </c>
      <c r="U44" s="490">
        <v>320</v>
      </c>
      <c r="W44" s="6033" t="s">
        <v>1957</v>
      </c>
      <c r="X44" s="6034"/>
      <c r="Y44" s="6034"/>
      <c r="Z44" s="6034"/>
      <c r="AA44" s="6034"/>
      <c r="AB44" s="6034"/>
      <c r="AC44" s="6034"/>
      <c r="AD44" s="6034"/>
      <c r="AE44" s="6034"/>
      <c r="AF44" s="6035"/>
      <c r="AI44" s="1217">
        <v>18</v>
      </c>
      <c r="AJ44" s="1216">
        <v>10</v>
      </c>
    </row>
    <row r="45" spans="1:41" ht="14.85" customHeight="1" thickBot="1" x14ac:dyDescent="0.25">
      <c r="A45" s="227">
        <v>45</v>
      </c>
      <c r="B45" s="5988"/>
      <c r="C45" s="619">
        <v>8</v>
      </c>
      <c r="D45" s="47">
        <v>2</v>
      </c>
      <c r="E45" s="58">
        <f>I45*IF($G$516,0.5,1)*IF(Acumulacion="Sí",PDs!$T$188,1)</f>
        <v>20</v>
      </c>
      <c r="F45" s="58" t="s">
        <v>10118</v>
      </c>
      <c r="G45" s="1189" t="s">
        <v>1987</v>
      </c>
      <c r="H45" s="1166" t="str">
        <f>""</f>
        <v/>
      </c>
      <c r="I45" s="2669">
        <v>20</v>
      </c>
      <c r="J45" s="88">
        <v>8</v>
      </c>
      <c r="K45" s="196" t="s">
        <v>2016</v>
      </c>
      <c r="M45" s="1193">
        <v>9</v>
      </c>
      <c r="N45" s="86">
        <v>120</v>
      </c>
      <c r="O45" s="1142">
        <v>10</v>
      </c>
      <c r="Q45" s="713">
        <v>32</v>
      </c>
      <c r="R45" s="685">
        <v>10</v>
      </c>
      <c r="T45" s="1199">
        <v>10</v>
      </c>
      <c r="U45" s="685">
        <v>1000</v>
      </c>
      <c r="W45" s="6093"/>
      <c r="X45" s="6104"/>
      <c r="Y45" s="6104"/>
      <c r="Z45" s="6104"/>
      <c r="AA45" s="6104"/>
      <c r="AB45" s="6104"/>
      <c r="AC45" s="6104"/>
      <c r="AD45" s="6104"/>
      <c r="AE45" s="6104"/>
      <c r="AF45" s="6094"/>
      <c r="AI45" s="1217">
        <v>19</v>
      </c>
      <c r="AJ45" s="1216">
        <v>10</v>
      </c>
    </row>
    <row r="46" spans="1:41" ht="14.85" customHeight="1" thickBot="1" x14ac:dyDescent="0.25">
      <c r="A46" s="227">
        <v>46</v>
      </c>
      <c r="B46" s="5988"/>
      <c r="C46" s="619">
        <v>9</v>
      </c>
      <c r="D46" s="47">
        <v>2</v>
      </c>
      <c r="E46" s="58">
        <f>I46*IF($G$516,0.5,1)*IF(Acumulacion="Sí",PDs!$T$188,1)</f>
        <v>20</v>
      </c>
      <c r="F46" s="58" t="s">
        <v>10118</v>
      </c>
      <c r="G46" s="1189" t="s">
        <v>1987</v>
      </c>
      <c r="H46" s="1166" t="str">
        <f>""</f>
        <v/>
      </c>
      <c r="I46" s="2669">
        <v>20</v>
      </c>
      <c r="J46" s="88">
        <v>9</v>
      </c>
      <c r="K46" s="196" t="s">
        <v>2017</v>
      </c>
      <c r="M46" s="1193">
        <v>10</v>
      </c>
      <c r="N46" s="86">
        <v>135</v>
      </c>
      <c r="O46" s="1142">
        <v>10</v>
      </c>
      <c r="W46" s="186" t="s">
        <v>1958</v>
      </c>
      <c r="X46" s="187" t="s">
        <v>1901</v>
      </c>
      <c r="Y46" s="604" t="s">
        <v>1959</v>
      </c>
      <c r="Z46" s="604" t="s">
        <v>1960</v>
      </c>
      <c r="AA46" s="604" t="s">
        <v>1961</v>
      </c>
      <c r="AB46" s="604" t="s">
        <v>1548</v>
      </c>
      <c r="AC46" s="604" t="s">
        <v>1962</v>
      </c>
      <c r="AD46" s="1220" t="s">
        <v>1963</v>
      </c>
      <c r="AE46" s="604" t="s">
        <v>1570</v>
      </c>
      <c r="AF46" s="1221" t="s">
        <v>1964</v>
      </c>
      <c r="AI46" s="1222">
        <v>20</v>
      </c>
      <c r="AJ46" s="1223">
        <v>10</v>
      </c>
    </row>
    <row r="47" spans="1:41" ht="14.85" customHeight="1" thickBot="1" x14ac:dyDescent="0.25">
      <c r="A47" s="227">
        <v>47</v>
      </c>
      <c r="B47" s="5988"/>
      <c r="C47" s="619">
        <v>10</v>
      </c>
      <c r="D47" s="47">
        <v>3</v>
      </c>
      <c r="E47" s="58">
        <f>I47*IF($G$516,0.5,1)*IF(Acumulacion="Sí",PDs!$T$188,1)</f>
        <v>30</v>
      </c>
      <c r="F47" s="58" t="s">
        <v>10118</v>
      </c>
      <c r="G47" s="1189" t="s">
        <v>1987</v>
      </c>
      <c r="H47" s="1166" t="str">
        <f>""</f>
        <v/>
      </c>
      <c r="I47" s="2669">
        <v>30</v>
      </c>
      <c r="J47" s="88">
        <v>10</v>
      </c>
      <c r="K47" s="196" t="s">
        <v>2018</v>
      </c>
      <c r="M47" s="1193">
        <v>11</v>
      </c>
      <c r="N47" s="86">
        <v>150</v>
      </c>
      <c r="O47" s="1142">
        <v>10</v>
      </c>
      <c r="Q47" s="3631" t="s">
        <v>861</v>
      </c>
      <c r="W47" s="88">
        <v>-5</v>
      </c>
      <c r="X47" s="86" t="s">
        <v>1965</v>
      </c>
      <c r="Y47" s="47">
        <v>40</v>
      </c>
      <c r="Z47" s="47">
        <v>-4</v>
      </c>
      <c r="AA47" s="47">
        <v>1</v>
      </c>
      <c r="AB47" s="47">
        <v>1</v>
      </c>
      <c r="AC47" s="47">
        <f>5</f>
        <v>5</v>
      </c>
      <c r="AD47" s="47">
        <f>20-IF(Raza="Daimah",10,0)</f>
        <v>20</v>
      </c>
      <c r="AE47" s="47">
        <v>-4</v>
      </c>
      <c r="AF47" s="135">
        <v>4</v>
      </c>
    </row>
    <row r="48" spans="1:41" ht="14.85" customHeight="1" thickBot="1" x14ac:dyDescent="0.25">
      <c r="A48" s="227">
        <v>48</v>
      </c>
      <c r="B48" s="5988"/>
      <c r="C48" s="619">
        <v>11</v>
      </c>
      <c r="D48" s="47">
        <v>4</v>
      </c>
      <c r="E48" s="58">
        <f>I48*IF($G$516,0.5,1)*IF(Acumulacion="Sí",PDs!$T$188,1)</f>
        <v>40</v>
      </c>
      <c r="F48" s="58" t="s">
        <v>10118</v>
      </c>
      <c r="G48" s="1189" t="s">
        <v>1988</v>
      </c>
      <c r="H48" s="1166" t="str">
        <f>""</f>
        <v/>
      </c>
      <c r="I48" s="2669">
        <v>40</v>
      </c>
      <c r="J48" s="88">
        <v>11</v>
      </c>
      <c r="K48" s="196" t="s">
        <v>2019</v>
      </c>
      <c r="M48" s="1193">
        <v>12</v>
      </c>
      <c r="N48" s="86">
        <v>160</v>
      </c>
      <c r="O48" s="1142">
        <v>15</v>
      </c>
      <c r="Q48" s="3631"/>
      <c r="W48" s="88">
        <v>1</v>
      </c>
      <c r="X48" s="86" t="s">
        <v>1965</v>
      </c>
      <c r="Y48" s="47">
        <v>40</v>
      </c>
      <c r="Z48" s="47">
        <v>-4</v>
      </c>
      <c r="AA48" s="47">
        <v>1</v>
      </c>
      <c r="AB48" s="47">
        <v>1</v>
      </c>
      <c r="AC48" s="47">
        <f>5</f>
        <v>5</v>
      </c>
      <c r="AD48" s="47">
        <f>20-IF(Raza="Daimah",10,0)</f>
        <v>20</v>
      </c>
      <c r="AE48" s="47">
        <v>-4</v>
      </c>
      <c r="AF48" s="135">
        <v>4</v>
      </c>
      <c r="AH48" s="6095" t="s">
        <v>9679</v>
      </c>
      <c r="AI48" s="6096"/>
      <c r="AJ48" s="6097"/>
    </row>
    <row r="49" spans="1:36" ht="14.85" customHeight="1" thickBot="1" x14ac:dyDescent="0.25">
      <c r="A49" s="227">
        <v>49</v>
      </c>
      <c r="B49" s="5988"/>
      <c r="C49" s="619">
        <v>12</v>
      </c>
      <c r="D49" s="47">
        <v>5</v>
      </c>
      <c r="E49" s="58">
        <f>I49*IF($G$516,0.5,1)*IF(Acumulacion="Sí",PDs!$T$188,1)</f>
        <v>50</v>
      </c>
      <c r="F49" s="58" t="s">
        <v>10119</v>
      </c>
      <c r="G49" s="1189" t="s">
        <v>1988</v>
      </c>
      <c r="H49" s="1166" t="s">
        <v>8401</v>
      </c>
      <c r="I49" s="2669">
        <v>50</v>
      </c>
      <c r="J49" s="88">
        <v>12</v>
      </c>
      <c r="K49" s="196" t="s">
        <v>2020</v>
      </c>
      <c r="M49" s="1193">
        <v>13</v>
      </c>
      <c r="N49" s="86">
        <v>175</v>
      </c>
      <c r="O49" s="1142">
        <v>15</v>
      </c>
      <c r="Q49" s="256" t="s">
        <v>1456</v>
      </c>
      <c r="W49" s="88">
        <v>4</v>
      </c>
      <c r="X49" s="86" t="s">
        <v>1966</v>
      </c>
      <c r="Y49" s="47">
        <v>30</v>
      </c>
      <c r="Z49" s="47">
        <v>-2</v>
      </c>
      <c r="AA49" s="47">
        <v>2</v>
      </c>
      <c r="AB49" s="47">
        <v>2</v>
      </c>
      <c r="AC49" s="47">
        <f>10</f>
        <v>10</v>
      </c>
      <c r="AD49" s="47">
        <f>30-IF(Raza="Daimah",10,0)</f>
        <v>30</v>
      </c>
      <c r="AE49" s="47">
        <v>-2</v>
      </c>
      <c r="AF49" s="135">
        <v>8</v>
      </c>
      <c r="AH49" s="2355" t="s">
        <v>9680</v>
      </c>
      <c r="AI49" s="2356" t="s">
        <v>1682</v>
      </c>
      <c r="AJ49" s="2357" t="s">
        <v>1683</v>
      </c>
    </row>
    <row r="50" spans="1:36" ht="14.85" customHeight="1" x14ac:dyDescent="0.2">
      <c r="A50" s="227">
        <v>50</v>
      </c>
      <c r="B50" s="5988"/>
      <c r="C50" s="619">
        <v>13</v>
      </c>
      <c r="D50" s="47">
        <v>6</v>
      </c>
      <c r="E50" s="58">
        <f>I50*IF($G$516,0.5,1)*IF(Acumulacion="Sí",PDs!$T$188,1)</f>
        <v>75</v>
      </c>
      <c r="F50" s="58" t="s">
        <v>10119</v>
      </c>
      <c r="G50" s="1189" t="s">
        <v>1989</v>
      </c>
      <c r="H50" s="1166" t="s">
        <v>8402</v>
      </c>
      <c r="I50" s="2669">
        <v>75</v>
      </c>
      <c r="J50" s="88">
        <v>13</v>
      </c>
      <c r="K50" s="196" t="s">
        <v>2021</v>
      </c>
      <c r="M50" s="1193">
        <v>14</v>
      </c>
      <c r="N50" s="86">
        <v>185</v>
      </c>
      <c r="O50" s="1142">
        <v>15</v>
      </c>
      <c r="Q50" s="256" t="s">
        <v>1551</v>
      </c>
      <c r="W50" s="88">
        <v>9</v>
      </c>
      <c r="X50" s="86" t="s">
        <v>1728</v>
      </c>
      <c r="Y50" s="47">
        <v>20</v>
      </c>
      <c r="Z50" s="47">
        <v>0</v>
      </c>
      <c r="AA50" s="47">
        <v>5</v>
      </c>
      <c r="AB50" s="47">
        <v>3</v>
      </c>
      <c r="AC50" s="47">
        <v>10</v>
      </c>
      <c r="AD50" s="47">
        <f>40-IF(Raza="Daimah",10,0)</f>
        <v>40</v>
      </c>
      <c r="AE50" s="47">
        <v>0</v>
      </c>
      <c r="AF50" s="135">
        <v>12</v>
      </c>
      <c r="AH50" s="2363" t="s">
        <v>2822</v>
      </c>
      <c r="AI50" s="2364" t="b">
        <f>OR(Ki!$P$63="-",Ki!$H$63="-")</f>
        <v>0</v>
      </c>
      <c r="AJ50" s="2365" t="b">
        <f>OR(Ki!$P$64="-",Ki!$H$64="-")</f>
        <v>0</v>
      </c>
    </row>
    <row r="51" spans="1:36" ht="12.75" customHeight="1" x14ac:dyDescent="0.2">
      <c r="A51" s="227">
        <v>51</v>
      </c>
      <c r="B51" s="5988"/>
      <c r="C51" s="619">
        <v>14</v>
      </c>
      <c r="D51" s="47">
        <v>7</v>
      </c>
      <c r="E51" s="58">
        <f>I51*IF($G$516,0.5,1)*IF(Acumulacion="Sí",PDs!$T$188,1)</f>
        <v>100</v>
      </c>
      <c r="F51" s="58" t="s">
        <v>10119</v>
      </c>
      <c r="G51" s="1189" t="s">
        <v>1990</v>
      </c>
      <c r="H51" s="1166" t="s">
        <v>8403</v>
      </c>
      <c r="I51" s="2669">
        <v>100</v>
      </c>
      <c r="J51" s="88">
        <v>14</v>
      </c>
      <c r="K51" s="196" t="s">
        <v>2022</v>
      </c>
      <c r="M51" s="1193">
        <v>15</v>
      </c>
      <c r="N51" s="86">
        <v>200</v>
      </c>
      <c r="O51" s="1142">
        <v>20</v>
      </c>
      <c r="Q51" s="256" t="s">
        <v>1498</v>
      </c>
      <c r="W51" s="88">
        <v>23</v>
      </c>
      <c r="X51" s="86" t="s">
        <v>1967</v>
      </c>
      <c r="Y51" s="47">
        <v>10</v>
      </c>
      <c r="Z51" s="47">
        <v>0</v>
      </c>
      <c r="AA51" s="47">
        <v>5</v>
      </c>
      <c r="AB51" s="47">
        <v>4</v>
      </c>
      <c r="AC51" s="47">
        <f>20</f>
        <v>20</v>
      </c>
      <c r="AD51" s="47">
        <f>60-IF(Raza="Daimah",10,0)</f>
        <v>60</v>
      </c>
      <c r="AE51" s="47">
        <v>4</v>
      </c>
      <c r="AF51" s="135">
        <v>16</v>
      </c>
      <c r="AH51" s="2358" t="s">
        <v>1453</v>
      </c>
      <c r="AI51" s="2359" t="b">
        <f>OR(Raza="Sylvain",Raza="Duk'zarist")</f>
        <v>0</v>
      </c>
      <c r="AJ51" s="2360" t="b">
        <f>FALSE</f>
        <v>0</v>
      </c>
    </row>
    <row r="52" spans="1:36" ht="12.75" customHeight="1" x14ac:dyDescent="0.2">
      <c r="A52" s="227">
        <v>52</v>
      </c>
      <c r="B52" s="5988"/>
      <c r="C52" s="619">
        <v>15</v>
      </c>
      <c r="D52" s="47">
        <v>8</v>
      </c>
      <c r="E52" s="58">
        <f>I52*IF($G$516,0.5,1)*IF(Acumulacion="Sí",PDs!$T$188,1)</f>
        <v>250</v>
      </c>
      <c r="F52" s="58" t="s">
        <v>10119</v>
      </c>
      <c r="G52" s="1189" t="s">
        <v>1991</v>
      </c>
      <c r="H52" s="1166" t="s">
        <v>8404</v>
      </c>
      <c r="I52" s="2669">
        <v>250</v>
      </c>
      <c r="J52" s="88">
        <v>15</v>
      </c>
      <c r="K52" s="196" t="s">
        <v>2023</v>
      </c>
      <c r="M52" s="1193">
        <v>16</v>
      </c>
      <c r="N52" s="86">
        <v>215</v>
      </c>
      <c r="O52" s="1142">
        <v>25</v>
      </c>
      <c r="Q52" s="256" t="s">
        <v>1552</v>
      </c>
      <c r="W52" s="88">
        <v>25</v>
      </c>
      <c r="X52" s="86" t="s">
        <v>1968</v>
      </c>
      <c r="Y52" s="47">
        <v>0</v>
      </c>
      <c r="Z52" s="47">
        <v>1</v>
      </c>
      <c r="AA52" s="47">
        <v>10</v>
      </c>
      <c r="AB52" s="47">
        <v>6</v>
      </c>
      <c r="AC52" s="47">
        <f>30</f>
        <v>30</v>
      </c>
      <c r="AD52" s="47">
        <f>100-IF(Raza="Daimah",10,0)</f>
        <v>100</v>
      </c>
      <c r="AE52" s="47">
        <v>8</v>
      </c>
      <c r="AF52" s="135">
        <v>20</v>
      </c>
      <c r="AH52" s="2358" t="s">
        <v>9681</v>
      </c>
      <c r="AI52" s="2359" t="b">
        <f>$H$1317&gt;0</f>
        <v>0</v>
      </c>
      <c r="AJ52" s="2360" t="b">
        <f>$H$1318&gt;0</f>
        <v>0</v>
      </c>
    </row>
    <row r="53" spans="1:36" ht="12.75" customHeight="1" x14ac:dyDescent="0.2">
      <c r="A53" s="227">
        <v>53</v>
      </c>
      <c r="B53" s="5988"/>
      <c r="C53" s="619">
        <v>16</v>
      </c>
      <c r="D53" s="47">
        <v>9</v>
      </c>
      <c r="E53" s="58">
        <f>I53*IF($G$516,0.5,1)*IF(Acumulacion="Sí",PDs!$T$188,1)</f>
        <v>500</v>
      </c>
      <c r="F53" s="58" t="s">
        <v>10119</v>
      </c>
      <c r="G53" s="1189" t="s">
        <v>1992</v>
      </c>
      <c r="H53" s="1166" t="s">
        <v>8405</v>
      </c>
      <c r="I53" s="2669">
        <v>500</v>
      </c>
      <c r="J53" s="88">
        <v>16</v>
      </c>
      <c r="K53" s="196" t="s">
        <v>2024</v>
      </c>
      <c r="M53" s="1193">
        <v>17</v>
      </c>
      <c r="N53" s="86">
        <v>225</v>
      </c>
      <c r="O53" s="1142">
        <v>25</v>
      </c>
      <c r="Q53" s="256" t="s">
        <v>1553</v>
      </c>
      <c r="W53" s="88">
        <v>29</v>
      </c>
      <c r="X53" s="86" t="s">
        <v>1969</v>
      </c>
      <c r="Y53" s="47">
        <v>-10</v>
      </c>
      <c r="Z53" s="47">
        <v>2</v>
      </c>
      <c r="AA53" s="47">
        <v>15</v>
      </c>
      <c r="AB53" s="47">
        <v>8</v>
      </c>
      <c r="AC53" s="47">
        <f>40</f>
        <v>40</v>
      </c>
      <c r="AD53" s="47">
        <f>120-IF(Raza="Daimah",10,0)</f>
        <v>120</v>
      </c>
      <c r="AE53" s="47">
        <v>12</v>
      </c>
      <c r="AF53" s="135">
        <v>28</v>
      </c>
      <c r="AH53" s="2358" t="s">
        <v>9314</v>
      </c>
      <c r="AI53" s="2359" t="b">
        <f>OR($P$259&gt;0,$P$260&gt;0)</f>
        <v>0</v>
      </c>
      <c r="AJ53" s="2360" t="b">
        <f>FALSE</f>
        <v>0</v>
      </c>
    </row>
    <row r="54" spans="1:36" ht="12.75" customHeight="1" thickBot="1" x14ac:dyDescent="0.25">
      <c r="A54" s="227">
        <v>54</v>
      </c>
      <c r="B54" s="5988"/>
      <c r="C54" s="619">
        <v>17</v>
      </c>
      <c r="D54" s="47">
        <v>10</v>
      </c>
      <c r="E54" s="58">
        <f>I54*IF($G$516,0.5,1)*IF(Acumulacion="Sí",PDs!$T$188,1)</f>
        <v>1</v>
      </c>
      <c r="F54" s="58" t="s">
        <v>10120</v>
      </c>
      <c r="G54" s="1189" t="s">
        <v>1993</v>
      </c>
      <c r="H54" s="1166" t="s">
        <v>8406</v>
      </c>
      <c r="I54" s="2669">
        <v>1</v>
      </c>
      <c r="J54" s="88">
        <v>17</v>
      </c>
      <c r="K54" s="196" t="s">
        <v>2025</v>
      </c>
      <c r="M54" s="1193">
        <v>18</v>
      </c>
      <c r="N54" s="86">
        <v>240</v>
      </c>
      <c r="O54" s="1142">
        <v>30</v>
      </c>
      <c r="Q54" s="256" t="s">
        <v>1554</v>
      </c>
      <c r="W54" s="189">
        <v>34</v>
      </c>
      <c r="X54" s="190" t="s">
        <v>1970</v>
      </c>
      <c r="Y54" s="605">
        <v>-20</v>
      </c>
      <c r="Z54" s="605">
        <v>3</v>
      </c>
      <c r="AA54" s="605">
        <v>20</v>
      </c>
      <c r="AB54" s="605">
        <v>10</v>
      </c>
      <c r="AC54" s="605">
        <f>60</f>
        <v>60</v>
      </c>
      <c r="AD54" s="605">
        <f>140-IF(Raza="Daimah",10,0)</f>
        <v>140</v>
      </c>
      <c r="AE54" s="605">
        <v>16</v>
      </c>
      <c r="AF54" s="610">
        <v>34</v>
      </c>
      <c r="AH54" s="2678" t="s">
        <v>10155</v>
      </c>
      <c r="AI54" s="2359" t="b">
        <f>Personalización!$AO$60&gt;0</f>
        <v>0</v>
      </c>
      <c r="AJ54" s="2360" t="b">
        <v>0</v>
      </c>
    </row>
    <row r="55" spans="1:36" ht="12.75" customHeight="1" thickBot="1" x14ac:dyDescent="0.25">
      <c r="A55" s="227">
        <v>55</v>
      </c>
      <c r="B55" s="5988"/>
      <c r="C55" s="619">
        <v>18</v>
      </c>
      <c r="D55" s="47">
        <v>11</v>
      </c>
      <c r="E55" s="58">
        <f>I55*IF($G$516,0.5,1)*IF(Acumulacion="Sí",PDs!$T$188,1)</f>
        <v>2</v>
      </c>
      <c r="F55" s="58" t="s">
        <v>10120</v>
      </c>
      <c r="G55" s="1189" t="s">
        <v>1994</v>
      </c>
      <c r="H55" s="1166" t="s">
        <v>8407</v>
      </c>
      <c r="I55" s="2669">
        <v>2</v>
      </c>
      <c r="J55" s="88">
        <v>18</v>
      </c>
      <c r="K55" s="196" t="s">
        <v>2026</v>
      </c>
      <c r="M55" s="1193">
        <v>19</v>
      </c>
      <c r="N55" s="86">
        <v>250</v>
      </c>
      <c r="O55" s="1142">
        <v>30</v>
      </c>
      <c r="Q55" s="256" t="s">
        <v>1555</v>
      </c>
      <c r="AH55" s="2367" t="s">
        <v>9932</v>
      </c>
      <c r="AI55" s="2361" t="b">
        <f>OR($AI$50,$AI$51,$AI$52,$AI$53,$AI$54,Zen)</f>
        <v>0</v>
      </c>
      <c r="AJ55" s="2362" t="b">
        <f>OR($AJ$50,$AJ$51,$AJ$52,$AJ$53,$AJ$54)</f>
        <v>0</v>
      </c>
    </row>
    <row r="56" spans="1:36" ht="12.75" customHeight="1" thickBot="1" x14ac:dyDescent="0.25">
      <c r="A56" s="227">
        <v>56</v>
      </c>
      <c r="B56" s="5988"/>
      <c r="C56" s="619">
        <v>19</v>
      </c>
      <c r="D56" s="47">
        <v>12</v>
      </c>
      <c r="E56" s="58">
        <f>I56*IF($G$516,0.5,1)*IF(Acumulacion="Sí",PDs!$T$188,1)</f>
        <v>5</v>
      </c>
      <c r="F56" s="58" t="s">
        <v>10120</v>
      </c>
      <c r="G56" s="1189" t="s">
        <v>1995</v>
      </c>
      <c r="H56" s="1166" t="s">
        <v>8408</v>
      </c>
      <c r="I56" s="2669">
        <v>5</v>
      </c>
      <c r="J56" s="88">
        <v>19</v>
      </c>
      <c r="K56" s="196" t="s">
        <v>2027</v>
      </c>
      <c r="M56" s="1194">
        <v>20</v>
      </c>
      <c r="N56" s="492">
        <v>265</v>
      </c>
      <c r="O56" s="1195">
        <v>35</v>
      </c>
      <c r="Q56" s="262" t="s">
        <v>1556</v>
      </c>
      <c r="S56" s="4415" t="s">
        <v>8507</v>
      </c>
      <c r="T56" s="4416"/>
      <c r="U56" s="4416"/>
      <c r="V56" s="4416"/>
      <c r="W56" s="4416"/>
      <c r="X56" s="4417"/>
      <c r="AH56" s="6090" t="s">
        <v>9970</v>
      </c>
      <c r="AI56" s="6091"/>
      <c r="AJ56" s="6092"/>
    </row>
    <row r="57" spans="1:36" ht="12.75" customHeight="1" thickBot="1" x14ac:dyDescent="0.25">
      <c r="A57" s="227">
        <v>57</v>
      </c>
      <c r="B57" s="5988"/>
      <c r="C57" s="619">
        <v>20</v>
      </c>
      <c r="D57" s="47">
        <v>12</v>
      </c>
      <c r="E57" s="58">
        <f>I57*IF($G$516,0.5,1)*IF(Acumulacion="Sí",PDs!$T$188,1)</f>
        <v>5</v>
      </c>
      <c r="F57" s="58" t="s">
        <v>10120</v>
      </c>
      <c r="G57" s="1189" t="s">
        <v>1995</v>
      </c>
      <c r="H57" s="1166" t="s">
        <v>8408</v>
      </c>
      <c r="I57" s="2669">
        <v>5</v>
      </c>
      <c r="J57" s="189">
        <v>20</v>
      </c>
      <c r="K57" s="198" t="s">
        <v>2028</v>
      </c>
      <c r="N57"/>
      <c r="O57" s="559"/>
      <c r="S57" s="1325" t="s">
        <v>1441</v>
      </c>
      <c r="T57" s="1326" t="s">
        <v>8512</v>
      </c>
      <c r="U57" s="1326" t="s">
        <v>8513</v>
      </c>
      <c r="V57" s="1326" t="s">
        <v>8517</v>
      </c>
      <c r="W57" s="4416" t="s">
        <v>6399</v>
      </c>
      <c r="X57" s="4417"/>
      <c r="AA57" s="2425" t="s">
        <v>1264</v>
      </c>
      <c r="AH57" s="2358" t="s">
        <v>9934</v>
      </c>
      <c r="AI57" s="2359" t="b">
        <f>Místicos!$BB$61</f>
        <v>0</v>
      </c>
      <c r="AJ57" s="2360" t="b">
        <f>Místicos!$BC$61</f>
        <v>0</v>
      </c>
    </row>
    <row r="58" spans="1:36" ht="12.75" customHeight="1" thickBot="1" x14ac:dyDescent="0.25">
      <c r="A58" s="227">
        <v>58</v>
      </c>
      <c r="B58" s="5988"/>
      <c r="C58" s="489"/>
      <c r="D58" s="47">
        <v>13</v>
      </c>
      <c r="E58" s="58">
        <f>I58*IF($G$516,0.5,1)*IF(Acumulacion="Sí",PDs!$T$188,1)</f>
        <v>10</v>
      </c>
      <c r="F58" s="58" t="s">
        <v>10120</v>
      </c>
      <c r="G58" s="1189" t="s">
        <v>1996</v>
      </c>
      <c r="H58" s="1166" t="s">
        <v>8409</v>
      </c>
      <c r="I58" s="2669">
        <v>10</v>
      </c>
      <c r="S58" s="326" t="s">
        <v>8514</v>
      </c>
      <c r="T58" s="1324"/>
      <c r="U58" s="1324">
        <f>MAX(1,MIN(20,IF(Zen_TM,Principal!AS20,IF(Inhumanidad_TM,MIN(13,Principal!AS20),MIN(10,Principal!AS20)))+Principal!L18))</f>
        <v>1</v>
      </c>
      <c r="V58" s="323">
        <v>1</v>
      </c>
      <c r="W58" s="323" t="str">
        <f>IF(ISNA(INDEX($S$58:$S$64,MATCH($A1,V$58:V$64,0))),"",INDEX($S$58:$S$64,MATCH($A1,V$58:V$64,0)))</f>
        <v>Suelo</v>
      </c>
      <c r="X58" s="621"/>
      <c r="AA58" s="2426" t="b">
        <f>OR(Tablas!H1321,Tablas!H1328,TipoDeCriatura="Entre mundos, Creación",TipoDeCriatura="Ánima",TipoDeCriatura="Ánima, Elemental",TipoDeCriatura="No muerto",TipoDeCriatura="No muerto, Creación",TipoDeCriatura="No muerto, Espectro",Tablas!J1908)</f>
        <v>0</v>
      </c>
      <c r="AH58" s="2358" t="s">
        <v>9938</v>
      </c>
      <c r="AI58" s="2359" t="b">
        <f>Místicos!$BD$61</f>
        <v>0</v>
      </c>
      <c r="AJ58" s="2360" t="b">
        <f>Místicos!$BE$61</f>
        <v>0</v>
      </c>
    </row>
    <row r="59" spans="1:36" ht="12.75" customHeight="1" x14ac:dyDescent="0.2">
      <c r="A59" s="227">
        <v>59</v>
      </c>
      <c r="B59" s="5988"/>
      <c r="C59" s="489"/>
      <c r="D59" s="47">
        <v>14</v>
      </c>
      <c r="E59" s="58">
        <f>I59*IF($G$516,0.5,1)*IF(Acumulacion="Sí",PDs!$T$188,1)</f>
        <v>1</v>
      </c>
      <c r="F59" s="58" t="s">
        <v>10121</v>
      </c>
      <c r="G59" s="1189" t="s">
        <v>1997</v>
      </c>
      <c r="H59" s="1166" t="s">
        <v>8410</v>
      </c>
      <c r="I59" s="2669">
        <v>1</v>
      </c>
      <c r="S59" s="326" t="s">
        <v>10051</v>
      </c>
      <c r="T59" s="1324" t="b">
        <f>MovimientodeVacío</f>
        <v>0</v>
      </c>
      <c r="U59" s="1324">
        <f>IF(T59,MAX(1,MIN(20,POD+Principal!L18)),0)</f>
        <v>0</v>
      </c>
      <c r="V59" s="323">
        <f>IF(T59,MAX($V58:V58)+1,0)</f>
        <v>0</v>
      </c>
      <c r="W59" s="323" t="str">
        <f t="shared" ref="W59:W64" si="1">IF(ISNA(INDEX($S$58:$S$64,MATCH($A2,V$58:V$64,0))),"",INDEX($S$58:$S$64,MATCH($A2,V$58:V$64,0)))</f>
        <v/>
      </c>
      <c r="X59" s="621"/>
      <c r="AH59" s="2358" t="s">
        <v>9939</v>
      </c>
      <c r="AI59" s="2359" t="b">
        <f>Místicos!$BF$61</f>
        <v>0</v>
      </c>
      <c r="AJ59" s="2360" t="b">
        <f>Místicos!$BG$61</f>
        <v>0</v>
      </c>
    </row>
    <row r="60" spans="1:36" ht="12.75" customHeight="1" x14ac:dyDescent="0.2">
      <c r="A60" s="227">
        <v>60</v>
      </c>
      <c r="B60" s="5988"/>
      <c r="C60" s="489"/>
      <c r="D60" s="47">
        <v>15</v>
      </c>
      <c r="E60" s="58">
        <f>I60*IF($G$516,0.5,1)*IF(Acumulacion="Sí",PDs!$T$188,1)</f>
        <v>5</v>
      </c>
      <c r="F60" s="58" t="s">
        <v>10121</v>
      </c>
      <c r="G60" s="1189" t="s">
        <v>1998</v>
      </c>
      <c r="H60" s="1166" t="s">
        <v>8411</v>
      </c>
      <c r="I60" s="2669">
        <v>5</v>
      </c>
      <c r="S60" s="326" t="s">
        <v>8508</v>
      </c>
      <c r="T60" s="1324" t="b">
        <f>IF(OR(Raza="Ebudan",AND(Nephilim="Nephilim Ebudan",SueAman="Cumplido"),COUNTIF($R$1411:$R$1415,1)&gt;0),TRUE,FALSE)</f>
        <v>0</v>
      </c>
      <c r="U60" s="1324">
        <f>IF(T60,MIN(20,MAX(IF(OR(Raza="Ebudan",AND(Nephilim="Nephilim Ebudan",SueAman="Cumplido")),12+Principal!L18,0),$S$1411+Principal!L18)),0)</f>
        <v>0</v>
      </c>
      <c r="V60" s="323">
        <f>IF(T60,MAX(V$58:V59)+1,0)</f>
        <v>0</v>
      </c>
      <c r="W60" s="323" t="str">
        <f t="shared" si="1"/>
        <v/>
      </c>
      <c r="X60" s="621"/>
      <c r="AH60" s="2358" t="s">
        <v>9969</v>
      </c>
      <c r="AI60" s="2359" t="b">
        <f>Raza="Daimah"</f>
        <v>0</v>
      </c>
      <c r="AJ60" s="2360" t="b">
        <v>0</v>
      </c>
    </row>
    <row r="61" spans="1:36" ht="12.75" customHeight="1" x14ac:dyDescent="0.2">
      <c r="A61" s="227">
        <v>61</v>
      </c>
      <c r="B61" s="5988"/>
      <c r="C61" s="489"/>
      <c r="D61" s="47">
        <v>16</v>
      </c>
      <c r="E61" s="58">
        <f>I61*IF($G$516,0.5,1)*IF(Acumulacion="Sí",PDs!$T$188,1)</f>
        <v>10</v>
      </c>
      <c r="F61" s="58" t="s">
        <v>10121</v>
      </c>
      <c r="G61" s="1189" t="s">
        <v>1999</v>
      </c>
      <c r="H61" s="1166" t="s">
        <v>8412</v>
      </c>
      <c r="I61" s="2669">
        <v>10</v>
      </c>
      <c r="S61" s="326" t="s">
        <v>8509</v>
      </c>
      <c r="T61" s="1324" t="b">
        <f>IF(OR(COUNTIF($R$1416:$R$1422,1)&gt;0,'Tablas psiquica'!AH27&gt;0),TRUE,FALSE)</f>
        <v>0</v>
      </c>
      <c r="U61" s="1324">
        <f>IF(T61,MIN(20,MAX($S$1416,'Tablas psiquica'!AH27)+Principal!L18),0)</f>
        <v>0</v>
      </c>
      <c r="V61" s="323">
        <f>IF(T61,MAX(V$58:V60)+1,0)</f>
        <v>0</v>
      </c>
      <c r="W61" s="323" t="str">
        <f t="shared" si="1"/>
        <v/>
      </c>
      <c r="X61" s="621" t="str">
        <f>IFERROR(VLOOKUP(W61,S61:U66,3,FALSE),"")</f>
        <v/>
      </c>
      <c r="AH61" s="2358" t="s">
        <v>9968</v>
      </c>
      <c r="AI61" s="2359" t="b">
        <f>Raza="Jayán"</f>
        <v>0</v>
      </c>
      <c r="AJ61" s="2360" t="b">
        <v>0</v>
      </c>
    </row>
    <row r="62" spans="1:36" ht="12.75" customHeight="1" x14ac:dyDescent="0.2">
      <c r="A62" s="227">
        <v>62</v>
      </c>
      <c r="B62" s="5988"/>
      <c r="C62" s="489"/>
      <c r="D62" s="47">
        <v>17</v>
      </c>
      <c r="E62" s="58">
        <f>I62*IF($G$516,0.5,1)*IF(Acumulacion="Sí",PDs!$T$188,1)</f>
        <v>25</v>
      </c>
      <c r="F62" s="58" t="s">
        <v>10121</v>
      </c>
      <c r="G62" s="1189" t="s">
        <v>2000</v>
      </c>
      <c r="H62" s="1166" t="s">
        <v>8413</v>
      </c>
      <c r="I62" s="2669">
        <v>25</v>
      </c>
      <c r="S62" s="326" t="s">
        <v>8506</v>
      </c>
      <c r="T62" s="1324" t="b">
        <f>IF(OR(R1725&gt;0,AND(Raza="Turak",COUNTIF(Cercanía_Dragón,"Alas de Dragón")&gt;0)),TRUE,FALSE)</f>
        <v>0</v>
      </c>
      <c r="U62" s="1324">
        <f>IF(T62,MIN(20,MAX(IF(AND(Raza="Turak",COUNTIF(Cercanía_Dragón,"Alas de Dragón")&gt;0),10+Principal!L18,0),U58)),0)</f>
        <v>0</v>
      </c>
      <c r="V62" s="323">
        <f>IF(T62,MAX(V$58:V61)+1,0)</f>
        <v>0</v>
      </c>
      <c r="W62" s="323" t="str">
        <f t="shared" si="1"/>
        <v/>
      </c>
      <c r="X62" s="621" t="str">
        <f>IFERROR(VLOOKUP(W62,S62:U67,3,FALSE),"")</f>
        <v/>
      </c>
      <c r="AH62" s="2358" t="s">
        <v>9038</v>
      </c>
      <c r="AI62" s="2359" t="b">
        <f>'Tablas psiquica'!$AI$55&gt;0</f>
        <v>0</v>
      </c>
      <c r="AJ62" s="2360" t="b">
        <f>'Tablas psiquica'!$AI$55&gt;1</f>
        <v>0</v>
      </c>
    </row>
    <row r="63" spans="1:36" ht="12.75" customHeight="1" thickBot="1" x14ac:dyDescent="0.25">
      <c r="A63" s="227">
        <v>63</v>
      </c>
      <c r="B63" s="5988"/>
      <c r="C63" s="489"/>
      <c r="D63" s="47">
        <v>18</v>
      </c>
      <c r="E63" s="58">
        <f>I63*IF($G$516,0.5,1)*IF(Acumulacion="Sí",PDs!$T$188,1)</f>
        <v>50</v>
      </c>
      <c r="F63" s="58" t="s">
        <v>10121</v>
      </c>
      <c r="G63" s="1189" t="s">
        <v>2001</v>
      </c>
      <c r="H63" s="1166" t="s">
        <v>8414</v>
      </c>
      <c r="I63" s="2669">
        <v>50</v>
      </c>
      <c r="S63" s="326" t="s">
        <v>8510</v>
      </c>
      <c r="T63" s="323" t="b">
        <f>IF(R1385&gt;0,TRUE,FALSE)</f>
        <v>0</v>
      </c>
      <c r="U63" s="323">
        <f>IF(T63,MIN(20,U58),0)</f>
        <v>0</v>
      </c>
      <c r="V63" s="323">
        <f>IF(T63,MAX(V$58:V62)+1,0)</f>
        <v>0</v>
      </c>
      <c r="W63" s="323" t="str">
        <f t="shared" si="1"/>
        <v/>
      </c>
      <c r="X63" s="621" t="str">
        <f>IFERROR(VLOOKUP(W63,S63:U68,3,FALSE),"")</f>
        <v/>
      </c>
      <c r="AH63" s="2358" t="s">
        <v>1820</v>
      </c>
      <c r="AI63" s="2359" t="b">
        <f>$J$1842&gt;0</f>
        <v>0</v>
      </c>
      <c r="AJ63" s="2360" t="b">
        <v>0</v>
      </c>
    </row>
    <row r="64" spans="1:36" ht="12.75" customHeight="1" thickBot="1" x14ac:dyDescent="0.25">
      <c r="A64" s="227">
        <v>64</v>
      </c>
      <c r="B64" s="5988"/>
      <c r="C64" s="489"/>
      <c r="D64" s="47">
        <v>19</v>
      </c>
      <c r="E64" s="58">
        <f>I64*IF($G$516,0.5,1)*IF(Acumulacion="Sí",PDs!$T$188,1)</f>
        <v>100</v>
      </c>
      <c r="F64" s="58" t="s">
        <v>10121</v>
      </c>
      <c r="G64" s="1189" t="s">
        <v>2002</v>
      </c>
      <c r="H64" s="1166" t="s">
        <v>8415</v>
      </c>
      <c r="I64" s="2669">
        <v>100</v>
      </c>
      <c r="N64"/>
      <c r="O64" s="559"/>
      <c r="S64" s="664" t="s">
        <v>8511</v>
      </c>
      <c r="T64" s="328" t="b">
        <f>IF(OR($R$1388&gt;0,$R$1389&gt;0),TRUE,FALSE)</f>
        <v>0</v>
      </c>
      <c r="U64" s="328">
        <f>IF(T64,MIN(20,U58),0)</f>
        <v>0</v>
      </c>
      <c r="V64" s="328">
        <f>IF(T64,MAX(V$58:V63)+1,0)</f>
        <v>0</v>
      </c>
      <c r="W64" s="328" t="str">
        <f t="shared" si="1"/>
        <v/>
      </c>
      <c r="X64" s="622" t="str">
        <f>IFERROR(VLOOKUP(W64,S64:U69,3,FALSE),"")</f>
        <v/>
      </c>
      <c r="AH64" s="2366" t="s">
        <v>9935</v>
      </c>
      <c r="AI64" s="2361" t="b">
        <f>OR($AI$57,$AI$58,$AI$60,$AI$62,$AI$63,Inhumanidad,Zen_TM)</f>
        <v>0</v>
      </c>
      <c r="AJ64" s="2362" t="b">
        <f>OR($AJ$57,$AJ$58,$AJ$62,$AJ$63,Zen)</f>
        <v>0</v>
      </c>
    </row>
    <row r="65" spans="1:36" ht="12.75" customHeight="1" thickBot="1" x14ac:dyDescent="0.25">
      <c r="A65" s="227">
        <v>65</v>
      </c>
      <c r="B65" s="5988"/>
      <c r="C65" s="491"/>
      <c r="D65" s="611">
        <v>20</v>
      </c>
      <c r="E65" s="1002">
        <f>I65*IF($G$516,0.5,1)*IF(Acumulacion="Sí",PDs!$T$188,1)</f>
        <v>250</v>
      </c>
      <c r="F65" s="1002" t="s">
        <v>10121</v>
      </c>
      <c r="G65" s="1190" t="s">
        <v>2002</v>
      </c>
      <c r="H65" s="1191" t="s">
        <v>8416</v>
      </c>
      <c r="I65" s="2669">
        <v>250</v>
      </c>
      <c r="N65"/>
      <c r="O65" s="559"/>
      <c r="S65" s="1335" t="s">
        <v>8525</v>
      </c>
      <c r="T65" s="1334"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32"/>
      <c r="V65" s="1333"/>
      <c r="W65" s="6075" t="str">
        <f>IF(COUNTIF(T59:T64,TRUE)&gt;0,"Tablas!"&amp;ADDRESS(ROW(W58),COLUMN(W58))&amp;":"&amp;ADDRESS(ROW(W58)+MATCH("",$W$58:$W$64,0)-2,COLUMN(W58)),"")</f>
        <v/>
      </c>
      <c r="X65" s="6076"/>
      <c r="AH65" s="2366" t="s">
        <v>9937</v>
      </c>
      <c r="AI65" s="2361" t="b">
        <f>OR($AI$57,$AI$59,$AI$61,$AI$62,$AI$63,Inhumanidad,Zen_IP)</f>
        <v>0</v>
      </c>
      <c r="AJ65" s="2362" t="b">
        <f>OR($AJ$57,$AJ$59,$AJ$62,$AJ$63,Zen)</f>
        <v>0</v>
      </c>
    </row>
    <row r="66" spans="1:36" ht="12.75" customHeight="1" thickBot="1" x14ac:dyDescent="0.25">
      <c r="A66" s="227">
        <v>66</v>
      </c>
      <c r="B66" s="5988"/>
      <c r="H66"/>
      <c r="I66" s="559"/>
      <c r="N66"/>
      <c r="O66" s="559"/>
    </row>
    <row r="67" spans="1:36" ht="12.75" customHeight="1" x14ac:dyDescent="0.2">
      <c r="A67" s="227">
        <v>67</v>
      </c>
      <c r="B67" s="5988"/>
      <c r="C67" s="6030" t="s">
        <v>8328</v>
      </c>
      <c r="D67" s="6031"/>
      <c r="E67" s="6031"/>
      <c r="F67" s="6031"/>
      <c r="G67" s="6031"/>
      <c r="H67" s="6031"/>
      <c r="I67" s="6031"/>
      <c r="J67" s="6031"/>
      <c r="K67" s="6031"/>
      <c r="L67" s="6031"/>
      <c r="M67" s="6031"/>
      <c r="N67" s="6032"/>
      <c r="P67" s="6030" t="s">
        <v>8327</v>
      </c>
      <c r="Q67" s="6031"/>
      <c r="R67" s="6031"/>
      <c r="S67" s="6031"/>
      <c r="T67" s="6031"/>
      <c r="U67" s="6031"/>
      <c r="V67" s="6031"/>
      <c r="W67" s="6031"/>
      <c r="X67" s="6031"/>
      <c r="Y67" s="6031"/>
      <c r="Z67" s="6031"/>
      <c r="AA67" s="6032"/>
    </row>
    <row r="68" spans="1:36" ht="12.75" customHeight="1" x14ac:dyDescent="0.2">
      <c r="A68" s="227">
        <v>68</v>
      </c>
      <c r="B68" s="5988"/>
      <c r="C68" s="1127" t="s">
        <v>1403</v>
      </c>
      <c r="D68" s="1120" t="s">
        <v>8316</v>
      </c>
      <c r="E68" s="1120" t="s">
        <v>8317</v>
      </c>
      <c r="F68" s="1120" t="s">
        <v>8318</v>
      </c>
      <c r="G68" s="1120" t="s">
        <v>8319</v>
      </c>
      <c r="H68" s="1120" t="s">
        <v>8320</v>
      </c>
      <c r="I68" s="1120" t="s">
        <v>8321</v>
      </c>
      <c r="J68" s="1120" t="s">
        <v>8322</v>
      </c>
      <c r="K68" s="1120" t="s">
        <v>8323</v>
      </c>
      <c r="L68" s="1120" t="s">
        <v>8324</v>
      </c>
      <c r="M68" s="1120" t="s">
        <v>8325</v>
      </c>
      <c r="N68" s="1126" t="s">
        <v>8326</v>
      </c>
      <c r="P68" s="1127" t="s">
        <v>1403</v>
      </c>
      <c r="Q68" s="1120" t="s">
        <v>8316</v>
      </c>
      <c r="R68" s="1120" t="s">
        <v>8317</v>
      </c>
      <c r="S68" s="1120" t="s">
        <v>8318</v>
      </c>
      <c r="T68" s="1120" t="s">
        <v>8319</v>
      </c>
      <c r="U68" s="1120" t="s">
        <v>8320</v>
      </c>
      <c r="V68" s="1120" t="s">
        <v>8321</v>
      </c>
      <c r="W68" s="1120" t="s">
        <v>8322</v>
      </c>
      <c r="X68" s="1120" t="s">
        <v>8323</v>
      </c>
      <c r="Y68" s="1224" t="s">
        <v>8324</v>
      </c>
      <c r="Z68" s="1224" t="s">
        <v>8325</v>
      </c>
      <c r="AA68" s="1225" t="s">
        <v>8326</v>
      </c>
    </row>
    <row r="69" spans="1:36" ht="12.75" customHeight="1" x14ac:dyDescent="0.2">
      <c r="A69" s="227">
        <v>69</v>
      </c>
      <c r="B69" s="5988"/>
      <c r="C69" s="1128">
        <v>0</v>
      </c>
      <c r="D69" s="1121">
        <v>0</v>
      </c>
      <c r="E69" s="1121">
        <v>0</v>
      </c>
      <c r="F69" s="1121">
        <v>0</v>
      </c>
      <c r="G69" s="1121">
        <v>0</v>
      </c>
      <c r="H69" s="1121">
        <v>0</v>
      </c>
      <c r="I69" s="1121">
        <v>0</v>
      </c>
      <c r="J69" s="1121">
        <v>0</v>
      </c>
      <c r="K69" s="1121">
        <v>0</v>
      </c>
      <c r="L69" s="1121">
        <v>0</v>
      </c>
      <c r="M69" s="1121">
        <v>0</v>
      </c>
      <c r="N69" s="1122">
        <v>0</v>
      </c>
      <c r="P69" s="1128">
        <v>0</v>
      </c>
      <c r="Q69" s="1121">
        <v>0</v>
      </c>
      <c r="R69" s="1121">
        <v>0</v>
      </c>
      <c r="S69" s="1121">
        <v>0</v>
      </c>
      <c r="T69" s="1121">
        <v>0</v>
      </c>
      <c r="U69" s="1121">
        <v>0</v>
      </c>
      <c r="V69" s="1121">
        <v>0</v>
      </c>
      <c r="W69" s="1121">
        <v>0</v>
      </c>
      <c r="X69" s="1121">
        <v>0</v>
      </c>
      <c r="Y69" s="1226">
        <v>0</v>
      </c>
      <c r="Z69" s="1226">
        <v>0</v>
      </c>
      <c r="AA69" s="1227">
        <v>0</v>
      </c>
    </row>
    <row r="70" spans="1:36" ht="12.75" customHeight="1" x14ac:dyDescent="0.2">
      <c r="A70" s="227">
        <v>70</v>
      </c>
      <c r="B70" s="5988"/>
      <c r="C70" s="1128">
        <v>1</v>
      </c>
      <c r="D70" s="1121">
        <v>0</v>
      </c>
      <c r="E70" s="1121">
        <v>0</v>
      </c>
      <c r="F70" s="1121">
        <v>0</v>
      </c>
      <c r="G70" s="1121">
        <v>0</v>
      </c>
      <c r="H70" s="1121">
        <v>0</v>
      </c>
      <c r="I70" s="1121">
        <v>0</v>
      </c>
      <c r="J70" s="1121">
        <v>0</v>
      </c>
      <c r="K70" s="1121">
        <v>0</v>
      </c>
      <c r="L70" s="1121">
        <v>0</v>
      </c>
      <c r="M70" s="1121">
        <v>0</v>
      </c>
      <c r="N70" s="1122">
        <v>0</v>
      </c>
      <c r="O70" s="1123"/>
      <c r="P70" s="1128">
        <v>1</v>
      </c>
      <c r="Q70" s="1121">
        <v>100</v>
      </c>
      <c r="R70" s="1121">
        <f>Q70+25</f>
        <v>125</v>
      </c>
      <c r="S70" s="1121">
        <f t="shared" ref="S70:AA70" si="2">R70+25</f>
        <v>150</v>
      </c>
      <c r="T70" s="1121">
        <f t="shared" si="2"/>
        <v>175</v>
      </c>
      <c r="U70" s="1121">
        <f t="shared" si="2"/>
        <v>200</v>
      </c>
      <c r="V70" s="1121">
        <f t="shared" si="2"/>
        <v>225</v>
      </c>
      <c r="W70" s="1121">
        <f t="shared" si="2"/>
        <v>250</v>
      </c>
      <c r="X70" s="1121">
        <f t="shared" si="2"/>
        <v>275</v>
      </c>
      <c r="Y70" s="1226">
        <f t="shared" si="2"/>
        <v>300</v>
      </c>
      <c r="Z70" s="1226">
        <f t="shared" si="2"/>
        <v>325</v>
      </c>
      <c r="AA70" s="1227">
        <f t="shared" si="2"/>
        <v>350</v>
      </c>
    </row>
    <row r="71" spans="1:36" ht="12.75" customHeight="1" x14ac:dyDescent="0.2">
      <c r="A71" s="227">
        <v>71</v>
      </c>
      <c r="B71" s="5988"/>
      <c r="C71" s="1128">
        <v>2</v>
      </c>
      <c r="D71" s="1121">
        <f>D70+Q70</f>
        <v>100</v>
      </c>
      <c r="E71" s="1121">
        <f>E70+R70</f>
        <v>125</v>
      </c>
      <c r="F71" s="1121">
        <f t="shared" ref="F71:N71" si="3">F70+S70</f>
        <v>150</v>
      </c>
      <c r="G71" s="1121">
        <f t="shared" si="3"/>
        <v>175</v>
      </c>
      <c r="H71" s="1121">
        <f t="shared" si="3"/>
        <v>200</v>
      </c>
      <c r="I71" s="1121">
        <f t="shared" si="3"/>
        <v>225</v>
      </c>
      <c r="J71" s="1121">
        <f t="shared" si="3"/>
        <v>250</v>
      </c>
      <c r="K71" s="1121">
        <f t="shared" si="3"/>
        <v>275</v>
      </c>
      <c r="L71" s="1121">
        <f t="shared" si="3"/>
        <v>300</v>
      </c>
      <c r="M71" s="1121">
        <f t="shared" si="3"/>
        <v>325</v>
      </c>
      <c r="N71" s="1122">
        <f t="shared" si="3"/>
        <v>350</v>
      </c>
      <c r="O71" s="1123"/>
      <c r="P71" s="1128">
        <v>2</v>
      </c>
      <c r="Q71" s="1121">
        <f>Q70+25</f>
        <v>125</v>
      </c>
      <c r="R71" s="1121">
        <f>R70+25</f>
        <v>150</v>
      </c>
      <c r="S71" s="1121">
        <f t="shared" ref="S71:AA71" si="4">S70+25</f>
        <v>175</v>
      </c>
      <c r="T71" s="1121">
        <f t="shared" si="4"/>
        <v>200</v>
      </c>
      <c r="U71" s="1121">
        <f t="shared" si="4"/>
        <v>225</v>
      </c>
      <c r="V71" s="1121">
        <f t="shared" si="4"/>
        <v>250</v>
      </c>
      <c r="W71" s="1121">
        <f t="shared" si="4"/>
        <v>275</v>
      </c>
      <c r="X71" s="1121">
        <f t="shared" si="4"/>
        <v>300</v>
      </c>
      <c r="Y71" s="1226">
        <f t="shared" si="4"/>
        <v>325</v>
      </c>
      <c r="Z71" s="1226">
        <f t="shared" si="4"/>
        <v>350</v>
      </c>
      <c r="AA71" s="1227">
        <f t="shared" si="4"/>
        <v>375</v>
      </c>
    </row>
    <row r="72" spans="1:36" ht="12.75" customHeight="1" x14ac:dyDescent="0.2">
      <c r="A72" s="227">
        <v>72</v>
      </c>
      <c r="B72" s="5988"/>
      <c r="C72" s="1128">
        <v>3</v>
      </c>
      <c r="D72" s="1121">
        <f t="shared" ref="D72:D99" si="5">D71+Q71</f>
        <v>225</v>
      </c>
      <c r="E72" s="1121">
        <f t="shared" ref="E72:E99" si="6">E71+R71</f>
        <v>275</v>
      </c>
      <c r="F72" s="1121">
        <f t="shared" ref="F72:F99" si="7">F71+S71</f>
        <v>325</v>
      </c>
      <c r="G72" s="1121">
        <f t="shared" ref="G72:G99" si="8">G71+T71</f>
        <v>375</v>
      </c>
      <c r="H72" s="1121">
        <f t="shared" ref="H72:H99" si="9">H71+U71</f>
        <v>425</v>
      </c>
      <c r="I72" s="1121">
        <f t="shared" ref="I72:I99" si="10">I71+V71</f>
        <v>475</v>
      </c>
      <c r="J72" s="1121">
        <f t="shared" ref="J72:J99" si="11">J71+W71</f>
        <v>525</v>
      </c>
      <c r="K72" s="1121">
        <f t="shared" ref="K72:K99" si="12">K71+X71</f>
        <v>575</v>
      </c>
      <c r="L72" s="1121">
        <f t="shared" ref="L72:L99" si="13">L71+Y71</f>
        <v>625</v>
      </c>
      <c r="M72" s="1121">
        <f t="shared" ref="M72:M99" si="14">M71+Z71</f>
        <v>675</v>
      </c>
      <c r="N72" s="1122">
        <f t="shared" ref="N72:N99" si="15">N71+AA71</f>
        <v>725</v>
      </c>
      <c r="O72" s="1123"/>
      <c r="P72" s="1128">
        <v>3</v>
      </c>
      <c r="Q72" s="1121">
        <f t="shared" ref="Q72:Q99" si="16">Q71+25</f>
        <v>150</v>
      </c>
      <c r="R72" s="1121">
        <f t="shared" ref="R72:R99" si="17">R71+25</f>
        <v>175</v>
      </c>
      <c r="S72" s="1121">
        <f t="shared" ref="S72:S99" si="18">S71+25</f>
        <v>200</v>
      </c>
      <c r="T72" s="1121">
        <f t="shared" ref="T72:T99" si="19">T71+25</f>
        <v>225</v>
      </c>
      <c r="U72" s="1121">
        <f t="shared" ref="U72:U99" si="20">U71+25</f>
        <v>250</v>
      </c>
      <c r="V72" s="1121">
        <f t="shared" ref="V72:V99" si="21">V71+25</f>
        <v>275</v>
      </c>
      <c r="W72" s="1121">
        <f t="shared" ref="W72:W99" si="22">W71+25</f>
        <v>300</v>
      </c>
      <c r="X72" s="1121">
        <f t="shared" ref="X72:X99" si="23">X71+25</f>
        <v>325</v>
      </c>
      <c r="Y72" s="1226">
        <f t="shared" ref="Y72:Y99" si="24">Y71+25</f>
        <v>350</v>
      </c>
      <c r="Z72" s="1226">
        <f t="shared" ref="Z72:Z99" si="25">Z71+25</f>
        <v>375</v>
      </c>
      <c r="AA72" s="1227">
        <f t="shared" ref="AA72:AA99" si="26">AA71+25</f>
        <v>400</v>
      </c>
    </row>
    <row r="73" spans="1:36" ht="12.75" customHeight="1" x14ac:dyDescent="0.2">
      <c r="A73" s="227">
        <v>73</v>
      </c>
      <c r="B73" s="5988"/>
      <c r="C73" s="1128">
        <v>4</v>
      </c>
      <c r="D73" s="1121">
        <f t="shared" si="5"/>
        <v>375</v>
      </c>
      <c r="E73" s="1121">
        <f t="shared" si="6"/>
        <v>450</v>
      </c>
      <c r="F73" s="1121">
        <f t="shared" si="7"/>
        <v>525</v>
      </c>
      <c r="G73" s="1121">
        <f t="shared" si="8"/>
        <v>600</v>
      </c>
      <c r="H73" s="1121">
        <f t="shared" si="9"/>
        <v>675</v>
      </c>
      <c r="I73" s="1121">
        <f t="shared" si="10"/>
        <v>750</v>
      </c>
      <c r="J73" s="1121">
        <f t="shared" si="11"/>
        <v>825</v>
      </c>
      <c r="K73" s="1121">
        <f t="shared" si="12"/>
        <v>900</v>
      </c>
      <c r="L73" s="1121">
        <f t="shared" si="13"/>
        <v>975</v>
      </c>
      <c r="M73" s="1121">
        <f t="shared" si="14"/>
        <v>1050</v>
      </c>
      <c r="N73" s="1122">
        <f t="shared" si="15"/>
        <v>1125</v>
      </c>
      <c r="O73" s="1123"/>
      <c r="P73" s="1128">
        <v>4</v>
      </c>
      <c r="Q73" s="1121">
        <f t="shared" si="16"/>
        <v>175</v>
      </c>
      <c r="R73" s="1121">
        <f t="shared" si="17"/>
        <v>200</v>
      </c>
      <c r="S73" s="1121">
        <f t="shared" si="18"/>
        <v>225</v>
      </c>
      <c r="T73" s="1121">
        <f t="shared" si="19"/>
        <v>250</v>
      </c>
      <c r="U73" s="1121">
        <f t="shared" si="20"/>
        <v>275</v>
      </c>
      <c r="V73" s="1121">
        <f t="shared" si="21"/>
        <v>300</v>
      </c>
      <c r="W73" s="1121">
        <f t="shared" si="22"/>
        <v>325</v>
      </c>
      <c r="X73" s="1121">
        <f t="shared" si="23"/>
        <v>350</v>
      </c>
      <c r="Y73" s="1226">
        <f t="shared" si="24"/>
        <v>375</v>
      </c>
      <c r="Z73" s="1226">
        <f t="shared" si="25"/>
        <v>400</v>
      </c>
      <c r="AA73" s="1227">
        <f t="shared" si="26"/>
        <v>425</v>
      </c>
    </row>
    <row r="74" spans="1:36" ht="12.75" customHeight="1" x14ac:dyDescent="0.2">
      <c r="A74" s="227">
        <v>74</v>
      </c>
      <c r="B74" s="5988"/>
      <c r="C74" s="1128">
        <v>5</v>
      </c>
      <c r="D74" s="1121">
        <f t="shared" si="5"/>
        <v>550</v>
      </c>
      <c r="E74" s="1121">
        <f t="shared" si="6"/>
        <v>650</v>
      </c>
      <c r="F74" s="1121">
        <f t="shared" si="7"/>
        <v>750</v>
      </c>
      <c r="G74" s="1121">
        <f t="shared" si="8"/>
        <v>850</v>
      </c>
      <c r="H74" s="1121">
        <f t="shared" si="9"/>
        <v>950</v>
      </c>
      <c r="I74" s="1121">
        <f t="shared" si="10"/>
        <v>1050</v>
      </c>
      <c r="J74" s="1121">
        <f t="shared" si="11"/>
        <v>1150</v>
      </c>
      <c r="K74" s="1121">
        <f t="shared" si="12"/>
        <v>1250</v>
      </c>
      <c r="L74" s="1121">
        <f t="shared" si="13"/>
        <v>1350</v>
      </c>
      <c r="M74" s="1121">
        <f t="shared" si="14"/>
        <v>1450</v>
      </c>
      <c r="N74" s="1122">
        <f t="shared" si="15"/>
        <v>1550</v>
      </c>
      <c r="O74" s="1123"/>
      <c r="P74" s="1128">
        <v>5</v>
      </c>
      <c r="Q74" s="1121">
        <f t="shared" si="16"/>
        <v>200</v>
      </c>
      <c r="R74" s="1121">
        <f t="shared" si="17"/>
        <v>225</v>
      </c>
      <c r="S74" s="1121">
        <f t="shared" si="18"/>
        <v>250</v>
      </c>
      <c r="T74" s="1121">
        <f t="shared" si="19"/>
        <v>275</v>
      </c>
      <c r="U74" s="1121">
        <f t="shared" si="20"/>
        <v>300</v>
      </c>
      <c r="V74" s="1121">
        <f t="shared" si="21"/>
        <v>325</v>
      </c>
      <c r="W74" s="1121">
        <f t="shared" si="22"/>
        <v>350</v>
      </c>
      <c r="X74" s="1121">
        <f t="shared" si="23"/>
        <v>375</v>
      </c>
      <c r="Y74" s="1226">
        <f t="shared" si="24"/>
        <v>400</v>
      </c>
      <c r="Z74" s="1226">
        <f t="shared" si="25"/>
        <v>425</v>
      </c>
      <c r="AA74" s="1227">
        <f t="shared" si="26"/>
        <v>450</v>
      </c>
    </row>
    <row r="75" spans="1:36" ht="12.75" customHeight="1" x14ac:dyDescent="0.2">
      <c r="A75" s="227">
        <v>75</v>
      </c>
      <c r="B75" s="5988"/>
      <c r="C75" s="1128">
        <v>6</v>
      </c>
      <c r="D75" s="1121">
        <f t="shared" si="5"/>
        <v>750</v>
      </c>
      <c r="E75" s="1121">
        <f t="shared" si="6"/>
        <v>875</v>
      </c>
      <c r="F75" s="1121">
        <f t="shared" si="7"/>
        <v>1000</v>
      </c>
      <c r="G75" s="1121">
        <f t="shared" si="8"/>
        <v>1125</v>
      </c>
      <c r="H75" s="1121">
        <f t="shared" si="9"/>
        <v>1250</v>
      </c>
      <c r="I75" s="1121">
        <f t="shared" si="10"/>
        <v>1375</v>
      </c>
      <c r="J75" s="1121">
        <f t="shared" si="11"/>
        <v>1500</v>
      </c>
      <c r="K75" s="1121">
        <f t="shared" si="12"/>
        <v>1625</v>
      </c>
      <c r="L75" s="1121">
        <f t="shared" si="13"/>
        <v>1750</v>
      </c>
      <c r="M75" s="1121">
        <f t="shared" si="14"/>
        <v>1875</v>
      </c>
      <c r="N75" s="1122">
        <f t="shared" si="15"/>
        <v>2000</v>
      </c>
      <c r="O75" s="1123"/>
      <c r="P75" s="1128">
        <v>6</v>
      </c>
      <c r="Q75" s="1121">
        <f t="shared" si="16"/>
        <v>225</v>
      </c>
      <c r="R75" s="1121">
        <f t="shared" si="17"/>
        <v>250</v>
      </c>
      <c r="S75" s="1121">
        <f t="shared" si="18"/>
        <v>275</v>
      </c>
      <c r="T75" s="1121">
        <f t="shared" si="19"/>
        <v>300</v>
      </c>
      <c r="U75" s="1121">
        <f t="shared" si="20"/>
        <v>325</v>
      </c>
      <c r="V75" s="1121">
        <f t="shared" si="21"/>
        <v>350</v>
      </c>
      <c r="W75" s="1121">
        <f t="shared" si="22"/>
        <v>375</v>
      </c>
      <c r="X75" s="1121">
        <f t="shared" si="23"/>
        <v>400</v>
      </c>
      <c r="Y75" s="1226">
        <f t="shared" si="24"/>
        <v>425</v>
      </c>
      <c r="Z75" s="1226">
        <f t="shared" si="25"/>
        <v>450</v>
      </c>
      <c r="AA75" s="1227">
        <f t="shared" si="26"/>
        <v>475</v>
      </c>
    </row>
    <row r="76" spans="1:36" ht="12.75" customHeight="1" x14ac:dyDescent="0.2">
      <c r="A76" s="227">
        <v>76</v>
      </c>
      <c r="B76" s="5988"/>
      <c r="C76" s="1128">
        <v>7</v>
      </c>
      <c r="D76" s="1121">
        <f t="shared" si="5"/>
        <v>975</v>
      </c>
      <c r="E76" s="1121">
        <f t="shared" si="6"/>
        <v>1125</v>
      </c>
      <c r="F76" s="1121">
        <f t="shared" si="7"/>
        <v>1275</v>
      </c>
      <c r="G76" s="1121">
        <f t="shared" si="8"/>
        <v>1425</v>
      </c>
      <c r="H76" s="1121">
        <f t="shared" si="9"/>
        <v>1575</v>
      </c>
      <c r="I76" s="1121">
        <f t="shared" si="10"/>
        <v>1725</v>
      </c>
      <c r="J76" s="1121">
        <f t="shared" si="11"/>
        <v>1875</v>
      </c>
      <c r="K76" s="1121">
        <f t="shared" si="12"/>
        <v>2025</v>
      </c>
      <c r="L76" s="1121">
        <f t="shared" si="13"/>
        <v>2175</v>
      </c>
      <c r="M76" s="1121">
        <f t="shared" si="14"/>
        <v>2325</v>
      </c>
      <c r="N76" s="1122">
        <f t="shared" si="15"/>
        <v>2475</v>
      </c>
      <c r="O76" s="1123"/>
      <c r="P76" s="1128">
        <v>7</v>
      </c>
      <c r="Q76" s="1121">
        <f t="shared" si="16"/>
        <v>250</v>
      </c>
      <c r="R76" s="1121">
        <f t="shared" si="17"/>
        <v>275</v>
      </c>
      <c r="S76" s="1121">
        <f t="shared" si="18"/>
        <v>300</v>
      </c>
      <c r="T76" s="1121">
        <f t="shared" si="19"/>
        <v>325</v>
      </c>
      <c r="U76" s="1121">
        <f t="shared" si="20"/>
        <v>350</v>
      </c>
      <c r="V76" s="1121">
        <f t="shared" si="21"/>
        <v>375</v>
      </c>
      <c r="W76" s="1121">
        <f t="shared" si="22"/>
        <v>400</v>
      </c>
      <c r="X76" s="1121">
        <f t="shared" si="23"/>
        <v>425</v>
      </c>
      <c r="Y76" s="1226">
        <f t="shared" si="24"/>
        <v>450</v>
      </c>
      <c r="Z76" s="1226">
        <f t="shared" si="25"/>
        <v>475</v>
      </c>
      <c r="AA76" s="1227">
        <f t="shared" si="26"/>
        <v>500</v>
      </c>
    </row>
    <row r="77" spans="1:36" ht="12.75" customHeight="1" x14ac:dyDescent="0.2">
      <c r="A77" s="227">
        <v>77</v>
      </c>
      <c r="B77" s="5988"/>
      <c r="C77" s="1128">
        <v>8</v>
      </c>
      <c r="D77" s="1121">
        <f t="shared" si="5"/>
        <v>1225</v>
      </c>
      <c r="E77" s="1121">
        <f t="shared" si="6"/>
        <v>1400</v>
      </c>
      <c r="F77" s="1121">
        <f t="shared" si="7"/>
        <v>1575</v>
      </c>
      <c r="G77" s="1121">
        <f t="shared" si="8"/>
        <v>1750</v>
      </c>
      <c r="H77" s="1121">
        <f t="shared" si="9"/>
        <v>1925</v>
      </c>
      <c r="I77" s="1121">
        <f t="shared" si="10"/>
        <v>2100</v>
      </c>
      <c r="J77" s="1121">
        <f t="shared" si="11"/>
        <v>2275</v>
      </c>
      <c r="K77" s="1121">
        <f t="shared" si="12"/>
        <v>2450</v>
      </c>
      <c r="L77" s="1121">
        <f t="shared" si="13"/>
        <v>2625</v>
      </c>
      <c r="M77" s="1121">
        <f t="shared" si="14"/>
        <v>2800</v>
      </c>
      <c r="N77" s="1122">
        <f t="shared" si="15"/>
        <v>2975</v>
      </c>
      <c r="O77" s="1123"/>
      <c r="P77" s="1128">
        <v>8</v>
      </c>
      <c r="Q77" s="1121">
        <f t="shared" si="16"/>
        <v>275</v>
      </c>
      <c r="R77" s="1121">
        <f t="shared" si="17"/>
        <v>300</v>
      </c>
      <c r="S77" s="1121">
        <f t="shared" si="18"/>
        <v>325</v>
      </c>
      <c r="T77" s="1121">
        <f t="shared" si="19"/>
        <v>350</v>
      </c>
      <c r="U77" s="1121">
        <f t="shared" si="20"/>
        <v>375</v>
      </c>
      <c r="V77" s="1121">
        <f t="shared" si="21"/>
        <v>400</v>
      </c>
      <c r="W77" s="1121">
        <f t="shared" si="22"/>
        <v>425</v>
      </c>
      <c r="X77" s="1121">
        <f t="shared" si="23"/>
        <v>450</v>
      </c>
      <c r="Y77" s="1226">
        <f t="shared" si="24"/>
        <v>475</v>
      </c>
      <c r="Z77" s="1226">
        <f t="shared" si="25"/>
        <v>500</v>
      </c>
      <c r="AA77" s="1227">
        <f t="shared" si="26"/>
        <v>525</v>
      </c>
    </row>
    <row r="78" spans="1:36" ht="12.75" customHeight="1" x14ac:dyDescent="0.2">
      <c r="A78" s="227">
        <v>78</v>
      </c>
      <c r="B78" s="5988"/>
      <c r="C78" s="1128">
        <v>9</v>
      </c>
      <c r="D78" s="1121">
        <f t="shared" si="5"/>
        <v>1500</v>
      </c>
      <c r="E78" s="1121">
        <f t="shared" si="6"/>
        <v>1700</v>
      </c>
      <c r="F78" s="1121">
        <f t="shared" si="7"/>
        <v>1900</v>
      </c>
      <c r="G78" s="1121">
        <f t="shared" si="8"/>
        <v>2100</v>
      </c>
      <c r="H78" s="1121">
        <f t="shared" si="9"/>
        <v>2300</v>
      </c>
      <c r="I78" s="1121">
        <f t="shared" si="10"/>
        <v>2500</v>
      </c>
      <c r="J78" s="1121">
        <f t="shared" si="11"/>
        <v>2700</v>
      </c>
      <c r="K78" s="1121">
        <f t="shared" si="12"/>
        <v>2900</v>
      </c>
      <c r="L78" s="1121">
        <f t="shared" si="13"/>
        <v>3100</v>
      </c>
      <c r="M78" s="1121">
        <f t="shared" si="14"/>
        <v>3300</v>
      </c>
      <c r="N78" s="1122">
        <f t="shared" si="15"/>
        <v>3500</v>
      </c>
      <c r="O78" s="1123"/>
      <c r="P78" s="1128">
        <v>9</v>
      </c>
      <c r="Q78" s="1121">
        <f t="shared" si="16"/>
        <v>300</v>
      </c>
      <c r="R78" s="1121">
        <f t="shared" si="17"/>
        <v>325</v>
      </c>
      <c r="S78" s="1121">
        <f t="shared" si="18"/>
        <v>350</v>
      </c>
      <c r="T78" s="1121">
        <f t="shared" si="19"/>
        <v>375</v>
      </c>
      <c r="U78" s="1121">
        <f t="shared" si="20"/>
        <v>400</v>
      </c>
      <c r="V78" s="1121">
        <f t="shared" si="21"/>
        <v>425</v>
      </c>
      <c r="W78" s="1121">
        <f t="shared" si="22"/>
        <v>450</v>
      </c>
      <c r="X78" s="1121">
        <f t="shared" si="23"/>
        <v>475</v>
      </c>
      <c r="Y78" s="1226">
        <f t="shared" si="24"/>
        <v>500</v>
      </c>
      <c r="Z78" s="1226">
        <f t="shared" si="25"/>
        <v>525</v>
      </c>
      <c r="AA78" s="1227">
        <f t="shared" si="26"/>
        <v>550</v>
      </c>
    </row>
    <row r="79" spans="1:36" ht="12.75" customHeight="1" x14ac:dyDescent="0.2">
      <c r="A79" s="227">
        <v>79</v>
      </c>
      <c r="B79" s="5988"/>
      <c r="C79" s="1128">
        <v>10</v>
      </c>
      <c r="D79" s="1121">
        <f t="shared" si="5"/>
        <v>1800</v>
      </c>
      <c r="E79" s="1121">
        <f t="shared" si="6"/>
        <v>2025</v>
      </c>
      <c r="F79" s="1121">
        <f t="shared" si="7"/>
        <v>2250</v>
      </c>
      <c r="G79" s="1121">
        <f t="shared" si="8"/>
        <v>2475</v>
      </c>
      <c r="H79" s="1121">
        <f t="shared" si="9"/>
        <v>2700</v>
      </c>
      <c r="I79" s="1121">
        <f t="shared" si="10"/>
        <v>2925</v>
      </c>
      <c r="J79" s="1121">
        <f t="shared" si="11"/>
        <v>3150</v>
      </c>
      <c r="K79" s="1121">
        <f t="shared" si="12"/>
        <v>3375</v>
      </c>
      <c r="L79" s="1121">
        <f t="shared" si="13"/>
        <v>3600</v>
      </c>
      <c r="M79" s="1121">
        <f t="shared" si="14"/>
        <v>3825</v>
      </c>
      <c r="N79" s="1122">
        <f t="shared" si="15"/>
        <v>4050</v>
      </c>
      <c r="O79" s="1123"/>
      <c r="P79" s="1128">
        <v>10</v>
      </c>
      <c r="Q79" s="1121">
        <f t="shared" si="16"/>
        <v>325</v>
      </c>
      <c r="R79" s="1121">
        <f t="shared" si="17"/>
        <v>350</v>
      </c>
      <c r="S79" s="1121">
        <f t="shared" si="18"/>
        <v>375</v>
      </c>
      <c r="T79" s="1121">
        <f t="shared" si="19"/>
        <v>400</v>
      </c>
      <c r="U79" s="1121">
        <f t="shared" si="20"/>
        <v>425</v>
      </c>
      <c r="V79" s="1121">
        <f t="shared" si="21"/>
        <v>450</v>
      </c>
      <c r="W79" s="1121">
        <f t="shared" si="22"/>
        <v>475</v>
      </c>
      <c r="X79" s="1121">
        <f t="shared" si="23"/>
        <v>500</v>
      </c>
      <c r="Y79" s="1226">
        <f t="shared" si="24"/>
        <v>525</v>
      </c>
      <c r="Z79" s="1226">
        <f t="shared" si="25"/>
        <v>550</v>
      </c>
      <c r="AA79" s="1227">
        <f t="shared" si="26"/>
        <v>575</v>
      </c>
    </row>
    <row r="80" spans="1:36" ht="12.75" customHeight="1" x14ac:dyDescent="0.2">
      <c r="A80" s="227">
        <v>80</v>
      </c>
      <c r="B80" s="5988"/>
      <c r="C80" s="1128">
        <v>11</v>
      </c>
      <c r="D80" s="1121">
        <f t="shared" si="5"/>
        <v>2125</v>
      </c>
      <c r="E80" s="1121">
        <f t="shared" si="6"/>
        <v>2375</v>
      </c>
      <c r="F80" s="1121">
        <f t="shared" si="7"/>
        <v>2625</v>
      </c>
      <c r="G80" s="1121">
        <f t="shared" si="8"/>
        <v>2875</v>
      </c>
      <c r="H80" s="1121">
        <f t="shared" si="9"/>
        <v>3125</v>
      </c>
      <c r="I80" s="1121">
        <f t="shared" si="10"/>
        <v>3375</v>
      </c>
      <c r="J80" s="1121">
        <f t="shared" si="11"/>
        <v>3625</v>
      </c>
      <c r="K80" s="1121">
        <f t="shared" si="12"/>
        <v>3875</v>
      </c>
      <c r="L80" s="1121">
        <f t="shared" si="13"/>
        <v>4125</v>
      </c>
      <c r="M80" s="1121">
        <f t="shared" si="14"/>
        <v>4375</v>
      </c>
      <c r="N80" s="1122">
        <f t="shared" si="15"/>
        <v>4625</v>
      </c>
      <c r="O80" s="1123"/>
      <c r="P80" s="1128">
        <v>11</v>
      </c>
      <c r="Q80" s="1121">
        <f t="shared" si="16"/>
        <v>350</v>
      </c>
      <c r="R80" s="1121">
        <f t="shared" si="17"/>
        <v>375</v>
      </c>
      <c r="S80" s="1121">
        <f t="shared" si="18"/>
        <v>400</v>
      </c>
      <c r="T80" s="1121">
        <f t="shared" si="19"/>
        <v>425</v>
      </c>
      <c r="U80" s="1121">
        <f t="shared" si="20"/>
        <v>450</v>
      </c>
      <c r="V80" s="1121">
        <f t="shared" si="21"/>
        <v>475</v>
      </c>
      <c r="W80" s="1121">
        <f t="shared" si="22"/>
        <v>500</v>
      </c>
      <c r="X80" s="1121">
        <f t="shared" si="23"/>
        <v>525</v>
      </c>
      <c r="Y80" s="1226">
        <f t="shared" si="24"/>
        <v>550</v>
      </c>
      <c r="Z80" s="1226">
        <f t="shared" si="25"/>
        <v>575</v>
      </c>
      <c r="AA80" s="1227">
        <f t="shared" si="26"/>
        <v>600</v>
      </c>
    </row>
    <row r="81" spans="1:27" ht="12.75" customHeight="1" x14ac:dyDescent="0.2">
      <c r="A81" s="227">
        <v>81</v>
      </c>
      <c r="B81" s="5988"/>
      <c r="C81" s="1128">
        <v>12</v>
      </c>
      <c r="D81" s="1121">
        <f t="shared" si="5"/>
        <v>2475</v>
      </c>
      <c r="E81" s="1121">
        <f t="shared" si="6"/>
        <v>2750</v>
      </c>
      <c r="F81" s="1121">
        <f t="shared" si="7"/>
        <v>3025</v>
      </c>
      <c r="G81" s="1121">
        <f t="shared" si="8"/>
        <v>3300</v>
      </c>
      <c r="H81" s="1121">
        <f t="shared" si="9"/>
        <v>3575</v>
      </c>
      <c r="I81" s="1121">
        <f t="shared" si="10"/>
        <v>3850</v>
      </c>
      <c r="J81" s="1121">
        <f t="shared" si="11"/>
        <v>4125</v>
      </c>
      <c r="K81" s="1121">
        <f t="shared" si="12"/>
        <v>4400</v>
      </c>
      <c r="L81" s="1121">
        <f t="shared" si="13"/>
        <v>4675</v>
      </c>
      <c r="M81" s="1121">
        <f t="shared" si="14"/>
        <v>4950</v>
      </c>
      <c r="N81" s="1122">
        <f t="shared" si="15"/>
        <v>5225</v>
      </c>
      <c r="O81" s="1123"/>
      <c r="P81" s="1128">
        <v>12</v>
      </c>
      <c r="Q81" s="1121">
        <f t="shared" si="16"/>
        <v>375</v>
      </c>
      <c r="R81" s="1121">
        <f t="shared" si="17"/>
        <v>400</v>
      </c>
      <c r="S81" s="1121">
        <f t="shared" si="18"/>
        <v>425</v>
      </c>
      <c r="T81" s="1121">
        <f t="shared" si="19"/>
        <v>450</v>
      </c>
      <c r="U81" s="1121">
        <f t="shared" si="20"/>
        <v>475</v>
      </c>
      <c r="V81" s="1121">
        <f t="shared" si="21"/>
        <v>500</v>
      </c>
      <c r="W81" s="1121">
        <f t="shared" si="22"/>
        <v>525</v>
      </c>
      <c r="X81" s="1121">
        <f t="shared" si="23"/>
        <v>550</v>
      </c>
      <c r="Y81" s="1226">
        <f t="shared" si="24"/>
        <v>575</v>
      </c>
      <c r="Z81" s="1226">
        <f t="shared" si="25"/>
        <v>600</v>
      </c>
      <c r="AA81" s="1227">
        <f t="shared" si="26"/>
        <v>625</v>
      </c>
    </row>
    <row r="82" spans="1:27" ht="12.75" customHeight="1" x14ac:dyDescent="0.2">
      <c r="A82" s="227">
        <v>82</v>
      </c>
      <c r="B82" s="5988"/>
      <c r="C82" s="1128">
        <v>13</v>
      </c>
      <c r="D82" s="1121">
        <f t="shared" si="5"/>
        <v>2850</v>
      </c>
      <c r="E82" s="1121">
        <f t="shared" si="6"/>
        <v>3150</v>
      </c>
      <c r="F82" s="1121">
        <f t="shared" si="7"/>
        <v>3450</v>
      </c>
      <c r="G82" s="1121">
        <f t="shared" si="8"/>
        <v>3750</v>
      </c>
      <c r="H82" s="1121">
        <f t="shared" si="9"/>
        <v>4050</v>
      </c>
      <c r="I82" s="1121">
        <f t="shared" si="10"/>
        <v>4350</v>
      </c>
      <c r="J82" s="1121">
        <f t="shared" si="11"/>
        <v>4650</v>
      </c>
      <c r="K82" s="1121">
        <f t="shared" si="12"/>
        <v>4950</v>
      </c>
      <c r="L82" s="1121">
        <f t="shared" si="13"/>
        <v>5250</v>
      </c>
      <c r="M82" s="1121">
        <f t="shared" si="14"/>
        <v>5550</v>
      </c>
      <c r="N82" s="1122">
        <f t="shared" si="15"/>
        <v>5850</v>
      </c>
      <c r="O82" s="1123"/>
      <c r="P82" s="1128">
        <v>13</v>
      </c>
      <c r="Q82" s="1121">
        <f t="shared" si="16"/>
        <v>400</v>
      </c>
      <c r="R82" s="1121">
        <f t="shared" si="17"/>
        <v>425</v>
      </c>
      <c r="S82" s="1121">
        <f t="shared" si="18"/>
        <v>450</v>
      </c>
      <c r="T82" s="1121">
        <f t="shared" si="19"/>
        <v>475</v>
      </c>
      <c r="U82" s="1121">
        <f t="shared" si="20"/>
        <v>500</v>
      </c>
      <c r="V82" s="1121">
        <f t="shared" si="21"/>
        <v>525</v>
      </c>
      <c r="W82" s="1121">
        <f t="shared" si="22"/>
        <v>550</v>
      </c>
      <c r="X82" s="1121">
        <f t="shared" si="23"/>
        <v>575</v>
      </c>
      <c r="Y82" s="1226">
        <f t="shared" si="24"/>
        <v>600</v>
      </c>
      <c r="Z82" s="1226">
        <f t="shared" si="25"/>
        <v>625</v>
      </c>
      <c r="AA82" s="1227">
        <f t="shared" si="26"/>
        <v>650</v>
      </c>
    </row>
    <row r="83" spans="1:27" ht="12.75" customHeight="1" x14ac:dyDescent="0.2">
      <c r="A83" s="227">
        <v>83</v>
      </c>
      <c r="B83" s="5988"/>
      <c r="C83" s="1128">
        <v>14</v>
      </c>
      <c r="D83" s="1121">
        <f t="shared" si="5"/>
        <v>3250</v>
      </c>
      <c r="E83" s="1121">
        <f t="shared" si="6"/>
        <v>3575</v>
      </c>
      <c r="F83" s="1121">
        <f t="shared" si="7"/>
        <v>3900</v>
      </c>
      <c r="G83" s="1121">
        <f t="shared" si="8"/>
        <v>4225</v>
      </c>
      <c r="H83" s="1121">
        <f t="shared" si="9"/>
        <v>4550</v>
      </c>
      <c r="I83" s="1121">
        <f t="shared" si="10"/>
        <v>4875</v>
      </c>
      <c r="J83" s="1121">
        <f t="shared" si="11"/>
        <v>5200</v>
      </c>
      <c r="K83" s="1121">
        <f t="shared" si="12"/>
        <v>5525</v>
      </c>
      <c r="L83" s="1121">
        <f t="shared" si="13"/>
        <v>5850</v>
      </c>
      <c r="M83" s="1121">
        <f t="shared" si="14"/>
        <v>6175</v>
      </c>
      <c r="N83" s="1122">
        <f t="shared" si="15"/>
        <v>6500</v>
      </c>
      <c r="O83" s="1123"/>
      <c r="P83" s="1128">
        <v>14</v>
      </c>
      <c r="Q83" s="1121">
        <f t="shared" si="16"/>
        <v>425</v>
      </c>
      <c r="R83" s="1121">
        <f t="shared" si="17"/>
        <v>450</v>
      </c>
      <c r="S83" s="1121">
        <f t="shared" si="18"/>
        <v>475</v>
      </c>
      <c r="T83" s="1121">
        <f t="shared" si="19"/>
        <v>500</v>
      </c>
      <c r="U83" s="1121">
        <f t="shared" si="20"/>
        <v>525</v>
      </c>
      <c r="V83" s="1121">
        <f t="shared" si="21"/>
        <v>550</v>
      </c>
      <c r="W83" s="1121">
        <f t="shared" si="22"/>
        <v>575</v>
      </c>
      <c r="X83" s="1121">
        <f t="shared" si="23"/>
        <v>600</v>
      </c>
      <c r="Y83" s="1226">
        <f t="shared" si="24"/>
        <v>625</v>
      </c>
      <c r="Z83" s="1226">
        <f t="shared" si="25"/>
        <v>650</v>
      </c>
      <c r="AA83" s="1227">
        <f t="shared" si="26"/>
        <v>675</v>
      </c>
    </row>
    <row r="84" spans="1:27" ht="12.75" customHeight="1" x14ac:dyDescent="0.2">
      <c r="A84" s="227">
        <v>84</v>
      </c>
      <c r="B84" s="5988"/>
      <c r="C84" s="1128">
        <v>15</v>
      </c>
      <c r="D84" s="1121">
        <f t="shared" si="5"/>
        <v>3675</v>
      </c>
      <c r="E84" s="1121">
        <f t="shared" si="6"/>
        <v>4025</v>
      </c>
      <c r="F84" s="1121">
        <f t="shared" si="7"/>
        <v>4375</v>
      </c>
      <c r="G84" s="1121">
        <f t="shared" si="8"/>
        <v>4725</v>
      </c>
      <c r="H84" s="1121">
        <f t="shared" si="9"/>
        <v>5075</v>
      </c>
      <c r="I84" s="1121">
        <f t="shared" si="10"/>
        <v>5425</v>
      </c>
      <c r="J84" s="1121">
        <f t="shared" si="11"/>
        <v>5775</v>
      </c>
      <c r="K84" s="1121">
        <f t="shared" si="12"/>
        <v>6125</v>
      </c>
      <c r="L84" s="1121">
        <f t="shared" si="13"/>
        <v>6475</v>
      </c>
      <c r="M84" s="1121">
        <f t="shared" si="14"/>
        <v>6825</v>
      </c>
      <c r="N84" s="1122">
        <f t="shared" si="15"/>
        <v>7175</v>
      </c>
      <c r="O84" s="1123"/>
      <c r="P84" s="1128">
        <v>15</v>
      </c>
      <c r="Q84" s="1121">
        <f t="shared" si="16"/>
        <v>450</v>
      </c>
      <c r="R84" s="1121">
        <f t="shared" si="17"/>
        <v>475</v>
      </c>
      <c r="S84" s="1121">
        <f t="shared" si="18"/>
        <v>500</v>
      </c>
      <c r="T84" s="1121">
        <f t="shared" si="19"/>
        <v>525</v>
      </c>
      <c r="U84" s="1121">
        <f t="shared" si="20"/>
        <v>550</v>
      </c>
      <c r="V84" s="1121">
        <f t="shared" si="21"/>
        <v>575</v>
      </c>
      <c r="W84" s="1121">
        <f t="shared" si="22"/>
        <v>600</v>
      </c>
      <c r="X84" s="1121">
        <f t="shared" si="23"/>
        <v>625</v>
      </c>
      <c r="Y84" s="1226">
        <f t="shared" si="24"/>
        <v>650</v>
      </c>
      <c r="Z84" s="1226">
        <f t="shared" si="25"/>
        <v>675</v>
      </c>
      <c r="AA84" s="1227">
        <f t="shared" si="26"/>
        <v>700</v>
      </c>
    </row>
    <row r="85" spans="1:27" ht="12.75" customHeight="1" x14ac:dyDescent="0.2">
      <c r="A85" s="227">
        <v>85</v>
      </c>
      <c r="B85" s="5988"/>
      <c r="C85" s="1128">
        <v>16</v>
      </c>
      <c r="D85" s="1121">
        <f t="shared" si="5"/>
        <v>4125</v>
      </c>
      <c r="E85" s="1121">
        <f t="shared" si="6"/>
        <v>4500</v>
      </c>
      <c r="F85" s="1121">
        <f t="shared" si="7"/>
        <v>4875</v>
      </c>
      <c r="G85" s="1121">
        <f t="shared" si="8"/>
        <v>5250</v>
      </c>
      <c r="H85" s="1121">
        <f t="shared" si="9"/>
        <v>5625</v>
      </c>
      <c r="I85" s="1121">
        <f t="shared" si="10"/>
        <v>6000</v>
      </c>
      <c r="J85" s="1121">
        <f t="shared" si="11"/>
        <v>6375</v>
      </c>
      <c r="K85" s="1121">
        <f t="shared" si="12"/>
        <v>6750</v>
      </c>
      <c r="L85" s="1121">
        <f t="shared" si="13"/>
        <v>7125</v>
      </c>
      <c r="M85" s="1121">
        <f t="shared" si="14"/>
        <v>7500</v>
      </c>
      <c r="N85" s="1122">
        <f t="shared" si="15"/>
        <v>7875</v>
      </c>
      <c r="O85" s="1123"/>
      <c r="P85" s="1128">
        <v>16</v>
      </c>
      <c r="Q85" s="1121">
        <f t="shared" si="16"/>
        <v>475</v>
      </c>
      <c r="R85" s="1121">
        <f t="shared" si="17"/>
        <v>500</v>
      </c>
      <c r="S85" s="1121">
        <f t="shared" si="18"/>
        <v>525</v>
      </c>
      <c r="T85" s="1121">
        <f t="shared" si="19"/>
        <v>550</v>
      </c>
      <c r="U85" s="1121">
        <f t="shared" si="20"/>
        <v>575</v>
      </c>
      <c r="V85" s="1121">
        <f t="shared" si="21"/>
        <v>600</v>
      </c>
      <c r="W85" s="1121">
        <f t="shared" si="22"/>
        <v>625</v>
      </c>
      <c r="X85" s="1121">
        <f t="shared" si="23"/>
        <v>650</v>
      </c>
      <c r="Y85" s="1226">
        <f t="shared" si="24"/>
        <v>675</v>
      </c>
      <c r="Z85" s="1226">
        <f t="shared" si="25"/>
        <v>700</v>
      </c>
      <c r="AA85" s="1227">
        <f t="shared" si="26"/>
        <v>725</v>
      </c>
    </row>
    <row r="86" spans="1:27" ht="12.75" customHeight="1" x14ac:dyDescent="0.2">
      <c r="A86" s="227">
        <v>86</v>
      </c>
      <c r="B86" s="5988"/>
      <c r="C86" s="1128">
        <v>17</v>
      </c>
      <c r="D86" s="1121">
        <f t="shared" si="5"/>
        <v>4600</v>
      </c>
      <c r="E86" s="1121">
        <f t="shared" si="6"/>
        <v>5000</v>
      </c>
      <c r="F86" s="1121">
        <f t="shared" si="7"/>
        <v>5400</v>
      </c>
      <c r="G86" s="1121">
        <f t="shared" si="8"/>
        <v>5800</v>
      </c>
      <c r="H86" s="1121">
        <f t="shared" si="9"/>
        <v>6200</v>
      </c>
      <c r="I86" s="1121">
        <f t="shared" si="10"/>
        <v>6600</v>
      </c>
      <c r="J86" s="1121">
        <f t="shared" si="11"/>
        <v>7000</v>
      </c>
      <c r="K86" s="1121">
        <f t="shared" si="12"/>
        <v>7400</v>
      </c>
      <c r="L86" s="1121">
        <f t="shared" si="13"/>
        <v>7800</v>
      </c>
      <c r="M86" s="1121">
        <f t="shared" si="14"/>
        <v>8200</v>
      </c>
      <c r="N86" s="1122">
        <f t="shared" si="15"/>
        <v>8600</v>
      </c>
      <c r="O86" s="1123"/>
      <c r="P86" s="1128">
        <v>17</v>
      </c>
      <c r="Q86" s="1121">
        <f t="shared" si="16"/>
        <v>500</v>
      </c>
      <c r="R86" s="1121">
        <f t="shared" si="17"/>
        <v>525</v>
      </c>
      <c r="S86" s="1121">
        <f t="shared" si="18"/>
        <v>550</v>
      </c>
      <c r="T86" s="1121">
        <f t="shared" si="19"/>
        <v>575</v>
      </c>
      <c r="U86" s="1121">
        <f t="shared" si="20"/>
        <v>600</v>
      </c>
      <c r="V86" s="1121">
        <f t="shared" si="21"/>
        <v>625</v>
      </c>
      <c r="W86" s="1121">
        <f t="shared" si="22"/>
        <v>650</v>
      </c>
      <c r="X86" s="1121">
        <f t="shared" si="23"/>
        <v>675</v>
      </c>
      <c r="Y86" s="1226">
        <f t="shared" si="24"/>
        <v>700</v>
      </c>
      <c r="Z86" s="1226">
        <f t="shared" si="25"/>
        <v>725</v>
      </c>
      <c r="AA86" s="1227">
        <f t="shared" si="26"/>
        <v>750</v>
      </c>
    </row>
    <row r="87" spans="1:27" ht="12.75" customHeight="1" x14ac:dyDescent="0.2">
      <c r="A87" s="227">
        <v>87</v>
      </c>
      <c r="B87" s="5988"/>
      <c r="C87" s="1128">
        <v>18</v>
      </c>
      <c r="D87" s="1121">
        <f t="shared" si="5"/>
        <v>5100</v>
      </c>
      <c r="E87" s="1121">
        <f t="shared" si="6"/>
        <v>5525</v>
      </c>
      <c r="F87" s="1121">
        <f t="shared" si="7"/>
        <v>5950</v>
      </c>
      <c r="G87" s="1121">
        <f t="shared" si="8"/>
        <v>6375</v>
      </c>
      <c r="H87" s="1121">
        <f t="shared" si="9"/>
        <v>6800</v>
      </c>
      <c r="I87" s="1121">
        <f t="shared" si="10"/>
        <v>7225</v>
      </c>
      <c r="J87" s="1121">
        <f t="shared" si="11"/>
        <v>7650</v>
      </c>
      <c r="K87" s="1121">
        <f t="shared" si="12"/>
        <v>8075</v>
      </c>
      <c r="L87" s="1121">
        <f t="shared" si="13"/>
        <v>8500</v>
      </c>
      <c r="M87" s="1121">
        <f t="shared" si="14"/>
        <v>8925</v>
      </c>
      <c r="N87" s="1122">
        <f t="shared" si="15"/>
        <v>9350</v>
      </c>
      <c r="O87" s="1123"/>
      <c r="P87" s="1128">
        <v>18</v>
      </c>
      <c r="Q87" s="1121">
        <f t="shared" si="16"/>
        <v>525</v>
      </c>
      <c r="R87" s="1121">
        <f t="shared" si="17"/>
        <v>550</v>
      </c>
      <c r="S87" s="1121">
        <f t="shared" si="18"/>
        <v>575</v>
      </c>
      <c r="T87" s="1121">
        <f t="shared" si="19"/>
        <v>600</v>
      </c>
      <c r="U87" s="1121">
        <f t="shared" si="20"/>
        <v>625</v>
      </c>
      <c r="V87" s="1121">
        <f t="shared" si="21"/>
        <v>650</v>
      </c>
      <c r="W87" s="1121">
        <f t="shared" si="22"/>
        <v>675</v>
      </c>
      <c r="X87" s="1121">
        <f t="shared" si="23"/>
        <v>700</v>
      </c>
      <c r="Y87" s="1226">
        <f t="shared" si="24"/>
        <v>725</v>
      </c>
      <c r="Z87" s="1226">
        <f t="shared" si="25"/>
        <v>750</v>
      </c>
      <c r="AA87" s="1227">
        <f t="shared" si="26"/>
        <v>775</v>
      </c>
    </row>
    <row r="88" spans="1:27" ht="12.75" customHeight="1" x14ac:dyDescent="0.2">
      <c r="A88" s="227">
        <v>88</v>
      </c>
      <c r="B88" s="5988"/>
      <c r="C88" s="1128">
        <v>19</v>
      </c>
      <c r="D88" s="1121">
        <f t="shared" si="5"/>
        <v>5625</v>
      </c>
      <c r="E88" s="1121">
        <f t="shared" si="6"/>
        <v>6075</v>
      </c>
      <c r="F88" s="1121">
        <f t="shared" si="7"/>
        <v>6525</v>
      </c>
      <c r="G88" s="1121">
        <f t="shared" si="8"/>
        <v>6975</v>
      </c>
      <c r="H88" s="1121">
        <f t="shared" si="9"/>
        <v>7425</v>
      </c>
      <c r="I88" s="1121">
        <f t="shared" si="10"/>
        <v>7875</v>
      </c>
      <c r="J88" s="1121">
        <f t="shared" si="11"/>
        <v>8325</v>
      </c>
      <c r="K88" s="1121">
        <f t="shared" si="12"/>
        <v>8775</v>
      </c>
      <c r="L88" s="1121">
        <f t="shared" si="13"/>
        <v>9225</v>
      </c>
      <c r="M88" s="1121">
        <f t="shared" si="14"/>
        <v>9675</v>
      </c>
      <c r="N88" s="1122">
        <f t="shared" si="15"/>
        <v>10125</v>
      </c>
      <c r="O88" s="1123"/>
      <c r="P88" s="1128">
        <v>19</v>
      </c>
      <c r="Q88" s="1121">
        <f t="shared" si="16"/>
        <v>550</v>
      </c>
      <c r="R88" s="1121">
        <f t="shared" si="17"/>
        <v>575</v>
      </c>
      <c r="S88" s="1121">
        <f t="shared" si="18"/>
        <v>600</v>
      </c>
      <c r="T88" s="1121">
        <f t="shared" si="19"/>
        <v>625</v>
      </c>
      <c r="U88" s="1121">
        <f t="shared" si="20"/>
        <v>650</v>
      </c>
      <c r="V88" s="1121">
        <f t="shared" si="21"/>
        <v>675</v>
      </c>
      <c r="W88" s="1121">
        <f t="shared" si="22"/>
        <v>700</v>
      </c>
      <c r="X88" s="1121">
        <f t="shared" si="23"/>
        <v>725</v>
      </c>
      <c r="Y88" s="1226">
        <f t="shared" si="24"/>
        <v>750</v>
      </c>
      <c r="Z88" s="1226">
        <f t="shared" si="25"/>
        <v>775</v>
      </c>
      <c r="AA88" s="1227">
        <f t="shared" si="26"/>
        <v>800</v>
      </c>
    </row>
    <row r="89" spans="1:27" ht="12.75" customHeight="1" x14ac:dyDescent="0.2">
      <c r="A89" s="227">
        <v>89</v>
      </c>
      <c r="B89" s="5988"/>
      <c r="C89" s="1128">
        <v>20</v>
      </c>
      <c r="D89" s="1121">
        <f t="shared" si="5"/>
        <v>6175</v>
      </c>
      <c r="E89" s="1121">
        <f t="shared" si="6"/>
        <v>6650</v>
      </c>
      <c r="F89" s="1121">
        <f t="shared" si="7"/>
        <v>7125</v>
      </c>
      <c r="G89" s="1121">
        <f t="shared" si="8"/>
        <v>7600</v>
      </c>
      <c r="H89" s="1121">
        <f t="shared" si="9"/>
        <v>8075</v>
      </c>
      <c r="I89" s="1121">
        <f t="shared" si="10"/>
        <v>8550</v>
      </c>
      <c r="J89" s="1121">
        <f t="shared" si="11"/>
        <v>9025</v>
      </c>
      <c r="K89" s="1121">
        <f t="shared" si="12"/>
        <v>9500</v>
      </c>
      <c r="L89" s="1121">
        <f t="shared" si="13"/>
        <v>9975</v>
      </c>
      <c r="M89" s="1121">
        <f t="shared" si="14"/>
        <v>10450</v>
      </c>
      <c r="N89" s="1122">
        <f t="shared" si="15"/>
        <v>10925</v>
      </c>
      <c r="O89" s="1123"/>
      <c r="P89" s="1128">
        <v>20</v>
      </c>
      <c r="Q89" s="1121">
        <f t="shared" si="16"/>
        <v>575</v>
      </c>
      <c r="R89" s="1121">
        <f t="shared" si="17"/>
        <v>600</v>
      </c>
      <c r="S89" s="1121">
        <f t="shared" si="18"/>
        <v>625</v>
      </c>
      <c r="T89" s="1121">
        <f t="shared" si="19"/>
        <v>650</v>
      </c>
      <c r="U89" s="1121">
        <f t="shared" si="20"/>
        <v>675</v>
      </c>
      <c r="V89" s="1121">
        <f t="shared" si="21"/>
        <v>700</v>
      </c>
      <c r="W89" s="1121">
        <f t="shared" si="22"/>
        <v>725</v>
      </c>
      <c r="X89" s="1121">
        <f t="shared" si="23"/>
        <v>750</v>
      </c>
      <c r="Y89" s="1226">
        <f t="shared" si="24"/>
        <v>775</v>
      </c>
      <c r="Z89" s="1226">
        <f t="shared" si="25"/>
        <v>800</v>
      </c>
      <c r="AA89" s="1227">
        <f t="shared" si="26"/>
        <v>825</v>
      </c>
    </row>
    <row r="90" spans="1:27" ht="12.75" customHeight="1" x14ac:dyDescent="0.2">
      <c r="A90" s="227">
        <v>90</v>
      </c>
      <c r="B90" s="5988"/>
      <c r="C90" s="1128">
        <v>21</v>
      </c>
      <c r="D90" s="1121">
        <f t="shared" si="5"/>
        <v>6750</v>
      </c>
      <c r="E90" s="1121">
        <f t="shared" si="6"/>
        <v>7250</v>
      </c>
      <c r="F90" s="1121">
        <f t="shared" si="7"/>
        <v>7750</v>
      </c>
      <c r="G90" s="1121">
        <f t="shared" si="8"/>
        <v>8250</v>
      </c>
      <c r="H90" s="1121">
        <f t="shared" si="9"/>
        <v>8750</v>
      </c>
      <c r="I90" s="1121">
        <f t="shared" si="10"/>
        <v>9250</v>
      </c>
      <c r="J90" s="1121">
        <f t="shared" si="11"/>
        <v>9750</v>
      </c>
      <c r="K90" s="1121">
        <f t="shared" si="12"/>
        <v>10250</v>
      </c>
      <c r="L90" s="1121">
        <f t="shared" si="13"/>
        <v>10750</v>
      </c>
      <c r="M90" s="1121">
        <f t="shared" si="14"/>
        <v>11250</v>
      </c>
      <c r="N90" s="1122">
        <f t="shared" si="15"/>
        <v>11750</v>
      </c>
      <c r="O90" s="1123"/>
      <c r="P90" s="1128">
        <v>21</v>
      </c>
      <c r="Q90" s="1121">
        <f t="shared" si="16"/>
        <v>600</v>
      </c>
      <c r="R90" s="1121">
        <f t="shared" si="17"/>
        <v>625</v>
      </c>
      <c r="S90" s="1121">
        <f t="shared" si="18"/>
        <v>650</v>
      </c>
      <c r="T90" s="1121">
        <f t="shared" si="19"/>
        <v>675</v>
      </c>
      <c r="U90" s="1121">
        <f t="shared" si="20"/>
        <v>700</v>
      </c>
      <c r="V90" s="1121">
        <f t="shared" si="21"/>
        <v>725</v>
      </c>
      <c r="W90" s="1121">
        <f t="shared" si="22"/>
        <v>750</v>
      </c>
      <c r="X90" s="1121">
        <f t="shared" si="23"/>
        <v>775</v>
      </c>
      <c r="Y90" s="1226">
        <f t="shared" si="24"/>
        <v>800</v>
      </c>
      <c r="Z90" s="1226">
        <f t="shared" si="25"/>
        <v>825</v>
      </c>
      <c r="AA90" s="1227">
        <f t="shared" si="26"/>
        <v>850</v>
      </c>
    </row>
    <row r="91" spans="1:27" ht="12.75" customHeight="1" x14ac:dyDescent="0.2">
      <c r="A91" s="227">
        <v>91</v>
      </c>
      <c r="B91" s="5988"/>
      <c r="C91" s="1128">
        <v>22</v>
      </c>
      <c r="D91" s="1121">
        <f t="shared" si="5"/>
        <v>7350</v>
      </c>
      <c r="E91" s="1121">
        <f t="shared" si="6"/>
        <v>7875</v>
      </c>
      <c r="F91" s="1121">
        <f t="shared" si="7"/>
        <v>8400</v>
      </c>
      <c r="G91" s="1121">
        <f t="shared" si="8"/>
        <v>8925</v>
      </c>
      <c r="H91" s="1121">
        <f t="shared" si="9"/>
        <v>9450</v>
      </c>
      <c r="I91" s="1121">
        <f t="shared" si="10"/>
        <v>9975</v>
      </c>
      <c r="J91" s="1121">
        <f t="shared" si="11"/>
        <v>10500</v>
      </c>
      <c r="K91" s="1121">
        <f t="shared" si="12"/>
        <v>11025</v>
      </c>
      <c r="L91" s="1121">
        <f t="shared" si="13"/>
        <v>11550</v>
      </c>
      <c r="M91" s="1121">
        <f t="shared" si="14"/>
        <v>12075</v>
      </c>
      <c r="N91" s="1122">
        <f t="shared" si="15"/>
        <v>12600</v>
      </c>
      <c r="O91" s="1123"/>
      <c r="P91" s="1128">
        <v>22</v>
      </c>
      <c r="Q91" s="1121">
        <f t="shared" si="16"/>
        <v>625</v>
      </c>
      <c r="R91" s="1121">
        <f t="shared" si="17"/>
        <v>650</v>
      </c>
      <c r="S91" s="1121">
        <f t="shared" si="18"/>
        <v>675</v>
      </c>
      <c r="T91" s="1121">
        <f t="shared" si="19"/>
        <v>700</v>
      </c>
      <c r="U91" s="1121">
        <f t="shared" si="20"/>
        <v>725</v>
      </c>
      <c r="V91" s="1121">
        <f t="shared" si="21"/>
        <v>750</v>
      </c>
      <c r="W91" s="1121">
        <f t="shared" si="22"/>
        <v>775</v>
      </c>
      <c r="X91" s="1121">
        <f t="shared" si="23"/>
        <v>800</v>
      </c>
      <c r="Y91" s="1226">
        <f t="shared" si="24"/>
        <v>825</v>
      </c>
      <c r="Z91" s="1226">
        <f t="shared" si="25"/>
        <v>850</v>
      </c>
      <c r="AA91" s="1227">
        <f t="shared" si="26"/>
        <v>875</v>
      </c>
    </row>
    <row r="92" spans="1:27" ht="12.75" customHeight="1" x14ac:dyDescent="0.2">
      <c r="A92" s="227">
        <v>92</v>
      </c>
      <c r="B92" s="5988"/>
      <c r="C92" s="1128">
        <v>23</v>
      </c>
      <c r="D92" s="1121">
        <f t="shared" si="5"/>
        <v>7975</v>
      </c>
      <c r="E92" s="1121">
        <f t="shared" si="6"/>
        <v>8525</v>
      </c>
      <c r="F92" s="1121">
        <f t="shared" si="7"/>
        <v>9075</v>
      </c>
      <c r="G92" s="1121">
        <f t="shared" si="8"/>
        <v>9625</v>
      </c>
      <c r="H92" s="1121">
        <f t="shared" si="9"/>
        <v>10175</v>
      </c>
      <c r="I92" s="1121">
        <f t="shared" si="10"/>
        <v>10725</v>
      </c>
      <c r="J92" s="1121">
        <f t="shared" si="11"/>
        <v>11275</v>
      </c>
      <c r="K92" s="1121">
        <f t="shared" si="12"/>
        <v>11825</v>
      </c>
      <c r="L92" s="1121">
        <f t="shared" si="13"/>
        <v>12375</v>
      </c>
      <c r="M92" s="1121">
        <f t="shared" si="14"/>
        <v>12925</v>
      </c>
      <c r="N92" s="1122">
        <f t="shared" si="15"/>
        <v>13475</v>
      </c>
      <c r="O92" s="1123"/>
      <c r="P92" s="1128">
        <v>23</v>
      </c>
      <c r="Q92" s="1121">
        <f t="shared" si="16"/>
        <v>650</v>
      </c>
      <c r="R92" s="1121">
        <f t="shared" si="17"/>
        <v>675</v>
      </c>
      <c r="S92" s="1121">
        <f t="shared" si="18"/>
        <v>700</v>
      </c>
      <c r="T92" s="1121">
        <f t="shared" si="19"/>
        <v>725</v>
      </c>
      <c r="U92" s="1121">
        <f t="shared" si="20"/>
        <v>750</v>
      </c>
      <c r="V92" s="1121">
        <f t="shared" si="21"/>
        <v>775</v>
      </c>
      <c r="W92" s="1121">
        <f t="shared" si="22"/>
        <v>800</v>
      </c>
      <c r="X92" s="1121">
        <f t="shared" si="23"/>
        <v>825</v>
      </c>
      <c r="Y92" s="1226">
        <f t="shared" si="24"/>
        <v>850</v>
      </c>
      <c r="Z92" s="1226">
        <f t="shared" si="25"/>
        <v>875</v>
      </c>
      <c r="AA92" s="1227">
        <f t="shared" si="26"/>
        <v>900</v>
      </c>
    </row>
    <row r="93" spans="1:27" ht="12.75" customHeight="1" x14ac:dyDescent="0.2">
      <c r="A93" s="227">
        <v>93</v>
      </c>
      <c r="B93" s="5988"/>
      <c r="C93" s="1128">
        <v>24</v>
      </c>
      <c r="D93" s="1121">
        <f t="shared" si="5"/>
        <v>8625</v>
      </c>
      <c r="E93" s="1121">
        <f t="shared" si="6"/>
        <v>9200</v>
      </c>
      <c r="F93" s="1121">
        <f t="shared" si="7"/>
        <v>9775</v>
      </c>
      <c r="G93" s="1121">
        <f t="shared" si="8"/>
        <v>10350</v>
      </c>
      <c r="H93" s="1121">
        <f t="shared" si="9"/>
        <v>10925</v>
      </c>
      <c r="I93" s="1121">
        <f t="shared" si="10"/>
        <v>11500</v>
      </c>
      <c r="J93" s="1121">
        <f t="shared" si="11"/>
        <v>12075</v>
      </c>
      <c r="K93" s="1121">
        <f t="shared" si="12"/>
        <v>12650</v>
      </c>
      <c r="L93" s="1121">
        <f t="shared" si="13"/>
        <v>13225</v>
      </c>
      <c r="M93" s="1121">
        <f t="shared" si="14"/>
        <v>13800</v>
      </c>
      <c r="N93" s="1122">
        <f t="shared" si="15"/>
        <v>14375</v>
      </c>
      <c r="O93" s="1123"/>
      <c r="P93" s="1128">
        <v>24</v>
      </c>
      <c r="Q93" s="1121">
        <f t="shared" si="16"/>
        <v>675</v>
      </c>
      <c r="R93" s="1121">
        <f t="shared" si="17"/>
        <v>700</v>
      </c>
      <c r="S93" s="1121">
        <f t="shared" si="18"/>
        <v>725</v>
      </c>
      <c r="T93" s="1121">
        <f t="shared" si="19"/>
        <v>750</v>
      </c>
      <c r="U93" s="1121">
        <f t="shared" si="20"/>
        <v>775</v>
      </c>
      <c r="V93" s="1121">
        <f t="shared" si="21"/>
        <v>800</v>
      </c>
      <c r="W93" s="1121">
        <f t="shared" si="22"/>
        <v>825</v>
      </c>
      <c r="X93" s="1121">
        <f t="shared" si="23"/>
        <v>850</v>
      </c>
      <c r="Y93" s="1226">
        <f t="shared" si="24"/>
        <v>875</v>
      </c>
      <c r="Z93" s="1226">
        <f t="shared" si="25"/>
        <v>900</v>
      </c>
      <c r="AA93" s="1227">
        <f t="shared" si="26"/>
        <v>925</v>
      </c>
    </row>
    <row r="94" spans="1:27" ht="12.75" customHeight="1" x14ac:dyDescent="0.2">
      <c r="A94" s="227">
        <v>94</v>
      </c>
      <c r="B94" s="5988"/>
      <c r="C94" s="1128">
        <v>25</v>
      </c>
      <c r="D94" s="1121">
        <f t="shared" si="5"/>
        <v>9300</v>
      </c>
      <c r="E94" s="1121">
        <f t="shared" si="6"/>
        <v>9900</v>
      </c>
      <c r="F94" s="1121">
        <f t="shared" si="7"/>
        <v>10500</v>
      </c>
      <c r="G94" s="1121">
        <f t="shared" si="8"/>
        <v>11100</v>
      </c>
      <c r="H94" s="1121">
        <f t="shared" si="9"/>
        <v>11700</v>
      </c>
      <c r="I94" s="1121">
        <f t="shared" si="10"/>
        <v>12300</v>
      </c>
      <c r="J94" s="1121">
        <f t="shared" si="11"/>
        <v>12900</v>
      </c>
      <c r="K94" s="1121">
        <f t="shared" si="12"/>
        <v>13500</v>
      </c>
      <c r="L94" s="1121">
        <f t="shared" si="13"/>
        <v>14100</v>
      </c>
      <c r="M94" s="1121">
        <f t="shared" si="14"/>
        <v>14700</v>
      </c>
      <c r="N94" s="1122">
        <f t="shared" si="15"/>
        <v>15300</v>
      </c>
      <c r="O94" s="1123"/>
      <c r="P94" s="1128">
        <v>25</v>
      </c>
      <c r="Q94" s="1121">
        <f t="shared" si="16"/>
        <v>700</v>
      </c>
      <c r="R94" s="1121">
        <f t="shared" si="17"/>
        <v>725</v>
      </c>
      <c r="S94" s="1121">
        <f t="shared" si="18"/>
        <v>750</v>
      </c>
      <c r="T94" s="1121">
        <f t="shared" si="19"/>
        <v>775</v>
      </c>
      <c r="U94" s="1121">
        <f t="shared" si="20"/>
        <v>800</v>
      </c>
      <c r="V94" s="1121">
        <f t="shared" si="21"/>
        <v>825</v>
      </c>
      <c r="W94" s="1121">
        <f t="shared" si="22"/>
        <v>850</v>
      </c>
      <c r="X94" s="1121">
        <f t="shared" si="23"/>
        <v>875</v>
      </c>
      <c r="Y94" s="1226">
        <f t="shared" si="24"/>
        <v>900</v>
      </c>
      <c r="Z94" s="1226">
        <f t="shared" si="25"/>
        <v>925</v>
      </c>
      <c r="AA94" s="1227">
        <f t="shared" si="26"/>
        <v>950</v>
      </c>
    </row>
    <row r="95" spans="1:27" ht="12.75" customHeight="1" x14ac:dyDescent="0.2">
      <c r="A95" s="227">
        <v>95</v>
      </c>
      <c r="B95" s="5988"/>
      <c r="C95" s="1128">
        <v>26</v>
      </c>
      <c r="D95" s="1121">
        <f t="shared" si="5"/>
        <v>10000</v>
      </c>
      <c r="E95" s="1121">
        <f t="shared" si="6"/>
        <v>10625</v>
      </c>
      <c r="F95" s="1121">
        <f t="shared" si="7"/>
        <v>11250</v>
      </c>
      <c r="G95" s="1121">
        <f t="shared" si="8"/>
        <v>11875</v>
      </c>
      <c r="H95" s="1121">
        <f t="shared" si="9"/>
        <v>12500</v>
      </c>
      <c r="I95" s="1121">
        <f t="shared" si="10"/>
        <v>13125</v>
      </c>
      <c r="J95" s="1121">
        <f t="shared" si="11"/>
        <v>13750</v>
      </c>
      <c r="K95" s="1121">
        <f t="shared" si="12"/>
        <v>14375</v>
      </c>
      <c r="L95" s="1121">
        <f t="shared" si="13"/>
        <v>15000</v>
      </c>
      <c r="M95" s="1121">
        <f t="shared" si="14"/>
        <v>15625</v>
      </c>
      <c r="N95" s="1122">
        <f t="shared" si="15"/>
        <v>16250</v>
      </c>
      <c r="O95" s="1123"/>
      <c r="P95" s="1128">
        <v>26</v>
      </c>
      <c r="Q95" s="1121">
        <f t="shared" si="16"/>
        <v>725</v>
      </c>
      <c r="R95" s="1121">
        <f t="shared" si="17"/>
        <v>750</v>
      </c>
      <c r="S95" s="1121">
        <f t="shared" si="18"/>
        <v>775</v>
      </c>
      <c r="T95" s="1121">
        <f t="shared" si="19"/>
        <v>800</v>
      </c>
      <c r="U95" s="1121">
        <f t="shared" si="20"/>
        <v>825</v>
      </c>
      <c r="V95" s="1121">
        <f t="shared" si="21"/>
        <v>850</v>
      </c>
      <c r="W95" s="1121">
        <f t="shared" si="22"/>
        <v>875</v>
      </c>
      <c r="X95" s="1121">
        <f t="shared" si="23"/>
        <v>900</v>
      </c>
      <c r="Y95" s="1226">
        <f t="shared" si="24"/>
        <v>925</v>
      </c>
      <c r="Z95" s="1226">
        <f t="shared" si="25"/>
        <v>950</v>
      </c>
      <c r="AA95" s="1227">
        <f t="shared" si="26"/>
        <v>975</v>
      </c>
    </row>
    <row r="96" spans="1:27" ht="12.75" customHeight="1" x14ac:dyDescent="0.2">
      <c r="A96" s="227">
        <v>96</v>
      </c>
      <c r="B96" s="5988"/>
      <c r="C96" s="1128">
        <v>27</v>
      </c>
      <c r="D96" s="1121">
        <f t="shared" si="5"/>
        <v>10725</v>
      </c>
      <c r="E96" s="1121">
        <f t="shared" si="6"/>
        <v>11375</v>
      </c>
      <c r="F96" s="1121">
        <f t="shared" si="7"/>
        <v>12025</v>
      </c>
      <c r="G96" s="1121">
        <f t="shared" si="8"/>
        <v>12675</v>
      </c>
      <c r="H96" s="1121">
        <f t="shared" si="9"/>
        <v>13325</v>
      </c>
      <c r="I96" s="1121">
        <f t="shared" si="10"/>
        <v>13975</v>
      </c>
      <c r="J96" s="1121">
        <f t="shared" si="11"/>
        <v>14625</v>
      </c>
      <c r="K96" s="1121">
        <f t="shared" si="12"/>
        <v>15275</v>
      </c>
      <c r="L96" s="1121">
        <f t="shared" si="13"/>
        <v>15925</v>
      </c>
      <c r="M96" s="1121">
        <f t="shared" si="14"/>
        <v>16575</v>
      </c>
      <c r="N96" s="1122">
        <f t="shared" si="15"/>
        <v>17225</v>
      </c>
      <c r="O96" s="1123"/>
      <c r="P96" s="1128">
        <v>27</v>
      </c>
      <c r="Q96" s="1121">
        <f t="shared" si="16"/>
        <v>750</v>
      </c>
      <c r="R96" s="1121">
        <f t="shared" si="17"/>
        <v>775</v>
      </c>
      <c r="S96" s="1121">
        <f t="shared" si="18"/>
        <v>800</v>
      </c>
      <c r="T96" s="1121">
        <f t="shared" si="19"/>
        <v>825</v>
      </c>
      <c r="U96" s="1121">
        <f t="shared" si="20"/>
        <v>850</v>
      </c>
      <c r="V96" s="1121">
        <f t="shared" si="21"/>
        <v>875</v>
      </c>
      <c r="W96" s="1121">
        <f t="shared" si="22"/>
        <v>900</v>
      </c>
      <c r="X96" s="1121">
        <f t="shared" si="23"/>
        <v>925</v>
      </c>
      <c r="Y96" s="1226">
        <f t="shared" si="24"/>
        <v>950</v>
      </c>
      <c r="Z96" s="1226">
        <f t="shared" si="25"/>
        <v>975</v>
      </c>
      <c r="AA96" s="1227">
        <f t="shared" si="26"/>
        <v>1000</v>
      </c>
    </row>
    <row r="97" spans="1:109" ht="12.75" customHeight="1" x14ac:dyDescent="0.2">
      <c r="A97" s="227">
        <v>97</v>
      </c>
      <c r="B97" s="5988"/>
      <c r="C97" s="1128">
        <v>28</v>
      </c>
      <c r="D97" s="1121">
        <f t="shared" si="5"/>
        <v>11475</v>
      </c>
      <c r="E97" s="1121">
        <f t="shared" si="6"/>
        <v>12150</v>
      </c>
      <c r="F97" s="1121">
        <f t="shared" si="7"/>
        <v>12825</v>
      </c>
      <c r="G97" s="1121">
        <f t="shared" si="8"/>
        <v>13500</v>
      </c>
      <c r="H97" s="1121">
        <f t="shared" si="9"/>
        <v>14175</v>
      </c>
      <c r="I97" s="1121">
        <f t="shared" si="10"/>
        <v>14850</v>
      </c>
      <c r="J97" s="1121">
        <f t="shared" si="11"/>
        <v>15525</v>
      </c>
      <c r="K97" s="1121">
        <f t="shared" si="12"/>
        <v>16200</v>
      </c>
      <c r="L97" s="1121">
        <f t="shared" si="13"/>
        <v>16875</v>
      </c>
      <c r="M97" s="1121">
        <f t="shared" si="14"/>
        <v>17550</v>
      </c>
      <c r="N97" s="1122">
        <f t="shared" si="15"/>
        <v>18225</v>
      </c>
      <c r="O97" s="1123"/>
      <c r="P97" s="1128">
        <v>28</v>
      </c>
      <c r="Q97" s="1121">
        <f t="shared" si="16"/>
        <v>775</v>
      </c>
      <c r="R97" s="1121">
        <f t="shared" si="17"/>
        <v>800</v>
      </c>
      <c r="S97" s="1121">
        <f t="shared" si="18"/>
        <v>825</v>
      </c>
      <c r="T97" s="1121">
        <f t="shared" si="19"/>
        <v>850</v>
      </c>
      <c r="U97" s="1121">
        <f t="shared" si="20"/>
        <v>875</v>
      </c>
      <c r="V97" s="1121">
        <f t="shared" si="21"/>
        <v>900</v>
      </c>
      <c r="W97" s="1121">
        <f t="shared" si="22"/>
        <v>925</v>
      </c>
      <c r="X97" s="1121">
        <f t="shared" si="23"/>
        <v>950</v>
      </c>
      <c r="Y97" s="1226">
        <f t="shared" si="24"/>
        <v>975</v>
      </c>
      <c r="Z97" s="1226">
        <f t="shared" si="25"/>
        <v>1000</v>
      </c>
      <c r="AA97" s="1227">
        <f t="shared" si="26"/>
        <v>1025</v>
      </c>
    </row>
    <row r="98" spans="1:109" ht="12.75" customHeight="1" x14ac:dyDescent="0.2">
      <c r="A98" s="227">
        <v>98</v>
      </c>
      <c r="B98" s="5988"/>
      <c r="C98" s="1128">
        <v>29</v>
      </c>
      <c r="D98" s="1121">
        <f t="shared" si="5"/>
        <v>12250</v>
      </c>
      <c r="E98" s="1121">
        <f t="shared" si="6"/>
        <v>12950</v>
      </c>
      <c r="F98" s="1121">
        <f t="shared" si="7"/>
        <v>13650</v>
      </c>
      <c r="G98" s="1121">
        <f t="shared" si="8"/>
        <v>14350</v>
      </c>
      <c r="H98" s="1121">
        <f t="shared" si="9"/>
        <v>15050</v>
      </c>
      <c r="I98" s="1121">
        <f t="shared" si="10"/>
        <v>15750</v>
      </c>
      <c r="J98" s="1121">
        <f t="shared" si="11"/>
        <v>16450</v>
      </c>
      <c r="K98" s="1121">
        <f t="shared" si="12"/>
        <v>17150</v>
      </c>
      <c r="L98" s="1121">
        <f t="shared" si="13"/>
        <v>17850</v>
      </c>
      <c r="M98" s="1121">
        <f t="shared" si="14"/>
        <v>18550</v>
      </c>
      <c r="N98" s="1122">
        <f t="shared" si="15"/>
        <v>19250</v>
      </c>
      <c r="O98" s="1123"/>
      <c r="P98" s="1128">
        <v>29</v>
      </c>
      <c r="Q98" s="1121">
        <f t="shared" si="16"/>
        <v>800</v>
      </c>
      <c r="R98" s="1121">
        <f t="shared" si="17"/>
        <v>825</v>
      </c>
      <c r="S98" s="1121">
        <f t="shared" si="18"/>
        <v>850</v>
      </c>
      <c r="T98" s="1121">
        <f t="shared" si="19"/>
        <v>875</v>
      </c>
      <c r="U98" s="1121">
        <f t="shared" si="20"/>
        <v>900</v>
      </c>
      <c r="V98" s="1121">
        <f t="shared" si="21"/>
        <v>925</v>
      </c>
      <c r="W98" s="1121">
        <f t="shared" si="22"/>
        <v>950</v>
      </c>
      <c r="X98" s="1121">
        <f t="shared" si="23"/>
        <v>975</v>
      </c>
      <c r="Y98" s="1226">
        <f t="shared" si="24"/>
        <v>1000</v>
      </c>
      <c r="Z98" s="1226">
        <f t="shared" si="25"/>
        <v>1025</v>
      </c>
      <c r="AA98" s="1227">
        <f t="shared" si="26"/>
        <v>1050</v>
      </c>
    </row>
    <row r="99" spans="1:109" ht="12.75" customHeight="1" thickBot="1" x14ac:dyDescent="0.25">
      <c r="A99" s="227">
        <v>99</v>
      </c>
      <c r="B99" s="5988"/>
      <c r="C99" s="1129">
        <v>30</v>
      </c>
      <c r="D99" s="1124">
        <f t="shared" si="5"/>
        <v>13050</v>
      </c>
      <c r="E99" s="1124">
        <f t="shared" si="6"/>
        <v>13775</v>
      </c>
      <c r="F99" s="1124">
        <f t="shared" si="7"/>
        <v>14500</v>
      </c>
      <c r="G99" s="1124">
        <f t="shared" si="8"/>
        <v>15225</v>
      </c>
      <c r="H99" s="1124">
        <f t="shared" si="9"/>
        <v>15950</v>
      </c>
      <c r="I99" s="1124">
        <f t="shared" si="10"/>
        <v>16675</v>
      </c>
      <c r="J99" s="1124">
        <f t="shared" si="11"/>
        <v>17400</v>
      </c>
      <c r="K99" s="1124">
        <f t="shared" si="12"/>
        <v>18125</v>
      </c>
      <c r="L99" s="1124">
        <f t="shared" si="13"/>
        <v>18850</v>
      </c>
      <c r="M99" s="1124">
        <f t="shared" si="14"/>
        <v>19575</v>
      </c>
      <c r="N99" s="1125">
        <f t="shared" si="15"/>
        <v>20300</v>
      </c>
      <c r="O99" s="1123"/>
      <c r="P99" s="1129">
        <v>30</v>
      </c>
      <c r="Q99" s="1124">
        <f t="shared" si="16"/>
        <v>825</v>
      </c>
      <c r="R99" s="1124">
        <f t="shared" si="17"/>
        <v>850</v>
      </c>
      <c r="S99" s="1124">
        <f t="shared" si="18"/>
        <v>875</v>
      </c>
      <c r="T99" s="1124">
        <f t="shared" si="19"/>
        <v>900</v>
      </c>
      <c r="U99" s="1124">
        <f t="shared" si="20"/>
        <v>925</v>
      </c>
      <c r="V99" s="1124">
        <f t="shared" si="21"/>
        <v>950</v>
      </c>
      <c r="W99" s="1124">
        <f t="shared" si="22"/>
        <v>975</v>
      </c>
      <c r="X99" s="1124">
        <f t="shared" si="23"/>
        <v>1000</v>
      </c>
      <c r="Y99" s="1228">
        <f t="shared" si="24"/>
        <v>1025</v>
      </c>
      <c r="Z99" s="1228">
        <f t="shared" si="25"/>
        <v>1050</v>
      </c>
      <c r="AA99" s="1229">
        <f t="shared" si="26"/>
        <v>1075</v>
      </c>
    </row>
    <row r="100" spans="1:109" ht="12.75" customHeight="1" x14ac:dyDescent="0.2">
      <c r="A100" s="227">
        <v>100</v>
      </c>
      <c r="B100" s="5988"/>
    </row>
    <row r="101" spans="1:109" ht="12.75" customHeight="1" x14ac:dyDescent="0.2">
      <c r="A101" s="227">
        <v>101</v>
      </c>
      <c r="B101" s="5988"/>
      <c r="C101" s="6003" t="s">
        <v>7318</v>
      </c>
      <c r="D101" s="6003"/>
      <c r="E101" s="6003"/>
      <c r="F101" s="6003"/>
      <c r="G101" s="6003"/>
      <c r="H101" s="6003"/>
      <c r="I101" s="6003"/>
      <c r="J101" s="6003"/>
      <c r="K101" s="6003"/>
      <c r="L101" s="6003"/>
      <c r="M101" s="6003"/>
      <c r="N101" s="6003"/>
      <c r="O101" s="6003"/>
      <c r="P101" s="6003"/>
      <c r="Q101" s="6003"/>
      <c r="R101" s="6003"/>
      <c r="S101" s="6003"/>
      <c r="T101" s="6003"/>
      <c r="U101" s="6003"/>
      <c r="V101" s="6003"/>
      <c r="W101" s="6003"/>
      <c r="X101" s="6003"/>
      <c r="Y101" s="6003"/>
      <c r="Z101" s="6003"/>
      <c r="AA101" s="6003"/>
      <c r="AB101" s="6003"/>
      <c r="AC101" s="6003"/>
      <c r="AD101" s="6003"/>
      <c r="AE101" s="6003"/>
      <c r="AF101" s="6003"/>
      <c r="AG101" s="6003"/>
      <c r="AH101" s="6003"/>
      <c r="AI101" s="6003"/>
      <c r="AJ101" s="6003"/>
      <c r="AK101" s="6003"/>
      <c r="AL101" s="6003"/>
      <c r="AM101" s="6003"/>
      <c r="AN101" s="6003"/>
      <c r="AO101" s="6003"/>
      <c r="AP101" s="6003"/>
      <c r="AQ101" s="6003"/>
      <c r="AR101" s="6003"/>
      <c r="AS101" s="6003"/>
      <c r="AT101" s="6003"/>
      <c r="AU101" s="6003"/>
      <c r="AV101" s="6003"/>
      <c r="AW101" s="6003"/>
      <c r="AX101" s="6003"/>
      <c r="AY101" s="6003"/>
      <c r="AZ101" s="6003"/>
      <c r="BA101" s="6003"/>
      <c r="BB101" s="6003"/>
      <c r="BC101" s="6003"/>
      <c r="BD101" s="6003"/>
      <c r="BE101" s="6003"/>
      <c r="BF101" s="6003"/>
      <c r="BG101" s="6003"/>
      <c r="BH101" s="6003"/>
      <c r="BI101" s="6003"/>
      <c r="BJ101" s="6003"/>
      <c r="BK101" s="6003"/>
      <c r="BL101" s="6003"/>
      <c r="BM101" s="6003"/>
      <c r="BN101" s="6003"/>
      <c r="BO101" s="6003"/>
      <c r="BP101" s="6003"/>
      <c r="BQ101" s="6003"/>
      <c r="BR101" s="6003"/>
      <c r="BS101" s="6003"/>
      <c r="BT101" s="6003"/>
      <c r="BU101" s="6003"/>
      <c r="BV101" s="6003"/>
      <c r="BW101" s="6003"/>
      <c r="BX101" s="6003"/>
      <c r="BY101" s="6003"/>
      <c r="BZ101" s="6003"/>
      <c r="CA101" s="6003"/>
      <c r="CB101" s="6003"/>
      <c r="CC101" s="6003"/>
      <c r="CD101" s="6003"/>
      <c r="CE101" s="6003"/>
      <c r="CF101" s="6003"/>
      <c r="CG101" s="6003"/>
      <c r="CH101" s="6003"/>
      <c r="CI101" s="6003"/>
      <c r="CJ101" s="6003"/>
      <c r="CK101" s="6003"/>
      <c r="CL101" s="6003"/>
      <c r="CM101" s="6003"/>
      <c r="CN101" s="6003"/>
      <c r="CO101" s="6003"/>
      <c r="CP101" s="6003"/>
      <c r="CQ101" s="6003"/>
      <c r="CR101" s="6003"/>
      <c r="CS101" s="6003"/>
      <c r="CT101" s="6003"/>
      <c r="CU101" s="6003"/>
      <c r="CV101" s="6003"/>
      <c r="CW101" s="6003"/>
      <c r="CX101" s="6003"/>
      <c r="CY101" s="6003"/>
      <c r="CZ101" s="6003"/>
      <c r="DA101" s="6003"/>
      <c r="DB101" s="6003"/>
      <c r="DC101" s="6003"/>
      <c r="DD101" s="6003"/>
      <c r="DE101" s="6003"/>
    </row>
    <row r="102" spans="1:109" ht="12.75" customHeight="1" x14ac:dyDescent="0.2">
      <c r="A102" s="227">
        <v>102</v>
      </c>
      <c r="B102" s="5988"/>
      <c r="C102" s="6003"/>
      <c r="D102" s="6003"/>
      <c r="E102" s="6003"/>
      <c r="F102" s="6003"/>
      <c r="G102" s="6003"/>
      <c r="H102" s="6003"/>
      <c r="I102" s="6003"/>
      <c r="J102" s="6003"/>
      <c r="K102" s="6003"/>
      <c r="L102" s="6003"/>
      <c r="M102" s="6003"/>
      <c r="N102" s="6003"/>
      <c r="O102" s="6003"/>
      <c r="P102" s="6003"/>
      <c r="Q102" s="6003"/>
      <c r="R102" s="6003"/>
      <c r="S102" s="6003"/>
      <c r="T102" s="6003"/>
      <c r="U102" s="6003"/>
      <c r="V102" s="6003"/>
      <c r="W102" s="6003"/>
      <c r="X102" s="6003"/>
      <c r="Y102" s="6003"/>
      <c r="Z102" s="6003"/>
      <c r="AA102" s="6003"/>
      <c r="AB102" s="6003"/>
      <c r="AC102" s="6003"/>
      <c r="AD102" s="6003"/>
      <c r="AE102" s="6003"/>
      <c r="AF102" s="6003"/>
      <c r="AG102" s="6003"/>
      <c r="AH102" s="6003"/>
      <c r="AI102" s="6003"/>
      <c r="AJ102" s="6003"/>
      <c r="AK102" s="6003"/>
      <c r="AL102" s="6003"/>
      <c r="AM102" s="6003"/>
      <c r="AN102" s="6003"/>
      <c r="AO102" s="6003"/>
      <c r="AP102" s="6003"/>
      <c r="AQ102" s="6003"/>
      <c r="AR102" s="6003"/>
      <c r="AS102" s="6003"/>
      <c r="AT102" s="6003"/>
      <c r="AU102" s="6003"/>
      <c r="AV102" s="6003"/>
      <c r="AW102" s="6003"/>
      <c r="AX102" s="6003"/>
      <c r="AY102" s="6003"/>
      <c r="AZ102" s="6003"/>
      <c r="BA102" s="6003"/>
      <c r="BB102" s="6003"/>
      <c r="BC102" s="6003"/>
      <c r="BD102" s="6003"/>
      <c r="BE102" s="6003"/>
      <c r="BF102" s="6003"/>
      <c r="BG102" s="6003"/>
      <c r="BH102" s="6003"/>
      <c r="BI102" s="6003"/>
      <c r="BJ102" s="6003"/>
      <c r="BK102" s="6003"/>
      <c r="BL102" s="6003"/>
      <c r="BM102" s="6003"/>
      <c r="BN102" s="6003"/>
      <c r="BO102" s="6003"/>
      <c r="BP102" s="6003"/>
      <c r="BQ102" s="6003"/>
      <c r="BR102" s="6003"/>
      <c r="BS102" s="6003"/>
      <c r="BT102" s="6003"/>
      <c r="BU102" s="6003"/>
      <c r="BV102" s="6003"/>
      <c r="BW102" s="6003"/>
      <c r="BX102" s="6003"/>
      <c r="BY102" s="6003"/>
      <c r="BZ102" s="6003"/>
      <c r="CA102" s="6003"/>
      <c r="CB102" s="6003"/>
      <c r="CC102" s="6003"/>
      <c r="CD102" s="6003"/>
      <c r="CE102" s="6003"/>
      <c r="CF102" s="6003"/>
      <c r="CG102" s="6003"/>
      <c r="CH102" s="6003"/>
      <c r="CI102" s="6003"/>
      <c r="CJ102" s="6003"/>
      <c r="CK102" s="6003"/>
      <c r="CL102" s="6003"/>
      <c r="CM102" s="6003"/>
      <c r="CN102" s="6003"/>
      <c r="CO102" s="6003"/>
      <c r="CP102" s="6003"/>
      <c r="CQ102" s="6003"/>
      <c r="CR102" s="6003"/>
      <c r="CS102" s="6003"/>
      <c r="CT102" s="6003"/>
      <c r="CU102" s="6003"/>
      <c r="CV102" s="6003"/>
      <c r="CW102" s="6003"/>
      <c r="CX102" s="6003"/>
      <c r="CY102" s="6003"/>
      <c r="CZ102" s="6003"/>
      <c r="DA102" s="6003"/>
      <c r="DB102" s="6003"/>
      <c r="DC102" s="6003"/>
      <c r="DD102" s="6003"/>
      <c r="DE102" s="6003"/>
    </row>
    <row r="103" spans="1:109" ht="12.75" customHeight="1" x14ac:dyDescent="0.2">
      <c r="A103" s="227">
        <v>103</v>
      </c>
      <c r="B103" s="5988"/>
      <c r="C103" s="6003"/>
      <c r="D103" s="6003"/>
      <c r="E103" s="6003"/>
      <c r="F103" s="6003"/>
      <c r="G103" s="6003"/>
      <c r="H103" s="6003"/>
      <c r="I103" s="6003"/>
      <c r="J103" s="6003"/>
      <c r="K103" s="6003"/>
      <c r="L103" s="6003"/>
      <c r="M103" s="6003"/>
      <c r="N103" s="6003"/>
      <c r="O103" s="6003"/>
      <c r="P103" s="6003"/>
      <c r="Q103" s="6003"/>
      <c r="R103" s="6003"/>
      <c r="S103" s="6003"/>
      <c r="T103" s="6003"/>
      <c r="U103" s="6003"/>
      <c r="V103" s="6003"/>
      <c r="W103" s="6003"/>
      <c r="X103" s="6003"/>
      <c r="Y103" s="6003"/>
      <c r="Z103" s="6003"/>
      <c r="AA103" s="6003"/>
      <c r="AB103" s="6003"/>
      <c r="AC103" s="6003"/>
      <c r="AD103" s="6003"/>
      <c r="AE103" s="6003"/>
      <c r="AF103" s="6003"/>
      <c r="AG103" s="6003"/>
      <c r="AH103" s="6003"/>
      <c r="AI103" s="6003"/>
      <c r="AJ103" s="6003"/>
      <c r="AK103" s="6003"/>
      <c r="AL103" s="6003"/>
      <c r="AM103" s="6003"/>
      <c r="AN103" s="6003"/>
      <c r="AO103" s="6003"/>
      <c r="AP103" s="6003"/>
      <c r="AQ103" s="6003"/>
      <c r="AR103" s="6003"/>
      <c r="AS103" s="6003"/>
      <c r="AT103" s="6003"/>
      <c r="AU103" s="6003"/>
      <c r="AV103" s="6003"/>
      <c r="AW103" s="6003"/>
      <c r="AX103" s="6003"/>
      <c r="AY103" s="6003"/>
      <c r="AZ103" s="6003"/>
      <c r="BA103" s="6003"/>
      <c r="BB103" s="6003"/>
      <c r="BC103" s="6003"/>
      <c r="BD103" s="6003"/>
      <c r="BE103" s="6003"/>
      <c r="BF103" s="6003"/>
      <c r="BG103" s="6003"/>
      <c r="BH103" s="6003"/>
      <c r="BI103" s="6003"/>
      <c r="BJ103" s="6003"/>
      <c r="BK103" s="6003"/>
      <c r="BL103" s="6003"/>
      <c r="BM103" s="6003"/>
      <c r="BN103" s="6003"/>
      <c r="BO103" s="6003"/>
      <c r="BP103" s="6003"/>
      <c r="BQ103" s="6003"/>
      <c r="BR103" s="6003"/>
      <c r="BS103" s="6003"/>
      <c r="BT103" s="6003"/>
      <c r="BU103" s="6003"/>
      <c r="BV103" s="6003"/>
      <c r="BW103" s="6003"/>
      <c r="BX103" s="6003"/>
      <c r="BY103" s="6003"/>
      <c r="BZ103" s="6003"/>
      <c r="CA103" s="6003"/>
      <c r="CB103" s="6003"/>
      <c r="CC103" s="6003"/>
      <c r="CD103" s="6003"/>
      <c r="CE103" s="6003"/>
      <c r="CF103" s="6003"/>
      <c r="CG103" s="6003"/>
      <c r="CH103" s="6003"/>
      <c r="CI103" s="6003"/>
      <c r="CJ103" s="6003"/>
      <c r="CK103" s="6003"/>
      <c r="CL103" s="6003"/>
      <c r="CM103" s="6003"/>
      <c r="CN103" s="6003"/>
      <c r="CO103" s="6003"/>
      <c r="CP103" s="6003"/>
      <c r="CQ103" s="6003"/>
      <c r="CR103" s="6003"/>
      <c r="CS103" s="6003"/>
      <c r="CT103" s="6003"/>
      <c r="CU103" s="6003"/>
      <c r="CV103" s="6003"/>
      <c r="CW103" s="6003"/>
      <c r="CX103" s="6003"/>
      <c r="CY103" s="6003"/>
      <c r="CZ103" s="6003"/>
      <c r="DA103" s="6003"/>
      <c r="DB103" s="6003"/>
      <c r="DC103" s="6003"/>
      <c r="DD103" s="6003"/>
      <c r="DE103" s="6003"/>
    </row>
    <row r="104" spans="1:109" ht="12.75" customHeight="1" thickBot="1" x14ac:dyDescent="0.25">
      <c r="A104" s="227">
        <v>104</v>
      </c>
      <c r="B104" s="5988"/>
      <c r="H104"/>
      <c r="N104"/>
    </row>
    <row r="105" spans="1:109" ht="12.75" customHeight="1" thickBot="1" x14ac:dyDescent="0.25">
      <c r="A105" s="227">
        <v>105</v>
      </c>
      <c r="B105" s="5988"/>
      <c r="C105" s="6069" t="s">
        <v>1930</v>
      </c>
      <c r="D105" s="6070"/>
      <c r="F105" s="6012" t="s">
        <v>1956</v>
      </c>
      <c r="G105" s="6012"/>
      <c r="H105"/>
      <c r="I105" s="6079" t="s">
        <v>1899</v>
      </c>
      <c r="J105" s="6080"/>
      <c r="K105" s="6080"/>
      <c r="L105" s="6080"/>
      <c r="M105" s="6080"/>
      <c r="N105" s="6080"/>
      <c r="O105" s="6080"/>
      <c r="P105" s="6080"/>
      <c r="Q105" s="6080"/>
      <c r="R105" s="6080"/>
      <c r="S105" s="6080"/>
      <c r="T105" s="6080"/>
      <c r="U105" s="6080"/>
      <c r="V105" s="6080"/>
      <c r="W105" s="6080"/>
      <c r="X105" s="6080"/>
      <c r="Y105" s="6080"/>
      <c r="Z105" s="6080"/>
      <c r="AA105" s="6080"/>
      <c r="AB105" s="6080"/>
      <c r="AC105" s="6080"/>
      <c r="AD105" s="6080"/>
      <c r="AE105" s="6080"/>
      <c r="AF105" s="6080"/>
      <c r="AG105" s="6080"/>
      <c r="AH105" s="6080"/>
      <c r="AI105" s="6080"/>
      <c r="AJ105" s="6080"/>
      <c r="AK105" s="6080"/>
      <c r="AL105" s="6080"/>
      <c r="AM105" s="6080"/>
      <c r="AN105" s="6080"/>
      <c r="AO105" s="6080"/>
      <c r="AP105" s="6080"/>
      <c r="AQ105" s="6080"/>
      <c r="AR105" s="6080"/>
      <c r="AS105" s="6080"/>
      <c r="AT105" s="6080"/>
      <c r="AU105" s="6080"/>
      <c r="AV105" s="6080"/>
      <c r="AW105" s="6080"/>
      <c r="AX105" s="6080"/>
      <c r="AY105" s="6080"/>
      <c r="AZ105" s="6080"/>
      <c r="BA105" s="6080"/>
      <c r="BB105" s="6080"/>
      <c r="BC105" s="6080"/>
      <c r="BD105" s="6080"/>
      <c r="BE105" s="6080"/>
      <c r="BF105" s="6080"/>
      <c r="BG105" s="6080"/>
      <c r="BH105" s="6080"/>
      <c r="BI105" s="6080"/>
      <c r="BJ105" s="6080"/>
      <c r="BK105" s="6080"/>
      <c r="BL105" s="6081"/>
      <c r="BN105" s="6098" t="s">
        <v>10205</v>
      </c>
      <c r="BO105" s="6099"/>
      <c r="BP105" s="6099"/>
      <c r="BQ105" s="6099"/>
      <c r="BR105" s="6099"/>
      <c r="BS105" s="6099"/>
      <c r="BT105" s="6099"/>
      <c r="BU105" s="6099"/>
      <c r="BV105" s="6099"/>
      <c r="BW105" s="6099"/>
      <c r="BX105" s="6099"/>
      <c r="BY105" s="6099"/>
      <c r="BZ105" s="6099"/>
      <c r="CA105" s="6099"/>
      <c r="CB105" s="6099"/>
      <c r="CC105" s="6099"/>
      <c r="CD105" s="6099"/>
      <c r="CE105" s="6099"/>
      <c r="CF105" s="6099"/>
      <c r="CG105" s="6099"/>
      <c r="CH105" s="6099"/>
      <c r="CI105" s="6099"/>
      <c r="CJ105" s="6099"/>
      <c r="CK105" s="6099"/>
      <c r="CL105" s="6099"/>
      <c r="CM105" s="6099"/>
      <c r="CN105" s="6099"/>
      <c r="CO105" s="6099"/>
      <c r="CP105" s="6099"/>
      <c r="CQ105" s="6099"/>
      <c r="CR105" s="6099"/>
      <c r="CS105" s="6099"/>
      <c r="CT105" s="6099"/>
      <c r="CU105" s="6099"/>
      <c r="CV105" s="6099"/>
      <c r="CW105" s="6099"/>
      <c r="CX105" s="6099"/>
      <c r="CY105" s="6099"/>
      <c r="CZ105" s="6099"/>
      <c r="DA105" s="6099"/>
      <c r="DB105" s="6100"/>
    </row>
    <row r="106" spans="1:109" ht="12.75" customHeight="1" thickBot="1" x14ac:dyDescent="0.25">
      <c r="A106" s="227">
        <v>106</v>
      </c>
      <c r="B106" s="5988"/>
      <c r="C106" s="6071"/>
      <c r="D106" s="6072"/>
      <c r="F106" s="6012"/>
      <c r="G106" s="6012"/>
      <c r="H106"/>
      <c r="I106" s="6082"/>
      <c r="J106" s="6058"/>
      <c r="K106" s="6058"/>
      <c r="L106" s="6058"/>
      <c r="M106" s="6058"/>
      <c r="N106" s="6058"/>
      <c r="O106" s="6058"/>
      <c r="P106" s="6058"/>
      <c r="Q106" s="6058"/>
      <c r="R106" s="6058"/>
      <c r="S106" s="6058"/>
      <c r="T106" s="6058"/>
      <c r="U106" s="6058"/>
      <c r="V106" s="6058"/>
      <c r="W106" s="6058"/>
      <c r="X106" s="6058"/>
      <c r="Y106" s="6058"/>
      <c r="Z106" s="6058"/>
      <c r="AA106" s="6058"/>
      <c r="AB106" s="6058"/>
      <c r="AC106" s="6058"/>
      <c r="AD106" s="6058"/>
      <c r="AE106" s="6058"/>
      <c r="AF106" s="6058"/>
      <c r="AG106" s="6058"/>
      <c r="AH106" s="6058"/>
      <c r="AI106" s="6058"/>
      <c r="AJ106" s="6058"/>
      <c r="AK106" s="6058"/>
      <c r="AL106" s="6058"/>
      <c r="AM106" s="6058"/>
      <c r="AN106" s="6058"/>
      <c r="AO106" s="6058"/>
      <c r="AP106" s="6058"/>
      <c r="AQ106" s="6058"/>
      <c r="AR106" s="6058"/>
      <c r="AS106" s="6058"/>
      <c r="AT106" s="6058"/>
      <c r="AU106" s="6058"/>
      <c r="AV106" s="6058"/>
      <c r="AW106" s="6058"/>
      <c r="AX106" s="6058"/>
      <c r="AY106" s="6058"/>
      <c r="AZ106" s="6058"/>
      <c r="BA106" s="6058"/>
      <c r="BB106" s="6058"/>
      <c r="BC106" s="6058"/>
      <c r="BD106" s="6058"/>
      <c r="BE106" s="6058"/>
      <c r="BF106" s="6058"/>
      <c r="BG106" s="6058"/>
      <c r="BH106" s="6058"/>
      <c r="BI106" s="6058"/>
      <c r="BJ106" s="6058"/>
      <c r="BK106" s="6058"/>
      <c r="BL106" s="6083"/>
      <c r="BN106" s="6101"/>
      <c r="BO106" s="6102"/>
      <c r="BP106" s="6102"/>
      <c r="BQ106" s="6102"/>
      <c r="BR106" s="6102"/>
      <c r="BS106" s="6102"/>
      <c r="BT106" s="6102"/>
      <c r="BU106" s="6102"/>
      <c r="BV106" s="6102"/>
      <c r="BW106" s="6102"/>
      <c r="BX106" s="6102"/>
      <c r="BY106" s="6102"/>
      <c r="BZ106" s="6102"/>
      <c r="CA106" s="6102"/>
      <c r="CB106" s="6102"/>
      <c r="CC106" s="6102"/>
      <c r="CD106" s="6102"/>
      <c r="CE106" s="6102"/>
      <c r="CF106" s="6102"/>
      <c r="CG106" s="6102"/>
      <c r="CH106" s="6102"/>
      <c r="CI106" s="6102"/>
      <c r="CJ106" s="6102"/>
      <c r="CK106" s="6102"/>
      <c r="CL106" s="6102"/>
      <c r="CM106" s="6102"/>
      <c r="CN106" s="6102"/>
      <c r="CO106" s="6102"/>
      <c r="CP106" s="6102"/>
      <c r="CQ106" s="6102"/>
      <c r="CR106" s="6102"/>
      <c r="CS106" s="6102"/>
      <c r="CT106" s="6102"/>
      <c r="CU106" s="6102"/>
      <c r="CV106" s="6102"/>
      <c r="CW106" s="6102"/>
      <c r="CX106" s="6102"/>
      <c r="CY106" s="6102"/>
      <c r="CZ106" s="6102"/>
      <c r="DA106" s="6102"/>
      <c r="DB106" s="6103"/>
    </row>
    <row r="107" spans="1:109" ht="13.5" customHeight="1" thickBot="1" x14ac:dyDescent="0.25">
      <c r="A107" s="227">
        <v>107</v>
      </c>
      <c r="B107" s="5988"/>
      <c r="C107" s="2857" t="s">
        <v>1931</v>
      </c>
      <c r="D107" s="581"/>
      <c r="F107" s="185" t="s">
        <v>9327</v>
      </c>
      <c r="G107" s="50">
        <f>IF(Personalización!$AN$14,1,0)</f>
        <v>0</v>
      </c>
      <c r="H107"/>
      <c r="I107" s="716"/>
      <c r="J107" s="172">
        <v>1</v>
      </c>
      <c r="K107" s="172">
        <v>2</v>
      </c>
      <c r="L107" s="172">
        <v>3</v>
      </c>
      <c r="M107" s="172">
        <v>4</v>
      </c>
      <c r="N107" s="172">
        <v>5</v>
      </c>
      <c r="O107" s="597">
        <v>6</v>
      </c>
      <c r="P107" s="172">
        <v>7</v>
      </c>
      <c r="Q107" s="172">
        <v>8</v>
      </c>
      <c r="R107" s="1130">
        <v>9</v>
      </c>
      <c r="S107" s="1130">
        <v>10</v>
      </c>
      <c r="T107" s="1130">
        <v>11</v>
      </c>
      <c r="U107" s="1130">
        <v>12</v>
      </c>
      <c r="V107" s="1130">
        <v>13</v>
      </c>
      <c r="W107" s="1130">
        <v>14</v>
      </c>
      <c r="X107" s="1130">
        <v>15</v>
      </c>
      <c r="Y107" s="748">
        <v>16</v>
      </c>
      <c r="Z107" s="748">
        <v>17</v>
      </c>
      <c r="AA107" s="748">
        <v>18</v>
      </c>
      <c r="AB107" s="748">
        <v>19</v>
      </c>
      <c r="AC107" s="6078">
        <v>20</v>
      </c>
      <c r="AD107" s="6078"/>
      <c r="AE107" s="748"/>
      <c r="AF107" s="6078"/>
      <c r="AG107" s="6078"/>
      <c r="AH107" s="748"/>
      <c r="AI107" s="6078"/>
      <c r="AJ107" s="6078"/>
      <c r="AK107" s="748"/>
      <c r="AL107" s="6078"/>
      <c r="AM107" s="6078"/>
      <c r="AN107" s="748"/>
      <c r="AO107" s="6065"/>
      <c r="AP107" s="6065"/>
      <c r="AQ107" s="1130"/>
      <c r="AR107" s="6065"/>
      <c r="AS107" s="6065"/>
      <c r="AT107" s="1130"/>
      <c r="AU107" s="6065"/>
      <c r="AV107" s="6065"/>
      <c r="AW107" s="1130"/>
      <c r="AX107" s="6065"/>
      <c r="AY107" s="6065"/>
      <c r="AZ107" s="1130"/>
      <c r="BA107" s="6065"/>
      <c r="BB107" s="6065"/>
      <c r="BC107" s="1130"/>
      <c r="BD107" s="6065"/>
      <c r="BE107" s="6065"/>
      <c r="BF107" s="1130"/>
      <c r="BG107" s="6065"/>
      <c r="BH107" s="6065"/>
      <c r="BI107" s="1130"/>
      <c r="BJ107" s="6065"/>
      <c r="BK107" s="6065"/>
      <c r="BL107" s="1139"/>
      <c r="BN107" s="326"/>
      <c r="BO107" s="2773" t="s">
        <v>10218</v>
      </c>
      <c r="BP107" s="2773" t="s">
        <v>10174</v>
      </c>
      <c r="BQ107" s="2773" t="s">
        <v>10184</v>
      </c>
      <c r="BR107" s="2773" t="s">
        <v>10171</v>
      </c>
      <c r="BS107" s="2773" t="s">
        <v>10188</v>
      </c>
      <c r="BT107" s="2773" t="s">
        <v>10172</v>
      </c>
      <c r="BU107" s="2773" t="s">
        <v>10179</v>
      </c>
      <c r="BV107" s="2773" t="s">
        <v>10176</v>
      </c>
      <c r="BW107" s="2773" t="s">
        <v>10177</v>
      </c>
      <c r="BX107" s="2773" t="s">
        <v>10180</v>
      </c>
      <c r="BY107" s="2773" t="s">
        <v>10170</v>
      </c>
      <c r="BZ107" s="2773" t="s">
        <v>10183</v>
      </c>
      <c r="CA107" s="2773" t="s">
        <v>10186</v>
      </c>
      <c r="CB107" s="2773" t="s">
        <v>10175</v>
      </c>
      <c r="CC107" s="2773" t="s">
        <v>10178</v>
      </c>
      <c r="CD107" s="2773" t="s">
        <v>10173</v>
      </c>
      <c r="CE107" s="2773" t="s">
        <v>10187</v>
      </c>
      <c r="CF107" s="2773" t="s">
        <v>10185</v>
      </c>
      <c r="CG107" s="2773" t="s">
        <v>10181</v>
      </c>
      <c r="CH107" s="2773" t="s">
        <v>10182</v>
      </c>
      <c r="CI107" s="2773" t="s">
        <v>10217</v>
      </c>
      <c r="CJ107" s="2773" t="s">
        <v>10193</v>
      </c>
      <c r="CK107" s="2773" t="s">
        <v>10200</v>
      </c>
      <c r="CL107" s="2773" t="s">
        <v>10201</v>
      </c>
      <c r="CM107" s="2773" t="s">
        <v>10202</v>
      </c>
      <c r="CN107" s="2773" t="s">
        <v>10190</v>
      </c>
      <c r="CO107" s="2773" t="s">
        <v>10199</v>
      </c>
      <c r="CP107" s="2773" t="s">
        <v>10194</v>
      </c>
      <c r="CQ107" s="2773" t="s">
        <v>10191</v>
      </c>
      <c r="CR107" s="2773" t="s">
        <v>10195</v>
      </c>
      <c r="CS107" s="2773" t="s">
        <v>10189</v>
      </c>
      <c r="CT107" s="2773" t="s">
        <v>10203</v>
      </c>
      <c r="CU107" s="2773" t="s">
        <v>10197</v>
      </c>
      <c r="CV107" s="2773" t="s">
        <v>10198</v>
      </c>
      <c r="CW107" s="2773" t="s">
        <v>10192</v>
      </c>
      <c r="CX107" s="2773" t="s">
        <v>10196</v>
      </c>
      <c r="CY107" s="2773" t="s">
        <v>10216</v>
      </c>
      <c r="CZ107" s="2773" t="str">
        <f>IF(Personalización!C24="","Lengua P. #1",Personalización!C24)</f>
        <v>Lengua P. #1</v>
      </c>
      <c r="DA107" s="2773" t="str">
        <f>IF(Personalización!C25="","Lengua P. #2",Personalización!C25)</f>
        <v>Lengua P. #2</v>
      </c>
      <c r="DB107" s="2774" t="str">
        <f>IF(Personalización!C26="","Lengua P. #3",Personalización!C26)</f>
        <v>Lengua P. #3</v>
      </c>
    </row>
    <row r="108" spans="1:109" ht="12.75" customHeight="1" thickBot="1" x14ac:dyDescent="0.25">
      <c r="A108" s="227">
        <v>108</v>
      </c>
      <c r="B108" s="5988"/>
      <c r="C108" s="2857" t="s">
        <v>1933</v>
      </c>
      <c r="D108" s="581"/>
      <c r="F108" s="184" t="s">
        <v>9328</v>
      </c>
      <c r="G108" s="69"/>
      <c r="H108"/>
      <c r="I108" s="1170" t="s">
        <v>7200</v>
      </c>
      <c r="J108" s="174" t="s">
        <v>1453</v>
      </c>
      <c r="K108" s="174" t="s">
        <v>1459</v>
      </c>
      <c r="L108" s="174" t="s">
        <v>1461</v>
      </c>
      <c r="M108" s="174" t="s">
        <v>1463</v>
      </c>
      <c r="N108" s="174" t="s">
        <v>1465</v>
      </c>
      <c r="O108" s="598" t="s">
        <v>1467</v>
      </c>
      <c r="P108" s="174" t="s">
        <v>1900</v>
      </c>
      <c r="Q108" s="174" t="s">
        <v>1373</v>
      </c>
      <c r="R108" s="174" t="s">
        <v>1498</v>
      </c>
      <c r="S108" s="174" t="s">
        <v>1378</v>
      </c>
      <c r="T108" s="174" t="s">
        <v>1383</v>
      </c>
      <c r="U108" s="174" t="s">
        <v>1386</v>
      </c>
      <c r="V108" s="174" t="s">
        <v>1389</v>
      </c>
      <c r="W108" s="174" t="s">
        <v>1391</v>
      </c>
      <c r="X108" s="174" t="s">
        <v>1392</v>
      </c>
      <c r="Y108" s="598" t="s">
        <v>1901</v>
      </c>
      <c r="Z108" s="598" t="s">
        <v>1368</v>
      </c>
      <c r="AA108" s="598" t="s">
        <v>1388</v>
      </c>
      <c r="AB108" s="598" t="s">
        <v>1902</v>
      </c>
      <c r="AC108" s="6077" t="s">
        <v>8398</v>
      </c>
      <c r="AD108" s="6077"/>
      <c r="AE108" s="598"/>
      <c r="AF108" s="6077"/>
      <c r="AG108" s="6077"/>
      <c r="AH108" s="598"/>
      <c r="AI108" s="6077"/>
      <c r="AJ108" s="6077"/>
      <c r="AK108" s="598"/>
      <c r="AL108" s="6077"/>
      <c r="AM108" s="6077"/>
      <c r="AN108" s="598"/>
      <c r="AO108" s="6064"/>
      <c r="AP108" s="6064"/>
      <c r="AQ108" s="174"/>
      <c r="AR108" s="6064"/>
      <c r="AS108" s="6064"/>
      <c r="AT108" s="174"/>
      <c r="AU108" s="6064"/>
      <c r="AV108" s="6064"/>
      <c r="AW108" s="174"/>
      <c r="AX108" s="6064"/>
      <c r="AY108" s="6064"/>
      <c r="AZ108" s="174"/>
      <c r="BA108" s="6064"/>
      <c r="BB108" s="6064"/>
      <c r="BC108" s="174"/>
      <c r="BD108" s="6064"/>
      <c r="BE108" s="6064"/>
      <c r="BF108" s="174"/>
      <c r="BG108" s="6064"/>
      <c r="BH108" s="6064"/>
      <c r="BI108" s="174"/>
      <c r="BJ108" s="6064"/>
      <c r="BK108" s="6064"/>
      <c r="BL108" s="1171"/>
      <c r="BN108" s="2775" t="s">
        <v>9327</v>
      </c>
      <c r="BO108" s="2777" t="b">
        <v>1</v>
      </c>
      <c r="BP108" s="2777" t="b">
        <v>1</v>
      </c>
      <c r="BQ108" s="2777" t="b">
        <v>1</v>
      </c>
      <c r="BR108" s="2777" t="b">
        <v>1</v>
      </c>
      <c r="BS108" s="2777" t="b">
        <v>1</v>
      </c>
      <c r="BT108" s="2777" t="b">
        <v>1</v>
      </c>
      <c r="BU108" s="2777" t="b">
        <v>1</v>
      </c>
      <c r="BV108" s="2777" t="b">
        <v>1</v>
      </c>
      <c r="BW108" s="2777" t="b">
        <v>1</v>
      </c>
      <c r="BX108" s="2777" t="b">
        <v>1</v>
      </c>
      <c r="BY108" s="2777" t="b">
        <v>1</v>
      </c>
      <c r="BZ108" s="2777" t="b">
        <v>1</v>
      </c>
      <c r="CA108" s="2777" t="b">
        <v>1</v>
      </c>
      <c r="CB108" s="2777" t="b">
        <v>1</v>
      </c>
      <c r="CC108" s="2777" t="b">
        <v>1</v>
      </c>
      <c r="CD108" s="2777" t="b">
        <v>1</v>
      </c>
      <c r="CE108" s="2777" t="b">
        <v>1</v>
      </c>
      <c r="CF108" s="2777" t="b">
        <v>1</v>
      </c>
      <c r="CG108" s="2777" t="b">
        <v>1</v>
      </c>
      <c r="CH108" s="2777" t="b">
        <v>1</v>
      </c>
      <c r="CI108" s="2777" t="b">
        <v>1</v>
      </c>
      <c r="CJ108" s="2777"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77"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77"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77"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77"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77"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77"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77"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77"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77"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77"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77"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77"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77"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77"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77"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777"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77"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78"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x14ac:dyDescent="0.25">
      <c r="A109" s="227">
        <v>109</v>
      </c>
      <c r="B109" s="5988"/>
      <c r="C109" s="2858" t="s">
        <v>10256</v>
      </c>
      <c r="D109" s="582"/>
      <c r="H109"/>
      <c r="I109" s="1175" t="str">
        <f t="shared" ref="I109:I129" si="27">IF(OR(Nephilim=J109,Raza=J109),1,"")</f>
        <v/>
      </c>
      <c r="J109" s="913" t="s">
        <v>1905</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30" t="s">
        <v>8383</v>
      </c>
      <c r="AD109" s="1231"/>
      <c r="AE109" s="1231"/>
      <c r="AF109" s="1231"/>
      <c r="AG109" s="1231"/>
      <c r="AH109" s="1231"/>
      <c r="AI109" s="1231"/>
      <c r="AJ109" s="1231"/>
      <c r="AK109" s="1231"/>
      <c r="AL109" s="1231"/>
      <c r="AM109" s="1231"/>
      <c r="AN109" s="1231"/>
      <c r="AO109" s="1231"/>
      <c r="AP109" s="1174"/>
      <c r="AQ109" s="1174"/>
      <c r="AR109" s="1174"/>
      <c r="AS109" s="1174"/>
      <c r="AT109" s="1174"/>
      <c r="AU109" s="1174"/>
      <c r="AV109" s="1174"/>
      <c r="AW109" s="1174"/>
      <c r="AX109" s="1174"/>
      <c r="AY109" s="1174"/>
      <c r="AZ109" s="1174"/>
      <c r="BA109" s="1174"/>
      <c r="BB109" s="1174"/>
      <c r="BC109" s="1174"/>
      <c r="BD109" s="1174"/>
      <c r="BE109" s="1174"/>
      <c r="BF109" s="1174"/>
      <c r="BG109" s="1174"/>
      <c r="BH109" s="1174"/>
      <c r="BI109" s="1174"/>
      <c r="BJ109" s="1174"/>
      <c r="BK109" s="1174"/>
      <c r="BL109" s="1176"/>
      <c r="BN109" s="5951" t="s">
        <v>860</v>
      </c>
      <c r="BO109" s="2349"/>
      <c r="BP109" s="2349"/>
      <c r="BQ109" s="2349"/>
      <c r="BR109" s="2349"/>
      <c r="BS109" s="2349"/>
      <c r="BT109" s="2349"/>
      <c r="BU109" s="2349"/>
      <c r="BV109" s="2349"/>
      <c r="BW109" s="2349"/>
      <c r="BX109" s="2349"/>
      <c r="BY109" s="2349"/>
      <c r="BZ109" s="2349"/>
      <c r="CA109" s="2349"/>
      <c r="CB109" s="2349"/>
      <c r="CC109" s="2349"/>
      <c r="CD109" s="2349"/>
      <c r="CE109" s="2349"/>
      <c r="CF109" s="2349"/>
      <c r="CG109" s="2349"/>
      <c r="CH109" s="2349"/>
      <c r="CI109" s="2349"/>
      <c r="CJ109" s="2349" t="s">
        <v>10206</v>
      </c>
      <c r="CK109" s="2349" t="s">
        <v>10207</v>
      </c>
      <c r="CL109" s="2349" t="s">
        <v>10207</v>
      </c>
      <c r="CM109" s="2349" t="s">
        <v>10207</v>
      </c>
      <c r="CN109" s="2349" t="s">
        <v>10207</v>
      </c>
      <c r="CO109" s="2349" t="s">
        <v>10208</v>
      </c>
      <c r="CP109" s="2349" t="s">
        <v>10207</v>
      </c>
      <c r="CQ109" s="2349" t="s">
        <v>10209</v>
      </c>
      <c r="CR109" s="2349" t="s">
        <v>10210</v>
      </c>
      <c r="CS109" s="2349" t="s">
        <v>10207</v>
      </c>
      <c r="CT109" s="2349" t="s">
        <v>10206</v>
      </c>
      <c r="CU109" s="2349" t="s">
        <v>10327</v>
      </c>
      <c r="CV109" s="2349" t="s">
        <v>10211</v>
      </c>
      <c r="CW109" s="2349" t="s">
        <v>10207</v>
      </c>
      <c r="CX109" s="2349" t="s">
        <v>10207</v>
      </c>
      <c r="CY109" s="2349"/>
      <c r="CZ109" s="2349" t="str">
        <f>IF(OR([1]Personalización!C24="",[1]Personalización!F24="",[1]Personalización!H24=""),"",[1]Personalización!H24&amp;" "&amp;[1]Personalización!F24)</f>
        <v/>
      </c>
      <c r="DA109" s="2349" t="str">
        <f>IF(OR([1]Personalización!C25="",[1]Personalización!F25="",[1]Personalización!H25=""),"",[1]Personalización!H25&amp;" "&amp;[1]Personalización!F25)</f>
        <v/>
      </c>
      <c r="DB109" s="621" t="str">
        <f>IF(OR([1]Personalización!C26="",[1]Personalización!F26="",[1]Personalización!H26=""),"",[1]Personalización!H26&amp;" "&amp;[1]Personalización!F26)</f>
        <v/>
      </c>
    </row>
    <row r="110" spans="1:109" ht="12.75" customHeight="1" thickBot="1" x14ac:dyDescent="0.25">
      <c r="A110" s="227">
        <v>110</v>
      </c>
      <c r="B110" s="5988"/>
      <c r="F110" s="3631" t="s">
        <v>1823</v>
      </c>
      <c r="G110" s="3631"/>
      <c r="H110"/>
      <c r="I110" s="1177" t="str">
        <f t="shared" si="27"/>
        <v/>
      </c>
      <c r="J110" s="913" t="s">
        <v>1906</v>
      </c>
      <c r="K110" s="177">
        <v>15</v>
      </c>
      <c r="L110" s="177"/>
      <c r="M110" s="177"/>
      <c r="N110" s="177">
        <v>-10</v>
      </c>
      <c r="O110" s="178"/>
      <c r="P110" s="179"/>
      <c r="Q110" s="177">
        <v>0</v>
      </c>
      <c r="R110" s="176">
        <v>0</v>
      </c>
      <c r="S110" s="86">
        <v>0</v>
      </c>
      <c r="T110" s="177">
        <v>1</v>
      </c>
      <c r="U110" s="177">
        <v>0</v>
      </c>
      <c r="V110" s="177">
        <v>0</v>
      </c>
      <c r="W110" s="177">
        <v>0</v>
      </c>
      <c r="X110" s="178">
        <v>0</v>
      </c>
      <c r="Y110" s="1232">
        <v>3</v>
      </c>
      <c r="Z110" s="1232"/>
      <c r="AA110" s="1232">
        <v>1</v>
      </c>
      <c r="AB110" s="104"/>
      <c r="AC110" s="1025" t="s">
        <v>8384</v>
      </c>
      <c r="AD110" s="758"/>
      <c r="AE110" s="758"/>
      <c r="AF110" s="758"/>
      <c r="AG110" s="758"/>
      <c r="AH110" s="758"/>
      <c r="AI110" s="758"/>
      <c r="AJ110" s="758"/>
      <c r="AK110" s="758"/>
      <c r="AL110" s="758"/>
      <c r="AM110" s="758"/>
      <c r="AN110" s="758"/>
      <c r="AO110" s="758"/>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21"/>
      <c r="BN110" s="5952"/>
      <c r="BO110" s="2349"/>
      <c r="BP110" s="2349"/>
      <c r="BQ110" s="2349"/>
      <c r="BR110" s="2349"/>
      <c r="BS110" s="2349"/>
      <c r="BT110" s="2349"/>
      <c r="BU110" s="2349"/>
      <c r="BV110" s="2349"/>
      <c r="BW110" s="2349"/>
      <c r="BX110" s="2349"/>
      <c r="BY110" s="2349"/>
      <c r="BZ110" s="2349"/>
      <c r="CA110" s="2349"/>
      <c r="CB110" s="2349"/>
      <c r="CC110" s="2349"/>
      <c r="CD110" s="2349"/>
      <c r="CE110" s="2349"/>
      <c r="CF110" s="2349"/>
      <c r="CG110" s="2349"/>
      <c r="CH110" s="2349"/>
      <c r="CI110" s="2349"/>
      <c r="CJ110" s="2349"/>
      <c r="CK110" s="2349" t="s">
        <v>10209</v>
      </c>
      <c r="CL110" s="2349" t="s">
        <v>10206</v>
      </c>
      <c r="CM110" s="2349" t="s">
        <v>10328</v>
      </c>
      <c r="CN110" s="2349" t="s">
        <v>10211</v>
      </c>
      <c r="CO110" s="2349" t="s">
        <v>10211</v>
      </c>
      <c r="CP110" s="2349" t="s">
        <v>10212</v>
      </c>
      <c r="CQ110" s="2349" t="s">
        <v>10213</v>
      </c>
      <c r="CR110" s="2349"/>
      <c r="CS110" s="2349" t="s">
        <v>10211</v>
      </c>
      <c r="CT110" s="2349"/>
      <c r="CU110" s="2349"/>
      <c r="CV110" s="2349"/>
      <c r="CW110" s="2349" t="s">
        <v>10211</v>
      </c>
      <c r="CX110" s="2349" t="s">
        <v>10211</v>
      </c>
      <c r="CY110" s="2349"/>
      <c r="CZ110" s="2349" t="str">
        <f>IF(OR([1]Personalización!C24="",[1]Personalización!I24="",[1]Personalización!K24=""),"",[1]Personalización!K24&amp;" "&amp;[1]Personalización!I24)</f>
        <v/>
      </c>
      <c r="DA110" s="2349" t="str">
        <f>IF(OR([1]Personalización!C25="",[1]Personalización!I25="",[1]Personalización!K25=""),"",[1]Personalización!K25&amp;" "&amp;[1]Personalización!I25)</f>
        <v/>
      </c>
      <c r="DB110" s="621" t="str">
        <f>IF(OR([1]Personalización!C26="",[1]Personalización!I26="",[1]Personalización!K26=""),"",[1]Personalización!K26&amp;" "&amp;[1]Personalización!I26)</f>
        <v/>
      </c>
    </row>
    <row r="111" spans="1:109" ht="12.75" customHeight="1" thickBot="1" x14ac:dyDescent="0.25">
      <c r="A111" s="227">
        <v>111</v>
      </c>
      <c r="B111" s="5988"/>
      <c r="C111" s="6012" t="s">
        <v>1936</v>
      </c>
      <c r="D111" s="6012"/>
      <c r="F111" s="3631"/>
      <c r="G111" s="3631"/>
      <c r="H111"/>
      <c r="I111" s="1177" t="str">
        <f t="shared" si="27"/>
        <v/>
      </c>
      <c r="J111" s="913" t="s">
        <v>1907</v>
      </c>
      <c r="K111" s="177"/>
      <c r="L111" s="177"/>
      <c r="M111" s="177"/>
      <c r="N111" s="177"/>
      <c r="O111" s="178"/>
      <c r="P111" s="179"/>
      <c r="Q111" s="177">
        <v>0</v>
      </c>
      <c r="R111" s="176">
        <v>0</v>
      </c>
      <c r="S111" s="86">
        <v>0</v>
      </c>
      <c r="T111" s="177">
        <v>0</v>
      </c>
      <c r="U111" s="177">
        <v>0</v>
      </c>
      <c r="V111" s="177">
        <v>0</v>
      </c>
      <c r="W111" s="177">
        <v>0</v>
      </c>
      <c r="X111" s="178">
        <v>0</v>
      </c>
      <c r="Y111" s="1232">
        <v>0</v>
      </c>
      <c r="Z111" s="1232"/>
      <c r="AA111" s="1232"/>
      <c r="AB111" s="104"/>
      <c r="AC111" s="1025" t="s">
        <v>8385</v>
      </c>
      <c r="AD111" s="758"/>
      <c r="AE111" s="758"/>
      <c r="AF111" s="758"/>
      <c r="AG111" s="758"/>
      <c r="AH111" s="758"/>
      <c r="AI111" s="758"/>
      <c r="AJ111" s="758"/>
      <c r="AK111" s="758"/>
      <c r="AL111" s="758"/>
      <c r="AM111" s="758"/>
      <c r="AN111" s="758"/>
      <c r="AO111" s="758"/>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21"/>
      <c r="BN111" s="5952"/>
      <c r="BO111" s="2349"/>
      <c r="BP111" s="2349"/>
      <c r="BQ111" s="2349"/>
      <c r="BR111" s="2349"/>
      <c r="BS111" s="2349"/>
      <c r="BT111" s="2349"/>
      <c r="BU111" s="2349"/>
      <c r="BV111" s="2349"/>
      <c r="BW111" s="2349"/>
      <c r="BX111" s="2349"/>
      <c r="BY111" s="2349"/>
      <c r="BZ111" s="2349"/>
      <c r="CA111" s="2349"/>
      <c r="CB111" s="2349"/>
      <c r="CC111" s="2349"/>
      <c r="CD111" s="2349"/>
      <c r="CE111" s="2349"/>
      <c r="CF111" s="2349"/>
      <c r="CG111" s="2349"/>
      <c r="CH111" s="2349"/>
      <c r="CI111" s="2349"/>
      <c r="CJ111" s="2349"/>
      <c r="CK111" s="2349"/>
      <c r="CL111" s="2349"/>
      <c r="CM111" s="2349"/>
      <c r="CN111" s="2349" t="s">
        <v>10214</v>
      </c>
      <c r="CO111" s="2349"/>
      <c r="CP111" s="2349"/>
      <c r="CQ111" s="2349"/>
      <c r="CR111" s="2349"/>
      <c r="CS111" s="2349"/>
      <c r="CT111" s="2349"/>
      <c r="CU111" s="2349"/>
      <c r="CV111" s="2349"/>
      <c r="CW111" s="2349"/>
      <c r="CX111" s="2349"/>
      <c r="CY111" s="2349"/>
      <c r="CZ111" s="2349" t="str">
        <f>IF(OR([1]Personalización!C24="",[1]Personalización!L24="",[1]Personalización!N24=""),"",[1]Personalización!N24&amp;" "&amp;[1]Personalización!L24)</f>
        <v/>
      </c>
      <c r="DA111" s="2349" t="str">
        <f>IF(OR([1]Personalización!C25="",[1]Personalización!L25="",[1]Personalización!N25=""),"",[1]Personalización!N25&amp;" "&amp;[1]Personalización!L25)</f>
        <v/>
      </c>
      <c r="DB111" s="621" t="str">
        <f>IF(OR([1]Personalización!C26="",[1]Personalización!L26="",[1]Personalización!N26=""),"",[1]Personalización!N26&amp;" "&amp;[1]Personalización!L26)</f>
        <v/>
      </c>
    </row>
    <row r="112" spans="1:109" ht="12.75" customHeight="1" thickBot="1" x14ac:dyDescent="0.25">
      <c r="A112" s="227">
        <v>112</v>
      </c>
      <c r="B112" s="5988"/>
      <c r="C112" s="6012"/>
      <c r="D112" s="6012"/>
      <c r="F112" s="6026" t="s">
        <v>1932</v>
      </c>
      <c r="G112" s="6026"/>
      <c r="H112"/>
      <c r="I112" s="1177" t="str">
        <f t="shared" si="27"/>
        <v/>
      </c>
      <c r="J112" s="913" t="s">
        <v>1909</v>
      </c>
      <c r="K112" s="914"/>
      <c r="L112" s="914"/>
      <c r="M112" s="914"/>
      <c r="N112" s="914"/>
      <c r="O112" s="915"/>
      <c r="P112" s="916"/>
      <c r="Q112" s="177">
        <v>0</v>
      </c>
      <c r="R112" s="176">
        <v>0</v>
      </c>
      <c r="S112" s="86">
        <v>0</v>
      </c>
      <c r="T112" s="177">
        <v>0</v>
      </c>
      <c r="U112" s="177">
        <v>0</v>
      </c>
      <c r="V112" s="177">
        <v>0</v>
      </c>
      <c r="W112" s="177">
        <v>0</v>
      </c>
      <c r="X112" s="178">
        <v>0</v>
      </c>
      <c r="Y112" s="1232">
        <v>0</v>
      </c>
      <c r="Z112" s="1232"/>
      <c r="AA112" s="1232"/>
      <c r="AB112" s="104"/>
      <c r="AC112" s="1025" t="s">
        <v>8386</v>
      </c>
      <c r="AD112" s="758"/>
      <c r="AE112" s="758"/>
      <c r="AF112" s="758"/>
      <c r="AG112" s="758"/>
      <c r="AH112" s="758"/>
      <c r="AI112" s="758"/>
      <c r="AJ112" s="758"/>
      <c r="AK112" s="758"/>
      <c r="AL112" s="758"/>
      <c r="AM112" s="758"/>
      <c r="AN112" s="758"/>
      <c r="AO112" s="758"/>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21"/>
      <c r="BN112" s="5953"/>
      <c r="BO112" s="2349"/>
      <c r="BP112" s="2349"/>
      <c r="BQ112" s="2349"/>
      <c r="BR112" s="2349"/>
      <c r="BS112" s="2349"/>
      <c r="BT112" s="2349"/>
      <c r="BU112" s="2349"/>
      <c r="BV112" s="2349"/>
      <c r="BW112" s="2349"/>
      <c r="BX112" s="2349"/>
      <c r="BY112" s="2349"/>
      <c r="BZ112" s="2349"/>
      <c r="CA112" s="2349"/>
      <c r="CB112" s="2349"/>
      <c r="CC112" s="2349"/>
      <c r="CD112" s="2349"/>
      <c r="CE112" s="2349"/>
      <c r="CF112" s="2349"/>
      <c r="CG112" s="2349"/>
      <c r="CH112" s="2349"/>
      <c r="CI112" s="2349"/>
      <c r="CJ112" s="2349"/>
      <c r="CK112" s="2349"/>
      <c r="CL112" s="2349"/>
      <c r="CM112" s="2349"/>
      <c r="CN112" s="2349"/>
      <c r="CO112" s="2349"/>
      <c r="CP112" s="2349"/>
      <c r="CQ112" s="2349"/>
      <c r="CR112" s="2349"/>
      <c r="CS112" s="2349"/>
      <c r="CT112" s="2349"/>
      <c r="CU112" s="2349"/>
      <c r="CV112" s="2349"/>
      <c r="CW112" s="2349"/>
      <c r="CX112" s="2349"/>
      <c r="CY112" s="2349"/>
      <c r="CZ112" s="2349" t="str">
        <f>IF(OR([1]Personalización!C24="",[1]Personalización!O24="",[1]Personalización!Q24=""),"",[1]Personalización!Q24&amp;" "&amp;[1]Personalización!O24)</f>
        <v/>
      </c>
      <c r="DA112" s="2349" t="str">
        <f>IF(OR([1]Personalización!C25="",[1]Personalización!O25="",[1]Personalización!Q25=""),"",[1]Personalización!Q25&amp;" "&amp;[1]Personalización!O25)</f>
        <v/>
      </c>
      <c r="DB112" s="621" t="str">
        <f>IF(OR([1]Personalización!C26="",[1]Personalización!O26="",[1]Personalización!Q26=""),"",[1]Personalización!Q26&amp;" "&amp;[1]Personalización!O26)</f>
        <v/>
      </c>
    </row>
    <row r="113" spans="1:106" ht="12.75" customHeight="1" thickBot="1" x14ac:dyDescent="0.25">
      <c r="A113" s="227">
        <v>113</v>
      </c>
      <c r="B113" s="5988"/>
      <c r="C113" s="185" t="s">
        <v>1939</v>
      </c>
      <c r="D113" s="36"/>
      <c r="F113" s="6026" t="s">
        <v>1934</v>
      </c>
      <c r="G113" s="6026"/>
      <c r="H113"/>
      <c r="I113" s="1177" t="str">
        <f t="shared" si="27"/>
        <v/>
      </c>
      <c r="J113" s="913" t="s">
        <v>1910</v>
      </c>
      <c r="K113" s="177"/>
      <c r="L113" s="177"/>
      <c r="M113" s="177"/>
      <c r="N113" s="177"/>
      <c r="O113" s="178"/>
      <c r="P113" s="179"/>
      <c r="Q113" s="177">
        <v>0</v>
      </c>
      <c r="R113" s="176">
        <v>0</v>
      </c>
      <c r="S113" s="86">
        <v>0</v>
      </c>
      <c r="T113" s="177">
        <v>0</v>
      </c>
      <c r="U113" s="177">
        <v>0</v>
      </c>
      <c r="V113" s="177">
        <v>0</v>
      </c>
      <c r="W113" s="177">
        <v>0</v>
      </c>
      <c r="X113" s="178">
        <v>0</v>
      </c>
      <c r="Y113" s="1232">
        <v>-1</v>
      </c>
      <c r="Z113" s="1232"/>
      <c r="AA113" s="1232"/>
      <c r="AB113" s="104"/>
      <c r="AC113" s="1025" t="s">
        <v>8387</v>
      </c>
      <c r="AD113" s="758"/>
      <c r="AE113" s="758"/>
      <c r="AF113" s="758"/>
      <c r="AG113" s="758"/>
      <c r="AH113" s="758"/>
      <c r="AI113" s="758"/>
      <c r="AJ113" s="758"/>
      <c r="AK113" s="758"/>
      <c r="AL113" s="758"/>
      <c r="AM113" s="758"/>
      <c r="AN113" s="758"/>
      <c r="AO113" s="758"/>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21"/>
      <c r="BN113" s="2776" t="s">
        <v>1453</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1928</v>
      </c>
      <c r="CM113" s="328"/>
      <c r="CN113" s="328"/>
      <c r="CO113" s="328" t="s">
        <v>1925</v>
      </c>
      <c r="CP113" s="328"/>
      <c r="CQ113" s="328"/>
      <c r="CR113" s="328"/>
      <c r="CS113" s="328" t="s">
        <v>1923</v>
      </c>
      <c r="CT113" s="328"/>
      <c r="CU113" s="328"/>
      <c r="CV113" s="328" t="s">
        <v>1919</v>
      </c>
      <c r="CW113" s="328" t="s">
        <v>1918</v>
      </c>
      <c r="CX113" s="328"/>
      <c r="CY113" s="328"/>
      <c r="CZ113" s="328"/>
      <c r="DA113" s="328"/>
      <c r="DB113" s="622"/>
    </row>
    <row r="114" spans="1:106" ht="12.75" customHeight="1" x14ac:dyDescent="0.2">
      <c r="A114" s="227">
        <v>114</v>
      </c>
      <c r="B114" s="5988"/>
      <c r="C114" s="185" t="s">
        <v>1941</v>
      </c>
      <c r="D114" s="36"/>
      <c r="F114" s="6026" t="s">
        <v>1935</v>
      </c>
      <c r="G114" s="6026"/>
      <c r="H114"/>
      <c r="I114" s="1177" t="str">
        <f t="shared" si="27"/>
        <v/>
      </c>
      <c r="J114" s="913" t="s">
        <v>1911</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32">
        <v>0</v>
      </c>
      <c r="Z114" s="1232">
        <v>1</v>
      </c>
      <c r="AA114" s="1232"/>
      <c r="AB114" s="104"/>
      <c r="AC114" s="1025" t="s">
        <v>8388</v>
      </c>
      <c r="AD114" s="758"/>
      <c r="AE114" s="758"/>
      <c r="AF114" s="758"/>
      <c r="AG114" s="758"/>
      <c r="AH114" s="758"/>
      <c r="AI114" s="758"/>
      <c r="AJ114" s="758"/>
      <c r="AK114" s="758"/>
      <c r="AL114" s="758"/>
      <c r="AM114" s="758"/>
      <c r="AN114" s="758"/>
      <c r="AO114" s="758"/>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21"/>
    </row>
    <row r="115" spans="1:106" ht="12.75" customHeight="1" x14ac:dyDescent="0.2">
      <c r="A115" s="227">
        <v>115</v>
      </c>
      <c r="B115" s="5988"/>
      <c r="C115" s="185" t="s">
        <v>1942</v>
      </c>
      <c r="D115" s="36"/>
      <c r="F115" s="6026" t="s">
        <v>1937</v>
      </c>
      <c r="G115" s="6026"/>
      <c r="H115"/>
      <c r="I115" s="1177" t="str">
        <f t="shared" si="27"/>
        <v/>
      </c>
      <c r="J115" s="913" t="s">
        <v>7193</v>
      </c>
      <c r="K115" s="177">
        <v>-10</v>
      </c>
      <c r="L115" s="177">
        <v>-10</v>
      </c>
      <c r="M115" s="177"/>
      <c r="N115" s="177">
        <v>10</v>
      </c>
      <c r="O115" s="178">
        <v>10</v>
      </c>
      <c r="P115" s="179"/>
      <c r="Q115" s="177">
        <v>0</v>
      </c>
      <c r="R115" s="176">
        <v>0</v>
      </c>
      <c r="S115" s="86">
        <v>0</v>
      </c>
      <c r="T115" s="177">
        <v>0</v>
      </c>
      <c r="U115" s="177">
        <v>0</v>
      </c>
      <c r="V115" s="177">
        <v>0</v>
      </c>
      <c r="W115" s="177">
        <v>0</v>
      </c>
      <c r="X115" s="178">
        <v>0</v>
      </c>
      <c r="Y115" s="1232">
        <v>0</v>
      </c>
      <c r="Z115" s="1232"/>
      <c r="AA115" s="1232"/>
      <c r="AB115" s="104"/>
      <c r="AC115" s="1025" t="s">
        <v>8389</v>
      </c>
      <c r="AD115" s="758"/>
      <c r="AE115" s="758"/>
      <c r="AF115" s="758"/>
      <c r="AG115" s="758"/>
      <c r="AH115" s="758"/>
      <c r="AI115" s="758"/>
      <c r="AJ115" s="758"/>
      <c r="AK115" s="758"/>
      <c r="AL115" s="758"/>
      <c r="AM115" s="758"/>
      <c r="AN115" s="758"/>
      <c r="AO115" s="758"/>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21"/>
    </row>
    <row r="116" spans="1:106" ht="12.75" customHeight="1" x14ac:dyDescent="0.2">
      <c r="A116" s="227">
        <v>116</v>
      </c>
      <c r="B116" s="5988"/>
      <c r="C116" s="185" t="s">
        <v>1943</v>
      </c>
      <c r="D116" s="36"/>
      <c r="F116" s="6026" t="s">
        <v>1938</v>
      </c>
      <c r="G116" s="6026"/>
      <c r="H116"/>
      <c r="I116" s="1177" t="str">
        <f t="shared" si="27"/>
        <v/>
      </c>
      <c r="J116" s="913" t="s">
        <v>1913</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32">
        <v>0</v>
      </c>
      <c r="Z116" s="1232">
        <f>IF(Personalización!$G$48="Sí",1,0)</f>
        <v>0</v>
      </c>
      <c r="AA116" s="1232"/>
      <c r="AB116" s="104"/>
      <c r="AC116" s="1025" t="s">
        <v>8390</v>
      </c>
      <c r="AD116" s="758"/>
      <c r="AE116" s="758"/>
      <c r="AF116" s="758"/>
      <c r="AG116" s="758"/>
      <c r="AH116" s="758"/>
      <c r="AI116" s="758"/>
      <c r="AJ116" s="758"/>
      <c r="AK116" s="758"/>
      <c r="AL116" s="758"/>
      <c r="AM116" s="758"/>
      <c r="AN116" s="758"/>
      <c r="AO116" s="758"/>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21"/>
    </row>
    <row r="117" spans="1:106" ht="12.75" customHeight="1" thickBot="1" x14ac:dyDescent="0.25">
      <c r="A117" s="227">
        <v>117</v>
      </c>
      <c r="B117" s="5988"/>
      <c r="C117" s="185" t="s">
        <v>1944</v>
      </c>
      <c r="D117" s="36"/>
      <c r="F117" s="6025" t="s">
        <v>1940</v>
      </c>
      <c r="G117" s="6025"/>
      <c r="H117"/>
      <c r="I117" s="1177" t="str">
        <f t="shared" si="27"/>
        <v/>
      </c>
      <c r="J117" s="913" t="s">
        <v>1915</v>
      </c>
      <c r="K117" s="177"/>
      <c r="L117" s="177"/>
      <c r="M117" s="177"/>
      <c r="N117" s="177"/>
      <c r="O117" s="178"/>
      <c r="P117" s="179"/>
      <c r="Q117" s="177">
        <v>0</v>
      </c>
      <c r="R117" s="176">
        <v>0</v>
      </c>
      <c r="S117" s="86">
        <v>0</v>
      </c>
      <c r="T117" s="177">
        <v>0</v>
      </c>
      <c r="U117" s="177">
        <v>0</v>
      </c>
      <c r="V117" s="177">
        <v>0</v>
      </c>
      <c r="W117" s="177">
        <v>0</v>
      </c>
      <c r="X117" s="178">
        <v>0</v>
      </c>
      <c r="Y117" s="1232">
        <v>0</v>
      </c>
      <c r="Z117" s="1232"/>
      <c r="AA117" s="1232"/>
      <c r="AB117" s="104"/>
      <c r="AC117" s="1025" t="s">
        <v>9947</v>
      </c>
      <c r="AD117" s="758"/>
      <c r="AE117" s="758"/>
      <c r="AF117" s="758"/>
      <c r="AG117" s="758"/>
      <c r="AH117" s="758"/>
      <c r="AI117" s="758"/>
      <c r="AJ117" s="758"/>
      <c r="AK117" s="758"/>
      <c r="AL117" s="758"/>
      <c r="AM117" s="758"/>
      <c r="AN117" s="758"/>
      <c r="AO117" s="758"/>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21"/>
    </row>
    <row r="118" spans="1:106" ht="12.75" customHeight="1" thickBot="1" x14ac:dyDescent="0.25">
      <c r="A118" s="227">
        <v>118</v>
      </c>
      <c r="B118" s="5988"/>
      <c r="C118" s="185" t="s">
        <v>1945</v>
      </c>
      <c r="D118" s="36"/>
      <c r="H118"/>
      <c r="I118" s="1177" t="str">
        <f t="shared" si="27"/>
        <v/>
      </c>
      <c r="J118" s="913" t="s">
        <v>1904</v>
      </c>
      <c r="K118" s="177"/>
      <c r="L118" s="177"/>
      <c r="M118" s="177"/>
      <c r="N118" s="177"/>
      <c r="O118" s="178"/>
      <c r="P118" s="179"/>
      <c r="Q118" s="177">
        <v>0</v>
      </c>
      <c r="R118" s="176">
        <v>0</v>
      </c>
      <c r="S118" s="86">
        <v>0</v>
      </c>
      <c r="T118" s="177">
        <v>0</v>
      </c>
      <c r="U118" s="177">
        <v>0</v>
      </c>
      <c r="V118" s="177">
        <v>0</v>
      </c>
      <c r="W118" s="177">
        <v>0</v>
      </c>
      <c r="X118" s="178">
        <v>0</v>
      </c>
      <c r="Y118" s="1232">
        <v>0</v>
      </c>
      <c r="Z118" s="1232"/>
      <c r="AA118" s="1232"/>
      <c r="AB118" s="104"/>
      <c r="AC118" s="1025" t="s">
        <v>6926</v>
      </c>
      <c r="AD118" s="758"/>
      <c r="AE118" s="758"/>
      <c r="AF118" s="758"/>
      <c r="AG118" s="758"/>
      <c r="AH118" s="758"/>
      <c r="AI118" s="758"/>
      <c r="AJ118" s="758"/>
      <c r="AK118" s="758"/>
      <c r="AL118" s="758"/>
      <c r="AM118" s="758"/>
      <c r="AN118" s="758"/>
      <c r="AO118" s="758"/>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21"/>
    </row>
    <row r="119" spans="1:106" ht="12.75" customHeight="1" thickBot="1" x14ac:dyDescent="0.25">
      <c r="A119" s="227">
        <v>119</v>
      </c>
      <c r="B119" s="5988"/>
      <c r="C119" s="185" t="s">
        <v>1946</v>
      </c>
      <c r="D119" s="36"/>
      <c r="F119" s="6012" t="s">
        <v>1971</v>
      </c>
      <c r="G119" s="6012"/>
      <c r="H119"/>
      <c r="I119" s="1177" t="str">
        <f t="shared" si="27"/>
        <v/>
      </c>
      <c r="J119" s="913" t="s">
        <v>1918</v>
      </c>
      <c r="K119" s="177"/>
      <c r="L119" s="177">
        <v>20</v>
      </c>
      <c r="M119" s="177">
        <v>10</v>
      </c>
      <c r="N119" s="177">
        <v>30</v>
      </c>
      <c r="O119" s="178">
        <v>30</v>
      </c>
      <c r="P119" s="181">
        <v>2</v>
      </c>
      <c r="Q119" s="177">
        <v>1</v>
      </c>
      <c r="R119" s="177">
        <v>-1</v>
      </c>
      <c r="S119" s="177">
        <v>1</v>
      </c>
      <c r="T119" s="177">
        <v>-1</v>
      </c>
      <c r="U119" s="177">
        <v>1</v>
      </c>
      <c r="V119" s="177">
        <v>0</v>
      </c>
      <c r="W119" s="177">
        <v>1</v>
      </c>
      <c r="X119" s="178">
        <v>0</v>
      </c>
      <c r="Y119" s="1232">
        <v>-2</v>
      </c>
      <c r="Z119" s="1232">
        <v>3</v>
      </c>
      <c r="AA119" s="1232"/>
      <c r="AB119" s="104">
        <v>5</v>
      </c>
      <c r="AC119" s="1025" t="s">
        <v>8391</v>
      </c>
      <c r="AD119" s="758"/>
      <c r="AE119" s="758"/>
      <c r="AF119" s="758"/>
      <c r="AG119" s="758"/>
      <c r="AH119" s="758"/>
      <c r="AI119" s="758"/>
      <c r="AJ119" s="758"/>
      <c r="AK119" s="758"/>
      <c r="AL119" s="758"/>
      <c r="AM119" s="758"/>
      <c r="AN119" s="758"/>
      <c r="AO119" s="758"/>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21"/>
    </row>
    <row r="120" spans="1:106" ht="12.75" customHeight="1" thickBot="1" x14ac:dyDescent="0.25">
      <c r="A120" s="227">
        <v>120</v>
      </c>
      <c r="B120" s="5988"/>
      <c r="C120" s="185" t="s">
        <v>1947</v>
      </c>
      <c r="D120" s="36"/>
      <c r="F120" s="6012"/>
      <c r="G120" s="6012"/>
      <c r="H120"/>
      <c r="I120" s="1177" t="str">
        <f t="shared" si="27"/>
        <v/>
      </c>
      <c r="J120" s="913" t="s">
        <v>1919</v>
      </c>
      <c r="K120" s="177">
        <v>20</v>
      </c>
      <c r="L120" s="177"/>
      <c r="M120" s="177"/>
      <c r="N120" s="177">
        <v>-20</v>
      </c>
      <c r="O120" s="178"/>
      <c r="P120" s="181">
        <v>1</v>
      </c>
      <c r="Q120" s="177">
        <v>0</v>
      </c>
      <c r="R120" s="177">
        <v>1</v>
      </c>
      <c r="S120" s="177">
        <v>0</v>
      </c>
      <c r="T120" s="177">
        <v>2</v>
      </c>
      <c r="U120" s="177">
        <v>0</v>
      </c>
      <c r="V120" s="177">
        <v>0</v>
      </c>
      <c r="W120" s="177">
        <v>-1</v>
      </c>
      <c r="X120" s="178">
        <v>0</v>
      </c>
      <c r="Y120" s="1232">
        <v>5</v>
      </c>
      <c r="Z120" s="1232"/>
      <c r="AA120" s="1232">
        <v>3</v>
      </c>
      <c r="AB120" s="104">
        <v>0</v>
      </c>
      <c r="AC120" s="1025" t="s">
        <v>8392</v>
      </c>
      <c r="AD120" s="758"/>
      <c r="AE120" s="758"/>
      <c r="AF120" s="758"/>
      <c r="AG120" s="758"/>
      <c r="AH120" s="758"/>
      <c r="AI120" s="758"/>
      <c r="AJ120" s="758"/>
      <c r="AK120" s="758"/>
      <c r="AL120" s="758"/>
      <c r="AM120" s="758"/>
      <c r="AN120" s="758"/>
      <c r="AO120" s="758"/>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21"/>
    </row>
    <row r="121" spans="1:106" ht="12.75" customHeight="1" x14ac:dyDescent="0.2">
      <c r="A121" s="227">
        <v>121</v>
      </c>
      <c r="B121" s="5988"/>
      <c r="C121" s="185" t="s">
        <v>1948</v>
      </c>
      <c r="D121" s="36"/>
      <c r="F121" s="185" t="s">
        <v>1972</v>
      </c>
      <c r="G121" s="135"/>
      <c r="H121"/>
      <c r="I121" s="1177" t="str">
        <f t="shared" si="27"/>
        <v/>
      </c>
      <c r="J121" s="913" t="s">
        <v>1920</v>
      </c>
      <c r="K121" s="177"/>
      <c r="L121" s="177"/>
      <c r="M121" s="177"/>
      <c r="N121" s="177"/>
      <c r="O121" s="178"/>
      <c r="P121" s="181">
        <v>1</v>
      </c>
      <c r="Q121" s="177">
        <v>0</v>
      </c>
      <c r="R121" s="177">
        <v>0</v>
      </c>
      <c r="S121" s="177">
        <v>0</v>
      </c>
      <c r="T121" s="177">
        <v>0</v>
      </c>
      <c r="U121" s="177">
        <v>0</v>
      </c>
      <c r="V121" s="177">
        <v>0</v>
      </c>
      <c r="W121" s="177">
        <v>0</v>
      </c>
      <c r="X121" s="178">
        <v>0</v>
      </c>
      <c r="Y121" s="1232">
        <v>0</v>
      </c>
      <c r="Z121" s="1232"/>
      <c r="AA121" s="1232"/>
      <c r="AB121" s="104">
        <v>5</v>
      </c>
      <c r="AC121" s="1025" t="s">
        <v>8393</v>
      </c>
      <c r="AD121" s="758"/>
      <c r="AE121" s="758"/>
      <c r="AF121" s="758"/>
      <c r="AG121" s="758"/>
      <c r="AH121" s="758"/>
      <c r="AI121" s="758"/>
      <c r="AJ121" s="758"/>
      <c r="AK121" s="758"/>
      <c r="AL121" s="758"/>
      <c r="AM121" s="758"/>
      <c r="AN121" s="758"/>
      <c r="AO121" s="758"/>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21"/>
    </row>
    <row r="122" spans="1:106" ht="12.75" customHeight="1" x14ac:dyDescent="0.2">
      <c r="A122" s="227">
        <v>122</v>
      </c>
      <c r="B122" s="5988"/>
      <c r="C122" s="185" t="s">
        <v>1949</v>
      </c>
      <c r="D122" s="36"/>
      <c r="F122" s="185" t="s">
        <v>1973</v>
      </c>
      <c r="G122" s="135"/>
      <c r="H122"/>
      <c r="I122" s="1177" t="str">
        <f t="shared" si="27"/>
        <v/>
      </c>
      <c r="J122" s="913" t="s">
        <v>1921</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32">
        <v>0</v>
      </c>
      <c r="Z122" s="1232"/>
      <c r="AA122" s="1232"/>
      <c r="AB122" s="104">
        <f>IF(Personalización!$AN$15,30,10)</f>
        <v>10</v>
      </c>
      <c r="AC122" s="1025" t="s">
        <v>8468</v>
      </c>
      <c r="AD122" s="758"/>
      <c r="AE122" s="758"/>
      <c r="AF122" s="758"/>
      <c r="AG122" s="758"/>
      <c r="AH122" s="758"/>
      <c r="AI122" s="758"/>
      <c r="AJ122" s="758"/>
      <c r="AK122" s="758"/>
      <c r="AL122" s="758"/>
      <c r="AM122" s="758"/>
      <c r="AN122" s="758"/>
      <c r="AO122" s="758"/>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21"/>
    </row>
    <row r="123" spans="1:106" ht="12.75" customHeight="1" x14ac:dyDescent="0.2">
      <c r="A123" s="227">
        <v>123</v>
      </c>
      <c r="B123" s="5988"/>
      <c r="C123" s="185" t="s">
        <v>1950</v>
      </c>
      <c r="D123" s="36"/>
      <c r="F123" s="185" t="s">
        <v>1974</v>
      </c>
      <c r="G123" s="135"/>
      <c r="H123"/>
      <c r="I123" s="1177" t="str">
        <f t="shared" si="27"/>
        <v/>
      </c>
      <c r="J123" s="913" t="s">
        <v>1922</v>
      </c>
      <c r="K123" s="177"/>
      <c r="L123" s="177"/>
      <c r="M123" s="177"/>
      <c r="N123" s="177"/>
      <c r="O123" s="178"/>
      <c r="P123" s="181">
        <v>1</v>
      </c>
      <c r="Q123" s="177">
        <v>1</v>
      </c>
      <c r="R123" s="177">
        <v>-1</v>
      </c>
      <c r="S123" s="177">
        <v>1</v>
      </c>
      <c r="T123" s="177">
        <v>0</v>
      </c>
      <c r="U123" s="177">
        <v>0</v>
      </c>
      <c r="V123" s="177">
        <v>0</v>
      </c>
      <c r="W123" s="177">
        <v>0</v>
      </c>
      <c r="X123" s="178">
        <v>-1</v>
      </c>
      <c r="Y123" s="1232">
        <v>-2</v>
      </c>
      <c r="Z123" s="1232"/>
      <c r="AA123" s="1232"/>
      <c r="AB123" s="104">
        <v>5</v>
      </c>
      <c r="AC123" s="1025" t="s">
        <v>8394</v>
      </c>
      <c r="AD123" s="758"/>
      <c r="AE123" s="758"/>
      <c r="AF123" s="758"/>
      <c r="AG123" s="758"/>
      <c r="AH123" s="758"/>
      <c r="AI123" s="758"/>
      <c r="AJ123" s="758"/>
      <c r="AK123" s="758"/>
      <c r="AL123" s="758"/>
      <c r="AM123" s="758"/>
      <c r="AN123" s="758"/>
      <c r="AO123" s="758"/>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21"/>
    </row>
    <row r="124" spans="1:106" ht="12.75" customHeight="1" x14ac:dyDescent="0.2">
      <c r="A124" s="227">
        <v>124</v>
      </c>
      <c r="B124" s="5988"/>
      <c r="C124" s="185" t="s">
        <v>1951</v>
      </c>
      <c r="D124" s="36"/>
      <c r="F124" s="185" t="s">
        <v>1975</v>
      </c>
      <c r="G124" s="135"/>
      <c r="H124"/>
      <c r="I124" s="1177" t="str">
        <f t="shared" si="27"/>
        <v/>
      </c>
      <c r="J124" s="913" t="s">
        <v>1923</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32">
        <v>2</v>
      </c>
      <c r="Z124" s="1232">
        <v>5</v>
      </c>
      <c r="AA124" s="1232"/>
      <c r="AB124" s="104">
        <v>5</v>
      </c>
      <c r="AC124" s="1025" t="s">
        <v>8395</v>
      </c>
      <c r="AD124" s="758"/>
      <c r="AE124" s="758"/>
      <c r="AF124" s="758"/>
      <c r="AG124" s="758"/>
      <c r="AH124" s="758"/>
      <c r="AI124" s="758"/>
      <c r="AJ124" s="758"/>
      <c r="AK124" s="758"/>
      <c r="AL124" s="758"/>
      <c r="AM124" s="758"/>
      <c r="AN124" s="758"/>
      <c r="AO124" s="758"/>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21"/>
    </row>
    <row r="125" spans="1:106" ht="12.75" customHeight="1" x14ac:dyDescent="0.2">
      <c r="A125" s="227">
        <v>125</v>
      </c>
      <c r="B125" s="5988"/>
      <c r="C125" s="185" t="s">
        <v>1952</v>
      </c>
      <c r="D125" s="36"/>
      <c r="F125" s="185" t="s">
        <v>1976</v>
      </c>
      <c r="G125" s="135"/>
      <c r="H125"/>
      <c r="I125" s="1177" t="str">
        <f t="shared" si="27"/>
        <v/>
      </c>
      <c r="J125" s="913" t="s">
        <v>1924</v>
      </c>
      <c r="K125" s="177">
        <v>-10</v>
      </c>
      <c r="L125" s="177">
        <v>-10</v>
      </c>
      <c r="M125" s="177"/>
      <c r="N125" s="177">
        <v>15</v>
      </c>
      <c r="O125" s="178">
        <v>15</v>
      </c>
      <c r="P125" s="181">
        <v>2</v>
      </c>
      <c r="Q125" s="177">
        <v>0</v>
      </c>
      <c r="R125" s="177">
        <v>-2</v>
      </c>
      <c r="S125" s="177">
        <v>0</v>
      </c>
      <c r="T125" s="177">
        <v>-1</v>
      </c>
      <c r="U125" s="177">
        <v>1</v>
      </c>
      <c r="V125" s="177">
        <v>0</v>
      </c>
      <c r="W125" s="177">
        <v>1</v>
      </c>
      <c r="X125" s="178">
        <v>1</v>
      </c>
      <c r="Y125" s="1232">
        <v>-1</v>
      </c>
      <c r="Z125" s="1232"/>
      <c r="AA125" s="1232"/>
      <c r="AB125" s="104">
        <v>5</v>
      </c>
      <c r="AC125" s="1025" t="s">
        <v>8396</v>
      </c>
      <c r="AD125" s="758"/>
      <c r="AE125" s="758"/>
      <c r="AF125" s="758"/>
      <c r="AG125" s="758"/>
      <c r="AH125" s="758"/>
      <c r="AI125" s="758"/>
      <c r="AJ125" s="758"/>
      <c r="AK125" s="758"/>
      <c r="AL125" s="758"/>
      <c r="AM125" s="758"/>
      <c r="AN125" s="758"/>
      <c r="AO125" s="758"/>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21"/>
    </row>
    <row r="126" spans="1:106" ht="12.75" customHeight="1" x14ac:dyDescent="0.2">
      <c r="A126" s="227">
        <v>126</v>
      </c>
      <c r="B126" s="5988"/>
      <c r="C126" s="185" t="s">
        <v>1953</v>
      </c>
      <c r="D126" s="36"/>
      <c r="F126" s="185" t="s">
        <v>1977</v>
      </c>
      <c r="G126" s="135"/>
      <c r="H126"/>
      <c r="I126" s="1177" t="str">
        <f t="shared" si="27"/>
        <v/>
      </c>
      <c r="J126" s="913" t="s">
        <v>1925</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32">
        <v>0</v>
      </c>
      <c r="Z126" s="1232">
        <f>IF(Personalización!$G$48="Sí",4,0)</f>
        <v>0</v>
      </c>
      <c r="AA126" s="1232"/>
      <c r="AB126" s="104">
        <v>5</v>
      </c>
      <c r="AC126" s="1025" t="s">
        <v>8397</v>
      </c>
      <c r="AD126" s="758"/>
      <c r="AE126" s="758"/>
      <c r="AF126" s="758"/>
      <c r="AG126" s="758"/>
      <c r="AH126" s="758"/>
      <c r="AI126" s="758"/>
      <c r="AJ126" s="758"/>
      <c r="AK126" s="758"/>
      <c r="AL126" s="758"/>
      <c r="AM126" s="758"/>
      <c r="AN126" s="758"/>
      <c r="AO126" s="758"/>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21"/>
    </row>
    <row r="127" spans="1:106" ht="12.75" customHeight="1" x14ac:dyDescent="0.2">
      <c r="A127" s="227">
        <v>127</v>
      </c>
      <c r="B127" s="5988"/>
      <c r="C127" s="185" t="s">
        <v>1954</v>
      </c>
      <c r="D127" s="36"/>
      <c r="F127" s="185" t="s">
        <v>1978</v>
      </c>
      <c r="G127" s="135"/>
      <c r="H127"/>
      <c r="I127" s="1177" t="str">
        <f t="shared" si="27"/>
        <v/>
      </c>
      <c r="J127" s="913" t="s">
        <v>1926</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32">
        <f>IF(Personalización!$AQ$28=-1,0,0+IF(Personalización!$L$50="Sí",IFERROR(VALUE(LEFT(Personalización!$N$49,2))+IF(Personalización!$AQ$28=1,1,0),0),0))</f>
        <v>0</v>
      </c>
      <c r="Z127" s="1232"/>
      <c r="AA127" s="1232"/>
      <c r="AB127" s="104">
        <v>0</v>
      </c>
      <c r="AC127" s="1405" t="str">
        <f>IF(Personalización!$AQ$28=-1,"Fase lunar opuesta: Sin ventajas raciales","Armas naturales, Transformación, Sentido de animal, Hijos de la luna, Rasgos animales")</f>
        <v>Armas naturales, Transformación, Sentido de animal, Hijos de la luna, Rasgos animales</v>
      </c>
      <c r="AD127" s="758"/>
      <c r="AE127" s="758"/>
      <c r="AF127" s="758"/>
      <c r="AG127" s="758"/>
      <c r="AH127" s="758"/>
      <c r="AI127" s="758"/>
      <c r="AJ127" s="758"/>
      <c r="AK127" s="758"/>
      <c r="AL127" s="758"/>
      <c r="AM127" s="758"/>
      <c r="AN127" s="758"/>
      <c r="AO127" s="758"/>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21"/>
    </row>
    <row r="128" spans="1:106" ht="12.75" customHeight="1" thickBot="1" x14ac:dyDescent="0.25">
      <c r="A128" s="227">
        <v>128</v>
      </c>
      <c r="B128" s="5988"/>
      <c r="C128" s="184" t="s">
        <v>1955</v>
      </c>
      <c r="D128" s="69"/>
      <c r="F128" s="185" t="s">
        <v>1979</v>
      </c>
      <c r="G128" s="135"/>
      <c r="H128"/>
      <c r="I128" s="1177" t="str">
        <f t="shared" si="27"/>
        <v/>
      </c>
      <c r="J128" s="913" t="s">
        <v>1928</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32">
        <f>IF(COUNTIF(Cercanía_Dragón,"Descomunales")&gt;0,6,2)</f>
        <v>2</v>
      </c>
      <c r="Z128" s="1232">
        <v>1</v>
      </c>
      <c r="AA128" s="1232"/>
      <c r="AB128" s="104">
        <v>5</v>
      </c>
      <c r="AC128" s="1025" t="s">
        <v>8399</v>
      </c>
      <c r="AD128" s="758"/>
      <c r="AE128" s="758"/>
      <c r="AF128" s="758"/>
      <c r="AG128" s="758"/>
      <c r="AH128" s="758"/>
      <c r="AI128" s="758"/>
      <c r="AJ128" s="758"/>
      <c r="AK128" s="758"/>
      <c r="AL128" s="758"/>
      <c r="AM128" s="758"/>
      <c r="AN128" s="758"/>
      <c r="AO128" s="758"/>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21"/>
    </row>
    <row r="129" spans="1:110" ht="12.75" customHeight="1" thickBot="1" x14ac:dyDescent="0.25">
      <c r="A129" s="227">
        <v>129</v>
      </c>
      <c r="B129" s="5988"/>
      <c r="F129" s="184" t="s">
        <v>1980</v>
      </c>
      <c r="G129" s="610"/>
      <c r="H129"/>
      <c r="I129" s="1178" t="str">
        <f t="shared" si="27"/>
        <v/>
      </c>
      <c r="J129" s="1179" t="s">
        <v>1593</v>
      </c>
      <c r="K129" s="814"/>
      <c r="L129" s="814"/>
      <c r="M129" s="814"/>
      <c r="N129" s="814"/>
      <c r="O129" s="1180"/>
      <c r="P129" s="1181"/>
      <c r="Q129" s="1182"/>
      <c r="R129" s="1182"/>
      <c r="S129" s="1182"/>
      <c r="T129" s="1182"/>
      <c r="U129" s="1182"/>
      <c r="V129" s="1182"/>
      <c r="W129" s="1182"/>
      <c r="X129" s="1183"/>
      <c r="Y129" s="1233"/>
      <c r="Z129" s="1233"/>
      <c r="AA129" s="1233"/>
      <c r="AB129" s="1233"/>
      <c r="AC129" s="1234" t="s">
        <v>6926</v>
      </c>
      <c r="AD129" s="1235"/>
      <c r="AE129" s="1235"/>
      <c r="AF129" s="1235"/>
      <c r="AG129" s="1235"/>
      <c r="AH129" s="1235"/>
      <c r="AI129" s="1235"/>
      <c r="AJ129" s="1235"/>
      <c r="AK129" s="1235"/>
      <c r="AL129" s="1235"/>
      <c r="AM129" s="1235"/>
      <c r="AN129" s="1235"/>
      <c r="AO129" s="1235"/>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22"/>
    </row>
    <row r="130" spans="1:110" ht="12.75" customHeight="1" thickBot="1" x14ac:dyDescent="0.25">
      <c r="A130" s="227">
        <v>130</v>
      </c>
      <c r="B130" s="5988"/>
      <c r="C130" s="3639" t="s">
        <v>8470</v>
      </c>
      <c r="D130" s="3641"/>
      <c r="H130"/>
      <c r="J130" s="6023" t="s">
        <v>7311</v>
      </c>
      <c r="K130" s="174" t="str">
        <f>K108</f>
        <v>RF</v>
      </c>
      <c r="L130" s="174" t="str">
        <f>L108</f>
        <v>RE</v>
      </c>
      <c r="M130" s="174" t="str">
        <f>M108</f>
        <v>RV</v>
      </c>
      <c r="N130" s="174" t="str">
        <f>N108</f>
        <v>RM</v>
      </c>
      <c r="O130" s="174" t="str">
        <f>O108</f>
        <v>RP</v>
      </c>
      <c r="P130" s="174" t="s">
        <v>1456</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8" t="str">
        <f t="shared" si="28"/>
        <v>Tamaño</v>
      </c>
      <c r="Z130" s="598" t="str">
        <f t="shared" si="28"/>
        <v>Regeneración</v>
      </c>
      <c r="AA130" s="598" t="str">
        <f t="shared" si="28"/>
        <v>Cansancio</v>
      </c>
      <c r="AB130" s="598" t="str">
        <f t="shared" si="28"/>
        <v>Natura</v>
      </c>
    </row>
    <row r="131" spans="1:110" ht="12.75" customHeight="1" thickBot="1" x14ac:dyDescent="0.25">
      <c r="A131" s="227">
        <v>131</v>
      </c>
      <c r="B131" s="5988"/>
      <c r="C131" s="6008"/>
      <c r="D131" s="5719"/>
      <c r="H131"/>
      <c r="J131" s="6024"/>
      <c r="K131" s="90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6" t="s">
        <v>1456</v>
      </c>
      <c r="Q131" s="906">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6">
        <f t="shared" si="29"/>
        <v>0</v>
      </c>
      <c r="S131" s="906">
        <f t="shared" si="29"/>
        <v>0</v>
      </c>
      <c r="T131" s="906">
        <f t="shared" si="29"/>
        <v>0</v>
      </c>
      <c r="U131" s="906">
        <f t="shared" si="29"/>
        <v>0</v>
      </c>
      <c r="V131" s="906">
        <f t="shared" si="29"/>
        <v>0</v>
      </c>
      <c r="W131" s="906">
        <f t="shared" si="29"/>
        <v>0</v>
      </c>
      <c r="X131" s="906">
        <f t="shared" si="29"/>
        <v>0</v>
      </c>
      <c r="Y131" s="1236">
        <f t="shared" si="29"/>
        <v>0</v>
      </c>
      <c r="Z131" s="1236">
        <f t="shared" si="29"/>
        <v>0</v>
      </c>
      <c r="AA131" s="1236">
        <f t="shared" si="29"/>
        <v>0</v>
      </c>
      <c r="AB131" s="1237">
        <f t="shared" si="29"/>
        <v>0</v>
      </c>
    </row>
    <row r="132" spans="1:110" ht="12.75" customHeight="1" thickBot="1" x14ac:dyDescent="0.25">
      <c r="A132" s="227">
        <v>132</v>
      </c>
      <c r="B132" s="5988"/>
      <c r="C132" s="1300" t="s">
        <v>1381</v>
      </c>
      <c r="D132" s="1301"/>
      <c r="F132" s="559"/>
      <c r="H132"/>
      <c r="L132" s="559"/>
      <c r="N132"/>
    </row>
    <row r="133" spans="1:110" ht="12.75" customHeight="1" x14ac:dyDescent="0.2">
      <c r="A133" s="227">
        <v>133</v>
      </c>
      <c r="B133" s="5988"/>
      <c r="C133" s="1302" t="s">
        <v>8471</v>
      </c>
      <c r="D133" s="1303"/>
      <c r="F133" s="6013" t="s">
        <v>6355</v>
      </c>
      <c r="G133" s="6073"/>
      <c r="H133" s="6073"/>
      <c r="I133" s="6073"/>
      <c r="J133" s="6073"/>
      <c r="K133" s="6073"/>
      <c r="L133" s="6073"/>
      <c r="M133" s="6073"/>
      <c r="N133" s="6073"/>
      <c r="O133" s="6073"/>
      <c r="P133" s="6073"/>
      <c r="Q133" s="6073"/>
      <c r="R133" s="6073"/>
      <c r="S133" s="6073"/>
      <c r="T133" s="6073"/>
      <c r="U133" s="6073"/>
      <c r="V133" s="6073"/>
      <c r="W133" s="6073"/>
      <c r="X133" s="6073"/>
      <c r="Y133" s="6073"/>
      <c r="Z133" s="6073"/>
      <c r="AA133" s="6073"/>
      <c r="AB133" s="6073"/>
      <c r="AC133" s="6073"/>
      <c r="AD133" s="6073"/>
      <c r="AE133" s="6073"/>
      <c r="AF133" s="6073"/>
      <c r="AG133" s="6073"/>
      <c r="AH133" s="6073"/>
      <c r="AI133" s="6073"/>
      <c r="AJ133" s="6073"/>
      <c r="AK133" s="6073"/>
      <c r="AL133" s="6073"/>
      <c r="AM133" s="6073"/>
      <c r="AN133" s="6073"/>
      <c r="AO133" s="6073"/>
      <c r="AP133" s="6073"/>
      <c r="AQ133" s="6073"/>
      <c r="AR133" s="6073"/>
      <c r="AS133" s="6073"/>
      <c r="AT133" s="6073"/>
      <c r="AU133" s="6073"/>
      <c r="AV133" s="6073"/>
      <c r="AW133" s="6073"/>
      <c r="AX133" s="6073"/>
      <c r="AY133" s="6073"/>
      <c r="AZ133" s="6073"/>
      <c r="BA133" s="6073"/>
      <c r="BB133" s="6073"/>
      <c r="BC133" s="6073"/>
      <c r="BD133" s="6073"/>
      <c r="BE133" s="6073"/>
      <c r="BF133" s="6073"/>
      <c r="BG133" s="6073"/>
      <c r="BH133" s="6073"/>
      <c r="BI133" s="6073"/>
      <c r="BJ133" s="6073"/>
      <c r="BK133" s="6073"/>
      <c r="BL133" s="6073"/>
      <c r="BM133" s="6073"/>
      <c r="BN133" s="6073"/>
      <c r="BO133" s="6073"/>
      <c r="BP133" s="6073"/>
      <c r="BQ133" s="6073"/>
      <c r="BR133" s="6073"/>
      <c r="BS133" s="6073"/>
      <c r="BT133" s="6073"/>
      <c r="BU133" s="6073"/>
      <c r="BV133" s="6073"/>
      <c r="BW133" s="6073"/>
      <c r="BX133" s="6073"/>
      <c r="BY133" s="6073"/>
      <c r="BZ133" s="6073"/>
      <c r="CA133" s="6073"/>
      <c r="CB133" s="6073"/>
      <c r="CC133" s="6073"/>
      <c r="CD133" s="6073"/>
      <c r="CE133" s="6073"/>
      <c r="CF133" s="6073"/>
      <c r="CG133" s="6073"/>
      <c r="CH133" s="6073"/>
      <c r="CI133" s="6073"/>
      <c r="CJ133" s="6073"/>
      <c r="CK133" s="6073"/>
      <c r="CL133" s="6073"/>
      <c r="CM133" s="6073"/>
      <c r="CN133" s="6073"/>
      <c r="CO133" s="6073"/>
      <c r="CP133" s="6073"/>
      <c r="CQ133" s="6073"/>
      <c r="CR133" s="6073"/>
      <c r="CS133" s="6073"/>
      <c r="CT133" s="6073"/>
      <c r="CU133" s="6073"/>
      <c r="CV133" s="6073"/>
      <c r="CW133" s="6073"/>
      <c r="CX133" s="6073"/>
      <c r="CY133" s="6073"/>
      <c r="CZ133" s="6073"/>
      <c r="DA133" s="6073"/>
      <c r="DB133" s="6073"/>
      <c r="DC133" s="6073"/>
      <c r="DD133" s="6073"/>
      <c r="DE133" s="6073"/>
      <c r="DF133" s="6014"/>
    </row>
    <row r="134" spans="1:110" ht="12.75" customHeight="1" thickBot="1" x14ac:dyDescent="0.25">
      <c r="A134" s="227">
        <v>134</v>
      </c>
      <c r="B134" s="5988"/>
      <c r="C134" s="1304" t="s">
        <v>8733</v>
      </c>
      <c r="D134" s="1305"/>
      <c r="F134" s="6015"/>
      <c r="G134" s="6074"/>
      <c r="H134" s="6074"/>
      <c r="I134" s="6074"/>
      <c r="J134" s="6074"/>
      <c r="K134" s="6074"/>
      <c r="L134" s="6074"/>
      <c r="M134" s="6074"/>
      <c r="N134" s="6074"/>
      <c r="O134" s="6074"/>
      <c r="P134" s="6074"/>
      <c r="Q134" s="6074"/>
      <c r="R134" s="6074"/>
      <c r="S134" s="6074"/>
      <c r="T134" s="6074"/>
      <c r="U134" s="6074"/>
      <c r="V134" s="6074"/>
      <c r="W134" s="6074"/>
      <c r="X134" s="6074"/>
      <c r="Y134" s="6074"/>
      <c r="Z134" s="6074"/>
      <c r="AA134" s="6074"/>
      <c r="AB134" s="6074"/>
      <c r="AC134" s="6074"/>
      <c r="AD134" s="6074"/>
      <c r="AE134" s="6074"/>
      <c r="AF134" s="6074"/>
      <c r="AG134" s="6074"/>
      <c r="AH134" s="6074"/>
      <c r="AI134" s="6074"/>
      <c r="AJ134" s="6074"/>
      <c r="AK134" s="6074"/>
      <c r="AL134" s="6074"/>
      <c r="AM134" s="6074"/>
      <c r="AN134" s="6074"/>
      <c r="AO134" s="6074"/>
      <c r="AP134" s="6074"/>
      <c r="AQ134" s="6074"/>
      <c r="AR134" s="6074"/>
      <c r="AS134" s="6074"/>
      <c r="AT134" s="6074"/>
      <c r="AU134" s="6074"/>
      <c r="AV134" s="6074"/>
      <c r="AW134" s="6074"/>
      <c r="AX134" s="6074"/>
      <c r="AY134" s="6074"/>
      <c r="AZ134" s="6074"/>
      <c r="BA134" s="6074"/>
      <c r="BB134" s="6074"/>
      <c r="BC134" s="6074"/>
      <c r="BD134" s="6074"/>
      <c r="BE134" s="6074"/>
      <c r="BF134" s="6074"/>
      <c r="BG134" s="6074"/>
      <c r="BH134" s="6074"/>
      <c r="BI134" s="6074"/>
      <c r="BJ134" s="6074"/>
      <c r="BK134" s="6074"/>
      <c r="BL134" s="6074"/>
      <c r="BM134" s="6074"/>
      <c r="BN134" s="6074"/>
      <c r="BO134" s="6074"/>
      <c r="BP134" s="6074"/>
      <c r="BQ134" s="6074"/>
      <c r="BR134" s="6074"/>
      <c r="BS134" s="6074"/>
      <c r="BT134" s="6074"/>
      <c r="BU134" s="6074"/>
      <c r="BV134" s="6074"/>
      <c r="BW134" s="6074"/>
      <c r="BX134" s="6074"/>
      <c r="BY134" s="6074"/>
      <c r="BZ134" s="6074"/>
      <c r="CA134" s="6074"/>
      <c r="CB134" s="6074"/>
      <c r="CC134" s="6074"/>
      <c r="CD134" s="6074"/>
      <c r="CE134" s="6074"/>
      <c r="CF134" s="6074"/>
      <c r="CG134" s="6074"/>
      <c r="CH134" s="6074"/>
      <c r="CI134" s="6074"/>
      <c r="CJ134" s="6074"/>
      <c r="CK134" s="6074"/>
      <c r="CL134" s="6074"/>
      <c r="CM134" s="6074"/>
      <c r="CN134" s="6074"/>
      <c r="CO134" s="6074"/>
      <c r="CP134" s="6074"/>
      <c r="CQ134" s="6074"/>
      <c r="CR134" s="6074"/>
      <c r="CS134" s="6074"/>
      <c r="CT134" s="6074"/>
      <c r="CU134" s="6074"/>
      <c r="CV134" s="6074"/>
      <c r="CW134" s="6074"/>
      <c r="CX134" s="6074"/>
      <c r="CY134" s="6074"/>
      <c r="CZ134" s="6074"/>
      <c r="DA134" s="6074"/>
      <c r="DB134" s="6074"/>
      <c r="DC134" s="6074"/>
      <c r="DD134" s="6074"/>
      <c r="DE134" s="6074"/>
      <c r="DF134" s="6016"/>
    </row>
    <row r="135" spans="1:110" ht="12.75" customHeight="1" thickBot="1" x14ac:dyDescent="0.25">
      <c r="A135" s="227">
        <v>135</v>
      </c>
      <c r="B135" s="5988"/>
      <c r="F135" s="6021" t="s">
        <v>6363</v>
      </c>
      <c r="G135" s="6022"/>
      <c r="H135" s="2594">
        <v>1</v>
      </c>
      <c r="I135" s="2594">
        <v>2</v>
      </c>
      <c r="J135" s="2594">
        <v>3</v>
      </c>
      <c r="K135" s="2594">
        <v>4</v>
      </c>
      <c r="L135" s="2594">
        <v>5</v>
      </c>
      <c r="M135" s="2594">
        <v>6</v>
      </c>
      <c r="N135" s="2594">
        <v>7</v>
      </c>
      <c r="O135" s="2594">
        <v>8</v>
      </c>
      <c r="P135" s="2594">
        <v>9</v>
      </c>
      <c r="Q135" s="2594">
        <v>10</v>
      </c>
      <c r="R135" s="2594">
        <v>11</v>
      </c>
      <c r="S135" s="2594">
        <v>12</v>
      </c>
      <c r="T135" s="2594">
        <v>13</v>
      </c>
      <c r="U135" s="2594">
        <v>14</v>
      </c>
      <c r="V135" s="2594">
        <v>15</v>
      </c>
      <c r="W135" s="2594">
        <v>16</v>
      </c>
      <c r="X135" s="2594">
        <v>17</v>
      </c>
      <c r="Y135" s="2595">
        <v>18</v>
      </c>
      <c r="Z135" s="2595">
        <v>19</v>
      </c>
      <c r="AA135" s="2595">
        <v>20</v>
      </c>
      <c r="AB135" s="2595">
        <v>21</v>
      </c>
      <c r="AC135" s="2595">
        <v>22</v>
      </c>
      <c r="AD135" s="2595">
        <v>23</v>
      </c>
      <c r="AE135" s="2595">
        <v>24</v>
      </c>
      <c r="AF135" s="2595">
        <v>25</v>
      </c>
      <c r="AG135" s="2595">
        <v>26</v>
      </c>
      <c r="AH135" s="2595">
        <v>27</v>
      </c>
      <c r="AI135" s="2595">
        <v>28</v>
      </c>
      <c r="AJ135" s="2595">
        <v>29</v>
      </c>
      <c r="AK135" s="2595">
        <v>30</v>
      </c>
      <c r="AL135" s="2595">
        <v>31</v>
      </c>
      <c r="AM135" s="2595">
        <v>32</v>
      </c>
      <c r="AN135" s="2595">
        <v>33</v>
      </c>
      <c r="AO135" s="2595">
        <v>34</v>
      </c>
      <c r="AP135" s="2594">
        <v>35</v>
      </c>
      <c r="AQ135" s="2594">
        <v>36</v>
      </c>
      <c r="AR135" s="2594">
        <v>37</v>
      </c>
      <c r="AS135" s="2594">
        <v>38</v>
      </c>
      <c r="AT135" s="2594">
        <v>39</v>
      </c>
      <c r="AU135" s="2594">
        <v>40</v>
      </c>
      <c r="AV135" s="2594">
        <v>41</v>
      </c>
      <c r="AW135" s="2594">
        <v>42</v>
      </c>
      <c r="AX135" s="2594">
        <v>43</v>
      </c>
      <c r="AY135" s="2594">
        <v>44</v>
      </c>
      <c r="AZ135" s="2594">
        <v>45</v>
      </c>
      <c r="BA135" s="2594">
        <v>46</v>
      </c>
      <c r="BB135" s="2594">
        <v>47</v>
      </c>
      <c r="BC135" s="2594">
        <v>48</v>
      </c>
      <c r="BD135" s="2594">
        <v>49</v>
      </c>
      <c r="BE135" s="2594">
        <v>50</v>
      </c>
      <c r="BF135" s="2594">
        <v>51</v>
      </c>
      <c r="BG135" s="2594">
        <v>52</v>
      </c>
      <c r="BH135" s="2594">
        <v>53</v>
      </c>
      <c r="BI135" s="2594">
        <v>54</v>
      </c>
      <c r="BJ135" s="2594">
        <v>55</v>
      </c>
      <c r="BK135" s="2594">
        <v>56</v>
      </c>
      <c r="BL135" s="2594">
        <v>57</v>
      </c>
      <c r="BM135" s="2594">
        <v>58</v>
      </c>
      <c r="BN135" s="2594">
        <v>59</v>
      </c>
      <c r="BO135" s="2594">
        <v>60</v>
      </c>
      <c r="BP135" s="2594">
        <v>61</v>
      </c>
      <c r="BQ135" s="2594">
        <v>62</v>
      </c>
      <c r="BR135" s="2594">
        <v>63</v>
      </c>
      <c r="BS135" s="2594">
        <v>64</v>
      </c>
      <c r="BT135" s="2594">
        <v>65</v>
      </c>
      <c r="BU135" s="2594">
        <v>66</v>
      </c>
      <c r="BV135" s="2594">
        <v>67</v>
      </c>
      <c r="BW135" s="2594">
        <v>68</v>
      </c>
      <c r="BX135" s="2594">
        <v>69</v>
      </c>
      <c r="BY135" s="2594">
        <v>70</v>
      </c>
      <c r="BZ135" s="2594">
        <v>71</v>
      </c>
      <c r="CA135" s="2594">
        <v>72</v>
      </c>
      <c r="CB135" s="2594">
        <v>73</v>
      </c>
      <c r="CC135" s="2594">
        <v>74</v>
      </c>
      <c r="CD135" s="2594">
        <v>75</v>
      </c>
      <c r="CE135" s="2594">
        <v>76</v>
      </c>
      <c r="CF135" s="2594">
        <v>77</v>
      </c>
      <c r="CG135" s="2594">
        <v>78</v>
      </c>
      <c r="CH135" s="2594">
        <v>79</v>
      </c>
      <c r="CI135" s="2594">
        <v>80</v>
      </c>
      <c r="CJ135" s="2594">
        <v>81</v>
      </c>
      <c r="CK135" s="2594">
        <v>82</v>
      </c>
      <c r="CL135" s="2594">
        <v>83</v>
      </c>
      <c r="CM135" s="2594">
        <v>84</v>
      </c>
      <c r="CN135" s="2594">
        <v>85</v>
      </c>
      <c r="CO135" s="2594">
        <v>86</v>
      </c>
      <c r="CP135" s="2594">
        <v>87</v>
      </c>
      <c r="CQ135" s="2594">
        <v>88</v>
      </c>
      <c r="CR135" s="2594">
        <v>89</v>
      </c>
      <c r="CS135" s="2594">
        <v>90</v>
      </c>
      <c r="CT135" s="2594">
        <v>91</v>
      </c>
      <c r="CU135" s="2594">
        <v>92</v>
      </c>
      <c r="CV135" s="2594">
        <v>93</v>
      </c>
      <c r="CW135" s="2594">
        <v>94</v>
      </c>
      <c r="CX135" s="2594">
        <v>95</v>
      </c>
      <c r="CY135" s="2594">
        <v>96</v>
      </c>
      <c r="CZ135" s="2594">
        <v>97</v>
      </c>
      <c r="DA135" s="2594">
        <v>98</v>
      </c>
      <c r="DB135" s="2594">
        <v>99</v>
      </c>
      <c r="DC135" s="2594">
        <v>100</v>
      </c>
      <c r="DD135" s="2594">
        <v>101</v>
      </c>
      <c r="DE135" s="2594">
        <v>102</v>
      </c>
      <c r="DF135" s="2596">
        <v>103</v>
      </c>
    </row>
    <row r="136" spans="1:110" ht="12.75" customHeight="1" x14ac:dyDescent="0.2">
      <c r="A136" s="227">
        <v>136</v>
      </c>
      <c r="B136" s="5988"/>
      <c r="C136" s="6013" t="s">
        <v>6348</v>
      </c>
      <c r="D136" s="6014"/>
      <c r="F136" s="2597" t="str">
        <f>IF(ISNA(HLOOKUP($I$136&amp;$A1,$H$139:$DF$140,2,FALSE))," ",HLOOKUP($I$136&amp;$A1,$H$139:$DF$140,2,FALSE))</f>
        <v xml:space="preserve"> </v>
      </c>
      <c r="G136" s="976"/>
      <c r="H136" s="2598" t="s">
        <v>6362</v>
      </c>
      <c r="I136" s="6019" t="str">
        <f>IF(Region="","",Region)</f>
        <v/>
      </c>
      <c r="J136" s="6020"/>
      <c r="K136" s="2599" t="s">
        <v>7291</v>
      </c>
      <c r="L136" s="2600" t="str">
        <f>IF(OR(I136="",I137=""),"",IF(AND(I136="Elcia",OR(I137=F137,I137=F139)),Personalización!$E$15,MID(HLOOKUP($I$136&amp;$I$137,Tabla_RaicesCulturales,53,FALSE),4,10)))</f>
        <v/>
      </c>
      <c r="M136" s="2601" t="str">
        <f>LEFT(HLOOKUP($I$136&amp;$I$137,Tabla_RaicesCulturales,53,FALSE),2)</f>
        <v>0</v>
      </c>
      <c r="N136" s="2600" t="str">
        <f>IF(OR(I136="",I137=""),"",MID(HLOOKUP($I$136&amp;$I$137,Tabla_RaicesCulturales,55,FALSE),4,25))</f>
        <v/>
      </c>
      <c r="O136" s="2602" t="str">
        <f>LEFT(HLOOKUP($I$136&amp;$I$137,Tabla_RaicesCulturales,55,FALSE),2)</f>
        <v>0</v>
      </c>
      <c r="P136" s="2592"/>
      <c r="Q136" s="2592"/>
      <c r="R136" s="2592"/>
      <c r="S136" s="2592"/>
      <c r="T136" s="2592"/>
      <c r="U136" s="2592"/>
      <c r="V136" s="2592"/>
      <c r="W136" s="2592"/>
      <c r="X136" s="2592"/>
      <c r="Y136" s="2592"/>
      <c r="Z136" s="2592"/>
      <c r="AA136" s="2592"/>
      <c r="AB136" s="2592"/>
      <c r="AC136" s="2592"/>
      <c r="AD136" s="2592"/>
      <c r="AE136" s="2592"/>
      <c r="AF136" s="2592"/>
      <c r="AG136" s="2592"/>
      <c r="AH136" s="2592"/>
      <c r="AI136" s="2592"/>
      <c r="AJ136" s="2592"/>
      <c r="AK136" s="2592"/>
      <c r="AL136" s="2592"/>
      <c r="AM136" s="2592"/>
      <c r="AN136" s="2592"/>
      <c r="AO136" s="2592"/>
      <c r="AP136" s="2592"/>
      <c r="AQ136" s="2592"/>
      <c r="AR136" s="2592"/>
      <c r="AS136" s="2592"/>
      <c r="AT136" s="2592"/>
      <c r="AU136" s="2592"/>
      <c r="AV136" s="2592"/>
      <c r="AW136" s="2592"/>
      <c r="AX136" s="2592"/>
      <c r="AY136" s="2592"/>
      <c r="AZ136" s="2592"/>
      <c r="BA136" s="2592"/>
      <c r="BB136" s="2592"/>
      <c r="BC136" s="2592"/>
      <c r="BD136" s="2592"/>
      <c r="BE136" s="2592"/>
      <c r="BF136" s="2592"/>
      <c r="BG136" s="2592"/>
      <c r="BH136" s="2592"/>
      <c r="BI136" s="2592"/>
      <c r="BJ136" s="2592"/>
      <c r="BK136" s="2592"/>
      <c r="BL136" s="2592"/>
      <c r="BM136" s="2592"/>
      <c r="BN136" s="2592"/>
      <c r="BO136" s="2592"/>
      <c r="BP136" s="2592"/>
      <c r="BQ136" s="2592"/>
      <c r="BR136" s="2592"/>
      <c r="BS136" s="2592"/>
      <c r="BT136" s="2592"/>
      <c r="BU136" s="2592"/>
      <c r="BV136" s="2592"/>
      <c r="BW136" s="2592"/>
      <c r="BX136" s="2592"/>
      <c r="BY136" s="2592"/>
      <c r="BZ136" s="2592"/>
      <c r="CA136" s="2592"/>
      <c r="CB136" s="2592"/>
      <c r="CC136" s="2592"/>
      <c r="CD136" s="2592"/>
      <c r="CE136" s="2592"/>
      <c r="CF136" s="2592"/>
      <c r="CG136" s="2592"/>
      <c r="CH136" s="2592"/>
      <c r="CI136" s="2592"/>
      <c r="CJ136" s="2592"/>
      <c r="CK136" s="2592"/>
      <c r="CL136" s="2592"/>
      <c r="CM136" s="2592"/>
      <c r="CN136" s="2592"/>
      <c r="CO136" s="2592"/>
      <c r="CP136" s="2592"/>
      <c r="CQ136" s="2592"/>
      <c r="CR136" s="2592"/>
      <c r="CS136" s="2592"/>
      <c r="CT136" s="2592"/>
      <c r="CU136" s="2592"/>
      <c r="CV136" s="2592"/>
      <c r="CW136" s="2592"/>
      <c r="CX136" s="2592"/>
      <c r="CY136" s="2592"/>
      <c r="CZ136" s="2592"/>
      <c r="DA136" s="2592"/>
      <c r="DB136" s="2592"/>
      <c r="DC136" s="2592"/>
      <c r="DD136" s="2592"/>
      <c r="DE136" s="2592"/>
      <c r="DF136" s="565"/>
    </row>
    <row r="137" spans="1:110" ht="12.75" customHeight="1" x14ac:dyDescent="0.2">
      <c r="A137" s="227">
        <v>137</v>
      </c>
      <c r="B137" s="5988"/>
      <c r="C137" s="6015"/>
      <c r="D137" s="6016"/>
      <c r="F137" s="2597" t="str">
        <f>IF(ISNA(HLOOKUP($I$136&amp;$A2,$H$139:$DF$140,2,FALSE))," ",HLOOKUP($I$136&amp;$A2,$H$139:$DF$140,2,FALSE))</f>
        <v xml:space="preserve"> </v>
      </c>
      <c r="G137" s="976"/>
      <c r="H137" s="977" t="s">
        <v>1363</v>
      </c>
      <c r="I137" s="6017" t="str">
        <f>IF(ClaseSocial="","",ClaseSocial)</f>
        <v/>
      </c>
      <c r="J137" s="6018"/>
      <c r="K137" s="2603"/>
      <c r="L137" s="2604" t="str">
        <f>IF(L136="","",MID(HLOOKUP($I$136&amp;$I$137,Tabla_RaicesCulturales,54,FALSE),4,10))</f>
        <v/>
      </c>
      <c r="M137" s="2605" t="str">
        <f>LEFT(HLOOKUP($I$136&amp;$I$137,Tabla_RaicesCulturales,54,FALSE),2)</f>
        <v>0</v>
      </c>
      <c r="N137" s="2604" t="str">
        <f>IF(N136="","",MID(HLOOKUP($I$136&amp;$I$137,Tabla_RaicesCulturales,56,FALSE),4,25))</f>
        <v/>
      </c>
      <c r="O137" s="2606" t="str">
        <f>LEFT(HLOOKUP($I$136&amp;$I$137,Tabla_RaicesCulturales,56,FALSE),2)</f>
        <v>0</v>
      </c>
      <c r="P137" s="2592"/>
      <c r="Q137" s="2592"/>
      <c r="R137" s="2592"/>
      <c r="S137" s="2592"/>
      <c r="T137" s="2592"/>
      <c r="U137" s="2592"/>
      <c r="V137" s="2592"/>
      <c r="W137" s="2592"/>
      <c r="X137" s="2592"/>
      <c r="Y137" s="2592"/>
      <c r="Z137" s="2592"/>
      <c r="AA137" s="2592"/>
      <c r="AB137" s="2592"/>
      <c r="AC137" s="2592"/>
      <c r="AD137" s="2592"/>
      <c r="AE137" s="2592"/>
      <c r="AF137" s="2592"/>
      <c r="AG137" s="2592"/>
      <c r="AH137" s="2592"/>
      <c r="AI137" s="2592"/>
      <c r="AJ137" s="2592"/>
      <c r="AK137" s="2592"/>
      <c r="AL137" s="2592"/>
      <c r="AM137" s="2592"/>
      <c r="AN137" s="2592"/>
      <c r="AO137" s="2592"/>
      <c r="AP137" s="2592"/>
      <c r="AQ137" s="2592"/>
      <c r="AR137" s="2592"/>
      <c r="AS137" s="2592"/>
      <c r="AT137" s="2592"/>
      <c r="AU137" s="2592"/>
      <c r="AV137" s="2592"/>
      <c r="AW137" s="2592"/>
      <c r="AX137" s="2592"/>
      <c r="AY137" s="2592"/>
      <c r="AZ137" s="2592"/>
      <c r="BA137" s="2592"/>
      <c r="BB137" s="2592"/>
      <c r="BC137" s="2592"/>
      <c r="BD137" s="2592"/>
      <c r="BE137" s="2592"/>
      <c r="BF137" s="2592"/>
      <c r="BG137" s="2592"/>
      <c r="BH137" s="2592"/>
      <c r="BI137" s="2592"/>
      <c r="BJ137" s="2592"/>
      <c r="BK137" s="2592"/>
      <c r="BL137" s="2592"/>
      <c r="BM137" s="2592"/>
      <c r="BN137" s="2592"/>
      <c r="BO137" s="2592"/>
      <c r="BP137" s="2592"/>
      <c r="BQ137" s="2592"/>
      <c r="BR137" s="2592"/>
      <c r="BS137" s="2592"/>
      <c r="BT137" s="2592"/>
      <c r="BU137" s="2592"/>
      <c r="BV137" s="2592"/>
      <c r="BW137" s="2592"/>
      <c r="BX137" s="2592"/>
      <c r="BY137" s="2592"/>
      <c r="BZ137" s="2592"/>
      <c r="CA137" s="2592"/>
      <c r="CB137" s="2592"/>
      <c r="CC137" s="2592"/>
      <c r="CD137" s="2592"/>
      <c r="CE137" s="2592"/>
      <c r="CF137" s="2592"/>
      <c r="CG137" s="2592"/>
      <c r="CH137" s="2592"/>
      <c r="CI137" s="2592"/>
      <c r="CJ137" s="2592"/>
      <c r="CK137" s="2592"/>
      <c r="CL137" s="2592"/>
      <c r="CM137" s="2592"/>
      <c r="CN137" s="2592"/>
      <c r="CO137" s="2592"/>
      <c r="CP137" s="2592"/>
      <c r="CQ137" s="2592"/>
      <c r="CR137" s="2592"/>
      <c r="CS137" s="2592"/>
      <c r="CT137" s="2592"/>
      <c r="CU137" s="2592"/>
      <c r="CV137" s="2592"/>
      <c r="CW137" s="2592"/>
      <c r="CX137" s="2592"/>
      <c r="CY137" s="2592"/>
      <c r="CZ137" s="2592"/>
      <c r="DA137" s="2592"/>
      <c r="DB137" s="2592"/>
      <c r="DC137" s="2592"/>
      <c r="DD137" s="2592"/>
      <c r="DE137" s="2593"/>
      <c r="DF137" s="565"/>
    </row>
    <row r="138" spans="1:110" ht="12.75" customHeight="1" x14ac:dyDescent="0.2">
      <c r="A138" s="227">
        <v>138</v>
      </c>
      <c r="B138" s="5988"/>
      <c r="C138" s="564" t="s">
        <v>6356</v>
      </c>
      <c r="D138" s="561"/>
      <c r="F138" s="2597" t="str">
        <f>IF(ISNA(HLOOKUP($I$136&amp;$A3,$H$139:$DF$140,2,FALSE))," ",HLOOKUP($I$136&amp;$A3,$H$139:$DF$140,2,FALSE))</f>
        <v xml:space="preserve"> </v>
      </c>
      <c r="G138" s="976"/>
      <c r="H138" s="6028" t="s">
        <v>6300</v>
      </c>
      <c r="I138" s="6028"/>
      <c r="J138" s="6028"/>
      <c r="K138" s="6028" t="s">
        <v>6301</v>
      </c>
      <c r="L138" s="6028"/>
      <c r="M138" s="6028" t="s">
        <v>6302</v>
      </c>
      <c r="N138" s="6028"/>
      <c r="O138" s="6028"/>
      <c r="P138" s="6028" t="s">
        <v>6303</v>
      </c>
      <c r="Q138" s="6028"/>
      <c r="R138" s="6028" t="s">
        <v>6304</v>
      </c>
      <c r="S138" s="6028"/>
      <c r="T138" s="2568" t="s">
        <v>6305</v>
      </c>
      <c r="U138" s="6028" t="s">
        <v>6306</v>
      </c>
      <c r="V138" s="6028"/>
      <c r="W138" s="6010" t="s">
        <v>6307</v>
      </c>
      <c r="X138" s="6011"/>
      <c r="Y138" s="6066" t="s">
        <v>6308</v>
      </c>
      <c r="Z138" s="6067"/>
      <c r="AA138" s="6068"/>
      <c r="AB138" s="6066" t="s">
        <v>6309</v>
      </c>
      <c r="AC138" s="6068"/>
      <c r="AD138" s="6066" t="s">
        <v>6310</v>
      </c>
      <c r="AE138" s="6068"/>
      <c r="AF138" s="6066" t="s">
        <v>6311</v>
      </c>
      <c r="AG138" s="6067"/>
      <c r="AH138" s="6068"/>
      <c r="AI138" s="6066" t="s">
        <v>6312</v>
      </c>
      <c r="AJ138" s="6067"/>
      <c r="AK138" s="6068"/>
      <c r="AL138" s="6066" t="s">
        <v>6313</v>
      </c>
      <c r="AM138" s="6067"/>
      <c r="AN138" s="6067"/>
      <c r="AO138" s="6068"/>
      <c r="AP138" s="6010" t="s">
        <v>6314</v>
      </c>
      <c r="AQ138" s="6027"/>
      <c r="AR138" s="6011"/>
      <c r="AS138" s="6010" t="s">
        <v>6315</v>
      </c>
      <c r="AT138" s="6011"/>
      <c r="AU138" s="6010" t="s">
        <v>6316</v>
      </c>
      <c r="AV138" s="6027"/>
      <c r="AW138" s="6011"/>
      <c r="AX138" s="6010" t="s">
        <v>6317</v>
      </c>
      <c r="AY138" s="6011"/>
      <c r="AZ138" s="6010" t="s">
        <v>6318</v>
      </c>
      <c r="BA138" s="6011"/>
      <c r="BB138" s="6010" t="s">
        <v>6319</v>
      </c>
      <c r="BC138" s="6011"/>
      <c r="BD138" s="6010" t="s">
        <v>6320</v>
      </c>
      <c r="BE138" s="6011"/>
      <c r="BF138" s="6010" t="s">
        <v>6321</v>
      </c>
      <c r="BG138" s="6011"/>
      <c r="BH138" s="2568" t="s">
        <v>6322</v>
      </c>
      <c r="BI138" s="6010" t="s">
        <v>6284</v>
      </c>
      <c r="BJ138" s="6011"/>
      <c r="BK138" s="6117" t="s">
        <v>6285</v>
      </c>
      <c r="BL138" s="6068"/>
      <c r="BM138" s="2568" t="s">
        <v>10057</v>
      </c>
      <c r="BN138" s="6010" t="s">
        <v>6286</v>
      </c>
      <c r="BO138" s="6011"/>
      <c r="BP138" s="6010" t="s">
        <v>6323</v>
      </c>
      <c r="BQ138" s="6027"/>
      <c r="BR138" s="6011"/>
      <c r="BS138" s="6010" t="s">
        <v>6324</v>
      </c>
      <c r="BT138" s="6011"/>
      <c r="BU138" s="6010" t="s">
        <v>6287</v>
      </c>
      <c r="BV138" s="6027"/>
      <c r="BW138" s="6027"/>
      <c r="BX138" s="6011"/>
      <c r="BY138" s="6010" t="s">
        <v>6288</v>
      </c>
      <c r="BZ138" s="6027"/>
      <c r="CA138" s="6011"/>
      <c r="CB138" s="6010" t="s">
        <v>6289</v>
      </c>
      <c r="CC138" s="6027"/>
      <c r="CD138" s="6011"/>
      <c r="CE138" s="6010" t="s">
        <v>6290</v>
      </c>
      <c r="CF138" s="6011"/>
      <c r="CG138" s="6010" t="s">
        <v>6291</v>
      </c>
      <c r="CH138" s="6027"/>
      <c r="CI138" s="6011"/>
      <c r="CJ138" s="6010" t="s">
        <v>8329</v>
      </c>
      <c r="CK138" s="6027"/>
      <c r="CL138" s="6027"/>
      <c r="CM138" s="6011"/>
      <c r="CN138" s="6010" t="s">
        <v>6292</v>
      </c>
      <c r="CO138" s="6011"/>
      <c r="CP138" s="6010" t="s">
        <v>6293</v>
      </c>
      <c r="CQ138" s="6011"/>
      <c r="CR138" s="6010" t="s">
        <v>6294</v>
      </c>
      <c r="CS138" s="6027"/>
      <c r="CT138" s="6011"/>
      <c r="CU138" s="6010" t="s">
        <v>6295</v>
      </c>
      <c r="CV138" s="6011"/>
      <c r="CW138" s="6010" t="s">
        <v>6296</v>
      </c>
      <c r="CX138" s="6027"/>
      <c r="CY138" s="6011"/>
      <c r="CZ138" s="2607" t="s">
        <v>6297</v>
      </c>
      <c r="DA138" s="6010" t="s">
        <v>6298</v>
      </c>
      <c r="DB138" s="6027"/>
      <c r="DC138" s="6011"/>
      <c r="DD138" s="6010" t="s">
        <v>6299</v>
      </c>
      <c r="DE138" s="6011"/>
      <c r="DF138" s="2616" t="str">
        <f>IF(Personalización!C20="","",Personalización!C20)</f>
        <v/>
      </c>
    </row>
    <row r="139" spans="1:110" ht="12.75" customHeight="1" x14ac:dyDescent="0.2">
      <c r="A139" s="227">
        <v>139</v>
      </c>
      <c r="B139" s="5988"/>
      <c r="C139" s="564" t="s">
        <v>6357</v>
      </c>
      <c r="D139" s="561"/>
      <c r="F139" s="2597" t="str">
        <f>IF(ISNA(HLOOKUP($I$136&amp;$A4,$H$139:$DF$140,2,FALSE))," ",HLOOKUP($I$136&amp;$A4,$H$139:$DF$140,2,FALSE))</f>
        <v xml:space="preserve"> </v>
      </c>
      <c r="G139" s="976"/>
      <c r="H139" s="2610" t="str">
        <f>H138&amp;1</f>
        <v>Abel1</v>
      </c>
      <c r="I139" s="2610" t="str">
        <f>H138&amp;2</f>
        <v>Abel2</v>
      </c>
      <c r="J139" s="569" t="str">
        <f>H138&amp;3</f>
        <v>Abel3</v>
      </c>
      <c r="K139" s="2610" t="str">
        <f>K138&amp;1</f>
        <v>Ilmora1</v>
      </c>
      <c r="L139" s="2610" t="str">
        <f>K138&amp;2</f>
        <v>Ilmora2</v>
      </c>
      <c r="M139" s="568" t="str">
        <f>M138&amp;1</f>
        <v>Helenia1</v>
      </c>
      <c r="N139" s="2610" t="str">
        <f>M138&amp;2</f>
        <v>Helenia2</v>
      </c>
      <c r="O139" s="569" t="str">
        <f>M138&amp;3</f>
        <v>Helenia3</v>
      </c>
      <c r="P139" s="2610" t="str">
        <f>P138&amp;1</f>
        <v>Dalaborn1</v>
      </c>
      <c r="Q139" s="2610" t="str">
        <f>P138&amp;2</f>
        <v>Dalaborn2</v>
      </c>
      <c r="R139" s="568" t="str">
        <f>R138&amp;1</f>
        <v>Alberia1</v>
      </c>
      <c r="S139" s="569" t="str">
        <f>R138&amp;2</f>
        <v>Alberia2</v>
      </c>
      <c r="T139" s="2610" t="str">
        <f>T138&amp;1</f>
        <v>Galgados1</v>
      </c>
      <c r="U139" s="568" t="str">
        <f>U138&amp;1</f>
        <v>Arlan1</v>
      </c>
      <c r="V139" s="569" t="str">
        <f>U138&amp;2</f>
        <v>Arlan2</v>
      </c>
      <c r="W139" s="2610" t="str">
        <f>W138&amp;1</f>
        <v>Kanon1</v>
      </c>
      <c r="X139" s="2610" t="str">
        <f>W138&amp;2</f>
        <v>Kanon2</v>
      </c>
      <c r="Y139" s="568" t="str">
        <f>Y138&amp;1</f>
        <v>Togarini1</v>
      </c>
      <c r="Z139" s="2610" t="str">
        <f>Y138&amp;2</f>
        <v>Togarini2</v>
      </c>
      <c r="AA139" s="569" t="str">
        <f>Y138&amp;3</f>
        <v>Togarini3</v>
      </c>
      <c r="AB139" s="2610" t="str">
        <f>AB138&amp;1</f>
        <v>Remo1</v>
      </c>
      <c r="AC139" s="2610" t="str">
        <f>AB138&amp;2</f>
        <v>Remo2</v>
      </c>
      <c r="AD139" s="568" t="str">
        <f>AD138&amp;1</f>
        <v>Bellafonte1</v>
      </c>
      <c r="AE139" s="569" t="str">
        <f>AD138&amp;2</f>
        <v>Bellafonte2</v>
      </c>
      <c r="AF139" s="2610" t="str">
        <f>AF138&amp;1</f>
        <v>Goldar1</v>
      </c>
      <c r="AG139" s="2610" t="str">
        <f>AF138&amp;2</f>
        <v>Goldar2</v>
      </c>
      <c r="AH139" s="2610" t="str">
        <f>AF138&amp;3</f>
        <v>Goldar3</v>
      </c>
      <c r="AI139" s="568" t="str">
        <f>AI138&amp;1</f>
        <v>Haufman1</v>
      </c>
      <c r="AJ139" s="2610" t="str">
        <f>AI138&amp;2</f>
        <v>Haufman2</v>
      </c>
      <c r="AK139" s="569" t="str">
        <f>AI138&amp;3</f>
        <v>Haufman3</v>
      </c>
      <c r="AL139" s="2610" t="str">
        <f>AL138&amp;1</f>
        <v>Hendell1</v>
      </c>
      <c r="AM139" s="2610" t="str">
        <f>AL138&amp;2</f>
        <v>Hendell2</v>
      </c>
      <c r="AN139" s="2610" t="str">
        <f>AL138&amp;3</f>
        <v>Hendell3</v>
      </c>
      <c r="AO139" s="2610" t="str">
        <f>AL138&amp;4</f>
        <v>Hendell4</v>
      </c>
      <c r="AP139" s="568" t="str">
        <f>AP138&amp;1</f>
        <v>Moth1</v>
      </c>
      <c r="AQ139" s="2610" t="str">
        <f>AP138&amp;2</f>
        <v>Moth2</v>
      </c>
      <c r="AR139" s="569" t="str">
        <f>AP138&amp;3</f>
        <v>Moth3</v>
      </c>
      <c r="AS139" s="2610" t="str">
        <f>AS138&amp;1</f>
        <v>Dwänholf1</v>
      </c>
      <c r="AT139" s="2610" t="str">
        <f>AS138&amp;2</f>
        <v>Dwänholf2</v>
      </c>
      <c r="AU139" s="568" t="str">
        <f>AU138&amp;1</f>
        <v>Gabriel1</v>
      </c>
      <c r="AV139" s="2610" t="str">
        <f>AU138&amp;2</f>
        <v>Gabriel2</v>
      </c>
      <c r="AW139" s="569" t="str">
        <f>AU138&amp;3</f>
        <v>Gabriel3</v>
      </c>
      <c r="AX139" s="2610" t="str">
        <f>AX138&amp;1</f>
        <v>Phaion Eien Seimon1</v>
      </c>
      <c r="AY139" s="2610" t="str">
        <f>AX138&amp;2</f>
        <v>Phaion Eien Seimon2</v>
      </c>
      <c r="AZ139" s="568" t="str">
        <f>AZ138&amp;1</f>
        <v>El Dominio1</v>
      </c>
      <c r="BA139" s="569" t="str">
        <f>AZ138&amp;2</f>
        <v>El Dominio2</v>
      </c>
      <c r="BB139" s="2610" t="str">
        <f>BB138&amp;1</f>
        <v>Argos1</v>
      </c>
      <c r="BC139" s="2610" t="str">
        <f>BB138&amp;2</f>
        <v>Argos2</v>
      </c>
      <c r="BD139" s="568" t="str">
        <f>BD138&amp;1</f>
        <v>Kushistán1</v>
      </c>
      <c r="BE139" s="569" t="str">
        <f>BD138&amp;2</f>
        <v>Kushistán2</v>
      </c>
      <c r="BF139" s="2610" t="str">
        <f>BF138&amp;1</f>
        <v>Estigia1</v>
      </c>
      <c r="BG139" s="2610" t="str">
        <f>BF138&amp;2</f>
        <v>Estigia2</v>
      </c>
      <c r="BH139" s="570" t="str">
        <f>BH138&amp;1</f>
        <v>Salazar1</v>
      </c>
      <c r="BI139" s="568" t="str">
        <f>BI138&amp;1</f>
        <v>Nanwe1</v>
      </c>
      <c r="BJ139" s="569" t="str">
        <f>BI138&amp;2</f>
        <v>Nanwe2</v>
      </c>
      <c r="BK139" s="2610" t="str">
        <f>BK138&amp;1</f>
        <v>Lucrecio1</v>
      </c>
      <c r="BL139" s="2610" t="str">
        <f>BK138&amp;2</f>
        <v>Lucrecio2</v>
      </c>
      <c r="BM139" s="570" t="str">
        <f>BM138&amp;1</f>
        <v>Kashmir1</v>
      </c>
      <c r="BN139" s="2610" t="str">
        <f>BN138&amp;1</f>
        <v>Baho1</v>
      </c>
      <c r="BO139" s="2610" t="str">
        <f>BN138&amp;2</f>
        <v>Baho2</v>
      </c>
      <c r="BP139" s="568" t="str">
        <f>BP138&amp;1</f>
        <v>Lannet1</v>
      </c>
      <c r="BQ139" s="2610" t="str">
        <f>BP138&amp;2</f>
        <v>Lannet2</v>
      </c>
      <c r="BR139" s="569" t="str">
        <f>BP138&amp;3</f>
        <v>Lannet3</v>
      </c>
      <c r="BS139" s="2610" t="str">
        <f>BS138&amp;1</f>
        <v>Shivat1</v>
      </c>
      <c r="BT139" s="2610" t="str">
        <f>BS138&amp;2</f>
        <v>Shivat2</v>
      </c>
      <c r="BU139" s="568" t="str">
        <f>BU138&amp;1</f>
        <v>Manterra1</v>
      </c>
      <c r="BV139" s="2610" t="str">
        <f>BU138&amp;2</f>
        <v>Manterra2</v>
      </c>
      <c r="BW139" s="2610" t="str">
        <f>BU138&amp;3</f>
        <v>Manterra3</v>
      </c>
      <c r="BX139" s="569" t="str">
        <f>BU138&amp;4</f>
        <v>Manterra4</v>
      </c>
      <c r="BY139" s="2610" t="str">
        <f>BY138&amp;1</f>
        <v>Corinia1</v>
      </c>
      <c r="BZ139" s="2610" t="str">
        <f>BY138&amp;2</f>
        <v>Corinia2</v>
      </c>
      <c r="CA139" s="2610" t="str">
        <f>BY138&amp;3</f>
        <v>Corinia3</v>
      </c>
      <c r="CB139" s="568" t="str">
        <f>CB138&amp;1</f>
        <v>Arabal1</v>
      </c>
      <c r="CC139" s="2610" t="str">
        <f>CB138&amp;2</f>
        <v>Arabal2</v>
      </c>
      <c r="CD139" s="569" t="str">
        <f>CB138&amp;3</f>
        <v>Arabal3</v>
      </c>
      <c r="CE139" s="2610" t="str">
        <f>CE138&amp;1</f>
        <v>Pristina1</v>
      </c>
      <c r="CF139" s="2610" t="str">
        <f>CE138&amp;2</f>
        <v>Pristina2</v>
      </c>
      <c r="CG139" s="568" t="str">
        <f>CG138&amp;1</f>
        <v>Ygdramar1</v>
      </c>
      <c r="CH139" s="2610" t="str">
        <f>CG138&amp;2</f>
        <v>Ygdramar2</v>
      </c>
      <c r="CI139" s="569" t="str">
        <f>CG138&amp;3</f>
        <v>Ygdramar3</v>
      </c>
      <c r="CJ139" s="2610" t="str">
        <f>CJ138&amp;1</f>
        <v>Elcia1</v>
      </c>
      <c r="CK139" s="2610" t="str">
        <f>CJ138&amp;2</f>
        <v>Elcia2</v>
      </c>
      <c r="CL139" s="2610" t="str">
        <f>CJ138&amp;3</f>
        <v>Elcia3</v>
      </c>
      <c r="CM139" s="2610" t="str">
        <f>CJ138&amp;4</f>
        <v>Elcia4</v>
      </c>
      <c r="CN139" s="568" t="str">
        <f>CN138&amp;1</f>
        <v>Espheria1</v>
      </c>
      <c r="CO139" s="569" t="str">
        <f>CN138&amp;2</f>
        <v>Espheria2</v>
      </c>
      <c r="CP139" s="2610" t="str">
        <f>CP138&amp;1</f>
        <v>Itzi1</v>
      </c>
      <c r="CQ139" s="2610" t="str">
        <f>CP138&amp;2</f>
        <v>Itzi2</v>
      </c>
      <c r="CR139" s="568" t="str">
        <f>CR138&amp;1</f>
        <v>Dafne1</v>
      </c>
      <c r="CS139" s="2610" t="str">
        <f>CR138&amp;2</f>
        <v>Dafne2</v>
      </c>
      <c r="CT139" s="569" t="str">
        <f>CR138&amp;3</f>
        <v>Dafne3</v>
      </c>
      <c r="CU139" s="2610" t="str">
        <f>CU138&amp;1</f>
        <v>Bekent1</v>
      </c>
      <c r="CV139" s="2610" t="str">
        <f>CU138&amp;2</f>
        <v>Bekent2</v>
      </c>
      <c r="CW139" s="568" t="str">
        <f>CW138&amp;1</f>
        <v>Heinlein1</v>
      </c>
      <c r="CX139" s="2610" t="str">
        <f>CW138&amp;2</f>
        <v>Heinlein2</v>
      </c>
      <c r="CY139" s="569" t="str">
        <f>CW138&amp;3</f>
        <v>Heinlein3</v>
      </c>
      <c r="CZ139" s="2610" t="str">
        <f>CZ138&amp;1</f>
        <v>Dravenor1</v>
      </c>
      <c r="DA139" s="568" t="str">
        <f>DA138&amp;1</f>
        <v>Theresia1</v>
      </c>
      <c r="DB139" s="2610" t="str">
        <f>DA138&amp;2</f>
        <v>Theresia2</v>
      </c>
      <c r="DC139" s="569" t="str">
        <f>DA138&amp;3</f>
        <v>Theresia3</v>
      </c>
      <c r="DD139" s="2610" t="str">
        <f>DD138&amp;1</f>
        <v>Deloran1</v>
      </c>
      <c r="DE139" s="2591" t="str">
        <f>DD138&amp;2</f>
        <v>Deloran2</v>
      </c>
      <c r="DF139" s="566" t="str">
        <f>DF138&amp;COUNTIF(H$139:$DE139,DF138&amp;"*")+1</f>
        <v>103</v>
      </c>
    </row>
    <row r="140" spans="1:110" ht="12.75" customHeight="1" x14ac:dyDescent="0.2">
      <c r="A140" s="227">
        <v>140</v>
      </c>
      <c r="B140" s="5988"/>
      <c r="C140" s="560" t="s">
        <v>6300</v>
      </c>
      <c r="D140" s="561"/>
      <c r="F140" s="2608" t="str">
        <f>IF(ISNA(HLOOKUP($I$136&amp;$A5,$H$139:$DF$140,2,FALSE))," ",HLOOKUP($I$136&amp;$A5,$H$139:$DF$140,2,FALSE))</f>
        <v xml:space="preserve"> </v>
      </c>
      <c r="G140" s="2609"/>
      <c r="H140" s="573" t="s">
        <v>6364</v>
      </c>
      <c r="I140" s="2612" t="s">
        <v>6325</v>
      </c>
      <c r="J140" s="574" t="s">
        <v>86</v>
      </c>
      <c r="K140" s="2613" t="s">
        <v>6364</v>
      </c>
      <c r="L140" s="2613" t="s">
        <v>86</v>
      </c>
      <c r="M140" s="573" t="s">
        <v>6364</v>
      </c>
      <c r="N140" s="2613" t="s">
        <v>2541</v>
      </c>
      <c r="O140" s="749" t="s">
        <v>86</v>
      </c>
      <c r="P140" s="2613" t="s">
        <v>6364</v>
      </c>
      <c r="Q140" s="2613" t="s">
        <v>86</v>
      </c>
      <c r="R140" s="573" t="s">
        <v>6364</v>
      </c>
      <c r="S140" s="574" t="s">
        <v>86</v>
      </c>
      <c r="T140" s="2613" t="s">
        <v>6365</v>
      </c>
      <c r="U140" s="573" t="s">
        <v>6364</v>
      </c>
      <c r="V140" s="574" t="s">
        <v>6325</v>
      </c>
      <c r="W140" s="2613" t="s">
        <v>6364</v>
      </c>
      <c r="X140" s="2613" t="s">
        <v>86</v>
      </c>
      <c r="Y140" s="1238" t="s">
        <v>6364</v>
      </c>
      <c r="Z140" s="2612" t="s">
        <v>6325</v>
      </c>
      <c r="AA140" s="749" t="s">
        <v>86</v>
      </c>
      <c r="AB140" s="2612" t="s">
        <v>7292</v>
      </c>
      <c r="AC140" s="2612" t="s">
        <v>6366</v>
      </c>
      <c r="AD140" s="1238" t="s">
        <v>6364</v>
      </c>
      <c r="AE140" s="749" t="s">
        <v>86</v>
      </c>
      <c r="AF140" s="2612" t="s">
        <v>6367</v>
      </c>
      <c r="AG140" s="2612" t="s">
        <v>6326</v>
      </c>
      <c r="AH140" s="2612" t="s">
        <v>6368</v>
      </c>
      <c r="AI140" s="1238" t="s">
        <v>6326</v>
      </c>
      <c r="AJ140" s="2612" t="s">
        <v>6327</v>
      </c>
      <c r="AK140" s="749" t="s">
        <v>6328</v>
      </c>
      <c r="AL140" s="2612" t="s">
        <v>6329</v>
      </c>
      <c r="AM140" s="2612" t="s">
        <v>6326</v>
      </c>
      <c r="AN140" s="2612" t="s">
        <v>6330</v>
      </c>
      <c r="AO140" s="2612" t="s">
        <v>7293</v>
      </c>
      <c r="AP140" s="573" t="s">
        <v>6364</v>
      </c>
      <c r="AQ140" s="2613" t="s">
        <v>6331</v>
      </c>
      <c r="AR140" s="574" t="s">
        <v>86</v>
      </c>
      <c r="AS140" s="2613" t="s">
        <v>6369</v>
      </c>
      <c r="AT140" s="2613" t="s">
        <v>6332</v>
      </c>
      <c r="AU140" s="573" t="s">
        <v>6370</v>
      </c>
      <c r="AV140" s="2613" t="s">
        <v>6325</v>
      </c>
      <c r="AW140" s="574" t="s">
        <v>86</v>
      </c>
      <c r="AX140" s="2613" t="s">
        <v>6364</v>
      </c>
      <c r="AY140" s="2613" t="s">
        <v>6366</v>
      </c>
      <c r="AZ140" s="573" t="s">
        <v>6364</v>
      </c>
      <c r="BA140" s="574" t="s">
        <v>6371</v>
      </c>
      <c r="BB140" s="2613" t="s">
        <v>6364</v>
      </c>
      <c r="BC140" s="2613" t="s">
        <v>86</v>
      </c>
      <c r="BD140" s="573" t="s">
        <v>6364</v>
      </c>
      <c r="BE140" s="574" t="s">
        <v>6366</v>
      </c>
      <c r="BF140" s="2613" t="s">
        <v>6364</v>
      </c>
      <c r="BG140" s="2613" t="s">
        <v>6372</v>
      </c>
      <c r="BH140" s="575" t="s">
        <v>6333</v>
      </c>
      <c r="BI140" s="573" t="s">
        <v>6334</v>
      </c>
      <c r="BJ140" s="574" t="s">
        <v>6373</v>
      </c>
      <c r="BK140" s="2613" t="s">
        <v>6364</v>
      </c>
      <c r="BL140" s="2613" t="s">
        <v>6374</v>
      </c>
      <c r="BM140" s="575" t="s">
        <v>6335</v>
      </c>
      <c r="BN140" s="2613" t="s">
        <v>6336</v>
      </c>
      <c r="BO140" s="2613" t="s">
        <v>6337</v>
      </c>
      <c r="BP140" s="573" t="s">
        <v>6338</v>
      </c>
      <c r="BQ140" s="2613" t="s">
        <v>6375</v>
      </c>
      <c r="BR140" s="574" t="s">
        <v>6339</v>
      </c>
      <c r="BS140" s="2613" t="s">
        <v>6364</v>
      </c>
      <c r="BT140" s="2613" t="s">
        <v>6376</v>
      </c>
      <c r="BU140" s="573" t="s">
        <v>6377</v>
      </c>
      <c r="BV140" s="2613" t="s">
        <v>6340</v>
      </c>
      <c r="BW140" s="2613" t="s">
        <v>6325</v>
      </c>
      <c r="BX140" s="574" t="s">
        <v>86</v>
      </c>
      <c r="BY140" s="2613" t="s">
        <v>2539</v>
      </c>
      <c r="BZ140" s="2613" t="s">
        <v>6341</v>
      </c>
      <c r="CA140" s="2613" t="s">
        <v>6342</v>
      </c>
      <c r="CB140" s="573" t="s">
        <v>6364</v>
      </c>
      <c r="CC140" s="2613" t="s">
        <v>6325</v>
      </c>
      <c r="CD140" s="574" t="s">
        <v>86</v>
      </c>
      <c r="CE140" s="2613" t="s">
        <v>6364</v>
      </c>
      <c r="CF140" s="2613" t="s">
        <v>6332</v>
      </c>
      <c r="CG140" s="573" t="s">
        <v>6343</v>
      </c>
      <c r="CH140" s="2613" t="s">
        <v>2540</v>
      </c>
      <c r="CI140" s="574" t="s">
        <v>86</v>
      </c>
      <c r="CJ140" s="2613" t="s">
        <v>6338</v>
      </c>
      <c r="CK140" s="2613" t="s">
        <v>6344</v>
      </c>
      <c r="CL140" s="2613" t="s">
        <v>6325</v>
      </c>
      <c r="CM140" s="2613" t="s">
        <v>6345</v>
      </c>
      <c r="CN140" s="573" t="s">
        <v>6364</v>
      </c>
      <c r="CO140" s="574" t="s">
        <v>6325</v>
      </c>
      <c r="CP140" s="2613" t="s">
        <v>6364</v>
      </c>
      <c r="CQ140" s="2613" t="s">
        <v>6346</v>
      </c>
      <c r="CR140" s="573" t="s">
        <v>6364</v>
      </c>
      <c r="CS140" s="2613" t="s">
        <v>6325</v>
      </c>
      <c r="CT140" s="574" t="s">
        <v>86</v>
      </c>
      <c r="CU140" s="2613" t="s">
        <v>2541</v>
      </c>
      <c r="CV140" s="2613" t="s">
        <v>6342</v>
      </c>
      <c r="CW140" s="573" t="s">
        <v>6364</v>
      </c>
      <c r="CX140" s="2613" t="s">
        <v>6325</v>
      </c>
      <c r="CY140" s="574" t="s">
        <v>86</v>
      </c>
      <c r="CZ140" s="2613" t="s">
        <v>6378</v>
      </c>
      <c r="DA140" s="573" t="s">
        <v>6364</v>
      </c>
      <c r="DB140" s="2613" t="s">
        <v>6325</v>
      </c>
      <c r="DC140" s="574" t="s">
        <v>86</v>
      </c>
      <c r="DD140" s="2613" t="s">
        <v>6364</v>
      </c>
      <c r="DE140" s="574" t="s">
        <v>6325</v>
      </c>
      <c r="DF140" s="576" t="str">
        <f>IF(Personalización!C21="","",Personalización!C21)</f>
        <v/>
      </c>
    </row>
    <row r="141" spans="1:110" ht="12.75" customHeight="1" x14ac:dyDescent="0.2">
      <c r="A141" s="227">
        <v>141</v>
      </c>
      <c r="B141" s="5988"/>
      <c r="C141" s="560" t="s">
        <v>6301</v>
      </c>
      <c r="D141" s="490"/>
      <c r="F141" s="2611">
        <v>1</v>
      </c>
      <c r="G141" s="572" t="s">
        <v>1370</v>
      </c>
      <c r="H141" s="568" t="str">
        <f>H138&amp;H140</f>
        <v>AbelMedia / Baja</v>
      </c>
      <c r="I141" s="2610" t="str">
        <f>H138&amp;I140</f>
        <v>AbelBurgués</v>
      </c>
      <c r="J141" s="569" t="str">
        <f>H138&amp;J140</f>
        <v>AbelNobleza</v>
      </c>
      <c r="K141" s="2610" t="str">
        <f>K138&amp;K140</f>
        <v>IlmoraMedia / Baja</v>
      </c>
      <c r="L141" s="2610" t="str">
        <f>K138&amp;L140</f>
        <v>IlmoraNobleza</v>
      </c>
      <c r="M141" s="568" t="str">
        <f>M138&amp;M140</f>
        <v>HeleniaMedia / Baja</v>
      </c>
      <c r="N141" s="2610" t="str">
        <f>M138&amp;N140</f>
        <v>HeleniaNómada</v>
      </c>
      <c r="O141" s="569" t="str">
        <f>M138&amp;O140</f>
        <v>HeleniaNobleza</v>
      </c>
      <c r="P141" s="2610" t="str">
        <f>P138&amp;P140</f>
        <v>DalabornMedia / Baja</v>
      </c>
      <c r="Q141" s="2610" t="str">
        <f>P138&amp;Q140</f>
        <v>DalabornNobleza</v>
      </c>
      <c r="R141" s="568" t="str">
        <f>R138&amp;R140</f>
        <v>AlberiaMedia / Baja</v>
      </c>
      <c r="S141" s="569" t="str">
        <f>R138&amp;S140</f>
        <v>AlberiaNobleza</v>
      </c>
      <c r="T141" s="2610" t="str">
        <f>T138&amp;T140</f>
        <v>GalgadosMedia / Baja / Nobleza</v>
      </c>
      <c r="U141" s="568" t="str">
        <f>U138&amp;U140</f>
        <v>ArlanMedia / Baja</v>
      </c>
      <c r="V141" s="569" t="str">
        <f>U138&amp;V140</f>
        <v>ArlanBurgués</v>
      </c>
      <c r="W141" s="2610" t="str">
        <f>W138&amp;W140</f>
        <v>KanonMedia / Baja</v>
      </c>
      <c r="X141" s="2610" t="str">
        <f>W138&amp;X140</f>
        <v>KanonNobleza</v>
      </c>
      <c r="Y141" s="568" t="str">
        <f>Y138&amp;Y140</f>
        <v>TogariniMedia / Baja</v>
      </c>
      <c r="Z141" s="2610" t="str">
        <f>Y138&amp;Z140</f>
        <v>TogariniBurgués</v>
      </c>
      <c r="AA141" s="569" t="str">
        <f>Y138&amp;AA140</f>
        <v>TogariniNobleza</v>
      </c>
      <c r="AB141" s="2610" t="str">
        <f>AB138&amp;AB140</f>
        <v>RemoBaja / Media</v>
      </c>
      <c r="AC141" s="2610" t="str">
        <f>AB138&amp;AC140</f>
        <v>RemoBurgués / Nobleza</v>
      </c>
      <c r="AD141" s="568" t="str">
        <f>AD138&amp;AD140</f>
        <v>BellafonteMedia / Baja</v>
      </c>
      <c r="AE141" s="569" t="str">
        <f>AD138&amp;AE140</f>
        <v>BellafonteNobleza</v>
      </c>
      <c r="AF141" s="2610" t="str">
        <f>AF138&amp;AF140</f>
        <v>GoldarCampesino / Desterrado</v>
      </c>
      <c r="AG141" s="2610" t="str">
        <f>AF138&amp;AG140</f>
        <v>GoldarNorteño</v>
      </c>
      <c r="AH141" s="2610" t="str">
        <f>AF138&amp;AH140</f>
        <v>GoldarErling / Skalmo / Escaldo Honorable</v>
      </c>
      <c r="AI141" s="568" t="str">
        <f>AI138&amp;AI140</f>
        <v>HaufmanNorteño</v>
      </c>
      <c r="AJ141" s="2610" t="str">
        <f>AI138&amp;AJ140</f>
        <v>HaufmanSaerinmir</v>
      </c>
      <c r="AK141" s="569" t="str">
        <f>AI138&amp;AK140</f>
        <v>HaufmanNoble</v>
      </c>
      <c r="AL141" s="2610" t="str">
        <f>AL138&amp;AL140</f>
        <v>HendellCampesino</v>
      </c>
      <c r="AM141" s="2610" t="str">
        <f>AL138&amp;AM140</f>
        <v>HendellNorteño</v>
      </c>
      <c r="AN141" s="2610" t="str">
        <f>AL138&amp;AN140</f>
        <v>HendellLochgjest</v>
      </c>
      <c r="AO141" s="2610" t="str">
        <f>AL138&amp;AO140</f>
        <v>HendellPrimera Casta</v>
      </c>
      <c r="AP141" s="568" t="str">
        <f>AP138&amp;AP140</f>
        <v>MothMedia / Baja</v>
      </c>
      <c r="AQ141" s="2610" t="str">
        <f>AP138&amp;AQ140</f>
        <v>MothZigeuner</v>
      </c>
      <c r="AR141" s="569" t="str">
        <f>AP138&amp;AR140</f>
        <v>MothNobleza</v>
      </c>
      <c r="AS141" s="2610" t="str">
        <f>AS138&amp;AS140</f>
        <v>DwänholfMedia / Pobre</v>
      </c>
      <c r="AT141" s="2610" t="str">
        <f>AS138&amp;AT140</f>
        <v>DwänholfAdinerada</v>
      </c>
      <c r="AU141" s="568" t="str">
        <f>AU138&amp;AU140</f>
        <v>GabrielMedia / Indigente</v>
      </c>
      <c r="AV141" s="2610" t="str">
        <f>AU138&amp;AV140</f>
        <v>GabrielBurgués</v>
      </c>
      <c r="AW141" s="569" t="str">
        <f>AU138&amp;AW140</f>
        <v>GabrielNobleza</v>
      </c>
      <c r="AX141" s="2610" t="str">
        <f>AX138&amp;AX140</f>
        <v>Phaion Eien SeimonMedia / Baja</v>
      </c>
      <c r="AY141" s="2610" t="str">
        <f>AX138&amp;AY140</f>
        <v>Phaion Eien SeimonBurgués / Nobleza</v>
      </c>
      <c r="AZ141" s="568" t="str">
        <f>AZ138&amp;AZ140</f>
        <v>El DominioMedia / Baja</v>
      </c>
      <c r="BA141" s="569" t="str">
        <f>AZ138&amp;BA140</f>
        <v>El DominioNobleza / Clero</v>
      </c>
      <c r="BB141" s="2610" t="str">
        <f>BB138&amp;BB140</f>
        <v>ArgosMedia / Baja</v>
      </c>
      <c r="BC141" s="2610" t="str">
        <f>BB138&amp;BC140</f>
        <v>ArgosNobleza</v>
      </c>
      <c r="BD141" s="568" t="str">
        <f>BD138&amp;BD140</f>
        <v>KushistánMedia / Baja</v>
      </c>
      <c r="BE141" s="569" t="str">
        <f>BD138&amp;BE140</f>
        <v>KushistánBurgués / Nobleza</v>
      </c>
      <c r="BF141" s="2610" t="str">
        <f>BF138&amp;BF140</f>
        <v>EstigiaMedia / Baja</v>
      </c>
      <c r="BG141" s="2610" t="str">
        <f>BF138&amp;BG140</f>
        <v>EstigiaBurócrata / Burgués / Nobleza</v>
      </c>
      <c r="BH141" s="570" t="str">
        <f>BH138&amp;BH140</f>
        <v>SalazarNómadas</v>
      </c>
      <c r="BI141" s="568" t="str">
        <f>BI138&amp;BI140</f>
        <v>NanweMiembro de tribu</v>
      </c>
      <c r="BJ141" s="569" t="str">
        <f>BI138&amp;BJ140</f>
        <v>NanweMedia / Burgués</v>
      </c>
      <c r="BK141" s="2610" t="str">
        <f>BK138&amp;BK140</f>
        <v>LucrecioMedia / Baja</v>
      </c>
      <c r="BL141" s="2610" t="str">
        <f>BK138&amp;BL140</f>
        <v>LucrecioAlta / Burguesía</v>
      </c>
      <c r="BM141" s="570" t="str">
        <f>BM138&amp;BM140</f>
        <v>KashmirHabitante de la sabana</v>
      </c>
      <c r="BN141" s="2610" t="str">
        <f>BN138&amp;BN140</f>
        <v>BahoCasta de los sabios</v>
      </c>
      <c r="BO141" s="2610" t="str">
        <f>BN138&amp;BO140</f>
        <v>BahoCasta de los guerreros</v>
      </c>
      <c r="BP141" s="568" t="str">
        <f>BP138&amp;BP140</f>
        <v>LannetBaja</v>
      </c>
      <c r="BQ141" s="2610" t="str">
        <f>BP138&amp;BQ140</f>
        <v>LannetBurgués / Samurái (cortesano)</v>
      </c>
      <c r="BR141" s="569" t="str">
        <f>BP138&amp;BR140</f>
        <v>LannetSamurái (guerrero)</v>
      </c>
      <c r="BS141" s="2610" t="str">
        <f>BS138&amp;BS140</f>
        <v>ShivatMedia / Baja</v>
      </c>
      <c r="BT141" s="2610" t="str">
        <f>BS138&amp;BT140</f>
        <v>ShivatNobleza / Burguesía / Burócrata</v>
      </c>
      <c r="BU141" s="568" t="str">
        <f>BU138&amp;BU140</f>
        <v>ManterraMedia /  Baja</v>
      </c>
      <c r="BV141" s="2610" t="str">
        <f>BU138&amp;BV140</f>
        <v>ManterraNativo</v>
      </c>
      <c r="BW141" s="2610" t="str">
        <f>BU138&amp;BW140</f>
        <v>ManterraBurgués</v>
      </c>
      <c r="BX141" s="569" t="str">
        <f>BU138&amp;BX140</f>
        <v>ManterraNobleza</v>
      </c>
      <c r="BY141" s="2610" t="str">
        <f>BY138&amp;BY140</f>
        <v>CoriniaBárbaro</v>
      </c>
      <c r="BZ141" s="2610" t="str">
        <f>BY138&amp;BZ140</f>
        <v>CoriniaColono</v>
      </c>
      <c r="CA141" s="2610" t="str">
        <f>BY138&amp;CA140</f>
        <v>CoriniaPrivilegiado</v>
      </c>
      <c r="CB141" s="568" t="str">
        <f>CB138&amp;CB140</f>
        <v>ArabalMedia / Baja</v>
      </c>
      <c r="CC141" s="2610" t="str">
        <f>CB138&amp;CC140</f>
        <v>ArabalBurgués</v>
      </c>
      <c r="CD141" s="569" t="str">
        <f>CB138&amp;CD140</f>
        <v>ArabalNobleza</v>
      </c>
      <c r="CE141" s="2610" t="str">
        <f>CE138&amp;CE140</f>
        <v>PristinaMedia / Baja</v>
      </c>
      <c r="CF141" s="2610" t="str">
        <f>CE138&amp;CF140</f>
        <v>PristinaAdinerada</v>
      </c>
      <c r="CG141" s="568" t="str">
        <f>CG138&amp;CG140</f>
        <v>YgdramarPlebeyo</v>
      </c>
      <c r="CH141" s="2610" t="str">
        <f>CG138&amp;CH140</f>
        <v>YgdramarCaballero</v>
      </c>
      <c r="CI141" s="569" t="str">
        <f>CG138&amp;CI140</f>
        <v>YgdramarNobleza</v>
      </c>
      <c r="CJ141" s="2610" t="str">
        <f>CJ138&amp;CJ140</f>
        <v>ElciaBaja</v>
      </c>
      <c r="CK141" s="2610" t="str">
        <f>CJ138&amp;CK140</f>
        <v>ElciaGremio</v>
      </c>
      <c r="CL141" s="2610" t="str">
        <f>CJ138&amp;CL140</f>
        <v>ElciaBurgués</v>
      </c>
      <c r="CM141" s="2610" t="str">
        <f>CJ138&amp;CM140</f>
        <v>ElciaNobleza gremial</v>
      </c>
      <c r="CN141" s="568" t="str">
        <f>CN138&amp;CN140</f>
        <v>EspheriaMedia / Baja</v>
      </c>
      <c r="CO141" s="569" t="str">
        <f>CN138&amp;CO140</f>
        <v>EspheriaBurgués</v>
      </c>
      <c r="CP141" s="2610" t="str">
        <f>CP138&amp;CP140</f>
        <v>ItziMedia / Baja</v>
      </c>
      <c r="CQ141" s="2610" t="str">
        <f>CP138&amp;CQ140</f>
        <v>ItziAlta</v>
      </c>
      <c r="CR141" s="568" t="str">
        <f>CR138&amp;CR140</f>
        <v>DafneMedia / Baja</v>
      </c>
      <c r="CS141" s="2610" t="str">
        <f>CR138&amp;CS140</f>
        <v>DafneBurgués</v>
      </c>
      <c r="CT141" s="569" t="str">
        <f>CR138&amp;CT140</f>
        <v>DafneNobleza</v>
      </c>
      <c r="CU141" s="2610" t="str">
        <f>CU138&amp;CU140</f>
        <v>BekentNómada</v>
      </c>
      <c r="CV141" s="2610" t="str">
        <f>CU138&amp;CV140</f>
        <v>BekentPrivilegiado</v>
      </c>
      <c r="CW141" s="568" t="str">
        <f>CW138&amp;CW140</f>
        <v>HeinleinMedia / Baja</v>
      </c>
      <c r="CX141" s="2610" t="str">
        <f>CW138&amp;CX140</f>
        <v>HeinleinBurgués</v>
      </c>
      <c r="CY141" s="569" t="str">
        <f>CW138&amp;CY140</f>
        <v>HeinleinNobleza</v>
      </c>
      <c r="CZ141" s="2610" t="str">
        <f>CZ138&amp;CZ140</f>
        <v>DravenorSoldado / Refugiado</v>
      </c>
      <c r="DA141" s="568" t="str">
        <f>DA138&amp;DA140</f>
        <v>TheresiaMedia / Baja</v>
      </c>
      <c r="DB141" s="2610" t="str">
        <f>DA138&amp;DB140</f>
        <v>TheresiaBurgués</v>
      </c>
      <c r="DC141" s="569" t="str">
        <f>DA138&amp;DC140</f>
        <v>TheresiaNobleza</v>
      </c>
      <c r="DD141" s="2610" t="str">
        <f>DD138&amp;DD140</f>
        <v>DeloranMedia / Baja</v>
      </c>
      <c r="DE141" s="569" t="str">
        <f>DD138&amp;DE140</f>
        <v>DeloranBurgués</v>
      </c>
      <c r="DF141" s="566" t="str">
        <f>DF138&amp;DF140</f>
        <v/>
      </c>
    </row>
    <row r="142" spans="1:110" ht="12.75" customHeight="1" x14ac:dyDescent="0.2">
      <c r="A142" s="227">
        <v>142</v>
      </c>
      <c r="B142" s="5988"/>
      <c r="C142" s="560" t="s">
        <v>6302</v>
      </c>
      <c r="D142" s="561"/>
      <c r="F142" s="2611">
        <v>2</v>
      </c>
      <c r="G142" s="326" t="s">
        <v>1405</v>
      </c>
      <c r="H142" s="2571"/>
      <c r="I142" s="2614"/>
      <c r="J142" s="935"/>
      <c r="K142" s="2614"/>
      <c r="L142" s="2614"/>
      <c r="M142" s="2571"/>
      <c r="N142" s="2614"/>
      <c r="O142" s="935"/>
      <c r="P142" s="2614"/>
      <c r="Q142" s="2614"/>
      <c r="R142" s="2571"/>
      <c r="S142" s="935"/>
      <c r="T142" s="2614">
        <v>10</v>
      </c>
      <c r="U142" s="2571"/>
      <c r="V142" s="935"/>
      <c r="W142" s="2614"/>
      <c r="X142" s="2614"/>
      <c r="Y142" s="2569"/>
      <c r="Z142" s="2420"/>
      <c r="AA142" s="2570"/>
      <c r="AB142" s="2420"/>
      <c r="AC142" s="2420"/>
      <c r="AD142" s="2569"/>
      <c r="AE142" s="2570"/>
      <c r="AF142" s="2420"/>
      <c r="AG142" s="2420"/>
      <c r="AH142" s="2420"/>
      <c r="AI142" s="2569"/>
      <c r="AJ142" s="2420"/>
      <c r="AK142" s="2570"/>
      <c r="AL142" s="2420"/>
      <c r="AM142" s="2420"/>
      <c r="AN142" s="2420"/>
      <c r="AO142" s="2420"/>
      <c r="AP142" s="2571"/>
      <c r="AQ142" s="2614"/>
      <c r="AR142" s="935"/>
      <c r="AS142" s="2614"/>
      <c r="AT142" s="2614"/>
      <c r="AU142" s="2571">
        <v>20</v>
      </c>
      <c r="AV142" s="2614"/>
      <c r="AW142" s="935"/>
      <c r="AX142" s="2614"/>
      <c r="AY142" s="2614"/>
      <c r="AZ142" s="2571"/>
      <c r="BA142" s="935"/>
      <c r="BB142" s="2614"/>
      <c r="BC142" s="2614"/>
      <c r="BD142" s="2571"/>
      <c r="BE142" s="935"/>
      <c r="BF142" s="2614"/>
      <c r="BG142" s="2614"/>
      <c r="BH142" s="936"/>
      <c r="BI142" s="2571"/>
      <c r="BJ142" s="935"/>
      <c r="BK142" s="2614"/>
      <c r="BL142" s="2614"/>
      <c r="BM142" s="936"/>
      <c r="BN142" s="2614"/>
      <c r="BO142" s="2614"/>
      <c r="BP142" s="2571"/>
      <c r="BQ142" s="2614"/>
      <c r="BR142" s="935"/>
      <c r="BS142" s="2614">
        <v>20</v>
      </c>
      <c r="BT142" s="2614"/>
      <c r="BU142" s="2571"/>
      <c r="BV142" s="2614"/>
      <c r="BW142" s="2614"/>
      <c r="BX142" s="935"/>
      <c r="BY142" s="2614"/>
      <c r="BZ142" s="2614"/>
      <c r="CA142" s="2614"/>
      <c r="CB142" s="2571"/>
      <c r="CC142" s="2614"/>
      <c r="CD142" s="935"/>
      <c r="CE142" s="2614"/>
      <c r="CF142" s="2614"/>
      <c r="CG142" s="2571"/>
      <c r="CH142" s="2614"/>
      <c r="CI142" s="935"/>
      <c r="CJ142" s="2614"/>
      <c r="CK142" s="2614"/>
      <c r="CL142" s="2614"/>
      <c r="CM142" s="2614"/>
      <c r="CN142" s="2571"/>
      <c r="CO142" s="935"/>
      <c r="CP142" s="2614"/>
      <c r="CQ142" s="2614"/>
      <c r="CR142" s="2571"/>
      <c r="CS142" s="2614"/>
      <c r="CT142" s="935"/>
      <c r="CU142" s="2614"/>
      <c r="CV142" s="2614"/>
      <c r="CW142" s="2571"/>
      <c r="CX142" s="2614"/>
      <c r="CY142" s="935"/>
      <c r="CZ142" s="2614"/>
      <c r="DA142" s="2571"/>
      <c r="DB142" s="2614"/>
      <c r="DC142" s="935"/>
      <c r="DD142" s="2614"/>
      <c r="DE142" s="935"/>
      <c r="DF142" s="2572">
        <f>IFERROR(VLOOKUP(G142,Personalización!$F$18:$H$21,3,0),IFERROR(VLOOKUP(G142,Personalización!$I$18:$K$21,3,0),IFERROR(VLOOKUP(G142,Personalización!$L$18:$N$21,3,0),IFERROR(VLOOKUP(G142,Personalización!$O$18:$Q$20,3,0),0))))</f>
        <v>0</v>
      </c>
    </row>
    <row r="143" spans="1:110" ht="12.75" customHeight="1" x14ac:dyDescent="0.2">
      <c r="A143" s="227">
        <v>143</v>
      </c>
      <c r="B143" s="5988"/>
      <c r="C143" s="560" t="s">
        <v>6303</v>
      </c>
      <c r="D143" s="561"/>
      <c r="F143" s="2611">
        <v>3</v>
      </c>
      <c r="G143" s="326" t="s">
        <v>1406</v>
      </c>
      <c r="H143" s="2571">
        <v>30</v>
      </c>
      <c r="I143" s="2614"/>
      <c r="J143" s="935"/>
      <c r="K143" s="2614"/>
      <c r="L143" s="2614"/>
      <c r="M143" s="2571">
        <v>20</v>
      </c>
      <c r="N143" s="2614">
        <v>20</v>
      </c>
      <c r="O143" s="935">
        <v>20</v>
      </c>
      <c r="P143" s="2614">
        <v>20</v>
      </c>
      <c r="Q143" s="2614">
        <v>20</v>
      </c>
      <c r="R143" s="2571">
        <v>20</v>
      </c>
      <c r="S143" s="935">
        <v>20</v>
      </c>
      <c r="T143" s="2614">
        <v>30</v>
      </c>
      <c r="U143" s="2571"/>
      <c r="V143" s="935"/>
      <c r="W143" s="2614">
        <v>20</v>
      </c>
      <c r="X143" s="2614">
        <v>20</v>
      </c>
      <c r="Y143" s="2569">
        <v>20</v>
      </c>
      <c r="Z143" s="2420"/>
      <c r="AA143" s="2570"/>
      <c r="AB143" s="2420">
        <v>20</v>
      </c>
      <c r="AC143" s="2420"/>
      <c r="AD143" s="2569">
        <v>20</v>
      </c>
      <c r="AE143" s="2570">
        <v>20</v>
      </c>
      <c r="AF143" s="2420">
        <v>30</v>
      </c>
      <c r="AG143" s="2420">
        <v>20</v>
      </c>
      <c r="AH143" s="2420">
        <v>20</v>
      </c>
      <c r="AI143" s="2569">
        <v>20</v>
      </c>
      <c r="AJ143" s="2420">
        <v>20</v>
      </c>
      <c r="AK143" s="2570">
        <v>20</v>
      </c>
      <c r="AL143" s="2420">
        <v>20</v>
      </c>
      <c r="AM143" s="2420">
        <v>20</v>
      </c>
      <c r="AN143" s="2420">
        <v>20</v>
      </c>
      <c r="AO143" s="2420">
        <v>20</v>
      </c>
      <c r="AP143" s="2571"/>
      <c r="AQ143" s="2614"/>
      <c r="AR143" s="935"/>
      <c r="AS143" s="2614"/>
      <c r="AT143" s="2614"/>
      <c r="AU143" s="2571">
        <v>20</v>
      </c>
      <c r="AV143" s="2614"/>
      <c r="AW143" s="935"/>
      <c r="AX143" s="2614">
        <v>20</v>
      </c>
      <c r="AY143" s="2614"/>
      <c r="AZ143" s="2571"/>
      <c r="BA143" s="935"/>
      <c r="BB143" s="2614">
        <v>20</v>
      </c>
      <c r="BC143" s="2614">
        <v>20</v>
      </c>
      <c r="BD143" s="2571">
        <v>20</v>
      </c>
      <c r="BE143" s="935"/>
      <c r="BF143" s="2614">
        <v>20</v>
      </c>
      <c r="BG143" s="2614"/>
      <c r="BH143" s="936">
        <v>30</v>
      </c>
      <c r="BI143" s="2571">
        <v>20</v>
      </c>
      <c r="BJ143" s="935"/>
      <c r="BK143" s="2614">
        <v>20</v>
      </c>
      <c r="BL143" s="2614">
        <v>20</v>
      </c>
      <c r="BM143" s="936">
        <v>40</v>
      </c>
      <c r="BN143" s="2614"/>
      <c r="BO143" s="2614">
        <v>20</v>
      </c>
      <c r="BP143" s="2571">
        <v>30</v>
      </c>
      <c r="BQ143" s="2614">
        <v>20</v>
      </c>
      <c r="BR143" s="935">
        <v>20</v>
      </c>
      <c r="BS143" s="2614">
        <v>20</v>
      </c>
      <c r="BT143" s="2614"/>
      <c r="BU143" s="2571">
        <v>30</v>
      </c>
      <c r="BV143" s="2614">
        <v>20</v>
      </c>
      <c r="BW143" s="2614"/>
      <c r="BX143" s="935"/>
      <c r="BY143" s="2614">
        <v>20</v>
      </c>
      <c r="BZ143" s="2614">
        <v>20</v>
      </c>
      <c r="CA143" s="2614">
        <v>20</v>
      </c>
      <c r="CB143" s="2571">
        <v>20</v>
      </c>
      <c r="CC143" s="2614"/>
      <c r="CD143" s="935"/>
      <c r="CE143" s="2614">
        <v>20</v>
      </c>
      <c r="CF143" s="2614">
        <v>20</v>
      </c>
      <c r="CG143" s="2571">
        <v>30</v>
      </c>
      <c r="CH143" s="2614">
        <v>30</v>
      </c>
      <c r="CI143" s="935"/>
      <c r="CJ143" s="2614">
        <v>30</v>
      </c>
      <c r="CK143" s="2614">
        <v>30</v>
      </c>
      <c r="CL143" s="2614"/>
      <c r="CM143" s="2614"/>
      <c r="CN143" s="2571">
        <v>20</v>
      </c>
      <c r="CO143" s="935"/>
      <c r="CP143" s="2614">
        <v>20</v>
      </c>
      <c r="CQ143" s="2614">
        <v>20</v>
      </c>
      <c r="CR143" s="2571">
        <v>20</v>
      </c>
      <c r="CS143" s="2614"/>
      <c r="CT143" s="935"/>
      <c r="CU143" s="2614">
        <v>20</v>
      </c>
      <c r="CV143" s="2614">
        <v>20</v>
      </c>
      <c r="CW143" s="2571">
        <v>20</v>
      </c>
      <c r="CX143" s="2614">
        <v>20</v>
      </c>
      <c r="CY143" s="935">
        <v>20</v>
      </c>
      <c r="CZ143" s="2614">
        <v>20</v>
      </c>
      <c r="DA143" s="2571">
        <v>20</v>
      </c>
      <c r="DB143" s="2614"/>
      <c r="DC143" s="935"/>
      <c r="DD143" s="2614">
        <v>30</v>
      </c>
      <c r="DE143" s="935">
        <v>20</v>
      </c>
      <c r="DF143" s="2572">
        <f>IFERROR(VLOOKUP(G143,Personalización!$F$18:$H$21,3,0),IFERROR(VLOOKUP(G143,Personalización!$I$18:$K$21,3,0),IFERROR(VLOOKUP(G143,Personalización!$L$18:$N$21,3,0),IFERROR(VLOOKUP(G143,Personalización!$O$18:$Q$20,3,0),0))))</f>
        <v>0</v>
      </c>
    </row>
    <row r="144" spans="1:110" ht="12.75" customHeight="1" x14ac:dyDescent="0.2">
      <c r="A144" s="227">
        <v>144</v>
      </c>
      <c r="B144" s="5988"/>
      <c r="C144" s="560" t="s">
        <v>6304</v>
      </c>
      <c r="D144" s="561"/>
      <c r="F144" s="2611">
        <v>4</v>
      </c>
      <c r="G144" s="326" t="s">
        <v>1409</v>
      </c>
      <c r="H144" s="2571">
        <v>20</v>
      </c>
      <c r="I144" s="2614">
        <v>20</v>
      </c>
      <c r="J144" s="935">
        <v>20</v>
      </c>
      <c r="K144" s="2614"/>
      <c r="L144" s="2614"/>
      <c r="M144" s="2571">
        <v>40</v>
      </c>
      <c r="N144" s="2614">
        <v>40</v>
      </c>
      <c r="O144" s="935">
        <v>40</v>
      </c>
      <c r="P144" s="2614">
        <v>20</v>
      </c>
      <c r="Q144" s="2614">
        <v>20</v>
      </c>
      <c r="R144" s="2571"/>
      <c r="S144" s="935"/>
      <c r="T144" s="2614"/>
      <c r="U144" s="2571">
        <v>10</v>
      </c>
      <c r="V144" s="935">
        <v>20</v>
      </c>
      <c r="W144" s="2614">
        <v>20</v>
      </c>
      <c r="X144" s="2614">
        <v>20</v>
      </c>
      <c r="Y144" s="2569">
        <v>20</v>
      </c>
      <c r="Z144" s="2420">
        <v>20</v>
      </c>
      <c r="AA144" s="2570">
        <v>20</v>
      </c>
      <c r="AB144" s="2420"/>
      <c r="AC144" s="2420">
        <v>20</v>
      </c>
      <c r="AD144" s="2569">
        <v>30</v>
      </c>
      <c r="AE144" s="2570">
        <v>30</v>
      </c>
      <c r="AF144" s="2420">
        <v>20</v>
      </c>
      <c r="AG144" s="2420">
        <v>20</v>
      </c>
      <c r="AH144" s="2420">
        <v>20</v>
      </c>
      <c r="AI144" s="2569"/>
      <c r="AJ144" s="2420"/>
      <c r="AK144" s="2570"/>
      <c r="AL144" s="2420">
        <v>20</v>
      </c>
      <c r="AM144" s="2420">
        <v>20</v>
      </c>
      <c r="AN144" s="2420"/>
      <c r="AO144" s="2420">
        <v>20</v>
      </c>
      <c r="AP144" s="2571">
        <v>20</v>
      </c>
      <c r="AQ144" s="2614">
        <v>20</v>
      </c>
      <c r="AR144" s="935">
        <v>20</v>
      </c>
      <c r="AS144" s="2614"/>
      <c r="AT144" s="2614"/>
      <c r="AU144" s="2571">
        <v>20</v>
      </c>
      <c r="AV144" s="2614">
        <v>20</v>
      </c>
      <c r="AW144" s="935">
        <v>20</v>
      </c>
      <c r="AX144" s="2614">
        <v>20</v>
      </c>
      <c r="AY144" s="2614">
        <v>20</v>
      </c>
      <c r="AZ144" s="2571"/>
      <c r="BA144" s="935"/>
      <c r="BB144" s="2614">
        <v>20</v>
      </c>
      <c r="BC144" s="2614">
        <v>20</v>
      </c>
      <c r="BD144" s="2571">
        <v>20</v>
      </c>
      <c r="BE144" s="935">
        <v>20</v>
      </c>
      <c r="BF144" s="2614"/>
      <c r="BG144" s="2614">
        <v>20</v>
      </c>
      <c r="BH144" s="936">
        <v>20</v>
      </c>
      <c r="BI144" s="2571"/>
      <c r="BJ144" s="935"/>
      <c r="BK144" s="2614">
        <v>20</v>
      </c>
      <c r="BL144" s="2614">
        <v>20</v>
      </c>
      <c r="BM144" s="936"/>
      <c r="BN144" s="2614"/>
      <c r="BO144" s="2614"/>
      <c r="BP144" s="2571"/>
      <c r="BQ144" s="2614"/>
      <c r="BR144" s="935">
        <v>20</v>
      </c>
      <c r="BS144" s="2614"/>
      <c r="BT144" s="2614">
        <v>20</v>
      </c>
      <c r="BU144" s="2571">
        <v>30</v>
      </c>
      <c r="BV144" s="2614"/>
      <c r="BW144" s="2614">
        <v>20</v>
      </c>
      <c r="BX144" s="935">
        <v>20</v>
      </c>
      <c r="BY144" s="2614">
        <v>20</v>
      </c>
      <c r="BZ144" s="2614">
        <v>20</v>
      </c>
      <c r="CA144" s="2614">
        <v>20</v>
      </c>
      <c r="CB144" s="2571">
        <v>20</v>
      </c>
      <c r="CC144" s="2614">
        <v>20</v>
      </c>
      <c r="CD144" s="935">
        <v>20</v>
      </c>
      <c r="CE144" s="2614"/>
      <c r="CF144" s="2614">
        <v>20</v>
      </c>
      <c r="CG144" s="2571"/>
      <c r="CH144" s="2614">
        <v>30</v>
      </c>
      <c r="CI144" s="935">
        <v>20</v>
      </c>
      <c r="CJ144" s="2614"/>
      <c r="CK144" s="2614"/>
      <c r="CL144" s="2614">
        <v>20</v>
      </c>
      <c r="CM144" s="2614">
        <v>20</v>
      </c>
      <c r="CN144" s="2571"/>
      <c r="CO144" s="935">
        <v>20</v>
      </c>
      <c r="CP144" s="2614"/>
      <c r="CQ144" s="2614"/>
      <c r="CR144" s="2571"/>
      <c r="CS144" s="2614"/>
      <c r="CT144" s="935">
        <v>20</v>
      </c>
      <c r="CU144" s="2614"/>
      <c r="CV144" s="2614"/>
      <c r="CW144" s="2571"/>
      <c r="CX144" s="2614"/>
      <c r="CY144" s="935"/>
      <c r="CZ144" s="2614"/>
      <c r="DA144" s="2571"/>
      <c r="DB144" s="2614">
        <v>20</v>
      </c>
      <c r="DC144" s="935">
        <v>20</v>
      </c>
      <c r="DD144" s="2614"/>
      <c r="DE144" s="935"/>
      <c r="DF144" s="2572">
        <f>IFERROR(VLOOKUP(G144,Personalización!$F$18:$H$21,3,0),IFERROR(VLOOKUP(G144,Personalización!$I$18:$K$21,3,0),IFERROR(VLOOKUP(G144,Personalización!$L$18:$N$21,3,0),IFERROR(VLOOKUP(G144,Personalización!$O$18:$Q$20,3,0),0))))</f>
        <v>0</v>
      </c>
    </row>
    <row r="145" spans="1:110" ht="12.75" customHeight="1" x14ac:dyDescent="0.2">
      <c r="A145" s="227">
        <v>145</v>
      </c>
      <c r="B145" s="5988"/>
      <c r="C145" s="560" t="s">
        <v>6305</v>
      </c>
      <c r="D145" s="561"/>
      <c r="F145" s="2611">
        <v>5</v>
      </c>
      <c r="G145" s="326" t="s">
        <v>1413</v>
      </c>
      <c r="H145" s="2571">
        <v>20</v>
      </c>
      <c r="I145" s="2614">
        <v>20</v>
      </c>
      <c r="J145" s="935"/>
      <c r="K145" s="2614"/>
      <c r="L145" s="2614"/>
      <c r="M145" s="2571">
        <v>20</v>
      </c>
      <c r="N145" s="2614"/>
      <c r="O145" s="935">
        <v>20</v>
      </c>
      <c r="P145" s="2614"/>
      <c r="Q145" s="2614"/>
      <c r="R145" s="2571"/>
      <c r="S145" s="935"/>
      <c r="T145" s="2614"/>
      <c r="U145" s="2571">
        <v>20</v>
      </c>
      <c r="V145" s="935">
        <v>20</v>
      </c>
      <c r="W145" s="2614">
        <v>30</v>
      </c>
      <c r="X145" s="2614"/>
      <c r="Y145" s="2569"/>
      <c r="Z145" s="2420"/>
      <c r="AA145" s="2570"/>
      <c r="AB145" s="2420">
        <v>20</v>
      </c>
      <c r="AC145" s="2420">
        <v>20</v>
      </c>
      <c r="AD145" s="2569">
        <v>10</v>
      </c>
      <c r="AE145" s="2570"/>
      <c r="AF145" s="2420">
        <v>20</v>
      </c>
      <c r="AG145" s="2420">
        <v>20</v>
      </c>
      <c r="AH145" s="2420">
        <v>20</v>
      </c>
      <c r="AI145" s="2569"/>
      <c r="AJ145" s="2420">
        <v>20</v>
      </c>
      <c r="AK145" s="2570"/>
      <c r="AL145" s="2420"/>
      <c r="AM145" s="2420"/>
      <c r="AN145" s="2420">
        <v>20</v>
      </c>
      <c r="AO145" s="2420"/>
      <c r="AP145" s="2571"/>
      <c r="AQ145" s="2614"/>
      <c r="AR145" s="935"/>
      <c r="AS145" s="2614">
        <v>20</v>
      </c>
      <c r="AT145" s="2614">
        <v>20</v>
      </c>
      <c r="AU145" s="2571">
        <v>20</v>
      </c>
      <c r="AV145" s="2614"/>
      <c r="AW145" s="935"/>
      <c r="AX145" s="2614">
        <v>20</v>
      </c>
      <c r="AY145" s="2614"/>
      <c r="AZ145" s="2571">
        <v>20</v>
      </c>
      <c r="BA145" s="935"/>
      <c r="BB145" s="2614"/>
      <c r="BC145" s="2614"/>
      <c r="BD145" s="2571"/>
      <c r="BE145" s="935"/>
      <c r="BF145" s="2614"/>
      <c r="BG145" s="2614"/>
      <c r="BH145" s="936"/>
      <c r="BI145" s="2571"/>
      <c r="BJ145" s="935">
        <v>20</v>
      </c>
      <c r="BK145" s="2614"/>
      <c r="BL145" s="2614"/>
      <c r="BM145" s="936">
        <v>10</v>
      </c>
      <c r="BN145" s="2614">
        <v>20</v>
      </c>
      <c r="BO145" s="2614">
        <v>20</v>
      </c>
      <c r="BP145" s="2571">
        <v>20</v>
      </c>
      <c r="BQ145" s="2614">
        <v>20</v>
      </c>
      <c r="BR145" s="935">
        <v>20</v>
      </c>
      <c r="BS145" s="2614">
        <v>20</v>
      </c>
      <c r="BT145" s="2614"/>
      <c r="BU145" s="2571">
        <v>20</v>
      </c>
      <c r="BV145" s="2614">
        <v>20</v>
      </c>
      <c r="BW145" s="2614">
        <v>20</v>
      </c>
      <c r="BX145" s="935"/>
      <c r="BY145" s="2614"/>
      <c r="BZ145" s="2614"/>
      <c r="CA145" s="2614"/>
      <c r="CB145" s="2571">
        <v>30</v>
      </c>
      <c r="CC145" s="2614">
        <v>30</v>
      </c>
      <c r="CD145" s="935">
        <v>30</v>
      </c>
      <c r="CE145" s="2614"/>
      <c r="CF145" s="2614"/>
      <c r="CG145" s="2571"/>
      <c r="CH145" s="2614"/>
      <c r="CI145" s="935"/>
      <c r="CJ145" s="2614"/>
      <c r="CK145" s="2614"/>
      <c r="CL145" s="2614"/>
      <c r="CM145" s="2614"/>
      <c r="CN145" s="2571">
        <v>20</v>
      </c>
      <c r="CO145" s="935">
        <v>20</v>
      </c>
      <c r="CP145" s="2614"/>
      <c r="CQ145" s="2614"/>
      <c r="CR145" s="2571"/>
      <c r="CS145" s="2614"/>
      <c r="CT145" s="935"/>
      <c r="CU145" s="2614"/>
      <c r="CV145" s="2614"/>
      <c r="CW145" s="2571"/>
      <c r="CX145" s="2614"/>
      <c r="CY145" s="935"/>
      <c r="CZ145" s="2614"/>
      <c r="DA145" s="2571">
        <v>20</v>
      </c>
      <c r="DB145" s="2614">
        <v>20</v>
      </c>
      <c r="DC145" s="935"/>
      <c r="DD145" s="2614"/>
      <c r="DE145" s="935"/>
      <c r="DF145" s="2572">
        <f>IFERROR(VLOOKUP(G145,Personalización!$F$18:$H$21,3,0),IFERROR(VLOOKUP(G145,Personalización!$I$18:$K$21,3,0),IFERROR(VLOOKUP(G145,Personalización!$L$18:$N$21,3,0),IFERROR(VLOOKUP(G145,Personalización!$O$18:$Q$20,3,0),0))))</f>
        <v>0</v>
      </c>
    </row>
    <row r="146" spans="1:110" ht="12.75" customHeight="1" x14ac:dyDescent="0.2">
      <c r="A146" s="227">
        <v>146</v>
      </c>
      <c r="B146" s="5988"/>
      <c r="C146" s="560" t="s">
        <v>6306</v>
      </c>
      <c r="D146" s="561"/>
      <c r="F146" s="2611">
        <v>6</v>
      </c>
      <c r="G146" s="326" t="s">
        <v>1416</v>
      </c>
      <c r="H146" s="2571"/>
      <c r="I146" s="2614"/>
      <c r="J146" s="935"/>
      <c r="K146" s="2614"/>
      <c r="L146" s="2614"/>
      <c r="M146" s="2571">
        <v>20</v>
      </c>
      <c r="N146" s="2614">
        <v>20</v>
      </c>
      <c r="O146" s="935">
        <v>20</v>
      </c>
      <c r="P146" s="2614"/>
      <c r="Q146" s="2614"/>
      <c r="R146" s="2571">
        <v>20</v>
      </c>
      <c r="S146" s="935">
        <v>20</v>
      </c>
      <c r="T146" s="2614">
        <v>20</v>
      </c>
      <c r="U146" s="2571"/>
      <c r="V146" s="935"/>
      <c r="W146" s="2614"/>
      <c r="X146" s="2614"/>
      <c r="Y146" s="2569">
        <v>20</v>
      </c>
      <c r="Z146" s="2420"/>
      <c r="AA146" s="2570"/>
      <c r="AB146" s="2420"/>
      <c r="AC146" s="2420"/>
      <c r="AD146" s="2569"/>
      <c r="AE146" s="2570"/>
      <c r="AF146" s="2420"/>
      <c r="AG146" s="2420"/>
      <c r="AH146" s="2420"/>
      <c r="AI146" s="2569">
        <v>20</v>
      </c>
      <c r="AJ146" s="2420">
        <v>20</v>
      </c>
      <c r="AK146" s="2570"/>
      <c r="AL146" s="2420"/>
      <c r="AM146" s="2420"/>
      <c r="AN146" s="2420"/>
      <c r="AO146" s="2420"/>
      <c r="AP146" s="2571">
        <v>20</v>
      </c>
      <c r="AQ146" s="2614">
        <v>20</v>
      </c>
      <c r="AR146" s="935"/>
      <c r="AS146" s="2614"/>
      <c r="AT146" s="2614"/>
      <c r="AU146" s="2571"/>
      <c r="AV146" s="2614"/>
      <c r="AW146" s="935"/>
      <c r="AX146" s="2614"/>
      <c r="AY146" s="2614"/>
      <c r="AZ146" s="2571"/>
      <c r="BA146" s="935"/>
      <c r="BB146" s="2614">
        <v>20</v>
      </c>
      <c r="BC146" s="2614"/>
      <c r="BD146" s="2571">
        <v>20</v>
      </c>
      <c r="BE146" s="935"/>
      <c r="BF146" s="2614"/>
      <c r="BG146" s="2614"/>
      <c r="BH146" s="936"/>
      <c r="BI146" s="2571">
        <v>20</v>
      </c>
      <c r="BJ146" s="935">
        <v>10</v>
      </c>
      <c r="BK146" s="2614"/>
      <c r="BL146" s="2614"/>
      <c r="BM146" s="936"/>
      <c r="BN146" s="2614"/>
      <c r="BO146" s="2614">
        <v>20</v>
      </c>
      <c r="BP146" s="2571">
        <v>20</v>
      </c>
      <c r="BQ146" s="2614"/>
      <c r="BR146" s="935"/>
      <c r="BS146" s="2614">
        <v>20</v>
      </c>
      <c r="BT146" s="2614"/>
      <c r="BU146" s="2571"/>
      <c r="BV146" s="2614">
        <v>20</v>
      </c>
      <c r="BW146" s="2614"/>
      <c r="BX146" s="935"/>
      <c r="BY146" s="2614"/>
      <c r="BZ146" s="2614">
        <v>20</v>
      </c>
      <c r="CA146" s="2614"/>
      <c r="CB146" s="2571"/>
      <c r="CC146" s="2614"/>
      <c r="CD146" s="935"/>
      <c r="CE146" s="2614">
        <v>20</v>
      </c>
      <c r="CF146" s="2614"/>
      <c r="CG146" s="2571">
        <v>20</v>
      </c>
      <c r="CH146" s="2614"/>
      <c r="CI146" s="935"/>
      <c r="CJ146" s="2614"/>
      <c r="CK146" s="2614"/>
      <c r="CL146" s="2614"/>
      <c r="CM146" s="2614"/>
      <c r="CN146" s="2571"/>
      <c r="CO146" s="935"/>
      <c r="CP146" s="2614">
        <v>20</v>
      </c>
      <c r="CQ146" s="2614"/>
      <c r="CR146" s="2571"/>
      <c r="CS146" s="2614"/>
      <c r="CT146" s="935"/>
      <c r="CU146" s="2614">
        <v>20</v>
      </c>
      <c r="CV146" s="2614"/>
      <c r="CW146" s="2571">
        <v>20</v>
      </c>
      <c r="CX146" s="2614"/>
      <c r="CY146" s="935"/>
      <c r="CZ146" s="2614">
        <v>20</v>
      </c>
      <c r="DA146" s="2571">
        <v>20</v>
      </c>
      <c r="DB146" s="2614"/>
      <c r="DC146" s="935"/>
      <c r="DD146" s="2614">
        <v>20</v>
      </c>
      <c r="DE146" s="935"/>
      <c r="DF146" s="2572">
        <f>IFERROR(VLOOKUP(G146,Personalización!$F$18:$H$21,3,0),IFERROR(VLOOKUP(G146,Personalización!$I$18:$K$21,3,0),IFERROR(VLOOKUP(G146,Personalización!$L$18:$N$21,3,0),IFERROR(VLOOKUP(G146,Personalización!$O$18:$Q$20,3,0),0))))</f>
        <v>0</v>
      </c>
    </row>
    <row r="147" spans="1:110" ht="12.75" customHeight="1" x14ac:dyDescent="0.2">
      <c r="A147" s="227">
        <v>147</v>
      </c>
      <c r="B147" s="5988"/>
      <c r="C147" s="560" t="s">
        <v>6307</v>
      </c>
      <c r="D147" s="561"/>
      <c r="F147" s="2611">
        <v>7</v>
      </c>
      <c r="G147" s="326" t="s">
        <v>1419</v>
      </c>
      <c r="H147" s="2571"/>
      <c r="I147" s="2614"/>
      <c r="J147" s="935"/>
      <c r="K147" s="2614"/>
      <c r="L147" s="2614"/>
      <c r="M147" s="2571"/>
      <c r="N147" s="2614"/>
      <c r="O147" s="935"/>
      <c r="P147" s="2614"/>
      <c r="Q147" s="2614"/>
      <c r="R147" s="2571"/>
      <c r="S147" s="935"/>
      <c r="T147" s="2614"/>
      <c r="U147" s="2571"/>
      <c r="V147" s="935"/>
      <c r="W147" s="2614"/>
      <c r="X147" s="2614"/>
      <c r="Y147" s="2569"/>
      <c r="Z147" s="2420"/>
      <c r="AA147" s="2570"/>
      <c r="AB147" s="2420">
        <v>20</v>
      </c>
      <c r="AC147" s="2420"/>
      <c r="AD147" s="2569"/>
      <c r="AE147" s="2570"/>
      <c r="AF147" s="2420"/>
      <c r="AG147" s="2420"/>
      <c r="AH147" s="2420"/>
      <c r="AI147" s="2569"/>
      <c r="AJ147" s="2420"/>
      <c r="AK147" s="2570"/>
      <c r="AL147" s="2420"/>
      <c r="AM147" s="2420"/>
      <c r="AN147" s="2420"/>
      <c r="AO147" s="2420"/>
      <c r="AP147" s="2571"/>
      <c r="AQ147" s="2614"/>
      <c r="AR147" s="935"/>
      <c r="AS147" s="2614"/>
      <c r="AT147" s="2614"/>
      <c r="AU147" s="2571"/>
      <c r="AV147" s="2614"/>
      <c r="AW147" s="935"/>
      <c r="AX147" s="2614"/>
      <c r="AY147" s="2614"/>
      <c r="AZ147" s="2571"/>
      <c r="BA147" s="935"/>
      <c r="BB147" s="2614"/>
      <c r="BC147" s="2614"/>
      <c r="BD147" s="2571"/>
      <c r="BE147" s="935"/>
      <c r="BF147" s="2614"/>
      <c r="BG147" s="2614"/>
      <c r="BH147" s="936"/>
      <c r="BI147" s="2571"/>
      <c r="BJ147" s="935"/>
      <c r="BK147" s="2614"/>
      <c r="BL147" s="2614"/>
      <c r="BM147" s="936"/>
      <c r="BN147" s="2614"/>
      <c r="BO147" s="2614"/>
      <c r="BP147" s="2571"/>
      <c r="BQ147" s="2614"/>
      <c r="BR147" s="935"/>
      <c r="BS147" s="2614"/>
      <c r="BT147" s="2614"/>
      <c r="BU147" s="2571"/>
      <c r="BV147" s="2614">
        <v>20</v>
      </c>
      <c r="BW147" s="2614"/>
      <c r="BX147" s="935"/>
      <c r="BY147" s="2614"/>
      <c r="BZ147" s="2614">
        <v>20</v>
      </c>
      <c r="CA147" s="2614"/>
      <c r="CB147" s="2571"/>
      <c r="CC147" s="2614"/>
      <c r="CD147" s="935"/>
      <c r="CE147" s="2614"/>
      <c r="CF147" s="2614"/>
      <c r="CG147" s="2571">
        <v>20</v>
      </c>
      <c r="CH147" s="2614"/>
      <c r="CI147" s="935"/>
      <c r="CJ147" s="2614"/>
      <c r="CK147" s="2614"/>
      <c r="CL147" s="2614"/>
      <c r="CM147" s="2614"/>
      <c r="CN147" s="2571"/>
      <c r="CO147" s="935"/>
      <c r="CP147" s="2614"/>
      <c r="CQ147" s="2614"/>
      <c r="CR147" s="2571"/>
      <c r="CS147" s="2614"/>
      <c r="CT147" s="935"/>
      <c r="CU147" s="2614"/>
      <c r="CV147" s="2614"/>
      <c r="CW147" s="2571"/>
      <c r="CX147" s="2614"/>
      <c r="CY147" s="935"/>
      <c r="CZ147" s="2614"/>
      <c r="DA147" s="2571">
        <v>20</v>
      </c>
      <c r="DB147" s="2614"/>
      <c r="DC147" s="935"/>
      <c r="DD147" s="2614">
        <v>20</v>
      </c>
      <c r="DE147" s="935"/>
      <c r="DF147" s="2572">
        <f>IFERROR(VLOOKUP(G147,Personalización!$F$18:$H$21,3,0),IFERROR(VLOOKUP(G147,Personalización!$I$18:$K$21,3,0),IFERROR(VLOOKUP(G147,Personalización!$L$18:$N$21,3,0),IFERROR(VLOOKUP(G147,Personalización!$O$18:$Q$20,3,0),0))))</f>
        <v>0</v>
      </c>
    </row>
    <row r="148" spans="1:110" ht="12.75" customHeight="1" x14ac:dyDescent="0.2">
      <c r="A148" s="227">
        <v>148</v>
      </c>
      <c r="B148" s="5988"/>
      <c r="C148" s="560" t="s">
        <v>6349</v>
      </c>
      <c r="D148" s="561"/>
      <c r="F148" s="2611">
        <v>8</v>
      </c>
      <c r="G148" s="326" t="s">
        <v>6278</v>
      </c>
      <c r="H148" s="2571"/>
      <c r="I148" s="2614"/>
      <c r="J148" s="935"/>
      <c r="K148" s="2614"/>
      <c r="L148" s="2614"/>
      <c r="M148" s="2571"/>
      <c r="N148" s="2614"/>
      <c r="O148" s="935"/>
      <c r="P148" s="2614"/>
      <c r="Q148" s="2614"/>
      <c r="R148" s="2571"/>
      <c r="S148" s="935"/>
      <c r="T148" s="2614"/>
      <c r="U148" s="2571"/>
      <c r="V148" s="935"/>
      <c r="W148" s="2614"/>
      <c r="X148" s="2614"/>
      <c r="Y148" s="2569"/>
      <c r="Z148" s="2420"/>
      <c r="AA148" s="2570"/>
      <c r="AB148" s="2420"/>
      <c r="AC148" s="2420"/>
      <c r="AD148" s="2569"/>
      <c r="AE148" s="2570"/>
      <c r="AF148" s="2420"/>
      <c r="AG148" s="2420"/>
      <c r="AH148" s="2420"/>
      <c r="AI148" s="2569"/>
      <c r="AJ148" s="2420"/>
      <c r="AK148" s="2570"/>
      <c r="AL148" s="2420"/>
      <c r="AM148" s="2420"/>
      <c r="AN148" s="2420"/>
      <c r="AO148" s="2420"/>
      <c r="AP148" s="2571"/>
      <c r="AQ148" s="2614"/>
      <c r="AR148" s="935"/>
      <c r="AS148" s="2614"/>
      <c r="AT148" s="2614"/>
      <c r="AU148" s="2571"/>
      <c r="AV148" s="2614"/>
      <c r="AW148" s="935"/>
      <c r="AX148" s="2614"/>
      <c r="AY148" s="2614"/>
      <c r="AZ148" s="2571"/>
      <c r="BA148" s="935"/>
      <c r="BB148" s="2614"/>
      <c r="BC148" s="2614"/>
      <c r="BD148" s="2571"/>
      <c r="BE148" s="935"/>
      <c r="BF148" s="2614"/>
      <c r="BG148" s="2614"/>
      <c r="BH148" s="936"/>
      <c r="BI148" s="2571"/>
      <c r="BJ148" s="935"/>
      <c r="BK148" s="2614"/>
      <c r="BL148" s="2614"/>
      <c r="BM148" s="936"/>
      <c r="BN148" s="2614"/>
      <c r="BO148" s="2614"/>
      <c r="BP148" s="2571"/>
      <c r="BQ148" s="2614"/>
      <c r="BR148" s="935"/>
      <c r="BS148" s="2614"/>
      <c r="BT148" s="2614"/>
      <c r="BU148" s="2571"/>
      <c r="BV148" s="2614"/>
      <c r="BW148" s="2614"/>
      <c r="BX148" s="935"/>
      <c r="BY148" s="2614"/>
      <c r="BZ148" s="2614"/>
      <c r="CA148" s="2614"/>
      <c r="CB148" s="2571"/>
      <c r="CC148" s="2614"/>
      <c r="CD148" s="935"/>
      <c r="CE148" s="2614"/>
      <c r="CF148" s="2614"/>
      <c r="CG148" s="2571"/>
      <c r="CH148" s="2614"/>
      <c r="CI148" s="935"/>
      <c r="CJ148" s="2614"/>
      <c r="CK148" s="2614"/>
      <c r="CL148" s="2614"/>
      <c r="CM148" s="2614"/>
      <c r="CN148" s="2571"/>
      <c r="CO148" s="935"/>
      <c r="CP148" s="2614"/>
      <c r="CQ148" s="2614"/>
      <c r="CR148" s="2571"/>
      <c r="CS148" s="2614"/>
      <c r="CT148" s="935"/>
      <c r="CU148" s="2614"/>
      <c r="CV148" s="2614"/>
      <c r="CW148" s="2571"/>
      <c r="CX148" s="2614"/>
      <c r="CY148" s="935"/>
      <c r="CZ148" s="2614"/>
      <c r="DA148" s="2571"/>
      <c r="DB148" s="2614"/>
      <c r="DC148" s="935"/>
      <c r="DD148" s="2614"/>
      <c r="DE148" s="935"/>
      <c r="DF148" s="2572">
        <f>IFERROR(VLOOKUP(G148,Personalización!$F$18:$H$21,3,0),IFERROR(VLOOKUP(G148,Personalización!$I$18:$K$21,3,0),IFERROR(VLOOKUP(G148,Personalización!$L$18:$N$21,3,0),IFERROR(VLOOKUP(G148,Personalización!$O$18:$Q$20,3,0),0))))</f>
        <v>0</v>
      </c>
    </row>
    <row r="149" spans="1:110" ht="12.75" customHeight="1" x14ac:dyDescent="0.2">
      <c r="A149" s="227">
        <v>149</v>
      </c>
      <c r="B149" s="5988"/>
      <c r="C149" s="560" t="s">
        <v>6308</v>
      </c>
      <c r="D149" s="561"/>
      <c r="F149" s="2611">
        <v>9</v>
      </c>
      <c r="G149" s="326" t="s">
        <v>1423</v>
      </c>
      <c r="H149" s="2571"/>
      <c r="I149" s="2614">
        <v>20</v>
      </c>
      <c r="J149" s="935">
        <v>20</v>
      </c>
      <c r="K149" s="2614"/>
      <c r="L149" s="2614">
        <v>20</v>
      </c>
      <c r="M149" s="2571"/>
      <c r="N149" s="2614"/>
      <c r="O149" s="935"/>
      <c r="P149" s="2614"/>
      <c r="Q149" s="2614"/>
      <c r="R149" s="2571"/>
      <c r="S149" s="935"/>
      <c r="T149" s="2614"/>
      <c r="U149" s="2571"/>
      <c r="V149" s="935">
        <v>10</v>
      </c>
      <c r="W149" s="2614"/>
      <c r="X149" s="2614"/>
      <c r="Y149" s="2569"/>
      <c r="Z149" s="2420">
        <v>20</v>
      </c>
      <c r="AA149" s="2570">
        <v>20</v>
      </c>
      <c r="AB149" s="2420"/>
      <c r="AC149" s="2420"/>
      <c r="AD149" s="2569"/>
      <c r="AE149" s="2570"/>
      <c r="AF149" s="2420"/>
      <c r="AG149" s="2420"/>
      <c r="AH149" s="2420"/>
      <c r="AI149" s="2569"/>
      <c r="AJ149" s="2420"/>
      <c r="AK149" s="2570"/>
      <c r="AL149" s="2420"/>
      <c r="AM149" s="2420"/>
      <c r="AN149" s="2420"/>
      <c r="AO149" s="2420"/>
      <c r="AP149" s="2571"/>
      <c r="AQ149" s="2614"/>
      <c r="AR149" s="935"/>
      <c r="AS149" s="2614"/>
      <c r="AT149" s="2614"/>
      <c r="AU149" s="2571"/>
      <c r="AV149" s="2614">
        <v>20</v>
      </c>
      <c r="AW149" s="935">
        <v>40</v>
      </c>
      <c r="AX149" s="2614"/>
      <c r="AY149" s="2614">
        <v>20</v>
      </c>
      <c r="AZ149" s="2571"/>
      <c r="BA149" s="935"/>
      <c r="BB149" s="2614"/>
      <c r="BC149" s="2614"/>
      <c r="BD149" s="2571"/>
      <c r="BE149" s="935">
        <v>20</v>
      </c>
      <c r="BF149" s="2614"/>
      <c r="BG149" s="2614">
        <v>30</v>
      </c>
      <c r="BH149" s="936"/>
      <c r="BI149" s="2571"/>
      <c r="BJ149" s="935"/>
      <c r="BK149" s="2614"/>
      <c r="BL149" s="2614"/>
      <c r="BM149" s="936"/>
      <c r="BN149" s="2614"/>
      <c r="BO149" s="2614"/>
      <c r="BP149" s="2571"/>
      <c r="BQ149" s="2614">
        <v>40</v>
      </c>
      <c r="BR149" s="935">
        <v>20</v>
      </c>
      <c r="BS149" s="2614">
        <v>20</v>
      </c>
      <c r="BT149" s="2614">
        <v>30</v>
      </c>
      <c r="BU149" s="2571"/>
      <c r="BV149" s="2614"/>
      <c r="BW149" s="2614">
        <v>20</v>
      </c>
      <c r="BX149" s="935">
        <v>20</v>
      </c>
      <c r="BY149" s="2614"/>
      <c r="BZ149" s="2614"/>
      <c r="CA149" s="2614">
        <v>20</v>
      </c>
      <c r="CB149" s="2571"/>
      <c r="CC149" s="2614"/>
      <c r="CD149" s="935">
        <v>10</v>
      </c>
      <c r="CE149" s="2614"/>
      <c r="CF149" s="2614"/>
      <c r="CG149" s="2571"/>
      <c r="CH149" s="2614">
        <v>20</v>
      </c>
      <c r="CI149" s="935">
        <v>30</v>
      </c>
      <c r="CJ149" s="2614"/>
      <c r="CK149" s="2614"/>
      <c r="CL149" s="2614">
        <v>20</v>
      </c>
      <c r="CM149" s="2614"/>
      <c r="CN149" s="2571"/>
      <c r="CO149" s="935">
        <v>20</v>
      </c>
      <c r="CP149" s="2614"/>
      <c r="CQ149" s="2614"/>
      <c r="CR149" s="2571">
        <v>20</v>
      </c>
      <c r="CS149" s="2614">
        <v>20</v>
      </c>
      <c r="CT149" s="935">
        <v>30</v>
      </c>
      <c r="CU149" s="2614"/>
      <c r="CV149" s="2614"/>
      <c r="CW149" s="2571"/>
      <c r="CX149" s="2614"/>
      <c r="CY149" s="935"/>
      <c r="CZ149" s="2614"/>
      <c r="DA149" s="2571"/>
      <c r="DB149" s="2614">
        <v>20</v>
      </c>
      <c r="DC149" s="935">
        <v>20</v>
      </c>
      <c r="DD149" s="2614"/>
      <c r="DE149" s="935"/>
      <c r="DF149" s="2572">
        <f>IFERROR(VLOOKUP(G149,Personalización!$F$18:$H$21,3,0),IFERROR(VLOOKUP(G149,Personalización!$I$18:$K$21,3,0),IFERROR(VLOOKUP(G149,Personalización!$L$18:$N$21,3,0),IFERROR(VLOOKUP(G149,Personalización!$O$18:$Q$20,3,0),0))))</f>
        <v>0</v>
      </c>
    </row>
    <row r="150" spans="1:110" ht="12.75" customHeight="1" x14ac:dyDescent="0.2">
      <c r="A150" s="227">
        <v>150</v>
      </c>
      <c r="B150" s="5988"/>
      <c r="C150" s="560" t="s">
        <v>6309</v>
      </c>
      <c r="D150" s="561"/>
      <c r="F150" s="2611">
        <v>10</v>
      </c>
      <c r="G150" s="326" t="s">
        <v>1425</v>
      </c>
      <c r="H150" s="2571"/>
      <c r="I150" s="2614"/>
      <c r="J150" s="935"/>
      <c r="K150" s="2614"/>
      <c r="L150" s="2614"/>
      <c r="M150" s="2571"/>
      <c r="N150" s="2614"/>
      <c r="O150" s="935"/>
      <c r="P150" s="2614">
        <v>20</v>
      </c>
      <c r="Q150" s="2614">
        <v>20</v>
      </c>
      <c r="R150" s="2571"/>
      <c r="S150" s="935"/>
      <c r="T150" s="2614"/>
      <c r="U150" s="2571"/>
      <c r="V150" s="935"/>
      <c r="W150" s="2614"/>
      <c r="X150" s="2614"/>
      <c r="Y150" s="2569"/>
      <c r="Z150" s="2420"/>
      <c r="AA150" s="2570">
        <v>20</v>
      </c>
      <c r="AB150" s="2420">
        <v>20</v>
      </c>
      <c r="AC150" s="2420">
        <v>20</v>
      </c>
      <c r="AD150" s="2569"/>
      <c r="AE150" s="2570"/>
      <c r="AF150" s="2420"/>
      <c r="AG150" s="2420">
        <v>20</v>
      </c>
      <c r="AH150" s="2420"/>
      <c r="AI150" s="2569">
        <v>20</v>
      </c>
      <c r="AJ150" s="2420">
        <v>20</v>
      </c>
      <c r="AK150" s="2570">
        <v>20</v>
      </c>
      <c r="AL150" s="2420"/>
      <c r="AM150" s="2420">
        <v>20</v>
      </c>
      <c r="AN150" s="2420"/>
      <c r="AO150" s="2420">
        <v>20</v>
      </c>
      <c r="AP150" s="2571"/>
      <c r="AQ150" s="2614"/>
      <c r="AR150" s="935">
        <v>20</v>
      </c>
      <c r="AS150" s="2614">
        <v>30</v>
      </c>
      <c r="AT150" s="2614">
        <v>20</v>
      </c>
      <c r="AU150" s="2571"/>
      <c r="AV150" s="2614"/>
      <c r="AW150" s="935"/>
      <c r="AX150" s="2614"/>
      <c r="AY150" s="2614"/>
      <c r="AZ150" s="2571"/>
      <c r="BA150" s="935"/>
      <c r="BB150" s="2614"/>
      <c r="BC150" s="2614"/>
      <c r="BD150" s="2571"/>
      <c r="BE150" s="935"/>
      <c r="BF150" s="2614"/>
      <c r="BG150" s="2614">
        <v>10</v>
      </c>
      <c r="BH150" s="936"/>
      <c r="BI150" s="2571"/>
      <c r="BJ150" s="935"/>
      <c r="BK150" s="2614"/>
      <c r="BL150" s="2614"/>
      <c r="BM150" s="936"/>
      <c r="BN150" s="2614"/>
      <c r="BO150" s="2614">
        <v>30</v>
      </c>
      <c r="BP150" s="2571"/>
      <c r="BQ150" s="2614"/>
      <c r="BR150" s="935">
        <v>20</v>
      </c>
      <c r="BS150" s="2614"/>
      <c r="BT150" s="2614"/>
      <c r="BU150" s="2571"/>
      <c r="BV150" s="2614"/>
      <c r="BW150" s="2614"/>
      <c r="BX150" s="935"/>
      <c r="BY150" s="2614">
        <v>20</v>
      </c>
      <c r="BZ150" s="2614"/>
      <c r="CA150" s="2614">
        <v>20</v>
      </c>
      <c r="CB150" s="2571"/>
      <c r="CC150" s="2614"/>
      <c r="CD150" s="935"/>
      <c r="CE150" s="2614"/>
      <c r="CF150" s="2614"/>
      <c r="CG150" s="2571"/>
      <c r="CH150" s="2614">
        <v>20</v>
      </c>
      <c r="CI150" s="935">
        <v>20</v>
      </c>
      <c r="CJ150" s="2614"/>
      <c r="CK150" s="2614"/>
      <c r="CL150" s="2614"/>
      <c r="CM150" s="2614"/>
      <c r="CN150" s="2571"/>
      <c r="CO150" s="935"/>
      <c r="CP150" s="2614"/>
      <c r="CQ150" s="2614"/>
      <c r="CR150" s="2571"/>
      <c r="CS150" s="2614"/>
      <c r="CT150" s="935"/>
      <c r="CU150" s="2614"/>
      <c r="CV150" s="2614"/>
      <c r="CW150" s="2571"/>
      <c r="CX150" s="2614"/>
      <c r="CY150" s="935"/>
      <c r="CZ150" s="2614"/>
      <c r="DA150" s="2571"/>
      <c r="DB150" s="2614"/>
      <c r="DC150" s="935"/>
      <c r="DD150" s="2614"/>
      <c r="DE150" s="935"/>
      <c r="DF150" s="2572">
        <f>IFERROR(VLOOKUP(G150,Personalización!$F$18:$H$21,3,0),IFERROR(VLOOKUP(G150,Personalización!$I$18:$K$21,3,0),IFERROR(VLOOKUP(G150,Personalización!$L$18:$N$21,3,0),IFERROR(VLOOKUP(G150,Personalización!$O$18:$Q$20,3,0),0))))</f>
        <v>0</v>
      </c>
    </row>
    <row r="151" spans="1:110" ht="12.75" customHeight="1" x14ac:dyDescent="0.2">
      <c r="A151" s="227">
        <v>151</v>
      </c>
      <c r="B151" s="5988"/>
      <c r="C151" s="560" t="s">
        <v>6310</v>
      </c>
      <c r="D151" s="561"/>
      <c r="F151" s="2611">
        <v>11</v>
      </c>
      <c r="G151" s="326" t="s">
        <v>1428</v>
      </c>
      <c r="H151" s="2571"/>
      <c r="I151" s="2614"/>
      <c r="J151" s="935">
        <v>40</v>
      </c>
      <c r="K151" s="2614">
        <v>20</v>
      </c>
      <c r="L151" s="2614">
        <v>20</v>
      </c>
      <c r="M151" s="2571"/>
      <c r="N151" s="2614"/>
      <c r="O151" s="935">
        <v>20</v>
      </c>
      <c r="P151" s="2614"/>
      <c r="Q151" s="2614">
        <v>40</v>
      </c>
      <c r="R151" s="2571"/>
      <c r="S151" s="935">
        <v>30</v>
      </c>
      <c r="T151" s="2614"/>
      <c r="U151" s="2571"/>
      <c r="V151" s="935"/>
      <c r="W151" s="2614"/>
      <c r="X151" s="2614">
        <v>20</v>
      </c>
      <c r="Y151" s="2569"/>
      <c r="Z151" s="2420"/>
      <c r="AA151" s="2570">
        <v>20</v>
      </c>
      <c r="AB151" s="2420"/>
      <c r="AC151" s="2420"/>
      <c r="AD151" s="2569"/>
      <c r="AE151" s="2570">
        <v>40</v>
      </c>
      <c r="AF151" s="2420"/>
      <c r="AG151" s="2420"/>
      <c r="AH151" s="2420">
        <v>20</v>
      </c>
      <c r="AI151" s="2569"/>
      <c r="AJ151" s="2420"/>
      <c r="AK151" s="2570">
        <v>40</v>
      </c>
      <c r="AL151" s="2420"/>
      <c r="AM151" s="2420"/>
      <c r="AN151" s="2420"/>
      <c r="AO151" s="2420">
        <v>20</v>
      </c>
      <c r="AP151" s="2571"/>
      <c r="AQ151" s="2614"/>
      <c r="AR151" s="935">
        <v>30</v>
      </c>
      <c r="AS151" s="2614"/>
      <c r="AT151" s="2614">
        <v>20</v>
      </c>
      <c r="AU151" s="2571"/>
      <c r="AV151" s="2614"/>
      <c r="AW151" s="935">
        <v>20</v>
      </c>
      <c r="AX151" s="2614"/>
      <c r="AY151" s="2614">
        <v>20</v>
      </c>
      <c r="AZ151" s="2571"/>
      <c r="BA151" s="935">
        <v>20</v>
      </c>
      <c r="BB151" s="2614"/>
      <c r="BC151" s="2614">
        <v>40</v>
      </c>
      <c r="BD151" s="2571"/>
      <c r="BE151" s="935">
        <v>20</v>
      </c>
      <c r="BF151" s="2614"/>
      <c r="BG151" s="2614">
        <v>20</v>
      </c>
      <c r="BH151" s="936"/>
      <c r="BI151" s="2571"/>
      <c r="BJ151" s="935"/>
      <c r="BK151" s="2614"/>
      <c r="BL151" s="2614"/>
      <c r="BM151" s="936"/>
      <c r="BN151" s="2614"/>
      <c r="BO151" s="2614"/>
      <c r="BP151" s="2571"/>
      <c r="BQ151" s="2614"/>
      <c r="BR151" s="935"/>
      <c r="BS151" s="2614"/>
      <c r="BT151" s="2614"/>
      <c r="BU151" s="2571"/>
      <c r="BV151" s="2614"/>
      <c r="BW151" s="2614"/>
      <c r="BX151" s="935">
        <v>30</v>
      </c>
      <c r="BY151" s="2614"/>
      <c r="BZ151" s="2614"/>
      <c r="CA151" s="2614">
        <v>20</v>
      </c>
      <c r="CB151" s="2571"/>
      <c r="CC151" s="2614"/>
      <c r="CD151" s="935">
        <v>20</v>
      </c>
      <c r="CE151" s="2614"/>
      <c r="CF151" s="2614"/>
      <c r="CG151" s="2571"/>
      <c r="CH151" s="2614">
        <v>20</v>
      </c>
      <c r="CI151" s="935">
        <v>30</v>
      </c>
      <c r="CJ151" s="2614"/>
      <c r="CK151" s="2614"/>
      <c r="CL151" s="2614"/>
      <c r="CM151" s="2614">
        <v>20</v>
      </c>
      <c r="CN151" s="2571"/>
      <c r="CO151" s="935"/>
      <c r="CP151" s="2614"/>
      <c r="CQ151" s="2614">
        <v>20</v>
      </c>
      <c r="CR151" s="2571"/>
      <c r="CS151" s="2614"/>
      <c r="CT151" s="935">
        <v>30</v>
      </c>
      <c r="CU151" s="2614"/>
      <c r="CV151" s="2614">
        <v>20</v>
      </c>
      <c r="CW151" s="2571"/>
      <c r="CX151" s="2614">
        <v>20</v>
      </c>
      <c r="CY151" s="935">
        <v>30</v>
      </c>
      <c r="CZ151" s="2614"/>
      <c r="DA151" s="2571"/>
      <c r="DB151" s="2614"/>
      <c r="DC151" s="935">
        <v>30</v>
      </c>
      <c r="DD151" s="2614"/>
      <c r="DE151" s="935"/>
      <c r="DF151" s="2572">
        <f>IFERROR(VLOOKUP(G151,Personalización!$F$18:$H$21,3,0),IFERROR(VLOOKUP(G151,Personalización!$I$18:$K$21,3,0),IFERROR(VLOOKUP(G151,Personalización!$L$18:$N$21,3,0),IFERROR(VLOOKUP(G151,Personalización!$O$18:$Q$20,3,0),0))))</f>
        <v>0</v>
      </c>
    </row>
    <row r="152" spans="1:110" ht="12.75" customHeight="1" x14ac:dyDescent="0.2">
      <c r="A152" s="227">
        <v>152</v>
      </c>
      <c r="B152" s="5988"/>
      <c r="C152" s="560" t="s">
        <v>6350</v>
      </c>
      <c r="D152" s="561"/>
      <c r="F152" s="2611">
        <v>12</v>
      </c>
      <c r="G152" s="326" t="s">
        <v>1430</v>
      </c>
      <c r="H152" s="2571">
        <v>20</v>
      </c>
      <c r="I152" s="2614">
        <v>30</v>
      </c>
      <c r="J152" s="935">
        <v>20</v>
      </c>
      <c r="K152" s="2614">
        <v>20</v>
      </c>
      <c r="L152" s="2614">
        <v>20</v>
      </c>
      <c r="M152" s="2571"/>
      <c r="N152" s="2614"/>
      <c r="O152" s="935"/>
      <c r="P152" s="2614"/>
      <c r="Q152" s="2614"/>
      <c r="R152" s="2571"/>
      <c r="S152" s="935">
        <v>20</v>
      </c>
      <c r="T152" s="2614"/>
      <c r="U152" s="2571">
        <v>40</v>
      </c>
      <c r="V152" s="935">
        <v>40</v>
      </c>
      <c r="W152" s="2614"/>
      <c r="X152" s="2614">
        <v>20</v>
      </c>
      <c r="Y152" s="2569">
        <v>20</v>
      </c>
      <c r="Z152" s="2420">
        <v>20</v>
      </c>
      <c r="AA152" s="2570">
        <v>20</v>
      </c>
      <c r="AB152" s="2420"/>
      <c r="AC152" s="2420">
        <v>20</v>
      </c>
      <c r="AD152" s="2569"/>
      <c r="AE152" s="2570"/>
      <c r="AF152" s="2420"/>
      <c r="AG152" s="2420"/>
      <c r="AH152" s="2420"/>
      <c r="AI152" s="2569"/>
      <c r="AJ152" s="2420"/>
      <c r="AK152" s="2570"/>
      <c r="AL152" s="2420"/>
      <c r="AM152" s="2420"/>
      <c r="AN152" s="2420"/>
      <c r="AO152" s="2420">
        <v>20</v>
      </c>
      <c r="AP152" s="2571"/>
      <c r="AQ152" s="2614">
        <v>20</v>
      </c>
      <c r="AR152" s="935"/>
      <c r="AS152" s="2614">
        <v>10</v>
      </c>
      <c r="AT152" s="2614">
        <v>40</v>
      </c>
      <c r="AU152" s="2571">
        <v>20</v>
      </c>
      <c r="AV152" s="2614">
        <v>40</v>
      </c>
      <c r="AW152" s="935">
        <v>20</v>
      </c>
      <c r="AX152" s="2614">
        <v>30</v>
      </c>
      <c r="AY152" s="2614">
        <v>30</v>
      </c>
      <c r="AZ152" s="2571">
        <v>20</v>
      </c>
      <c r="BA152" s="935">
        <v>40</v>
      </c>
      <c r="BB152" s="2614"/>
      <c r="BC152" s="2614"/>
      <c r="BD152" s="2571"/>
      <c r="BE152" s="935">
        <v>30</v>
      </c>
      <c r="BF152" s="2614"/>
      <c r="BG152" s="2614"/>
      <c r="BH152" s="936"/>
      <c r="BI152" s="2571"/>
      <c r="BJ152" s="935">
        <v>20</v>
      </c>
      <c r="BK152" s="2614"/>
      <c r="BL152" s="2614">
        <v>20</v>
      </c>
      <c r="BM152" s="936"/>
      <c r="BN152" s="2614">
        <v>20</v>
      </c>
      <c r="BO152" s="2614"/>
      <c r="BP152" s="2571"/>
      <c r="BQ152" s="2614">
        <v>20</v>
      </c>
      <c r="BR152" s="935"/>
      <c r="BS152" s="2614"/>
      <c r="BT152" s="2614">
        <v>40</v>
      </c>
      <c r="BU152" s="2571">
        <v>20</v>
      </c>
      <c r="BV152" s="2614"/>
      <c r="BW152" s="2614">
        <v>30</v>
      </c>
      <c r="BX152" s="935">
        <v>20</v>
      </c>
      <c r="BY152" s="2614"/>
      <c r="BZ152" s="2614"/>
      <c r="CA152" s="2614">
        <v>20</v>
      </c>
      <c r="CB152" s="2571">
        <v>20</v>
      </c>
      <c r="CC152" s="2614">
        <v>20</v>
      </c>
      <c r="CD152" s="935">
        <v>10</v>
      </c>
      <c r="CE152" s="2614"/>
      <c r="CF152" s="2614">
        <v>20</v>
      </c>
      <c r="CG152" s="2571"/>
      <c r="CH152" s="2614"/>
      <c r="CI152" s="935">
        <v>20</v>
      </c>
      <c r="CJ152" s="2614">
        <v>20</v>
      </c>
      <c r="CK152" s="2614">
        <v>20</v>
      </c>
      <c r="CL152" s="2614">
        <v>20</v>
      </c>
      <c r="CM152" s="2614">
        <v>20</v>
      </c>
      <c r="CN152" s="2571"/>
      <c r="CO152" s="935">
        <v>30</v>
      </c>
      <c r="CP152" s="2614"/>
      <c r="CQ152" s="2614"/>
      <c r="CR152" s="2571">
        <v>20</v>
      </c>
      <c r="CS152" s="2614">
        <v>30</v>
      </c>
      <c r="CT152" s="935">
        <v>20</v>
      </c>
      <c r="CU152" s="2614"/>
      <c r="CV152" s="2614">
        <v>20</v>
      </c>
      <c r="CW152" s="2571"/>
      <c r="CX152" s="2614">
        <v>20</v>
      </c>
      <c r="CY152" s="935">
        <v>20</v>
      </c>
      <c r="CZ152" s="2614"/>
      <c r="DA152" s="2571">
        <v>20</v>
      </c>
      <c r="DB152" s="2614">
        <v>30</v>
      </c>
      <c r="DC152" s="935">
        <v>20</v>
      </c>
      <c r="DD152" s="2614"/>
      <c r="DE152" s="935">
        <v>30</v>
      </c>
      <c r="DF152" s="2572">
        <f>IFERROR(VLOOKUP(G152,Personalización!$F$18:$H$21,3,0),IFERROR(VLOOKUP(G152,Personalización!$I$18:$K$21,3,0),IFERROR(VLOOKUP(G152,Personalización!$L$18:$N$21,3,0),IFERROR(VLOOKUP(G152,Personalización!$O$18:$Q$20,3,0),0))))</f>
        <v>0</v>
      </c>
    </row>
    <row r="153" spans="1:110" ht="12.75" customHeight="1" x14ac:dyDescent="0.2">
      <c r="A153" s="227">
        <v>153</v>
      </c>
      <c r="B153" s="5988"/>
      <c r="C153" s="560" t="s">
        <v>6311</v>
      </c>
      <c r="D153" s="561"/>
      <c r="F153" s="2611">
        <v>13</v>
      </c>
      <c r="G153" s="326" t="s">
        <v>816</v>
      </c>
      <c r="H153" s="2571"/>
      <c r="I153" s="2614"/>
      <c r="J153" s="935"/>
      <c r="K153" s="2614"/>
      <c r="L153" s="2614"/>
      <c r="M153" s="2571"/>
      <c r="N153" s="2614"/>
      <c r="O153" s="935"/>
      <c r="P153" s="2614"/>
      <c r="Q153" s="2614"/>
      <c r="R153" s="2571"/>
      <c r="S153" s="935"/>
      <c r="T153" s="2614"/>
      <c r="U153" s="2571"/>
      <c r="V153" s="935"/>
      <c r="W153" s="2614"/>
      <c r="X153" s="2614"/>
      <c r="Y153" s="2569"/>
      <c r="Z153" s="2420"/>
      <c r="AA153" s="2570"/>
      <c r="AB153" s="2420"/>
      <c r="AC153" s="2420"/>
      <c r="AD153" s="2569"/>
      <c r="AE153" s="2570"/>
      <c r="AF153" s="2420"/>
      <c r="AG153" s="2420"/>
      <c r="AH153" s="2420"/>
      <c r="AI153" s="2569"/>
      <c r="AJ153" s="2420"/>
      <c r="AK153" s="2570"/>
      <c r="AL153" s="2420"/>
      <c r="AM153" s="2420"/>
      <c r="AN153" s="2420"/>
      <c r="AO153" s="2420"/>
      <c r="AP153" s="2571"/>
      <c r="AQ153" s="2614"/>
      <c r="AR153" s="935"/>
      <c r="AS153" s="2614"/>
      <c r="AT153" s="2614"/>
      <c r="AU153" s="2571"/>
      <c r="AV153" s="2614"/>
      <c r="AW153" s="935"/>
      <c r="AX153" s="2614"/>
      <c r="AY153" s="2614"/>
      <c r="AZ153" s="2571"/>
      <c r="BA153" s="935"/>
      <c r="BB153" s="2614"/>
      <c r="BC153" s="2614"/>
      <c r="BD153" s="2571"/>
      <c r="BE153" s="935"/>
      <c r="BF153" s="2614"/>
      <c r="BG153" s="2614"/>
      <c r="BH153" s="936"/>
      <c r="BI153" s="2571"/>
      <c r="BJ153" s="935"/>
      <c r="BK153" s="2614"/>
      <c r="BL153" s="2614"/>
      <c r="BM153" s="936"/>
      <c r="BN153" s="2614"/>
      <c r="BO153" s="2614"/>
      <c r="BP153" s="2571"/>
      <c r="BQ153" s="2614"/>
      <c r="BR153" s="935"/>
      <c r="BS153" s="2614"/>
      <c r="BT153" s="2614"/>
      <c r="BU153" s="2571"/>
      <c r="BV153" s="2614"/>
      <c r="BW153" s="2614"/>
      <c r="BX153" s="935"/>
      <c r="BY153" s="2614"/>
      <c r="BZ153" s="2614"/>
      <c r="CA153" s="2614"/>
      <c r="CB153" s="2571"/>
      <c r="CC153" s="2614"/>
      <c r="CD153" s="935"/>
      <c r="CE153" s="2614"/>
      <c r="CF153" s="2614"/>
      <c r="CG153" s="2571"/>
      <c r="CH153" s="2614"/>
      <c r="CI153" s="935"/>
      <c r="CJ153" s="2614"/>
      <c r="CK153" s="2614"/>
      <c r="CL153" s="2614"/>
      <c r="CM153" s="2614"/>
      <c r="CN153" s="2571"/>
      <c r="CO153" s="935"/>
      <c r="CP153" s="2614"/>
      <c r="CQ153" s="2614"/>
      <c r="CR153" s="2571"/>
      <c r="CS153" s="2614"/>
      <c r="CT153" s="935"/>
      <c r="CU153" s="2614"/>
      <c r="CV153" s="2614"/>
      <c r="CW153" s="2571"/>
      <c r="CX153" s="2614"/>
      <c r="CY153" s="935"/>
      <c r="CZ153" s="2614"/>
      <c r="DA153" s="2571"/>
      <c r="DB153" s="2614"/>
      <c r="DC153" s="935"/>
      <c r="DD153" s="2614"/>
      <c r="DE153" s="935"/>
      <c r="DF153" s="2572">
        <f>IFERROR(VLOOKUP(G153,Personalización!$F$18:$H$21,3,0),IFERROR(VLOOKUP(G153,Personalización!$I$18:$K$21,3,0),IFERROR(VLOOKUP(G153,Personalización!$L$18:$N$21,3,0),IFERROR(VLOOKUP(G153,Personalización!$O$18:$Q$20,3,0),0))))</f>
        <v>0</v>
      </c>
    </row>
    <row r="154" spans="1:110" ht="12.75" customHeight="1" x14ac:dyDescent="0.2">
      <c r="A154" s="227">
        <v>154</v>
      </c>
      <c r="B154" s="5988"/>
      <c r="C154" s="560" t="s">
        <v>6312</v>
      </c>
      <c r="D154" s="561"/>
      <c r="F154" s="2611">
        <v>14</v>
      </c>
      <c r="G154" s="326" t="s">
        <v>817</v>
      </c>
      <c r="H154" s="2571"/>
      <c r="I154" s="2614"/>
      <c r="J154" s="935"/>
      <c r="K154" s="2614"/>
      <c r="L154" s="2614"/>
      <c r="M154" s="2571"/>
      <c r="N154" s="2614"/>
      <c r="O154" s="935"/>
      <c r="P154" s="2614"/>
      <c r="Q154" s="2614"/>
      <c r="R154" s="2571"/>
      <c r="S154" s="935"/>
      <c r="T154" s="2614"/>
      <c r="U154" s="2571"/>
      <c r="V154" s="935"/>
      <c r="W154" s="2614"/>
      <c r="X154" s="2614"/>
      <c r="Y154" s="2569"/>
      <c r="Z154" s="2420"/>
      <c r="AA154" s="2570"/>
      <c r="AB154" s="2420"/>
      <c r="AC154" s="2420"/>
      <c r="AD154" s="2569"/>
      <c r="AE154" s="2570"/>
      <c r="AF154" s="2420"/>
      <c r="AG154" s="2420"/>
      <c r="AH154" s="2420"/>
      <c r="AI154" s="2569"/>
      <c r="AJ154" s="2420"/>
      <c r="AK154" s="2570"/>
      <c r="AL154" s="2420"/>
      <c r="AM154" s="2420"/>
      <c r="AN154" s="2420"/>
      <c r="AO154" s="2420"/>
      <c r="AP154" s="2571"/>
      <c r="AQ154" s="2614"/>
      <c r="AR154" s="935"/>
      <c r="AS154" s="2614"/>
      <c r="AT154" s="2614"/>
      <c r="AU154" s="2571"/>
      <c r="AV154" s="2614"/>
      <c r="AW154" s="935"/>
      <c r="AX154" s="2614"/>
      <c r="AY154" s="2614"/>
      <c r="AZ154" s="2571"/>
      <c r="BA154" s="935"/>
      <c r="BB154" s="2614"/>
      <c r="BC154" s="2614"/>
      <c r="BD154" s="2571"/>
      <c r="BE154" s="935"/>
      <c r="BF154" s="2614"/>
      <c r="BG154" s="2614"/>
      <c r="BH154" s="936"/>
      <c r="BI154" s="2571"/>
      <c r="BJ154" s="935"/>
      <c r="BK154" s="2614"/>
      <c r="BL154" s="2614"/>
      <c r="BM154" s="936"/>
      <c r="BN154" s="2614"/>
      <c r="BO154" s="2614"/>
      <c r="BP154" s="2571"/>
      <c r="BQ154" s="2614"/>
      <c r="BR154" s="935"/>
      <c r="BS154" s="2614"/>
      <c r="BT154" s="2614"/>
      <c r="BU154" s="2571"/>
      <c r="BV154" s="2614"/>
      <c r="BW154" s="2614"/>
      <c r="BX154" s="935"/>
      <c r="BY154" s="2614"/>
      <c r="BZ154" s="2614"/>
      <c r="CA154" s="2614"/>
      <c r="CB154" s="2571"/>
      <c r="CC154" s="2614"/>
      <c r="CD154" s="935"/>
      <c r="CE154" s="2614"/>
      <c r="CF154" s="2614"/>
      <c r="CG154" s="2571"/>
      <c r="CH154" s="2614"/>
      <c r="CI154" s="935"/>
      <c r="CJ154" s="2614"/>
      <c r="CK154" s="2614"/>
      <c r="CL154" s="2614"/>
      <c r="CM154" s="2614"/>
      <c r="CN154" s="2571"/>
      <c r="CO154" s="935"/>
      <c r="CP154" s="2614"/>
      <c r="CQ154" s="2614"/>
      <c r="CR154" s="2571"/>
      <c r="CS154" s="2614"/>
      <c r="CT154" s="935"/>
      <c r="CU154" s="2614"/>
      <c r="CV154" s="2614"/>
      <c r="CW154" s="2571"/>
      <c r="CX154" s="2614"/>
      <c r="CY154" s="935"/>
      <c r="CZ154" s="2614"/>
      <c r="DA154" s="2571"/>
      <c r="DB154" s="2614"/>
      <c r="DC154" s="935"/>
      <c r="DD154" s="2614"/>
      <c r="DE154" s="935"/>
      <c r="DF154" s="2572">
        <f>IFERROR(VLOOKUP(G154,Personalización!$F$18:$H$21,3,0),IFERROR(VLOOKUP(G154,Personalización!$I$18:$K$21,3,0),IFERROR(VLOOKUP(G154,Personalización!$L$18:$N$21,3,0),IFERROR(VLOOKUP(G154,Personalización!$O$18:$Q$20,3,0),0))))</f>
        <v>0</v>
      </c>
    </row>
    <row r="155" spans="1:110" ht="12.75" customHeight="1" x14ac:dyDescent="0.2">
      <c r="A155" s="227">
        <v>155</v>
      </c>
      <c r="B155" s="5988"/>
      <c r="C155" s="560" t="s">
        <v>6313</v>
      </c>
      <c r="D155" s="561"/>
      <c r="F155" s="2611">
        <v>15</v>
      </c>
      <c r="G155" s="326" t="s">
        <v>818</v>
      </c>
      <c r="H155" s="2571"/>
      <c r="I155" s="2614"/>
      <c r="J155" s="935"/>
      <c r="K155" s="2614"/>
      <c r="L155" s="2614"/>
      <c r="M155" s="2571"/>
      <c r="N155" s="2614"/>
      <c r="O155" s="935"/>
      <c r="P155" s="2614"/>
      <c r="Q155" s="2614"/>
      <c r="R155" s="2571"/>
      <c r="S155" s="935"/>
      <c r="T155" s="2614"/>
      <c r="U155" s="2571"/>
      <c r="V155" s="935"/>
      <c r="W155" s="2614"/>
      <c r="X155" s="2614"/>
      <c r="Y155" s="2569"/>
      <c r="Z155" s="2420"/>
      <c r="AA155" s="2570"/>
      <c r="AB155" s="2420"/>
      <c r="AC155" s="2420"/>
      <c r="AD155" s="2569"/>
      <c r="AE155" s="2570"/>
      <c r="AF155" s="2420"/>
      <c r="AG155" s="2420"/>
      <c r="AH155" s="2420"/>
      <c r="AI155" s="2569"/>
      <c r="AJ155" s="2420"/>
      <c r="AK155" s="2570"/>
      <c r="AL155" s="2420"/>
      <c r="AM155" s="2420"/>
      <c r="AN155" s="2420"/>
      <c r="AO155" s="2420"/>
      <c r="AP155" s="2571"/>
      <c r="AQ155" s="2614"/>
      <c r="AR155" s="935"/>
      <c r="AS155" s="2614"/>
      <c r="AT155" s="2614"/>
      <c r="AU155" s="2571"/>
      <c r="AV155" s="2614"/>
      <c r="AW155" s="935"/>
      <c r="AX155" s="2614"/>
      <c r="AY155" s="2614"/>
      <c r="AZ155" s="2571"/>
      <c r="BA155" s="935"/>
      <c r="BB155" s="2614"/>
      <c r="BC155" s="2614"/>
      <c r="BD155" s="2571"/>
      <c r="BE155" s="935"/>
      <c r="BF155" s="2614"/>
      <c r="BG155" s="2614"/>
      <c r="BH155" s="936"/>
      <c r="BI155" s="2571"/>
      <c r="BJ155" s="935"/>
      <c r="BK155" s="2614"/>
      <c r="BL155" s="2614"/>
      <c r="BM155" s="936"/>
      <c r="BN155" s="2614"/>
      <c r="BO155" s="2614"/>
      <c r="BP155" s="2571"/>
      <c r="BQ155" s="2614"/>
      <c r="BR155" s="935"/>
      <c r="BS155" s="2614"/>
      <c r="BT155" s="2614"/>
      <c r="BU155" s="2571"/>
      <c r="BV155" s="2614"/>
      <c r="BW155" s="2614"/>
      <c r="BX155" s="935"/>
      <c r="BY155" s="2614"/>
      <c r="BZ155" s="2614"/>
      <c r="CA155" s="2614"/>
      <c r="CB155" s="2571"/>
      <c r="CC155" s="2614"/>
      <c r="CD155" s="935"/>
      <c r="CE155" s="2614"/>
      <c r="CF155" s="2614"/>
      <c r="CG155" s="2571"/>
      <c r="CH155" s="2614"/>
      <c r="CI155" s="935"/>
      <c r="CJ155" s="2614"/>
      <c r="CK155" s="2614"/>
      <c r="CL155" s="2614"/>
      <c r="CM155" s="2614"/>
      <c r="CN155" s="2571"/>
      <c r="CO155" s="935"/>
      <c r="CP155" s="2614"/>
      <c r="CQ155" s="2614"/>
      <c r="CR155" s="2571"/>
      <c r="CS155" s="2614"/>
      <c r="CT155" s="935"/>
      <c r="CU155" s="2614"/>
      <c r="CV155" s="2614"/>
      <c r="CW155" s="2571"/>
      <c r="CX155" s="2614"/>
      <c r="CY155" s="935"/>
      <c r="CZ155" s="2614"/>
      <c r="DA155" s="2571"/>
      <c r="DB155" s="2614"/>
      <c r="DC155" s="935"/>
      <c r="DD155" s="2614"/>
      <c r="DE155" s="935"/>
      <c r="DF155" s="2572">
        <f>IFERROR(VLOOKUP(G155,Personalización!$F$18:$H$21,3,0),IFERROR(VLOOKUP(G155,Personalización!$I$18:$K$21,3,0),IFERROR(VLOOKUP(G155,Personalización!$L$18:$N$21,3,0),IFERROR(VLOOKUP(G155,Personalización!$O$18:$Q$20,3,0),0))))</f>
        <v>0</v>
      </c>
    </row>
    <row r="156" spans="1:110" ht="12.75" customHeight="1" x14ac:dyDescent="0.2">
      <c r="A156" s="227">
        <v>156</v>
      </c>
      <c r="B156" s="5988"/>
      <c r="C156" s="560" t="s">
        <v>6351</v>
      </c>
      <c r="D156" s="561"/>
      <c r="F156" s="2611">
        <v>16</v>
      </c>
      <c r="G156" s="326" t="s">
        <v>1432</v>
      </c>
      <c r="H156" s="2571">
        <v>30</v>
      </c>
      <c r="I156" s="2614"/>
      <c r="J156" s="935"/>
      <c r="K156" s="2614"/>
      <c r="L156" s="2614"/>
      <c r="M156" s="2571">
        <v>20</v>
      </c>
      <c r="N156" s="2614"/>
      <c r="O156" s="935">
        <v>20</v>
      </c>
      <c r="P156" s="2614">
        <v>20</v>
      </c>
      <c r="Q156" s="2614">
        <v>20</v>
      </c>
      <c r="R156" s="2571">
        <v>20</v>
      </c>
      <c r="S156" s="935">
        <v>20</v>
      </c>
      <c r="T156" s="2614">
        <v>20</v>
      </c>
      <c r="U156" s="2571"/>
      <c r="V156" s="935"/>
      <c r="W156" s="2614">
        <v>20</v>
      </c>
      <c r="X156" s="2614">
        <v>20</v>
      </c>
      <c r="Y156" s="2569">
        <v>20</v>
      </c>
      <c r="Z156" s="2420"/>
      <c r="AA156" s="2570"/>
      <c r="AB156" s="2420">
        <v>20</v>
      </c>
      <c r="AC156" s="2420">
        <v>20</v>
      </c>
      <c r="AD156" s="2569">
        <v>20</v>
      </c>
      <c r="AE156" s="2570">
        <v>10</v>
      </c>
      <c r="AF156" s="2420">
        <v>20</v>
      </c>
      <c r="AG156" s="2420">
        <v>20</v>
      </c>
      <c r="AH156" s="2420">
        <v>20</v>
      </c>
      <c r="AI156" s="2569">
        <v>20</v>
      </c>
      <c r="AJ156" s="2420">
        <v>20</v>
      </c>
      <c r="AK156" s="2570">
        <v>20</v>
      </c>
      <c r="AL156" s="2420">
        <v>20</v>
      </c>
      <c r="AM156" s="2420">
        <v>20</v>
      </c>
      <c r="AN156" s="2420">
        <v>20</v>
      </c>
      <c r="AO156" s="2420">
        <v>20</v>
      </c>
      <c r="AP156" s="2571">
        <v>30</v>
      </c>
      <c r="AQ156" s="2614">
        <v>20</v>
      </c>
      <c r="AR156" s="935">
        <v>20</v>
      </c>
      <c r="AS156" s="2614">
        <v>30</v>
      </c>
      <c r="AT156" s="2614">
        <v>20</v>
      </c>
      <c r="AU156" s="2571">
        <v>20</v>
      </c>
      <c r="AV156" s="2614"/>
      <c r="AW156" s="935"/>
      <c r="AX156" s="2614">
        <v>20</v>
      </c>
      <c r="AY156" s="2614"/>
      <c r="AZ156" s="2571">
        <v>20</v>
      </c>
      <c r="BA156" s="935"/>
      <c r="BB156" s="2614">
        <v>20</v>
      </c>
      <c r="BC156" s="2614">
        <v>20</v>
      </c>
      <c r="BD156" s="2571">
        <v>20</v>
      </c>
      <c r="BE156" s="935"/>
      <c r="BF156" s="2614">
        <v>30</v>
      </c>
      <c r="BG156" s="2614">
        <v>10</v>
      </c>
      <c r="BH156" s="936">
        <v>20</v>
      </c>
      <c r="BI156" s="2571">
        <v>20</v>
      </c>
      <c r="BJ156" s="935">
        <v>30</v>
      </c>
      <c r="BK156" s="2614">
        <v>20</v>
      </c>
      <c r="BL156" s="2614">
        <v>20</v>
      </c>
      <c r="BM156" s="936">
        <v>20</v>
      </c>
      <c r="BN156" s="2614">
        <v>20</v>
      </c>
      <c r="BO156" s="2614">
        <v>10</v>
      </c>
      <c r="BP156" s="2571">
        <v>20</v>
      </c>
      <c r="BQ156" s="2614"/>
      <c r="BR156" s="935">
        <v>20</v>
      </c>
      <c r="BS156" s="2614">
        <v>20</v>
      </c>
      <c r="BT156" s="2614">
        <v>20</v>
      </c>
      <c r="BU156" s="2571"/>
      <c r="BV156" s="2614"/>
      <c r="BW156" s="2614"/>
      <c r="BX156" s="935"/>
      <c r="BY156" s="2614">
        <v>20</v>
      </c>
      <c r="BZ156" s="2614">
        <v>20</v>
      </c>
      <c r="CA156" s="2614"/>
      <c r="CB156" s="2571"/>
      <c r="CC156" s="2614"/>
      <c r="CD156" s="935"/>
      <c r="CE156" s="2614">
        <v>20</v>
      </c>
      <c r="CF156" s="2614"/>
      <c r="CG156" s="2571">
        <v>20</v>
      </c>
      <c r="CH156" s="2614">
        <v>20</v>
      </c>
      <c r="CI156" s="935"/>
      <c r="CJ156" s="2614"/>
      <c r="CK156" s="2614"/>
      <c r="CL156" s="2614"/>
      <c r="CM156" s="2614"/>
      <c r="CN156" s="2571">
        <v>30</v>
      </c>
      <c r="CO156" s="935"/>
      <c r="CP156" s="2614">
        <v>20</v>
      </c>
      <c r="CQ156" s="2614">
        <v>20</v>
      </c>
      <c r="CR156" s="2571">
        <v>20</v>
      </c>
      <c r="CS156" s="2614">
        <v>20</v>
      </c>
      <c r="CT156" s="935"/>
      <c r="CU156" s="2614">
        <v>20</v>
      </c>
      <c r="CV156" s="2614">
        <v>20</v>
      </c>
      <c r="CW156" s="2571">
        <v>20</v>
      </c>
      <c r="CX156" s="2614">
        <v>20</v>
      </c>
      <c r="CY156" s="935">
        <v>20</v>
      </c>
      <c r="CZ156" s="2614">
        <v>20</v>
      </c>
      <c r="DA156" s="2571">
        <v>20</v>
      </c>
      <c r="DB156" s="2614">
        <v>20</v>
      </c>
      <c r="DC156" s="935"/>
      <c r="DD156" s="2614">
        <v>20</v>
      </c>
      <c r="DE156" s="935">
        <v>20</v>
      </c>
      <c r="DF156" s="2572">
        <f>IFERROR(VLOOKUP(G156,Personalización!$F$18:$H$21,3,0),IFERROR(VLOOKUP(G156,Personalización!$I$18:$K$21,3,0),IFERROR(VLOOKUP(G156,Personalización!$L$18:$N$21,3,0),IFERROR(VLOOKUP(G156,Personalización!$O$18:$Q$20,3,0),0))))</f>
        <v>0</v>
      </c>
    </row>
    <row r="157" spans="1:110" ht="12.75" customHeight="1" x14ac:dyDescent="0.2">
      <c r="A157" s="227">
        <v>157</v>
      </c>
      <c r="B157" s="5988"/>
      <c r="C157" s="560" t="s">
        <v>6314</v>
      </c>
      <c r="D157" s="561"/>
      <c r="F157" s="2611">
        <v>17</v>
      </c>
      <c r="G157" s="326" t="s">
        <v>1433</v>
      </c>
      <c r="H157" s="2571"/>
      <c r="I157" s="2614"/>
      <c r="J157" s="935"/>
      <c r="K157" s="2614"/>
      <c r="L157" s="2614"/>
      <c r="M157" s="2571"/>
      <c r="N157" s="2614"/>
      <c r="O157" s="935"/>
      <c r="P157" s="2614"/>
      <c r="Q157" s="2614"/>
      <c r="R157" s="2571"/>
      <c r="S157" s="935"/>
      <c r="T157" s="2614"/>
      <c r="U157" s="2571"/>
      <c r="V157" s="935"/>
      <c r="W157" s="2614"/>
      <c r="X157" s="2614"/>
      <c r="Y157" s="2569"/>
      <c r="Z157" s="2420"/>
      <c r="AA157" s="2570"/>
      <c r="AB157" s="2420"/>
      <c r="AC157" s="2420"/>
      <c r="AD157" s="2569"/>
      <c r="AE157" s="2570"/>
      <c r="AF157" s="2420"/>
      <c r="AG157" s="2420"/>
      <c r="AH157" s="2420"/>
      <c r="AI157" s="2569"/>
      <c r="AJ157" s="2420"/>
      <c r="AK157" s="2570"/>
      <c r="AL157" s="2420"/>
      <c r="AM157" s="2420"/>
      <c r="AN157" s="2420"/>
      <c r="AO157" s="2420"/>
      <c r="AP157" s="2571"/>
      <c r="AQ157" s="2614"/>
      <c r="AR157" s="935"/>
      <c r="AS157" s="2614"/>
      <c r="AT157" s="2614"/>
      <c r="AU157" s="2571"/>
      <c r="AV157" s="2614"/>
      <c r="AW157" s="935"/>
      <c r="AX157" s="2614"/>
      <c r="AY157" s="2614"/>
      <c r="AZ157" s="2571"/>
      <c r="BA157" s="935"/>
      <c r="BB157" s="2614"/>
      <c r="BC157" s="2614"/>
      <c r="BD157" s="2571"/>
      <c r="BE157" s="935"/>
      <c r="BF157" s="2614"/>
      <c r="BG157" s="2614"/>
      <c r="BH157" s="936">
        <v>20</v>
      </c>
      <c r="BI157" s="2571"/>
      <c r="BJ157" s="935"/>
      <c r="BK157" s="2614"/>
      <c r="BL157" s="2614"/>
      <c r="BM157" s="936"/>
      <c r="BN157" s="2614"/>
      <c r="BO157" s="2614"/>
      <c r="BP157" s="2571"/>
      <c r="BQ157" s="2614"/>
      <c r="BR157" s="935"/>
      <c r="BS157" s="2614"/>
      <c r="BT157" s="2614"/>
      <c r="BU157" s="2571"/>
      <c r="BV157" s="2614"/>
      <c r="BW157" s="2614"/>
      <c r="BX157" s="935"/>
      <c r="BY157" s="2614"/>
      <c r="BZ157" s="2614"/>
      <c r="CA157" s="2614"/>
      <c r="CB157" s="2571"/>
      <c r="CC157" s="2614"/>
      <c r="CD157" s="935"/>
      <c r="CE157" s="2614"/>
      <c r="CF157" s="2614"/>
      <c r="CG157" s="2571"/>
      <c r="CH157" s="2614"/>
      <c r="CI157" s="935"/>
      <c r="CJ157" s="2614"/>
      <c r="CK157" s="2614"/>
      <c r="CL157" s="2614"/>
      <c r="CM157" s="2614"/>
      <c r="CN157" s="2571"/>
      <c r="CO157" s="935"/>
      <c r="CP157" s="2614"/>
      <c r="CQ157" s="2614"/>
      <c r="CR157" s="2571"/>
      <c r="CS157" s="2614"/>
      <c r="CT157" s="935"/>
      <c r="CU157" s="2614"/>
      <c r="CV157" s="2614"/>
      <c r="CW157" s="2571"/>
      <c r="CX157" s="2614"/>
      <c r="CY157" s="935"/>
      <c r="CZ157" s="2614"/>
      <c r="DA157" s="2571"/>
      <c r="DB157" s="2614"/>
      <c r="DC157" s="935"/>
      <c r="DD157" s="2614"/>
      <c r="DE157" s="935"/>
      <c r="DF157" s="2572">
        <f>IFERROR(VLOOKUP(G157,Personalización!$F$18:$H$21,3,0),IFERROR(VLOOKUP(G157,Personalización!$I$18:$K$21,3,0),IFERROR(VLOOKUP(G157,Personalización!$L$18:$N$21,3,0),IFERROR(VLOOKUP(G157,Personalización!$O$18:$Q$20,3,0),0))))</f>
        <v>0</v>
      </c>
    </row>
    <row r="158" spans="1:110" ht="12.75" customHeight="1" x14ac:dyDescent="0.2">
      <c r="A158" s="227">
        <v>158</v>
      </c>
      <c r="B158" s="5988"/>
      <c r="C158" s="560" t="s">
        <v>6315</v>
      </c>
      <c r="D158" s="561"/>
      <c r="F158" s="2611">
        <v>18</v>
      </c>
      <c r="G158" s="326" t="s">
        <v>1434</v>
      </c>
      <c r="H158" s="2571"/>
      <c r="I158" s="2614"/>
      <c r="J158" s="935"/>
      <c r="K158" s="2614"/>
      <c r="L158" s="2614"/>
      <c r="M158" s="2571"/>
      <c r="N158" s="2614">
        <v>20</v>
      </c>
      <c r="O158" s="935"/>
      <c r="P158" s="2614"/>
      <c r="Q158" s="2614"/>
      <c r="R158" s="2571">
        <v>20</v>
      </c>
      <c r="S158" s="935"/>
      <c r="T158" s="2614">
        <v>20</v>
      </c>
      <c r="U158" s="2571"/>
      <c r="V158" s="935"/>
      <c r="W158" s="2614"/>
      <c r="X158" s="2614"/>
      <c r="Y158" s="2569"/>
      <c r="Z158" s="2420"/>
      <c r="AA158" s="2570"/>
      <c r="AB158" s="2420"/>
      <c r="AC158" s="2420"/>
      <c r="AD158" s="2569"/>
      <c r="AE158" s="2570"/>
      <c r="AF158" s="2420">
        <v>30</v>
      </c>
      <c r="AG158" s="2420">
        <v>20</v>
      </c>
      <c r="AH158" s="2420"/>
      <c r="AI158" s="2569">
        <v>20</v>
      </c>
      <c r="AJ158" s="2420"/>
      <c r="AK158" s="2570"/>
      <c r="AL158" s="2420">
        <v>20</v>
      </c>
      <c r="AM158" s="2420">
        <v>20</v>
      </c>
      <c r="AN158" s="2420">
        <v>20</v>
      </c>
      <c r="AO158" s="2420"/>
      <c r="AP158" s="2571">
        <v>20</v>
      </c>
      <c r="AQ158" s="2614"/>
      <c r="AR158" s="935"/>
      <c r="AS158" s="2614"/>
      <c r="AT158" s="2614"/>
      <c r="AU158" s="2571"/>
      <c r="AV158" s="2614"/>
      <c r="AW158" s="935"/>
      <c r="AX158" s="2614"/>
      <c r="AY158" s="2614"/>
      <c r="AZ158" s="2571"/>
      <c r="BA158" s="935"/>
      <c r="BB158" s="2614">
        <v>10</v>
      </c>
      <c r="BC158" s="2614"/>
      <c r="BD158" s="2571">
        <v>30</v>
      </c>
      <c r="BE158" s="935"/>
      <c r="BF158" s="2614">
        <v>20</v>
      </c>
      <c r="BG158" s="2614"/>
      <c r="BH158" s="936">
        <v>30</v>
      </c>
      <c r="BI158" s="2571">
        <v>20</v>
      </c>
      <c r="BJ158" s="935">
        <v>30</v>
      </c>
      <c r="BK158" s="2614"/>
      <c r="BL158" s="2614"/>
      <c r="BM158" s="936">
        <v>30</v>
      </c>
      <c r="BN158" s="2614"/>
      <c r="BO158" s="2614"/>
      <c r="BP158" s="2571"/>
      <c r="BQ158" s="2614"/>
      <c r="BR158" s="935"/>
      <c r="BS158" s="2614"/>
      <c r="BT158" s="2614"/>
      <c r="BU158" s="2571"/>
      <c r="BV158" s="2614">
        <v>20</v>
      </c>
      <c r="BW158" s="2614"/>
      <c r="BX158" s="935"/>
      <c r="BY158" s="2614"/>
      <c r="BZ158" s="2614"/>
      <c r="CA158" s="2614"/>
      <c r="CB158" s="2571"/>
      <c r="CC158" s="2614"/>
      <c r="CD158" s="935"/>
      <c r="CE158" s="2614">
        <v>20</v>
      </c>
      <c r="CF158" s="2614">
        <v>20</v>
      </c>
      <c r="CG158" s="2571"/>
      <c r="CH158" s="2614"/>
      <c r="CI158" s="935"/>
      <c r="CJ158" s="2614"/>
      <c r="CK158" s="2614"/>
      <c r="CL158" s="2614"/>
      <c r="CM158" s="2614"/>
      <c r="CN158" s="2571"/>
      <c r="CO158" s="935"/>
      <c r="CP158" s="2614">
        <v>20</v>
      </c>
      <c r="CQ158" s="2614">
        <v>20</v>
      </c>
      <c r="CR158" s="2571"/>
      <c r="CS158" s="2614"/>
      <c r="CT158" s="935"/>
      <c r="CU158" s="2614">
        <v>20</v>
      </c>
      <c r="CV158" s="2614">
        <v>20</v>
      </c>
      <c r="CW158" s="2571">
        <v>20</v>
      </c>
      <c r="CX158" s="2614"/>
      <c r="CY158" s="935"/>
      <c r="CZ158" s="2614"/>
      <c r="DA158" s="2571"/>
      <c r="DB158" s="2614"/>
      <c r="DC158" s="935"/>
      <c r="DD158" s="2614"/>
      <c r="DE158" s="935"/>
      <c r="DF158" s="2572">
        <f>IFERROR(VLOOKUP(G158,Personalización!$F$18:$H$21,3,0),IFERROR(VLOOKUP(G158,Personalización!$I$18:$K$21,3,0),IFERROR(VLOOKUP(G158,Personalización!$L$18:$N$21,3,0),IFERROR(VLOOKUP(G158,Personalización!$O$18:$Q$20,3,0),0))))</f>
        <v>0</v>
      </c>
    </row>
    <row r="159" spans="1:110" ht="12.75" customHeight="1" x14ac:dyDescent="0.2">
      <c r="A159" s="227">
        <v>159</v>
      </c>
      <c r="B159" s="5988"/>
      <c r="C159" s="560" t="s">
        <v>6352</v>
      </c>
      <c r="D159" s="561"/>
      <c r="F159" s="2611">
        <v>19</v>
      </c>
      <c r="G159" s="326" t="s">
        <v>1436</v>
      </c>
      <c r="H159" s="2571"/>
      <c r="I159" s="2614"/>
      <c r="J159" s="935"/>
      <c r="K159" s="2614"/>
      <c r="L159" s="2614"/>
      <c r="M159" s="2571">
        <v>20</v>
      </c>
      <c r="N159" s="2614">
        <v>20</v>
      </c>
      <c r="O159" s="935">
        <v>20</v>
      </c>
      <c r="P159" s="2614"/>
      <c r="Q159" s="2614"/>
      <c r="R159" s="2571">
        <v>20</v>
      </c>
      <c r="S159" s="935"/>
      <c r="T159" s="2614">
        <v>20</v>
      </c>
      <c r="U159" s="2571"/>
      <c r="V159" s="935"/>
      <c r="W159" s="2614">
        <v>20</v>
      </c>
      <c r="X159" s="2614"/>
      <c r="Y159" s="2569"/>
      <c r="Z159" s="2420"/>
      <c r="AA159" s="2570"/>
      <c r="AB159" s="2420"/>
      <c r="AC159" s="2420"/>
      <c r="AD159" s="2569"/>
      <c r="AE159" s="2570"/>
      <c r="AF159" s="2420">
        <v>10</v>
      </c>
      <c r="AG159" s="2420">
        <v>10</v>
      </c>
      <c r="AH159" s="2420">
        <v>20</v>
      </c>
      <c r="AI159" s="2569"/>
      <c r="AJ159" s="2420"/>
      <c r="AK159" s="2570"/>
      <c r="AL159" s="2420">
        <v>30</v>
      </c>
      <c r="AM159" s="2420">
        <v>20</v>
      </c>
      <c r="AN159" s="2420"/>
      <c r="AO159" s="2420"/>
      <c r="AP159" s="2571"/>
      <c r="AQ159" s="2614">
        <v>10</v>
      </c>
      <c r="AR159" s="935"/>
      <c r="AS159" s="2614"/>
      <c r="AT159" s="2614"/>
      <c r="AU159" s="2571"/>
      <c r="AV159" s="2614"/>
      <c r="AW159" s="935"/>
      <c r="AX159" s="2614"/>
      <c r="AY159" s="2614"/>
      <c r="AZ159" s="2571"/>
      <c r="BA159" s="935"/>
      <c r="BB159" s="2614"/>
      <c r="BC159" s="2614"/>
      <c r="BD159" s="2571">
        <v>20</v>
      </c>
      <c r="BE159" s="935"/>
      <c r="BF159" s="2614"/>
      <c r="BG159" s="2614"/>
      <c r="BH159" s="936">
        <v>10</v>
      </c>
      <c r="BI159" s="2571">
        <v>20</v>
      </c>
      <c r="BJ159" s="935">
        <v>30</v>
      </c>
      <c r="BK159" s="2614">
        <v>20</v>
      </c>
      <c r="BL159" s="2614"/>
      <c r="BM159" s="936">
        <v>20</v>
      </c>
      <c r="BN159" s="2614">
        <v>10</v>
      </c>
      <c r="BO159" s="2614"/>
      <c r="BP159" s="2571">
        <v>10</v>
      </c>
      <c r="BQ159" s="2614"/>
      <c r="BR159" s="935"/>
      <c r="BS159" s="2614">
        <v>20</v>
      </c>
      <c r="BT159" s="2614"/>
      <c r="BU159" s="2571">
        <v>20</v>
      </c>
      <c r="BV159" s="2614">
        <v>20</v>
      </c>
      <c r="BW159" s="2614"/>
      <c r="BX159" s="935"/>
      <c r="BY159" s="2614">
        <v>20</v>
      </c>
      <c r="BZ159" s="2614">
        <v>30</v>
      </c>
      <c r="CA159" s="2614"/>
      <c r="CB159" s="2571"/>
      <c r="CC159" s="2614"/>
      <c r="CD159" s="935"/>
      <c r="CE159" s="2614">
        <v>20</v>
      </c>
      <c r="CF159" s="2614">
        <v>20</v>
      </c>
      <c r="CG159" s="2571">
        <v>20</v>
      </c>
      <c r="CH159" s="2614"/>
      <c r="CI159" s="935"/>
      <c r="CJ159" s="2614"/>
      <c r="CK159" s="2614"/>
      <c r="CL159" s="2614"/>
      <c r="CM159" s="2614"/>
      <c r="CN159" s="2571">
        <v>20</v>
      </c>
      <c r="CO159" s="935"/>
      <c r="CP159" s="2614">
        <v>20</v>
      </c>
      <c r="CQ159" s="2614">
        <v>20</v>
      </c>
      <c r="CR159" s="2571"/>
      <c r="CS159" s="2614"/>
      <c r="CT159" s="935"/>
      <c r="CU159" s="2614">
        <v>20</v>
      </c>
      <c r="CV159" s="2614">
        <v>20</v>
      </c>
      <c r="CW159" s="2571">
        <v>20</v>
      </c>
      <c r="CX159" s="2614">
        <v>20</v>
      </c>
      <c r="CY159" s="935">
        <v>20</v>
      </c>
      <c r="CZ159" s="2614"/>
      <c r="DA159" s="2571">
        <v>20</v>
      </c>
      <c r="DB159" s="2614"/>
      <c r="DC159" s="935"/>
      <c r="DD159" s="2614"/>
      <c r="DE159" s="935"/>
      <c r="DF159" s="2572">
        <f>IFERROR(VLOOKUP(G159,Personalización!$F$18:$H$21,3,0),IFERROR(VLOOKUP(G159,Personalización!$I$18:$K$21,3,0),IFERROR(VLOOKUP(G159,Personalización!$L$18:$N$21,3,0),IFERROR(VLOOKUP(G159,Personalización!$O$18:$Q$20,3,0),0))))</f>
        <v>0</v>
      </c>
    </row>
    <row r="160" spans="1:110" ht="12.75" customHeight="1" x14ac:dyDescent="0.2">
      <c r="A160" s="227">
        <v>160</v>
      </c>
      <c r="B160" s="5988"/>
      <c r="C160" s="560" t="s">
        <v>6316</v>
      </c>
      <c r="D160" s="561"/>
      <c r="F160" s="2611">
        <v>20</v>
      </c>
      <c r="G160" s="326" t="s">
        <v>1437</v>
      </c>
      <c r="H160" s="2571"/>
      <c r="I160" s="2614"/>
      <c r="J160" s="935"/>
      <c r="K160" s="2614">
        <v>20</v>
      </c>
      <c r="L160" s="2614">
        <v>20</v>
      </c>
      <c r="M160" s="2571"/>
      <c r="N160" s="2614"/>
      <c r="O160" s="935"/>
      <c r="P160" s="2614"/>
      <c r="Q160" s="2614"/>
      <c r="R160" s="2571"/>
      <c r="S160" s="935"/>
      <c r="T160" s="2614"/>
      <c r="U160" s="2571"/>
      <c r="V160" s="935"/>
      <c r="W160" s="2614"/>
      <c r="X160" s="2614"/>
      <c r="Y160" s="2569"/>
      <c r="Z160" s="2420"/>
      <c r="AA160" s="2570"/>
      <c r="AB160" s="2420"/>
      <c r="AC160" s="2420"/>
      <c r="AD160" s="2569"/>
      <c r="AE160" s="2570"/>
      <c r="AF160" s="2420"/>
      <c r="AG160" s="2420"/>
      <c r="AH160" s="2420"/>
      <c r="AI160" s="2569"/>
      <c r="AJ160" s="2420"/>
      <c r="AK160" s="2570"/>
      <c r="AL160" s="2420"/>
      <c r="AM160" s="2420"/>
      <c r="AN160" s="2420"/>
      <c r="AO160" s="2420"/>
      <c r="AP160" s="2571"/>
      <c r="AQ160" s="2614"/>
      <c r="AR160" s="935"/>
      <c r="AS160" s="2614"/>
      <c r="AT160" s="2614"/>
      <c r="AU160" s="2571"/>
      <c r="AV160" s="2614"/>
      <c r="AW160" s="935"/>
      <c r="AX160" s="2614"/>
      <c r="AY160" s="2614"/>
      <c r="AZ160" s="2571"/>
      <c r="BA160" s="935"/>
      <c r="BB160" s="2614"/>
      <c r="BC160" s="2614"/>
      <c r="BD160" s="2571"/>
      <c r="BE160" s="935"/>
      <c r="BF160" s="2614"/>
      <c r="BG160" s="2614"/>
      <c r="BH160" s="936"/>
      <c r="BI160" s="2571"/>
      <c r="BJ160" s="935"/>
      <c r="BK160" s="2614">
        <v>20</v>
      </c>
      <c r="BL160" s="2614">
        <v>20</v>
      </c>
      <c r="BM160" s="936"/>
      <c r="BN160" s="2614">
        <v>30</v>
      </c>
      <c r="BO160" s="2614"/>
      <c r="BP160" s="2571"/>
      <c r="BQ160" s="2614"/>
      <c r="BR160" s="935"/>
      <c r="BS160" s="2614"/>
      <c r="BT160" s="2614"/>
      <c r="BU160" s="2571"/>
      <c r="BV160" s="2614"/>
      <c r="BW160" s="2614"/>
      <c r="BX160" s="935"/>
      <c r="BY160" s="2614"/>
      <c r="BZ160" s="2614"/>
      <c r="CA160" s="2614"/>
      <c r="CB160" s="2571"/>
      <c r="CC160" s="2614"/>
      <c r="CD160" s="935"/>
      <c r="CE160" s="2614"/>
      <c r="CF160" s="2614"/>
      <c r="CG160" s="2571"/>
      <c r="CH160" s="2614"/>
      <c r="CI160" s="935"/>
      <c r="CJ160" s="2614"/>
      <c r="CK160" s="2614"/>
      <c r="CL160" s="2614"/>
      <c r="CM160" s="2614"/>
      <c r="CN160" s="2571"/>
      <c r="CO160" s="935"/>
      <c r="CP160" s="2614"/>
      <c r="CQ160" s="2614"/>
      <c r="CR160" s="2571"/>
      <c r="CS160" s="2614"/>
      <c r="CT160" s="935"/>
      <c r="CU160" s="2614"/>
      <c r="CV160" s="2614"/>
      <c r="CW160" s="2571"/>
      <c r="CX160" s="2614"/>
      <c r="CY160" s="935"/>
      <c r="CZ160" s="2614"/>
      <c r="DA160" s="2571"/>
      <c r="DB160" s="2614"/>
      <c r="DC160" s="935"/>
      <c r="DD160" s="2614"/>
      <c r="DE160" s="935"/>
      <c r="DF160" s="2572">
        <f>IFERROR(VLOOKUP(G160,Personalización!$F$18:$H$21,3,0),IFERROR(VLOOKUP(G160,Personalización!$I$18:$K$21,3,0),IFERROR(VLOOKUP(G160,Personalización!$L$18:$N$21,3,0),IFERROR(VLOOKUP(G160,Personalización!$O$18:$Q$20,3,0),0))))</f>
        <v>0</v>
      </c>
    </row>
    <row r="161" spans="1:110" ht="12.75" customHeight="1" x14ac:dyDescent="0.2">
      <c r="A161" s="227">
        <v>161</v>
      </c>
      <c r="B161" s="5988"/>
      <c r="C161" s="560" t="s">
        <v>6317</v>
      </c>
      <c r="D161" s="561"/>
      <c r="F161" s="2611">
        <v>21</v>
      </c>
      <c r="G161" s="326" t="s">
        <v>2567</v>
      </c>
      <c r="H161" s="2571"/>
      <c r="I161" s="2614"/>
      <c r="J161" s="935"/>
      <c r="K161" s="2614"/>
      <c r="L161" s="2614"/>
      <c r="M161" s="2571"/>
      <c r="N161" s="2614"/>
      <c r="O161" s="935"/>
      <c r="P161" s="2614"/>
      <c r="Q161" s="2614"/>
      <c r="R161" s="2571"/>
      <c r="S161" s="935"/>
      <c r="T161" s="2614"/>
      <c r="U161" s="2571"/>
      <c r="V161" s="935"/>
      <c r="W161" s="2614"/>
      <c r="X161" s="2614"/>
      <c r="Y161" s="2569"/>
      <c r="Z161" s="2420"/>
      <c r="AA161" s="2570"/>
      <c r="AB161" s="2420"/>
      <c r="AC161" s="2420"/>
      <c r="AD161" s="2569"/>
      <c r="AE161" s="2570"/>
      <c r="AF161" s="2420"/>
      <c r="AG161" s="2420"/>
      <c r="AH161" s="2420"/>
      <c r="AI161" s="2569"/>
      <c r="AJ161" s="2420"/>
      <c r="AK161" s="2570"/>
      <c r="AL161" s="2420"/>
      <c r="AM161" s="2420"/>
      <c r="AN161" s="2420"/>
      <c r="AO161" s="2420"/>
      <c r="AP161" s="2571"/>
      <c r="AQ161" s="2614"/>
      <c r="AR161" s="935"/>
      <c r="AS161" s="2614"/>
      <c r="AT161" s="2614"/>
      <c r="AU161" s="2571"/>
      <c r="AV161" s="2614"/>
      <c r="AW161" s="935"/>
      <c r="AX161" s="2614"/>
      <c r="AY161" s="2614"/>
      <c r="AZ161" s="2571"/>
      <c r="BA161" s="935"/>
      <c r="BB161" s="2614"/>
      <c r="BC161" s="2614"/>
      <c r="BD161" s="2571"/>
      <c r="BE161" s="935"/>
      <c r="BF161" s="2614"/>
      <c r="BG161" s="2614"/>
      <c r="BH161" s="936"/>
      <c r="BI161" s="2571"/>
      <c r="BJ161" s="935"/>
      <c r="BK161" s="2614"/>
      <c r="BL161" s="2614"/>
      <c r="BM161" s="936"/>
      <c r="BN161" s="2614"/>
      <c r="BO161" s="2614"/>
      <c r="BP161" s="2571"/>
      <c r="BQ161" s="2614"/>
      <c r="BR161" s="935"/>
      <c r="BS161" s="2614"/>
      <c r="BT161" s="2614"/>
      <c r="BU161" s="2571"/>
      <c r="BV161" s="2614"/>
      <c r="BW161" s="2614"/>
      <c r="BX161" s="935"/>
      <c r="BY161" s="2614"/>
      <c r="BZ161" s="2614"/>
      <c r="CA161" s="2614"/>
      <c r="CB161" s="2571"/>
      <c r="CC161" s="2614"/>
      <c r="CD161" s="935"/>
      <c r="CE161" s="2614"/>
      <c r="CF161" s="2614"/>
      <c r="CG161" s="2571"/>
      <c r="CH161" s="2614"/>
      <c r="CI161" s="935"/>
      <c r="CJ161" s="2614"/>
      <c r="CK161" s="2614"/>
      <c r="CL161" s="2614"/>
      <c r="CM161" s="2614"/>
      <c r="CN161" s="2571"/>
      <c r="CO161" s="935"/>
      <c r="CP161" s="2614"/>
      <c r="CQ161" s="2614"/>
      <c r="CR161" s="2571"/>
      <c r="CS161" s="2614"/>
      <c r="CT161" s="935"/>
      <c r="CU161" s="2614"/>
      <c r="CV161" s="2614"/>
      <c r="CW161" s="2571"/>
      <c r="CX161" s="2614"/>
      <c r="CY161" s="935"/>
      <c r="CZ161" s="2614"/>
      <c r="DA161" s="2571"/>
      <c r="DB161" s="2614"/>
      <c r="DC161" s="935"/>
      <c r="DD161" s="2614"/>
      <c r="DE161" s="935"/>
      <c r="DF161" s="2572">
        <f>IFERROR(VLOOKUP(G161,Personalización!$F$18:$H$21,3,0),IFERROR(VLOOKUP(G161,Personalización!$I$18:$K$21,3,0),IFERROR(VLOOKUP(G161,Personalización!$L$18:$N$21,3,0),IFERROR(VLOOKUP(G161,Personalización!$O$18:$Q$20,3,0),0))))</f>
        <v>0</v>
      </c>
    </row>
    <row r="162" spans="1:110" ht="12.75" customHeight="1" x14ac:dyDescent="0.2">
      <c r="A162" s="227">
        <v>162</v>
      </c>
      <c r="B162" s="5988"/>
      <c r="C162" s="560" t="s">
        <v>6353</v>
      </c>
      <c r="D162" s="561"/>
      <c r="F162" s="2611">
        <v>22</v>
      </c>
      <c r="G162" s="326" t="s">
        <v>1438</v>
      </c>
      <c r="H162" s="2571"/>
      <c r="I162" s="2614"/>
      <c r="J162" s="935"/>
      <c r="K162" s="2614">
        <v>20</v>
      </c>
      <c r="L162" s="2614">
        <v>20</v>
      </c>
      <c r="M162" s="2571">
        <v>20</v>
      </c>
      <c r="N162" s="2614">
        <v>40</v>
      </c>
      <c r="O162" s="935"/>
      <c r="P162" s="2614"/>
      <c r="Q162" s="2614"/>
      <c r="R162" s="2571">
        <v>20</v>
      </c>
      <c r="S162" s="935"/>
      <c r="T162" s="2614">
        <v>20</v>
      </c>
      <c r="U162" s="2571"/>
      <c r="V162" s="935"/>
      <c r="W162" s="2614">
        <v>20</v>
      </c>
      <c r="X162" s="2614"/>
      <c r="Y162" s="2569"/>
      <c r="Z162" s="2420"/>
      <c r="AA162" s="2570"/>
      <c r="AB162" s="2420"/>
      <c r="AC162" s="2420"/>
      <c r="AD162" s="2569"/>
      <c r="AE162" s="2570"/>
      <c r="AF162" s="2420">
        <v>10</v>
      </c>
      <c r="AG162" s="2420"/>
      <c r="AH162" s="2420"/>
      <c r="AI162" s="2569"/>
      <c r="AJ162" s="2420"/>
      <c r="AK162" s="2570"/>
      <c r="AL162" s="2420">
        <v>30</v>
      </c>
      <c r="AM162" s="2420"/>
      <c r="AN162" s="2420"/>
      <c r="AO162" s="2420"/>
      <c r="AP162" s="2571">
        <v>30</v>
      </c>
      <c r="AQ162" s="2614">
        <v>10</v>
      </c>
      <c r="AR162" s="935">
        <v>20</v>
      </c>
      <c r="AS162" s="2614"/>
      <c r="AT162" s="2614"/>
      <c r="AU162" s="2571"/>
      <c r="AV162" s="2614"/>
      <c r="AW162" s="935"/>
      <c r="AX162" s="2614"/>
      <c r="AY162" s="2614"/>
      <c r="AZ162" s="2571"/>
      <c r="BA162" s="935"/>
      <c r="BB162" s="2614"/>
      <c r="BC162" s="2614"/>
      <c r="BD162" s="2571"/>
      <c r="BE162" s="935"/>
      <c r="BF162" s="2614"/>
      <c r="BG162" s="2614"/>
      <c r="BH162" s="936"/>
      <c r="BI162" s="2571">
        <v>20</v>
      </c>
      <c r="BJ162" s="935"/>
      <c r="BK162" s="2614">
        <v>20</v>
      </c>
      <c r="BL162" s="2614"/>
      <c r="BM162" s="936">
        <v>10</v>
      </c>
      <c r="BN162" s="2614"/>
      <c r="BO162" s="2614"/>
      <c r="BP162" s="2571">
        <v>20</v>
      </c>
      <c r="BQ162" s="2614"/>
      <c r="BR162" s="935"/>
      <c r="BS162" s="2614">
        <v>20</v>
      </c>
      <c r="BT162" s="2614"/>
      <c r="BU162" s="2571"/>
      <c r="BV162" s="2614">
        <v>20</v>
      </c>
      <c r="BW162" s="2614"/>
      <c r="BX162" s="935"/>
      <c r="BY162" s="2614"/>
      <c r="BZ162" s="2614">
        <v>30</v>
      </c>
      <c r="CA162" s="2614"/>
      <c r="CB162" s="2571"/>
      <c r="CC162" s="2614"/>
      <c r="CD162" s="935"/>
      <c r="CE162" s="2614">
        <v>20</v>
      </c>
      <c r="CF162" s="2614">
        <v>20</v>
      </c>
      <c r="CG162" s="2571">
        <v>30</v>
      </c>
      <c r="CH162" s="2614"/>
      <c r="CI162" s="935"/>
      <c r="CJ162" s="2614"/>
      <c r="CK162" s="2614"/>
      <c r="CL162" s="2614"/>
      <c r="CM162" s="2614"/>
      <c r="CN162" s="2571">
        <v>20</v>
      </c>
      <c r="CO162" s="935"/>
      <c r="CP162" s="2614">
        <v>20</v>
      </c>
      <c r="CQ162" s="2614"/>
      <c r="CR162" s="2571"/>
      <c r="CS162" s="2614"/>
      <c r="CT162" s="935"/>
      <c r="CU162" s="2614"/>
      <c r="CV162" s="2614"/>
      <c r="CW162" s="2571"/>
      <c r="CX162" s="2614"/>
      <c r="CY162" s="935"/>
      <c r="CZ162" s="2614"/>
      <c r="DA162" s="2571"/>
      <c r="DB162" s="2614"/>
      <c r="DC162" s="935"/>
      <c r="DD162" s="2614"/>
      <c r="DE162" s="935"/>
      <c r="DF162" s="2572">
        <f>IFERROR(VLOOKUP(G162,Personalización!$F$18:$H$21,3,0),IFERROR(VLOOKUP(G162,Personalización!$I$18:$K$21,3,0),IFERROR(VLOOKUP(G162,Personalización!$L$18:$N$21,3,0),IFERROR(VLOOKUP(G162,Personalización!$O$18:$Q$20,3,0),0))))</f>
        <v>0</v>
      </c>
    </row>
    <row r="163" spans="1:110" ht="12.75" customHeight="1" x14ac:dyDescent="0.2">
      <c r="A163" s="227">
        <v>163</v>
      </c>
      <c r="B163" s="5988"/>
      <c r="C163" s="560" t="s">
        <v>6318</v>
      </c>
      <c r="D163" s="561"/>
      <c r="F163" s="2611">
        <v>23</v>
      </c>
      <c r="G163" s="326" t="s">
        <v>1440</v>
      </c>
      <c r="H163" s="2571" t="s">
        <v>6387</v>
      </c>
      <c r="I163" s="2614" t="s">
        <v>6387</v>
      </c>
      <c r="J163" s="935" t="s">
        <v>6387</v>
      </c>
      <c r="K163" s="2614">
        <v>20</v>
      </c>
      <c r="L163" s="2614"/>
      <c r="M163" s="2571"/>
      <c r="N163" s="2614"/>
      <c r="O163" s="935"/>
      <c r="P163" s="2614" t="s">
        <v>6387</v>
      </c>
      <c r="Q163" s="2614" t="s">
        <v>6387</v>
      </c>
      <c r="R163" s="2571"/>
      <c r="S163" s="935" t="s">
        <v>6387</v>
      </c>
      <c r="T163" s="2614"/>
      <c r="U163" s="2571" t="s">
        <v>6387</v>
      </c>
      <c r="V163" s="935" t="s">
        <v>6387</v>
      </c>
      <c r="W163" s="2614"/>
      <c r="X163" s="2614" t="s">
        <v>6387</v>
      </c>
      <c r="Y163" s="2569" t="s">
        <v>6387</v>
      </c>
      <c r="Z163" s="2420" t="s">
        <v>6387</v>
      </c>
      <c r="AA163" s="2570" t="s">
        <v>6387</v>
      </c>
      <c r="AB163" s="2420"/>
      <c r="AC163" s="2420" t="s">
        <v>6387</v>
      </c>
      <c r="AD163" s="2569" t="s">
        <v>6387</v>
      </c>
      <c r="AE163" s="2570" t="s">
        <v>6387</v>
      </c>
      <c r="AF163" s="2420"/>
      <c r="AG163" s="2420"/>
      <c r="AH163" s="2420"/>
      <c r="AI163" s="2569"/>
      <c r="AJ163" s="2420"/>
      <c r="AK163" s="2570" t="s">
        <v>6387</v>
      </c>
      <c r="AL163" s="2420" t="s">
        <v>6387</v>
      </c>
      <c r="AM163" s="2420" t="s">
        <v>6387</v>
      </c>
      <c r="AN163" s="2420"/>
      <c r="AO163" s="2420" t="s">
        <v>6387</v>
      </c>
      <c r="AP163" s="2571"/>
      <c r="AQ163" s="2614"/>
      <c r="AR163" s="935"/>
      <c r="AS163" s="2614"/>
      <c r="AT163" s="2614"/>
      <c r="AU163" s="2571" t="s">
        <v>6387</v>
      </c>
      <c r="AV163" s="2614">
        <v>20</v>
      </c>
      <c r="AW163" s="935">
        <v>20</v>
      </c>
      <c r="AX163" s="2614" t="s">
        <v>6387</v>
      </c>
      <c r="AY163" s="2614" t="s">
        <v>6387</v>
      </c>
      <c r="AZ163" s="2571" t="s">
        <v>6977</v>
      </c>
      <c r="BA163" s="935" t="s">
        <v>6978</v>
      </c>
      <c r="BB163" s="2614" t="s">
        <v>6387</v>
      </c>
      <c r="BC163" s="2614" t="s">
        <v>6388</v>
      </c>
      <c r="BD163" s="2571"/>
      <c r="BE163" s="935" t="s">
        <v>6387</v>
      </c>
      <c r="BF163" s="2614" t="s">
        <v>6387</v>
      </c>
      <c r="BG163" s="2614" t="s">
        <v>6388</v>
      </c>
      <c r="BH163" s="936"/>
      <c r="BI163" s="2571"/>
      <c r="BJ163" s="935"/>
      <c r="BK163" s="2614">
        <v>20</v>
      </c>
      <c r="BL163" s="2614">
        <v>20</v>
      </c>
      <c r="BM163" s="936"/>
      <c r="BN163" s="2614">
        <v>10</v>
      </c>
      <c r="BO163" s="2614"/>
      <c r="BP163" s="2571"/>
      <c r="BQ163" s="2614" t="s">
        <v>6387</v>
      </c>
      <c r="BR163" s="935" t="s">
        <v>6387</v>
      </c>
      <c r="BS163" s="2614"/>
      <c r="BT163" s="2614">
        <v>20</v>
      </c>
      <c r="BU163" s="2571" t="s">
        <v>6387</v>
      </c>
      <c r="BV163" s="2614"/>
      <c r="BW163" s="2614" t="s">
        <v>6387</v>
      </c>
      <c r="BX163" s="935" t="s">
        <v>6388</v>
      </c>
      <c r="BY163" s="2614"/>
      <c r="BZ163" s="2614"/>
      <c r="CA163" s="2614"/>
      <c r="CB163" s="2571" t="s">
        <v>6387</v>
      </c>
      <c r="CC163" s="2614" t="s">
        <v>6387</v>
      </c>
      <c r="CD163" s="935" t="s">
        <v>6387</v>
      </c>
      <c r="CE163" s="2614"/>
      <c r="CF163" s="2614"/>
      <c r="CG163" s="2571"/>
      <c r="CH163" s="2614"/>
      <c r="CI163" s="935" t="s">
        <v>6387</v>
      </c>
      <c r="CJ163" s="2614" t="s">
        <v>6387</v>
      </c>
      <c r="CK163" s="2614" t="s">
        <v>6387</v>
      </c>
      <c r="CL163" s="2614" t="s">
        <v>6387</v>
      </c>
      <c r="CM163" s="2614" t="s">
        <v>6387</v>
      </c>
      <c r="CN163" s="2571" t="s">
        <v>6388</v>
      </c>
      <c r="CO163" s="935" t="s">
        <v>6388</v>
      </c>
      <c r="CP163" s="2614"/>
      <c r="CQ163" s="2614"/>
      <c r="CR163" s="2571" t="s">
        <v>6387</v>
      </c>
      <c r="CS163" s="2614" t="s">
        <v>6387</v>
      </c>
      <c r="CT163" s="935" t="s">
        <v>6387</v>
      </c>
      <c r="CU163" s="2614"/>
      <c r="CV163" s="2614"/>
      <c r="CW163" s="2571"/>
      <c r="CX163" s="2614"/>
      <c r="CY163" s="935"/>
      <c r="CZ163" s="2614"/>
      <c r="DA163" s="2571"/>
      <c r="DB163" s="2614"/>
      <c r="DC163" s="935"/>
      <c r="DD163" s="2614"/>
      <c r="DE163" s="935"/>
      <c r="DF163" s="2572">
        <f>IFERROR(VLOOKUP(G163,Personalización!$F$18:$H$21,3,0),IFERROR(VLOOKUP(G163,Personalización!$I$18:$K$21,3,0),IFERROR(VLOOKUP(G163,Personalización!$L$18:$N$21,3,0),IFERROR(VLOOKUP(G163,Personalización!$O$18:$Q$20,3,0),0))))</f>
        <v>0</v>
      </c>
    </row>
    <row r="164" spans="1:110" ht="12.75" customHeight="1" x14ac:dyDescent="0.2">
      <c r="A164" s="227">
        <v>164</v>
      </c>
      <c r="B164" s="5988"/>
      <c r="C164" s="560" t="s">
        <v>6319</v>
      </c>
      <c r="D164" s="561"/>
      <c r="F164" s="2611">
        <v>24</v>
      </c>
      <c r="G164" s="326" t="s">
        <v>819</v>
      </c>
      <c r="H164" s="2571"/>
      <c r="I164" s="2614"/>
      <c r="J164" s="935"/>
      <c r="K164" s="2614"/>
      <c r="L164" s="2614"/>
      <c r="M164" s="2571"/>
      <c r="N164" s="2614"/>
      <c r="O164" s="935"/>
      <c r="P164" s="2614"/>
      <c r="Q164" s="2614"/>
      <c r="R164" s="2571"/>
      <c r="S164" s="935"/>
      <c r="T164" s="2614"/>
      <c r="U164" s="2571"/>
      <c r="V164" s="935"/>
      <c r="W164" s="2614"/>
      <c r="X164" s="2614"/>
      <c r="Y164" s="2569"/>
      <c r="Z164" s="2420"/>
      <c r="AA164" s="2570"/>
      <c r="AB164" s="2420"/>
      <c r="AC164" s="2420"/>
      <c r="AD164" s="2569"/>
      <c r="AE164" s="2570"/>
      <c r="AF164" s="2420"/>
      <c r="AG164" s="2420"/>
      <c r="AH164" s="2420"/>
      <c r="AI164" s="2569"/>
      <c r="AJ164" s="2420"/>
      <c r="AK164" s="2570"/>
      <c r="AL164" s="2420"/>
      <c r="AM164" s="2420"/>
      <c r="AN164" s="2420"/>
      <c r="AO164" s="2420"/>
      <c r="AP164" s="2571"/>
      <c r="AQ164" s="2614"/>
      <c r="AR164" s="935"/>
      <c r="AS164" s="2614"/>
      <c r="AT164" s="2614"/>
      <c r="AU164" s="2571"/>
      <c r="AV164" s="2614"/>
      <c r="AW164" s="935"/>
      <c r="AX164" s="2614"/>
      <c r="AY164" s="2614"/>
      <c r="AZ164" s="2571"/>
      <c r="BA164" s="935"/>
      <c r="BB164" s="2614"/>
      <c r="BC164" s="2614"/>
      <c r="BD164" s="2571"/>
      <c r="BE164" s="935"/>
      <c r="BF164" s="2614"/>
      <c r="BG164" s="2614"/>
      <c r="BH164" s="936"/>
      <c r="BI164" s="2571"/>
      <c r="BJ164" s="935"/>
      <c r="BK164" s="2614"/>
      <c r="BL164" s="2614"/>
      <c r="BM164" s="936"/>
      <c r="BN164" s="2614"/>
      <c r="BO164" s="2614"/>
      <c r="BP164" s="2571"/>
      <c r="BQ164" s="2614"/>
      <c r="BR164" s="935"/>
      <c r="BS164" s="2614"/>
      <c r="BT164" s="2614"/>
      <c r="BU164" s="2571"/>
      <c r="BV164" s="2614"/>
      <c r="BW164" s="2614"/>
      <c r="BX164" s="935"/>
      <c r="BY164" s="2614"/>
      <c r="BZ164" s="2614"/>
      <c r="CA164" s="2614"/>
      <c r="CB164" s="2571"/>
      <c r="CC164" s="2614"/>
      <c r="CD164" s="935"/>
      <c r="CE164" s="2614"/>
      <c r="CF164" s="2614"/>
      <c r="CG164" s="2571"/>
      <c r="CH164" s="2614"/>
      <c r="CI164" s="935"/>
      <c r="CJ164" s="2614"/>
      <c r="CK164" s="2614"/>
      <c r="CL164" s="2614"/>
      <c r="CM164" s="2614"/>
      <c r="CN164" s="2571"/>
      <c r="CO164" s="935"/>
      <c r="CP164" s="2614"/>
      <c r="CQ164" s="2614"/>
      <c r="CR164" s="2571"/>
      <c r="CS164" s="2614"/>
      <c r="CT164" s="935"/>
      <c r="CU164" s="2614"/>
      <c r="CV164" s="2614"/>
      <c r="CW164" s="2571"/>
      <c r="CX164" s="2614"/>
      <c r="CY164" s="935"/>
      <c r="CZ164" s="2614"/>
      <c r="DA164" s="2571"/>
      <c r="DB164" s="2614"/>
      <c r="DC164" s="935"/>
      <c r="DD164" s="2614"/>
      <c r="DE164" s="935"/>
      <c r="DF164" s="2572">
        <f>IFERROR(VLOOKUP(G164,Personalización!$F$18:$H$21,3,0),IFERROR(VLOOKUP(G164,Personalización!$I$18:$K$21,3,0),IFERROR(VLOOKUP(G164,Personalización!$L$18:$N$21,3,0),IFERROR(VLOOKUP(G164,Personalización!$O$18:$Q$20,3,0),0))))</f>
        <v>0</v>
      </c>
    </row>
    <row r="165" spans="1:110" ht="12.75" customHeight="1" x14ac:dyDescent="0.2">
      <c r="A165" s="227">
        <v>165</v>
      </c>
      <c r="B165" s="5988"/>
      <c r="C165" s="560" t="s">
        <v>6354</v>
      </c>
      <c r="D165" s="561"/>
      <c r="F165" s="2611">
        <v>25</v>
      </c>
      <c r="G165" s="326" t="s">
        <v>1443</v>
      </c>
      <c r="H165" s="2571"/>
      <c r="I165" s="2614"/>
      <c r="J165" s="935"/>
      <c r="K165" s="2614">
        <v>20</v>
      </c>
      <c r="L165" s="2614"/>
      <c r="M165" s="2571"/>
      <c r="N165" s="2614"/>
      <c r="O165" s="935"/>
      <c r="P165" s="2614"/>
      <c r="Q165" s="2614"/>
      <c r="R165" s="2571"/>
      <c r="S165" s="935"/>
      <c r="T165" s="2614"/>
      <c r="U165" s="2571"/>
      <c r="V165" s="935"/>
      <c r="W165" s="2614"/>
      <c r="X165" s="2614"/>
      <c r="Y165" s="2569"/>
      <c r="Z165" s="2420"/>
      <c r="AA165" s="2570"/>
      <c r="AB165" s="2420"/>
      <c r="AC165" s="2420"/>
      <c r="AD165" s="2569"/>
      <c r="AE165" s="2570"/>
      <c r="AF165" s="2420"/>
      <c r="AG165" s="2420"/>
      <c r="AH165" s="2420"/>
      <c r="AI165" s="2569"/>
      <c r="AJ165" s="2420"/>
      <c r="AK165" s="2570"/>
      <c r="AL165" s="2420"/>
      <c r="AM165" s="2420"/>
      <c r="AN165" s="2420"/>
      <c r="AO165" s="2420"/>
      <c r="AP165" s="2571"/>
      <c r="AQ165" s="2614"/>
      <c r="AR165" s="935"/>
      <c r="AS165" s="2614"/>
      <c r="AT165" s="2614"/>
      <c r="AU165" s="2571"/>
      <c r="AV165" s="2614"/>
      <c r="AW165" s="935"/>
      <c r="AX165" s="2614"/>
      <c r="AY165" s="2614"/>
      <c r="AZ165" s="2571"/>
      <c r="BA165" s="935"/>
      <c r="BB165" s="2614"/>
      <c r="BC165" s="2614"/>
      <c r="BD165" s="2571"/>
      <c r="BE165" s="935"/>
      <c r="BF165" s="2614"/>
      <c r="BG165" s="2614"/>
      <c r="BH165" s="936"/>
      <c r="BI165" s="2571"/>
      <c r="BJ165" s="935"/>
      <c r="BK165" s="2614"/>
      <c r="BL165" s="2614"/>
      <c r="BM165" s="936"/>
      <c r="BN165" s="2614"/>
      <c r="BO165" s="2614"/>
      <c r="BP165" s="2571"/>
      <c r="BQ165" s="2614"/>
      <c r="BR165" s="935"/>
      <c r="BS165" s="2614"/>
      <c r="BT165" s="2614"/>
      <c r="BU165" s="2571"/>
      <c r="BV165" s="2614"/>
      <c r="BW165" s="2614"/>
      <c r="BX165" s="935"/>
      <c r="BY165" s="2614"/>
      <c r="BZ165" s="2614"/>
      <c r="CA165" s="2614"/>
      <c r="CB165" s="2571"/>
      <c r="CC165" s="2614"/>
      <c r="CD165" s="935"/>
      <c r="CE165" s="2614"/>
      <c r="CF165" s="2614"/>
      <c r="CG165" s="2571"/>
      <c r="CH165" s="2614"/>
      <c r="CI165" s="935"/>
      <c r="CJ165" s="2614"/>
      <c r="CK165" s="2614"/>
      <c r="CL165" s="2614"/>
      <c r="CM165" s="2614"/>
      <c r="CN165" s="2571"/>
      <c r="CO165" s="935"/>
      <c r="CP165" s="2614"/>
      <c r="CQ165" s="2614"/>
      <c r="CR165" s="2571"/>
      <c r="CS165" s="2614"/>
      <c r="CT165" s="935"/>
      <c r="CU165" s="2614"/>
      <c r="CV165" s="2614"/>
      <c r="CW165" s="2571"/>
      <c r="CX165" s="2614"/>
      <c r="CY165" s="935"/>
      <c r="CZ165" s="2614">
        <v>20</v>
      </c>
      <c r="DA165" s="2571"/>
      <c r="DB165" s="2614"/>
      <c r="DC165" s="935"/>
      <c r="DD165" s="2614"/>
      <c r="DE165" s="935"/>
      <c r="DF165" s="2572">
        <f>IFERROR(VLOOKUP(G165,Personalización!$F$18:$H$21,3,0),IFERROR(VLOOKUP(G165,Personalización!$I$18:$K$21,3,0),IFERROR(VLOOKUP(G165,Personalización!$L$18:$N$21,3,0),IFERROR(VLOOKUP(G165,Personalización!$O$18:$Q$20,3,0),0))))</f>
        <v>0</v>
      </c>
    </row>
    <row r="166" spans="1:110" ht="12.75" customHeight="1" x14ac:dyDescent="0.2">
      <c r="A166" s="227">
        <v>166</v>
      </c>
      <c r="B166" s="5988"/>
      <c r="C166" s="560" t="s">
        <v>6320</v>
      </c>
      <c r="D166" s="561"/>
      <c r="F166" s="2611">
        <v>26</v>
      </c>
      <c r="G166" s="326" t="s">
        <v>1444</v>
      </c>
      <c r="H166" s="2571"/>
      <c r="I166" s="2614"/>
      <c r="J166" s="935"/>
      <c r="K166" s="2614">
        <v>20</v>
      </c>
      <c r="L166" s="2614">
        <v>20</v>
      </c>
      <c r="M166" s="2571"/>
      <c r="N166" s="2614"/>
      <c r="O166" s="935"/>
      <c r="P166" s="2614"/>
      <c r="Q166" s="2614"/>
      <c r="R166" s="2571"/>
      <c r="S166" s="935"/>
      <c r="T166" s="2614"/>
      <c r="U166" s="2571"/>
      <c r="V166" s="935"/>
      <c r="W166" s="2614"/>
      <c r="X166" s="2614"/>
      <c r="Y166" s="2569"/>
      <c r="Z166" s="2420"/>
      <c r="AA166" s="2570"/>
      <c r="AB166" s="2420"/>
      <c r="AC166" s="2420"/>
      <c r="AD166" s="2569"/>
      <c r="AE166" s="2570"/>
      <c r="AF166" s="2420"/>
      <c r="AG166" s="2420"/>
      <c r="AH166" s="2420"/>
      <c r="AI166" s="2569"/>
      <c r="AJ166" s="2420"/>
      <c r="AK166" s="2570"/>
      <c r="AL166" s="2420"/>
      <c r="AM166" s="2420"/>
      <c r="AN166" s="2420">
        <v>20</v>
      </c>
      <c r="AO166" s="2420"/>
      <c r="AP166" s="2571"/>
      <c r="AQ166" s="2614"/>
      <c r="AR166" s="935"/>
      <c r="AS166" s="2614"/>
      <c r="AT166" s="2614"/>
      <c r="AU166" s="2571"/>
      <c r="AV166" s="2614"/>
      <c r="AW166" s="935"/>
      <c r="AX166" s="2614"/>
      <c r="AY166" s="2614"/>
      <c r="AZ166" s="2571"/>
      <c r="BA166" s="935"/>
      <c r="BB166" s="2614"/>
      <c r="BC166" s="2614"/>
      <c r="BD166" s="2571"/>
      <c r="BE166" s="935"/>
      <c r="BF166" s="2614"/>
      <c r="BG166" s="2614"/>
      <c r="BH166" s="936"/>
      <c r="BI166" s="2571"/>
      <c r="BJ166" s="935"/>
      <c r="BK166" s="2614">
        <v>20</v>
      </c>
      <c r="BL166" s="2614">
        <v>20</v>
      </c>
      <c r="BM166" s="936"/>
      <c r="BN166" s="2614">
        <v>20</v>
      </c>
      <c r="BO166" s="2614"/>
      <c r="BP166" s="2571"/>
      <c r="BQ166" s="2614"/>
      <c r="BR166" s="935"/>
      <c r="BS166" s="2614"/>
      <c r="BT166" s="2614"/>
      <c r="BU166" s="2571"/>
      <c r="BV166" s="2614"/>
      <c r="BW166" s="2614"/>
      <c r="BX166" s="935"/>
      <c r="BY166" s="2614"/>
      <c r="BZ166" s="2614"/>
      <c r="CA166" s="2614"/>
      <c r="CB166" s="2571"/>
      <c r="CC166" s="2614"/>
      <c r="CD166" s="935"/>
      <c r="CE166" s="2614"/>
      <c r="CF166" s="2614"/>
      <c r="CG166" s="2571"/>
      <c r="CH166" s="2614"/>
      <c r="CI166" s="935"/>
      <c r="CJ166" s="2614"/>
      <c r="CK166" s="2614"/>
      <c r="CL166" s="2614"/>
      <c r="CM166" s="2614"/>
      <c r="CN166" s="2571"/>
      <c r="CO166" s="935"/>
      <c r="CP166" s="2614"/>
      <c r="CQ166" s="2614"/>
      <c r="CR166" s="2571"/>
      <c r="CS166" s="2614"/>
      <c r="CT166" s="935"/>
      <c r="CU166" s="2614"/>
      <c r="CV166" s="2614"/>
      <c r="CW166" s="2571"/>
      <c r="CX166" s="2614"/>
      <c r="CY166" s="935"/>
      <c r="CZ166" s="2614"/>
      <c r="DA166" s="2571"/>
      <c r="DB166" s="2614"/>
      <c r="DC166" s="935"/>
      <c r="DD166" s="2614"/>
      <c r="DE166" s="935"/>
      <c r="DF166" s="2572">
        <f>IFERROR(VLOOKUP(G166,Personalización!$F$18:$H$21,3,0),IFERROR(VLOOKUP(G166,Personalización!$I$18:$K$21,3,0),IFERROR(VLOOKUP(G166,Personalización!$L$18:$N$21,3,0),IFERROR(VLOOKUP(G166,Personalización!$O$18:$Q$20,3,0),0))))</f>
        <v>0</v>
      </c>
    </row>
    <row r="167" spans="1:110" ht="12.75" customHeight="1" x14ac:dyDescent="0.2">
      <c r="A167" s="227">
        <v>167</v>
      </c>
      <c r="B167" s="5988"/>
      <c r="C167" s="560" t="s">
        <v>6321</v>
      </c>
      <c r="D167" s="561"/>
      <c r="F167" s="2611">
        <v>27</v>
      </c>
      <c r="G167" s="326" t="s">
        <v>1445</v>
      </c>
      <c r="H167" s="2571"/>
      <c r="I167" s="2614"/>
      <c r="J167" s="935"/>
      <c r="K167" s="2614"/>
      <c r="L167" s="2614"/>
      <c r="M167" s="2571"/>
      <c r="N167" s="2614"/>
      <c r="O167" s="935"/>
      <c r="P167" s="2614"/>
      <c r="Q167" s="2614"/>
      <c r="R167" s="2571"/>
      <c r="S167" s="935"/>
      <c r="T167" s="2614"/>
      <c r="U167" s="2571">
        <v>30</v>
      </c>
      <c r="V167" s="935">
        <v>10</v>
      </c>
      <c r="W167" s="2614">
        <v>30</v>
      </c>
      <c r="X167" s="2614">
        <v>40</v>
      </c>
      <c r="Y167" s="2569"/>
      <c r="Z167" s="2420"/>
      <c r="AA167" s="2570"/>
      <c r="AB167" s="2420"/>
      <c r="AC167" s="2420"/>
      <c r="AD167" s="2569"/>
      <c r="AE167" s="2570"/>
      <c r="AF167" s="2420"/>
      <c r="AG167" s="2420"/>
      <c r="AH167" s="2420"/>
      <c r="AI167" s="2569"/>
      <c r="AJ167" s="2420">
        <v>20</v>
      </c>
      <c r="AK167" s="2570"/>
      <c r="AL167" s="2420"/>
      <c r="AM167" s="2420"/>
      <c r="AN167" s="2420"/>
      <c r="AO167" s="2420"/>
      <c r="AP167" s="2571"/>
      <c r="AQ167" s="2614"/>
      <c r="AR167" s="935"/>
      <c r="AS167" s="2614">
        <v>20</v>
      </c>
      <c r="AT167" s="2614"/>
      <c r="AU167" s="2571"/>
      <c r="AV167" s="2614"/>
      <c r="AW167" s="935"/>
      <c r="AX167" s="2614">
        <v>20</v>
      </c>
      <c r="AY167" s="2614"/>
      <c r="AZ167" s="2571"/>
      <c r="BA167" s="935"/>
      <c r="BB167" s="2614"/>
      <c r="BC167" s="2614"/>
      <c r="BD167" s="2571"/>
      <c r="BE167" s="935"/>
      <c r="BF167" s="2614"/>
      <c r="BG167" s="2614"/>
      <c r="BH167" s="936"/>
      <c r="BI167" s="2571"/>
      <c r="BJ167" s="935"/>
      <c r="BK167" s="2614"/>
      <c r="BL167" s="2614"/>
      <c r="BM167" s="936"/>
      <c r="BN167" s="2614"/>
      <c r="BO167" s="2614"/>
      <c r="BP167" s="2571"/>
      <c r="BQ167" s="2614"/>
      <c r="BR167" s="935"/>
      <c r="BS167" s="2614"/>
      <c r="BT167" s="2614"/>
      <c r="BU167" s="2571"/>
      <c r="BV167" s="2614"/>
      <c r="BW167" s="2614"/>
      <c r="BX167" s="935"/>
      <c r="BY167" s="2614"/>
      <c r="BZ167" s="2614"/>
      <c r="CA167" s="2614"/>
      <c r="CB167" s="2571">
        <v>30</v>
      </c>
      <c r="CC167" s="2614">
        <v>30</v>
      </c>
      <c r="CD167" s="935">
        <v>30</v>
      </c>
      <c r="CE167" s="2614"/>
      <c r="CF167" s="2614"/>
      <c r="CG167" s="2571"/>
      <c r="CH167" s="2614"/>
      <c r="CI167" s="935"/>
      <c r="CJ167" s="2614"/>
      <c r="CK167" s="2614"/>
      <c r="CL167" s="2614"/>
      <c r="CM167" s="2614"/>
      <c r="CN167" s="2571"/>
      <c r="CO167" s="935"/>
      <c r="CP167" s="2614"/>
      <c r="CQ167" s="2614"/>
      <c r="CR167" s="2571"/>
      <c r="CS167" s="2614"/>
      <c r="CT167" s="935"/>
      <c r="CU167" s="2614"/>
      <c r="CV167" s="2614"/>
      <c r="CW167" s="2571"/>
      <c r="CX167" s="2614"/>
      <c r="CY167" s="935"/>
      <c r="CZ167" s="2614"/>
      <c r="DA167" s="2571"/>
      <c r="DB167" s="2614"/>
      <c r="DC167" s="935"/>
      <c r="DD167" s="2614"/>
      <c r="DE167" s="935"/>
      <c r="DF167" s="2572">
        <f>IFERROR(VLOOKUP(G167,Personalización!$F$18:$H$21,3,0),IFERROR(VLOOKUP(G167,Personalización!$I$18:$K$21,3,0),IFERROR(VLOOKUP(G167,Personalización!$L$18:$N$21,3,0),IFERROR(VLOOKUP(G167,Personalización!$O$18:$Q$20,3,0),0))))</f>
        <v>0</v>
      </c>
    </row>
    <row r="168" spans="1:110" ht="12.75" customHeight="1" x14ac:dyDescent="0.2">
      <c r="A168" s="227">
        <v>168</v>
      </c>
      <c r="B168" s="5988"/>
      <c r="C168" s="560" t="s">
        <v>6322</v>
      </c>
      <c r="D168" s="561"/>
      <c r="F168" s="2611">
        <v>28</v>
      </c>
      <c r="G168" s="326" t="s">
        <v>1446</v>
      </c>
      <c r="H168" s="2571"/>
      <c r="I168" s="2614"/>
      <c r="J168" s="935"/>
      <c r="K168" s="2614"/>
      <c r="L168" s="2614"/>
      <c r="M168" s="2571"/>
      <c r="N168" s="2614"/>
      <c r="O168" s="935"/>
      <c r="P168" s="2614"/>
      <c r="Q168" s="2614"/>
      <c r="R168" s="2571"/>
      <c r="S168" s="935"/>
      <c r="T168" s="2614"/>
      <c r="U168" s="2571"/>
      <c r="V168" s="935"/>
      <c r="W168" s="2614"/>
      <c r="X168" s="2614"/>
      <c r="Y168" s="2569"/>
      <c r="Z168" s="2420"/>
      <c r="AA168" s="2570"/>
      <c r="AB168" s="2420"/>
      <c r="AC168" s="2420"/>
      <c r="AD168" s="2569" t="s">
        <v>6389</v>
      </c>
      <c r="AE168" s="2570" t="s">
        <v>6389</v>
      </c>
      <c r="AF168" s="2420"/>
      <c r="AG168" s="2420"/>
      <c r="AH168" s="2420"/>
      <c r="AI168" s="2569"/>
      <c r="AJ168" s="2420"/>
      <c r="AK168" s="2570"/>
      <c r="AL168" s="2420"/>
      <c r="AM168" s="2420"/>
      <c r="AN168" s="2420"/>
      <c r="AO168" s="2420"/>
      <c r="AP168" s="2571" t="s">
        <v>6394</v>
      </c>
      <c r="AQ168" s="2614" t="s">
        <v>6395</v>
      </c>
      <c r="AR168" s="935" t="s">
        <v>6396</v>
      </c>
      <c r="AS168" s="2614"/>
      <c r="AT168" s="2614"/>
      <c r="AU168" s="2571"/>
      <c r="AV168" s="2614"/>
      <c r="AW168" s="935"/>
      <c r="AX168" s="2614"/>
      <c r="AY168" s="2614"/>
      <c r="AZ168" s="2571" t="s">
        <v>6390</v>
      </c>
      <c r="BA168" s="935" t="s">
        <v>6391</v>
      </c>
      <c r="BB168" s="2614" t="s">
        <v>6392</v>
      </c>
      <c r="BC168" s="2614" t="s">
        <v>6389</v>
      </c>
      <c r="BD168" s="2571" t="s">
        <v>6393</v>
      </c>
      <c r="BE168" s="935" t="s">
        <v>6389</v>
      </c>
      <c r="BF168" s="2614" t="s">
        <v>6389</v>
      </c>
      <c r="BG168" s="2614" t="s">
        <v>6392</v>
      </c>
      <c r="BH168" s="936"/>
      <c r="BI168" s="2571"/>
      <c r="BJ168" s="935"/>
      <c r="BK168" s="2614"/>
      <c r="BL168" s="2614"/>
      <c r="BM168" s="936"/>
      <c r="BN168" s="2614"/>
      <c r="BO168" s="2614"/>
      <c r="BP168" s="2571" t="s">
        <v>6389</v>
      </c>
      <c r="BQ168" s="2614"/>
      <c r="BR168" s="935"/>
      <c r="BS168" s="2614"/>
      <c r="BT168" s="2614">
        <v>10</v>
      </c>
      <c r="BU168" s="2571"/>
      <c r="BV168" s="2614"/>
      <c r="BW168" s="2614"/>
      <c r="BX168" s="935"/>
      <c r="BY168" s="2614"/>
      <c r="BZ168" s="2614"/>
      <c r="CA168" s="2614"/>
      <c r="CB168" s="2571"/>
      <c r="CC168" s="2614"/>
      <c r="CD168" s="935"/>
      <c r="CE168" s="2614"/>
      <c r="CF168" s="2614"/>
      <c r="CG168" s="2571"/>
      <c r="CH168" s="2614"/>
      <c r="CI168" s="935"/>
      <c r="CJ168" s="2614">
        <v>20</v>
      </c>
      <c r="CK168" s="2614">
        <v>20</v>
      </c>
      <c r="CL168" s="2614">
        <v>20</v>
      </c>
      <c r="CM168" s="2614">
        <v>20</v>
      </c>
      <c r="CN168" s="2571"/>
      <c r="CO168" s="935"/>
      <c r="CP168" s="2614"/>
      <c r="CQ168" s="2614">
        <v>20</v>
      </c>
      <c r="CR168" s="2571"/>
      <c r="CS168" s="2614"/>
      <c r="CT168" s="935"/>
      <c r="CU168" s="2614"/>
      <c r="CV168" s="2614"/>
      <c r="CW168" s="2571">
        <v>20</v>
      </c>
      <c r="CX168" s="2614">
        <v>20</v>
      </c>
      <c r="CY168" s="935">
        <v>20</v>
      </c>
      <c r="CZ168" s="2614" t="s">
        <v>6397</v>
      </c>
      <c r="DA168" s="2571"/>
      <c r="DB168" s="2614"/>
      <c r="DC168" s="935">
        <v>30</v>
      </c>
      <c r="DD168" s="2614">
        <v>20</v>
      </c>
      <c r="DE168" s="935">
        <v>20</v>
      </c>
      <c r="DF168" s="2572">
        <f>IFERROR(VLOOKUP(G168,Personalización!$F$18:$H$21,3,0),IFERROR(VLOOKUP(G168,Personalización!$I$18:$K$21,3,0),IFERROR(VLOOKUP(G168,Personalización!$L$18:$N$21,3,0),IFERROR(VLOOKUP(G168,Personalización!$O$18:$Q$20,3,0),0))))</f>
        <v>0</v>
      </c>
    </row>
    <row r="169" spans="1:110" ht="12.75" customHeight="1" x14ac:dyDescent="0.2">
      <c r="A169" s="227">
        <v>169</v>
      </c>
      <c r="B169" s="5988"/>
      <c r="C169" s="560" t="s">
        <v>6358</v>
      </c>
      <c r="D169" s="561"/>
      <c r="F169" s="2611">
        <v>29</v>
      </c>
      <c r="G169" s="326" t="s">
        <v>1447</v>
      </c>
      <c r="H169" s="2571"/>
      <c r="I169" s="2614">
        <v>30</v>
      </c>
      <c r="J169" s="935"/>
      <c r="K169" s="2614"/>
      <c r="L169" s="2614"/>
      <c r="M169" s="2571"/>
      <c r="N169" s="2614"/>
      <c r="O169" s="935"/>
      <c r="P169" s="2614"/>
      <c r="Q169" s="2614"/>
      <c r="R169" s="2571"/>
      <c r="S169" s="935"/>
      <c r="T169" s="2614"/>
      <c r="U169" s="2571">
        <v>40</v>
      </c>
      <c r="V169" s="935">
        <v>40</v>
      </c>
      <c r="W169" s="2614"/>
      <c r="X169" s="2614"/>
      <c r="Y169" s="2569"/>
      <c r="Z169" s="2420">
        <v>40</v>
      </c>
      <c r="AA169" s="2570"/>
      <c r="AB169" s="2420"/>
      <c r="AC169" s="2420">
        <v>20</v>
      </c>
      <c r="AD169" s="2569"/>
      <c r="AE169" s="2570"/>
      <c r="AF169" s="2420"/>
      <c r="AG169" s="2420"/>
      <c r="AH169" s="2420"/>
      <c r="AI169" s="2569"/>
      <c r="AJ169" s="2420"/>
      <c r="AK169" s="2570"/>
      <c r="AL169" s="2420"/>
      <c r="AM169" s="2420"/>
      <c r="AN169" s="2420"/>
      <c r="AO169" s="2420">
        <v>20</v>
      </c>
      <c r="AP169" s="2571"/>
      <c r="AQ169" s="2614">
        <v>20</v>
      </c>
      <c r="AR169" s="935"/>
      <c r="AS169" s="2614"/>
      <c r="AT169" s="2614">
        <v>30</v>
      </c>
      <c r="AU169" s="2571"/>
      <c r="AV169" s="2614">
        <v>20</v>
      </c>
      <c r="AW169" s="935"/>
      <c r="AX169" s="2614"/>
      <c r="AY169" s="2614">
        <v>20</v>
      </c>
      <c r="AZ169" s="2571"/>
      <c r="BA169" s="935"/>
      <c r="BB169" s="2614"/>
      <c r="BC169" s="2614"/>
      <c r="BD169" s="2571"/>
      <c r="BE169" s="935">
        <v>30</v>
      </c>
      <c r="BF169" s="2614">
        <v>10</v>
      </c>
      <c r="BG169" s="2614"/>
      <c r="BH169" s="936"/>
      <c r="BI169" s="2571"/>
      <c r="BJ169" s="935"/>
      <c r="BK169" s="2614"/>
      <c r="BL169" s="2614"/>
      <c r="BM169" s="936"/>
      <c r="BN169" s="2614"/>
      <c r="BO169" s="2614"/>
      <c r="BP169" s="2571"/>
      <c r="BQ169" s="2614"/>
      <c r="BR169" s="935"/>
      <c r="BS169" s="2614"/>
      <c r="BT169" s="2614"/>
      <c r="BU169" s="2571"/>
      <c r="BV169" s="2614"/>
      <c r="BW169" s="2614">
        <v>30</v>
      </c>
      <c r="BX169" s="935"/>
      <c r="BY169" s="2614"/>
      <c r="BZ169" s="2614"/>
      <c r="CA169" s="2614">
        <v>20</v>
      </c>
      <c r="CB169" s="2571"/>
      <c r="CC169" s="2614">
        <v>20</v>
      </c>
      <c r="CD169" s="935"/>
      <c r="CE169" s="2614"/>
      <c r="CF169" s="2614">
        <v>20</v>
      </c>
      <c r="CG169" s="2571"/>
      <c r="CH169" s="2614"/>
      <c r="CI169" s="935"/>
      <c r="CJ169" s="2614"/>
      <c r="CK169" s="2614"/>
      <c r="CL169" s="2614">
        <v>20</v>
      </c>
      <c r="CM169" s="2614"/>
      <c r="CN169" s="2571"/>
      <c r="CO169" s="935">
        <v>20</v>
      </c>
      <c r="CP169" s="2614"/>
      <c r="CQ169" s="2614"/>
      <c r="CR169" s="2571"/>
      <c r="CS169" s="2614">
        <v>30</v>
      </c>
      <c r="CT169" s="935"/>
      <c r="CU169" s="2614"/>
      <c r="CV169" s="2614"/>
      <c r="CW169" s="2571"/>
      <c r="CX169" s="2614">
        <v>20</v>
      </c>
      <c r="CY169" s="935"/>
      <c r="CZ169" s="2614"/>
      <c r="DA169" s="2571"/>
      <c r="DB169" s="2614">
        <v>30</v>
      </c>
      <c r="DC169" s="935"/>
      <c r="DD169" s="2614"/>
      <c r="DE169" s="935">
        <v>20</v>
      </c>
      <c r="DF169" s="2572">
        <f>IFERROR(VLOOKUP(G169,Personalización!$F$18:$H$21,3,0),IFERROR(VLOOKUP(G169,Personalización!$I$18:$K$21,3,0),IFERROR(VLOOKUP(G169,Personalización!$L$18:$N$21,3,0),IFERROR(VLOOKUP(G169,Personalización!$O$18:$Q$20,3,0),0))))</f>
        <v>0</v>
      </c>
    </row>
    <row r="170" spans="1:110" ht="12.75" customHeight="1" x14ac:dyDescent="0.2">
      <c r="A170" s="227">
        <v>170</v>
      </c>
      <c r="B170" s="5988"/>
      <c r="C170" s="560" t="s">
        <v>6284</v>
      </c>
      <c r="D170" s="561"/>
      <c r="F170" s="2611">
        <v>30</v>
      </c>
      <c r="G170" s="326" t="s">
        <v>1448</v>
      </c>
      <c r="H170" s="2571"/>
      <c r="I170" s="2614"/>
      <c r="J170" s="935"/>
      <c r="K170" s="2614"/>
      <c r="L170" s="2614"/>
      <c r="M170" s="2571"/>
      <c r="N170" s="2614"/>
      <c r="O170" s="935"/>
      <c r="P170" s="2614"/>
      <c r="Q170" s="2614"/>
      <c r="R170" s="2571"/>
      <c r="S170" s="935"/>
      <c r="T170" s="2614"/>
      <c r="U170" s="2571"/>
      <c r="V170" s="935"/>
      <c r="W170" s="2614"/>
      <c r="X170" s="2614"/>
      <c r="Y170" s="2569"/>
      <c r="Z170" s="2420"/>
      <c r="AA170" s="2570"/>
      <c r="AB170" s="2420"/>
      <c r="AC170" s="2420"/>
      <c r="AD170" s="2569"/>
      <c r="AE170" s="2570"/>
      <c r="AF170" s="2420"/>
      <c r="AG170" s="2420"/>
      <c r="AH170" s="2420"/>
      <c r="AI170" s="2569"/>
      <c r="AJ170" s="2420"/>
      <c r="AK170" s="2570"/>
      <c r="AL170" s="2420"/>
      <c r="AM170" s="2420"/>
      <c r="AN170" s="2420"/>
      <c r="AO170" s="2420"/>
      <c r="AP170" s="2571"/>
      <c r="AQ170" s="2614"/>
      <c r="AR170" s="935"/>
      <c r="AS170" s="2614"/>
      <c r="AT170" s="2614"/>
      <c r="AU170" s="2571"/>
      <c r="AV170" s="2614"/>
      <c r="AW170" s="935"/>
      <c r="AX170" s="2614"/>
      <c r="AY170" s="2614"/>
      <c r="AZ170" s="2571"/>
      <c r="BA170" s="935"/>
      <c r="BB170" s="2614"/>
      <c r="BC170" s="2614"/>
      <c r="BD170" s="2571"/>
      <c r="BE170" s="935"/>
      <c r="BF170" s="2614"/>
      <c r="BG170" s="2614"/>
      <c r="BH170" s="936"/>
      <c r="BI170" s="2571"/>
      <c r="BJ170" s="935"/>
      <c r="BK170" s="2614"/>
      <c r="BL170" s="2614"/>
      <c r="BM170" s="936"/>
      <c r="BN170" s="2614"/>
      <c r="BO170" s="2614"/>
      <c r="BP170" s="2571"/>
      <c r="BQ170" s="2614"/>
      <c r="BR170" s="935"/>
      <c r="BS170" s="2614"/>
      <c r="BT170" s="2614"/>
      <c r="BU170" s="2571"/>
      <c r="BV170" s="2614"/>
      <c r="BW170" s="2614"/>
      <c r="BX170" s="935"/>
      <c r="BY170" s="2614"/>
      <c r="BZ170" s="2614"/>
      <c r="CA170" s="2614"/>
      <c r="CB170" s="2571"/>
      <c r="CC170" s="2614"/>
      <c r="CD170" s="935"/>
      <c r="CE170" s="2614"/>
      <c r="CF170" s="2614"/>
      <c r="CG170" s="2571"/>
      <c r="CH170" s="2614"/>
      <c r="CI170" s="935"/>
      <c r="CJ170" s="2614"/>
      <c r="CK170" s="2614"/>
      <c r="CL170" s="2614"/>
      <c r="CM170" s="2614"/>
      <c r="CN170" s="2571"/>
      <c r="CO170" s="935"/>
      <c r="CP170" s="2614"/>
      <c r="CQ170" s="2614"/>
      <c r="CR170" s="2571"/>
      <c r="CS170" s="2614"/>
      <c r="CT170" s="935"/>
      <c r="CU170" s="2614"/>
      <c r="CV170" s="2614"/>
      <c r="CW170" s="2571"/>
      <c r="CX170" s="2614"/>
      <c r="CY170" s="935"/>
      <c r="CZ170" s="2614"/>
      <c r="DA170" s="2571"/>
      <c r="DB170" s="2614"/>
      <c r="DC170" s="935"/>
      <c r="DD170" s="2614"/>
      <c r="DE170" s="935"/>
      <c r="DF170" s="2572">
        <f>IFERROR(VLOOKUP(G170,Personalización!$F$18:$H$21,3,0),IFERROR(VLOOKUP(G170,Personalización!$I$18:$K$21,3,0),IFERROR(VLOOKUP(G170,Personalización!$L$18:$N$21,3,0),IFERROR(VLOOKUP(G170,Personalización!$O$18:$Q$20,3,0),0))))</f>
        <v>0</v>
      </c>
    </row>
    <row r="171" spans="1:110" ht="12.75" customHeight="1" x14ac:dyDescent="0.2">
      <c r="A171" s="227">
        <v>171</v>
      </c>
      <c r="B171" s="5988"/>
      <c r="C171" s="560" t="s">
        <v>6285</v>
      </c>
      <c r="D171" s="561"/>
      <c r="F171" s="2611">
        <v>31</v>
      </c>
      <c r="G171" s="326" t="s">
        <v>1450</v>
      </c>
      <c r="H171" s="2571"/>
      <c r="I171" s="2614"/>
      <c r="J171" s="935"/>
      <c r="K171" s="2614"/>
      <c r="L171" s="2614"/>
      <c r="M171" s="2571"/>
      <c r="N171" s="2614"/>
      <c r="O171" s="935"/>
      <c r="P171" s="2614">
        <v>20</v>
      </c>
      <c r="Q171" s="2614">
        <v>20</v>
      </c>
      <c r="R171" s="2571"/>
      <c r="S171" s="935"/>
      <c r="T171" s="2614"/>
      <c r="U171" s="2571"/>
      <c r="V171" s="935"/>
      <c r="W171" s="2614"/>
      <c r="X171" s="2614"/>
      <c r="Y171" s="2569">
        <v>20</v>
      </c>
      <c r="Z171" s="2420">
        <v>20</v>
      </c>
      <c r="AA171" s="2570">
        <v>20</v>
      </c>
      <c r="AB171" s="2420"/>
      <c r="AC171" s="2420">
        <v>20</v>
      </c>
      <c r="AD171" s="2569">
        <v>20</v>
      </c>
      <c r="AE171" s="2570">
        <v>20</v>
      </c>
      <c r="AF171" s="2420"/>
      <c r="AG171" s="2420"/>
      <c r="AH171" s="2420"/>
      <c r="AI171" s="2569">
        <v>20</v>
      </c>
      <c r="AJ171" s="2420">
        <v>20</v>
      </c>
      <c r="AK171" s="2570">
        <v>20</v>
      </c>
      <c r="AL171" s="2420"/>
      <c r="AM171" s="2420"/>
      <c r="AN171" s="2420"/>
      <c r="AO171" s="2420"/>
      <c r="AP171" s="2571">
        <v>20</v>
      </c>
      <c r="AQ171" s="2614"/>
      <c r="AR171" s="935">
        <v>20</v>
      </c>
      <c r="AS171" s="2614"/>
      <c r="AT171" s="2614"/>
      <c r="AU171" s="2571"/>
      <c r="AV171" s="2614"/>
      <c r="AW171" s="935"/>
      <c r="AX171" s="2614"/>
      <c r="AY171" s="2614"/>
      <c r="AZ171" s="2571"/>
      <c r="BA171" s="935"/>
      <c r="BB171" s="2614"/>
      <c r="BC171" s="2614">
        <v>10</v>
      </c>
      <c r="BD171" s="2571"/>
      <c r="BE171" s="935"/>
      <c r="BF171" s="2614"/>
      <c r="BG171" s="2614"/>
      <c r="BH171" s="936"/>
      <c r="BI171" s="2571"/>
      <c r="BJ171" s="935"/>
      <c r="BK171" s="2614"/>
      <c r="BL171" s="2614"/>
      <c r="BM171" s="936"/>
      <c r="BN171" s="2614"/>
      <c r="BO171" s="2614">
        <v>20</v>
      </c>
      <c r="BP171" s="2571"/>
      <c r="BQ171" s="2614"/>
      <c r="BR171" s="935">
        <v>20</v>
      </c>
      <c r="BS171" s="2614"/>
      <c r="BT171" s="2614"/>
      <c r="BU171" s="2571"/>
      <c r="BV171" s="2614"/>
      <c r="BW171" s="2614"/>
      <c r="BX171" s="935"/>
      <c r="BY171" s="2614">
        <v>20</v>
      </c>
      <c r="BZ171" s="2614"/>
      <c r="CA171" s="2614">
        <v>20</v>
      </c>
      <c r="CB171" s="2571"/>
      <c r="CC171" s="2614"/>
      <c r="CD171" s="935"/>
      <c r="CE171" s="2614"/>
      <c r="CF171" s="2614"/>
      <c r="CG171" s="2571"/>
      <c r="CH171" s="2614">
        <v>20</v>
      </c>
      <c r="CI171" s="935"/>
      <c r="CJ171" s="2614">
        <v>30</v>
      </c>
      <c r="CK171" s="2614">
        <v>20</v>
      </c>
      <c r="CL171" s="2614">
        <v>20</v>
      </c>
      <c r="CM171" s="2614">
        <v>20</v>
      </c>
      <c r="CN171" s="2571"/>
      <c r="CO171" s="935"/>
      <c r="CP171" s="2614"/>
      <c r="CQ171" s="2614"/>
      <c r="CR171" s="2571"/>
      <c r="CS171" s="2614"/>
      <c r="CT171" s="935"/>
      <c r="CU171" s="2614"/>
      <c r="CV171" s="2614"/>
      <c r="CW171" s="2571"/>
      <c r="CX171" s="2614"/>
      <c r="CY171" s="935">
        <v>30</v>
      </c>
      <c r="CZ171" s="2614">
        <v>20</v>
      </c>
      <c r="DA171" s="2571"/>
      <c r="DB171" s="2614"/>
      <c r="DC171" s="935"/>
      <c r="DD171" s="2614">
        <v>30</v>
      </c>
      <c r="DE171" s="935">
        <v>30</v>
      </c>
      <c r="DF171" s="2572">
        <f>IFERROR(VLOOKUP(G171,Personalización!$F$18:$H$21,3,0),IFERROR(VLOOKUP(G171,Personalización!$I$18:$K$21,3,0),IFERROR(VLOOKUP(G171,Personalización!$L$18:$N$21,3,0),IFERROR(VLOOKUP(G171,Personalización!$O$18:$Q$20,3,0),0))))</f>
        <v>0</v>
      </c>
    </row>
    <row r="172" spans="1:110" ht="12.75" customHeight="1" x14ac:dyDescent="0.2">
      <c r="A172" s="227">
        <v>172</v>
      </c>
      <c r="B172" s="5988"/>
      <c r="C172" s="560" t="s">
        <v>10057</v>
      </c>
      <c r="D172" s="561"/>
      <c r="F172" s="2611">
        <v>32</v>
      </c>
      <c r="G172" s="326" t="s">
        <v>1451</v>
      </c>
      <c r="H172" s="2571"/>
      <c r="I172" s="2614"/>
      <c r="J172" s="935"/>
      <c r="K172" s="2614"/>
      <c r="L172" s="2614"/>
      <c r="M172" s="2571"/>
      <c r="N172" s="2614"/>
      <c r="O172" s="935"/>
      <c r="P172" s="2614">
        <v>20</v>
      </c>
      <c r="Q172" s="2614"/>
      <c r="R172" s="2571"/>
      <c r="S172" s="935"/>
      <c r="T172" s="2614"/>
      <c r="U172" s="2571"/>
      <c r="V172" s="935"/>
      <c r="W172" s="2614"/>
      <c r="X172" s="2614"/>
      <c r="Y172" s="2569"/>
      <c r="Z172" s="2420"/>
      <c r="AA172" s="2570"/>
      <c r="AB172" s="2420"/>
      <c r="AC172" s="2420"/>
      <c r="AD172" s="2569">
        <v>20</v>
      </c>
      <c r="AE172" s="2570"/>
      <c r="AF172" s="2420"/>
      <c r="AG172" s="2420">
        <v>30</v>
      </c>
      <c r="AH172" s="2420"/>
      <c r="AI172" s="2569">
        <v>20</v>
      </c>
      <c r="AJ172" s="2420"/>
      <c r="AK172" s="2570"/>
      <c r="AL172" s="2420"/>
      <c r="AM172" s="2420">
        <v>20</v>
      </c>
      <c r="AN172" s="2420"/>
      <c r="AO172" s="2420"/>
      <c r="AP172" s="2571"/>
      <c r="AQ172" s="2614"/>
      <c r="AR172" s="935"/>
      <c r="AS172" s="2614"/>
      <c r="AT172" s="2614"/>
      <c r="AU172" s="2571">
        <v>20</v>
      </c>
      <c r="AV172" s="2614"/>
      <c r="AW172" s="935"/>
      <c r="AX172" s="2614">
        <v>10</v>
      </c>
      <c r="AY172" s="2614"/>
      <c r="AZ172" s="2571"/>
      <c r="BA172" s="935"/>
      <c r="BB172" s="2614"/>
      <c r="BC172" s="2614"/>
      <c r="BD172" s="2571"/>
      <c r="BE172" s="935"/>
      <c r="BF172" s="2614"/>
      <c r="BG172" s="2614"/>
      <c r="BH172" s="936"/>
      <c r="BI172" s="2571"/>
      <c r="BJ172" s="935"/>
      <c r="BK172" s="2614"/>
      <c r="BL172" s="2614"/>
      <c r="BM172" s="936"/>
      <c r="BN172" s="2614"/>
      <c r="BO172" s="2614">
        <v>20</v>
      </c>
      <c r="BP172" s="2571">
        <v>20</v>
      </c>
      <c r="BQ172" s="2614"/>
      <c r="BR172" s="935"/>
      <c r="BS172" s="2614"/>
      <c r="BT172" s="2614"/>
      <c r="BU172" s="2571"/>
      <c r="BV172" s="2614"/>
      <c r="BW172" s="2614"/>
      <c r="BX172" s="935"/>
      <c r="BY172" s="2614">
        <v>20</v>
      </c>
      <c r="BZ172" s="2614"/>
      <c r="CA172" s="2614"/>
      <c r="CB172" s="2571"/>
      <c r="CC172" s="2614"/>
      <c r="CD172" s="935"/>
      <c r="CE172" s="2614"/>
      <c r="CF172" s="2614"/>
      <c r="CG172" s="2571"/>
      <c r="CH172" s="2614"/>
      <c r="CI172" s="935"/>
      <c r="CJ172" s="2614"/>
      <c r="CK172" s="2614"/>
      <c r="CL172" s="2614"/>
      <c r="CM172" s="2614"/>
      <c r="CN172" s="2571"/>
      <c r="CO172" s="935"/>
      <c r="CP172" s="2614"/>
      <c r="CQ172" s="2614"/>
      <c r="CR172" s="2571"/>
      <c r="CS172" s="2614"/>
      <c r="CT172" s="935"/>
      <c r="CU172" s="2614"/>
      <c r="CV172" s="2614"/>
      <c r="CW172" s="2571"/>
      <c r="CX172" s="2614"/>
      <c r="CY172" s="935"/>
      <c r="CZ172" s="2614"/>
      <c r="DA172" s="2571"/>
      <c r="DB172" s="2614"/>
      <c r="DC172" s="935"/>
      <c r="DD172" s="2614"/>
      <c r="DE172" s="935"/>
      <c r="DF172" s="2572">
        <f>IFERROR(VLOOKUP(G172,Personalización!$F$18:$H$21,3,0),IFERROR(VLOOKUP(G172,Personalización!$I$18:$K$21,3,0),IFERROR(VLOOKUP(G172,Personalización!$L$18:$N$21,3,0),IFERROR(VLOOKUP(G172,Personalización!$O$18:$Q$20,3,0),0))))</f>
        <v>0</v>
      </c>
    </row>
    <row r="173" spans="1:110" ht="12.75" customHeight="1" x14ac:dyDescent="0.2">
      <c r="A173" s="227">
        <v>173</v>
      </c>
      <c r="B173" s="5988"/>
      <c r="C173" s="560" t="s">
        <v>6286</v>
      </c>
      <c r="D173" s="561"/>
      <c r="F173" s="2611">
        <v>33</v>
      </c>
      <c r="G173" s="326" t="s">
        <v>1454</v>
      </c>
      <c r="H173" s="2571"/>
      <c r="I173" s="2614"/>
      <c r="J173" s="935"/>
      <c r="K173" s="2614"/>
      <c r="L173" s="2614"/>
      <c r="M173" s="2571"/>
      <c r="N173" s="2614"/>
      <c r="O173" s="935"/>
      <c r="P173" s="2614"/>
      <c r="Q173" s="2614"/>
      <c r="R173" s="2571"/>
      <c r="S173" s="935"/>
      <c r="T173" s="2614"/>
      <c r="U173" s="2571"/>
      <c r="V173" s="935"/>
      <c r="W173" s="2614"/>
      <c r="X173" s="2614"/>
      <c r="Y173" s="2569"/>
      <c r="Z173" s="2420"/>
      <c r="AA173" s="2570"/>
      <c r="AB173" s="2420"/>
      <c r="AC173" s="2420"/>
      <c r="AD173" s="2569"/>
      <c r="AE173" s="2570"/>
      <c r="AF173" s="2420"/>
      <c r="AG173" s="2420"/>
      <c r="AH173" s="2420"/>
      <c r="AI173" s="2569">
        <v>20</v>
      </c>
      <c r="AJ173" s="2420">
        <v>20</v>
      </c>
      <c r="AK173" s="2570">
        <v>20</v>
      </c>
      <c r="AL173" s="2420"/>
      <c r="AM173" s="2420"/>
      <c r="AN173" s="2420">
        <v>20</v>
      </c>
      <c r="AO173" s="2420"/>
      <c r="AP173" s="2571"/>
      <c r="AQ173" s="2614"/>
      <c r="AR173" s="935"/>
      <c r="AS173" s="2614"/>
      <c r="AT173" s="2614"/>
      <c r="AU173" s="2571"/>
      <c r="AV173" s="2614"/>
      <c r="AW173" s="935"/>
      <c r="AX173" s="2614"/>
      <c r="AY173" s="2614"/>
      <c r="AZ173" s="2571"/>
      <c r="BA173" s="935"/>
      <c r="BB173" s="2614">
        <v>20</v>
      </c>
      <c r="BC173" s="2614"/>
      <c r="BD173" s="2571"/>
      <c r="BE173" s="935"/>
      <c r="BF173" s="2614"/>
      <c r="BG173" s="2614"/>
      <c r="BH173" s="936"/>
      <c r="BI173" s="2571"/>
      <c r="BJ173" s="935"/>
      <c r="BK173" s="2614"/>
      <c r="BL173" s="2614"/>
      <c r="BM173" s="936"/>
      <c r="BN173" s="2614"/>
      <c r="BO173" s="2614">
        <v>20</v>
      </c>
      <c r="BP173" s="2571"/>
      <c r="BQ173" s="2614"/>
      <c r="BR173" s="935"/>
      <c r="BS173" s="2614"/>
      <c r="BT173" s="2614"/>
      <c r="BU173" s="2571"/>
      <c r="BV173" s="2614"/>
      <c r="BW173" s="2614"/>
      <c r="BX173" s="935"/>
      <c r="BY173" s="2614">
        <v>20</v>
      </c>
      <c r="BZ173" s="2614"/>
      <c r="CA173" s="2614"/>
      <c r="CB173" s="2571"/>
      <c r="CC173" s="2614"/>
      <c r="CD173" s="935"/>
      <c r="CE173" s="2614"/>
      <c r="CF173" s="2614"/>
      <c r="CG173" s="2571"/>
      <c r="CH173" s="2614"/>
      <c r="CI173" s="935"/>
      <c r="CJ173" s="2614"/>
      <c r="CK173" s="2614"/>
      <c r="CL173" s="2614"/>
      <c r="CM173" s="2614"/>
      <c r="CN173" s="2571"/>
      <c r="CO173" s="935"/>
      <c r="CP173" s="2614"/>
      <c r="CQ173" s="2614"/>
      <c r="CR173" s="2571"/>
      <c r="CS173" s="2614"/>
      <c r="CT173" s="935"/>
      <c r="CU173" s="2614"/>
      <c r="CV173" s="2614"/>
      <c r="CW173" s="2571"/>
      <c r="CX173" s="2614"/>
      <c r="CY173" s="935"/>
      <c r="CZ173" s="2614"/>
      <c r="DA173" s="2571"/>
      <c r="DB173" s="2614"/>
      <c r="DC173" s="935"/>
      <c r="DD173" s="2614"/>
      <c r="DE173" s="935"/>
      <c r="DF173" s="2572">
        <f>IFERROR(VLOOKUP(G173,Personalización!$F$18:$H$21,3,0),IFERROR(VLOOKUP(G173,Personalización!$I$18:$K$21,3,0),IFERROR(VLOOKUP(G173,Personalización!$L$18:$N$21,3,0),IFERROR(VLOOKUP(G173,Personalización!$O$18:$Q$20,3,0),0))))</f>
        <v>0</v>
      </c>
    </row>
    <row r="174" spans="1:110" ht="12.75" customHeight="1" x14ac:dyDescent="0.2">
      <c r="A174" s="227">
        <v>174</v>
      </c>
      <c r="B174" s="5988"/>
      <c r="C174" s="560" t="s">
        <v>6359</v>
      </c>
      <c r="D174" s="561"/>
      <c r="F174" s="2611">
        <v>34</v>
      </c>
      <c r="G174" s="326" t="s">
        <v>1458</v>
      </c>
      <c r="H174" s="2571"/>
      <c r="I174" s="2614"/>
      <c r="J174" s="935"/>
      <c r="K174" s="2614"/>
      <c r="L174" s="2614"/>
      <c r="M174" s="2571"/>
      <c r="N174" s="2614"/>
      <c r="O174" s="935"/>
      <c r="P174" s="2614"/>
      <c r="Q174" s="2614"/>
      <c r="R174" s="2571"/>
      <c r="S174" s="935"/>
      <c r="T174" s="2614"/>
      <c r="U174" s="2571"/>
      <c r="V174" s="935"/>
      <c r="W174" s="2614"/>
      <c r="X174" s="2614"/>
      <c r="Y174" s="2569"/>
      <c r="Z174" s="2420"/>
      <c r="AA174" s="2570"/>
      <c r="AB174" s="2420"/>
      <c r="AC174" s="2420"/>
      <c r="AD174" s="2569"/>
      <c r="AE174" s="2570"/>
      <c r="AF174" s="2420"/>
      <c r="AG174" s="2420"/>
      <c r="AH174" s="2420"/>
      <c r="AI174" s="2569"/>
      <c r="AJ174" s="2420"/>
      <c r="AK174" s="2570"/>
      <c r="AL174" s="2420"/>
      <c r="AM174" s="2420"/>
      <c r="AN174" s="2420"/>
      <c r="AO174" s="2420"/>
      <c r="AP174" s="2571"/>
      <c r="AQ174" s="2614"/>
      <c r="AR174" s="935"/>
      <c r="AS174" s="2614"/>
      <c r="AT174" s="2614"/>
      <c r="AU174" s="2571"/>
      <c r="AV174" s="2614"/>
      <c r="AW174" s="935"/>
      <c r="AX174" s="2614"/>
      <c r="AY174" s="2614"/>
      <c r="AZ174" s="2571"/>
      <c r="BA174" s="935"/>
      <c r="BB174" s="2614"/>
      <c r="BC174" s="2614"/>
      <c r="BD174" s="2571"/>
      <c r="BE174" s="935"/>
      <c r="BF174" s="2614"/>
      <c r="BG174" s="2614"/>
      <c r="BH174" s="936"/>
      <c r="BI174" s="2571"/>
      <c r="BJ174" s="935"/>
      <c r="BK174" s="2614"/>
      <c r="BL174" s="2614"/>
      <c r="BM174" s="936"/>
      <c r="BN174" s="2614"/>
      <c r="BO174" s="2614"/>
      <c r="BP174" s="2571"/>
      <c r="BQ174" s="2614"/>
      <c r="BR174" s="935"/>
      <c r="BS174" s="2614"/>
      <c r="BT174" s="2614"/>
      <c r="BU174" s="2571"/>
      <c r="BV174" s="2614"/>
      <c r="BW174" s="2614"/>
      <c r="BX174" s="935"/>
      <c r="BY174" s="2614"/>
      <c r="BZ174" s="2614"/>
      <c r="CA174" s="2614"/>
      <c r="CB174" s="2571"/>
      <c r="CC174" s="2614"/>
      <c r="CD174" s="935"/>
      <c r="CE174" s="2614"/>
      <c r="CF174" s="2614"/>
      <c r="CG174" s="2571"/>
      <c r="CH174" s="2614"/>
      <c r="CI174" s="935"/>
      <c r="CJ174" s="2614"/>
      <c r="CK174" s="2614"/>
      <c r="CL174" s="2614"/>
      <c r="CM174" s="2614"/>
      <c r="CN174" s="2571"/>
      <c r="CO174" s="935"/>
      <c r="CP174" s="2614"/>
      <c r="CQ174" s="2614"/>
      <c r="CR174" s="2571"/>
      <c r="CS174" s="2614"/>
      <c r="CT174" s="935"/>
      <c r="CU174" s="2614"/>
      <c r="CV174" s="2614"/>
      <c r="CW174" s="2571"/>
      <c r="CX174" s="2614"/>
      <c r="CY174" s="935"/>
      <c r="CZ174" s="2614"/>
      <c r="DA174" s="2571"/>
      <c r="DB174" s="2614"/>
      <c r="DC174" s="935"/>
      <c r="DD174" s="2614"/>
      <c r="DE174" s="935"/>
      <c r="DF174" s="2572">
        <f>IFERROR(VLOOKUP(G174,Personalización!$F$18:$H$21,3,0),IFERROR(VLOOKUP(G174,Personalización!$I$18:$K$21,3,0),IFERROR(VLOOKUP(G174,Personalización!$L$18:$N$21,3,0),IFERROR(VLOOKUP(G174,Personalización!$O$18:$Q$20,3,0),0))))</f>
        <v>0</v>
      </c>
    </row>
    <row r="175" spans="1:110" ht="12.75" customHeight="1" x14ac:dyDescent="0.2">
      <c r="A175" s="227">
        <v>175</v>
      </c>
      <c r="B175" s="5988"/>
      <c r="C175" s="560" t="s">
        <v>6323</v>
      </c>
      <c r="D175" s="561"/>
      <c r="F175" s="2611">
        <v>35</v>
      </c>
      <c r="G175" s="326" t="s">
        <v>1460</v>
      </c>
      <c r="H175" s="2571"/>
      <c r="I175" s="2614"/>
      <c r="J175" s="935"/>
      <c r="K175" s="2614"/>
      <c r="L175" s="2614"/>
      <c r="M175" s="2571"/>
      <c r="N175" s="2614"/>
      <c r="O175" s="935"/>
      <c r="P175" s="2614"/>
      <c r="Q175" s="2614"/>
      <c r="R175" s="2571"/>
      <c r="S175" s="935"/>
      <c r="T175" s="2614"/>
      <c r="U175" s="2571"/>
      <c r="V175" s="935"/>
      <c r="W175" s="2614"/>
      <c r="X175" s="2614"/>
      <c r="Y175" s="2569"/>
      <c r="Z175" s="2420"/>
      <c r="AA175" s="2570"/>
      <c r="AB175" s="2420"/>
      <c r="AC175" s="2420"/>
      <c r="AD175" s="2569"/>
      <c r="AE175" s="2570"/>
      <c r="AF175" s="2420"/>
      <c r="AG175" s="2420"/>
      <c r="AH175" s="2420"/>
      <c r="AI175" s="2569"/>
      <c r="AJ175" s="2420"/>
      <c r="AK175" s="2570"/>
      <c r="AL175" s="2420"/>
      <c r="AM175" s="2420"/>
      <c r="AN175" s="2420"/>
      <c r="AO175" s="2420"/>
      <c r="AP175" s="2571"/>
      <c r="AQ175" s="2614"/>
      <c r="AR175" s="935"/>
      <c r="AS175" s="2614"/>
      <c r="AT175" s="2614"/>
      <c r="AU175" s="2571"/>
      <c r="AV175" s="2614"/>
      <c r="AW175" s="935"/>
      <c r="AX175" s="2614"/>
      <c r="AY175" s="2614"/>
      <c r="AZ175" s="2571"/>
      <c r="BA175" s="935"/>
      <c r="BB175" s="2614"/>
      <c r="BC175" s="2614"/>
      <c r="BD175" s="2571"/>
      <c r="BE175" s="935"/>
      <c r="BF175" s="2614"/>
      <c r="BG175" s="2614"/>
      <c r="BH175" s="936"/>
      <c r="BI175" s="2571"/>
      <c r="BJ175" s="935"/>
      <c r="BK175" s="2614"/>
      <c r="BL175" s="2614"/>
      <c r="BM175" s="936"/>
      <c r="BN175" s="2614"/>
      <c r="BO175" s="2614"/>
      <c r="BP175" s="2571"/>
      <c r="BQ175" s="2614"/>
      <c r="BR175" s="935"/>
      <c r="BS175" s="2614"/>
      <c r="BT175" s="2614"/>
      <c r="BU175" s="2571"/>
      <c r="BV175" s="2614"/>
      <c r="BW175" s="2614"/>
      <c r="BX175" s="935"/>
      <c r="BY175" s="2614"/>
      <c r="BZ175" s="2614"/>
      <c r="CA175" s="2614"/>
      <c r="CB175" s="2571"/>
      <c r="CC175" s="2614"/>
      <c r="CD175" s="935"/>
      <c r="CE175" s="2614"/>
      <c r="CF175" s="2614"/>
      <c r="CG175" s="2571"/>
      <c r="CH175" s="2614"/>
      <c r="CI175" s="935"/>
      <c r="CJ175" s="2614"/>
      <c r="CK175" s="2614"/>
      <c r="CL175" s="2614"/>
      <c r="CM175" s="2614"/>
      <c r="CN175" s="2571"/>
      <c r="CO175" s="935"/>
      <c r="CP175" s="2614"/>
      <c r="CQ175" s="2614"/>
      <c r="CR175" s="2571"/>
      <c r="CS175" s="2614"/>
      <c r="CT175" s="935"/>
      <c r="CU175" s="2614"/>
      <c r="CV175" s="2614"/>
      <c r="CW175" s="2571"/>
      <c r="CX175" s="2614"/>
      <c r="CY175" s="935"/>
      <c r="CZ175" s="2614"/>
      <c r="DA175" s="2571"/>
      <c r="DB175" s="2614"/>
      <c r="DC175" s="935"/>
      <c r="DD175" s="2614"/>
      <c r="DE175" s="935"/>
      <c r="DF175" s="2572">
        <f>IFERROR(VLOOKUP(G175,Personalización!$F$18:$H$21,3,0),IFERROR(VLOOKUP(G175,Personalización!$I$18:$K$21,3,0),IFERROR(VLOOKUP(G175,Personalización!$L$18:$N$21,3,0),IFERROR(VLOOKUP(G175,Personalización!$O$18:$Q$20,3,0),0))))</f>
        <v>0</v>
      </c>
    </row>
    <row r="176" spans="1:110" ht="12.75" customHeight="1" x14ac:dyDescent="0.2">
      <c r="A176" s="227">
        <v>176</v>
      </c>
      <c r="B176" s="5988"/>
      <c r="C176" s="560" t="s">
        <v>6324</v>
      </c>
      <c r="D176" s="561"/>
      <c r="F176" s="2611">
        <v>36</v>
      </c>
      <c r="G176" s="326" t="s">
        <v>1462</v>
      </c>
      <c r="H176" s="2571"/>
      <c r="I176" s="2614"/>
      <c r="J176" s="935"/>
      <c r="K176" s="2614"/>
      <c r="L176" s="2614"/>
      <c r="M176" s="2571"/>
      <c r="N176" s="2614"/>
      <c r="O176" s="935"/>
      <c r="P176" s="2614"/>
      <c r="Q176" s="2614"/>
      <c r="R176" s="2571"/>
      <c r="S176" s="935"/>
      <c r="T176" s="2614"/>
      <c r="U176" s="2571"/>
      <c r="V176" s="935"/>
      <c r="W176" s="2614"/>
      <c r="X176" s="2614"/>
      <c r="Y176" s="2569"/>
      <c r="Z176" s="2420"/>
      <c r="AA176" s="2570"/>
      <c r="AB176" s="2420">
        <v>20</v>
      </c>
      <c r="AC176" s="2420"/>
      <c r="AD176" s="2569"/>
      <c r="AE176" s="2570"/>
      <c r="AF176" s="2420">
        <v>20</v>
      </c>
      <c r="AG176" s="2420"/>
      <c r="AH176" s="2420"/>
      <c r="AI176" s="2569"/>
      <c r="AJ176" s="2420"/>
      <c r="AK176" s="2570"/>
      <c r="AL176" s="2420"/>
      <c r="AM176" s="2420"/>
      <c r="AN176" s="2420">
        <v>20</v>
      </c>
      <c r="AO176" s="2420"/>
      <c r="AP176" s="2571"/>
      <c r="AQ176" s="2614"/>
      <c r="AR176" s="935"/>
      <c r="AS176" s="2614">
        <v>20</v>
      </c>
      <c r="AT176" s="2614"/>
      <c r="AU176" s="2571"/>
      <c r="AV176" s="2614"/>
      <c r="AW176" s="935"/>
      <c r="AX176" s="2614"/>
      <c r="AY176" s="2614"/>
      <c r="AZ176" s="2571"/>
      <c r="BA176" s="935"/>
      <c r="BB176" s="2614"/>
      <c r="BC176" s="2614"/>
      <c r="BD176" s="2571"/>
      <c r="BE176" s="935"/>
      <c r="BF176" s="2614"/>
      <c r="BG176" s="2614"/>
      <c r="BH176" s="936">
        <v>10</v>
      </c>
      <c r="BI176" s="2571">
        <v>20</v>
      </c>
      <c r="BJ176" s="935">
        <v>10</v>
      </c>
      <c r="BK176" s="2614"/>
      <c r="BL176" s="2614"/>
      <c r="BM176" s="936">
        <v>10</v>
      </c>
      <c r="BN176" s="2614"/>
      <c r="BO176" s="2614"/>
      <c r="BP176" s="2571"/>
      <c r="BQ176" s="2614"/>
      <c r="BR176" s="935"/>
      <c r="BS176" s="2614"/>
      <c r="BT176" s="2614"/>
      <c r="BU176" s="2571"/>
      <c r="BV176" s="2614"/>
      <c r="BW176" s="2614"/>
      <c r="BX176" s="935"/>
      <c r="BY176" s="2614"/>
      <c r="BZ176" s="2614"/>
      <c r="CA176" s="2614"/>
      <c r="CB176" s="2571"/>
      <c r="CC176" s="2614"/>
      <c r="CD176" s="935"/>
      <c r="CE176" s="2614"/>
      <c r="CF176" s="2614"/>
      <c r="CG176" s="2571"/>
      <c r="CH176" s="2614"/>
      <c r="CI176" s="935"/>
      <c r="CJ176" s="2614"/>
      <c r="CK176" s="2614"/>
      <c r="CL176" s="2614"/>
      <c r="CM176" s="2614"/>
      <c r="CN176" s="2571"/>
      <c r="CO176" s="935"/>
      <c r="CP176" s="2614">
        <v>20</v>
      </c>
      <c r="CQ176" s="2614">
        <v>20</v>
      </c>
      <c r="CR176" s="2571"/>
      <c r="CS176" s="2614"/>
      <c r="CT176" s="935"/>
      <c r="CU176" s="2614">
        <v>20</v>
      </c>
      <c r="CV176" s="2614">
        <v>20</v>
      </c>
      <c r="CW176" s="2571">
        <v>20</v>
      </c>
      <c r="CX176" s="2614">
        <v>20</v>
      </c>
      <c r="CY176" s="935"/>
      <c r="CZ176" s="2614">
        <v>20</v>
      </c>
      <c r="DA176" s="2571"/>
      <c r="DB176" s="2614"/>
      <c r="DC176" s="935"/>
      <c r="DD176" s="2614"/>
      <c r="DE176" s="935"/>
      <c r="DF176" s="2572">
        <f>IFERROR(VLOOKUP(G176,Personalización!$F$18:$H$21,3,0),IFERROR(VLOOKUP(G176,Personalización!$I$18:$K$21,3,0),IFERROR(VLOOKUP(G176,Personalización!$L$18:$N$21,3,0),IFERROR(VLOOKUP(G176,Personalización!$O$18:$Q$20,3,0),0))))</f>
        <v>0</v>
      </c>
    </row>
    <row r="177" spans="1:110" ht="12.75" customHeight="1" x14ac:dyDescent="0.2">
      <c r="A177" s="227">
        <v>177</v>
      </c>
      <c r="B177" s="5988"/>
      <c r="C177" s="564" t="s">
        <v>6360</v>
      </c>
      <c r="D177" s="561"/>
      <c r="F177" s="2611">
        <v>37</v>
      </c>
      <c r="G177" s="326" t="s">
        <v>1464</v>
      </c>
      <c r="H177" s="2571"/>
      <c r="I177" s="2614"/>
      <c r="J177" s="935"/>
      <c r="K177" s="2614"/>
      <c r="L177" s="2614"/>
      <c r="M177" s="2571"/>
      <c r="N177" s="2614"/>
      <c r="O177" s="935"/>
      <c r="P177" s="2614"/>
      <c r="Q177" s="2614"/>
      <c r="R177" s="2571"/>
      <c r="S177" s="935"/>
      <c r="T177" s="2614"/>
      <c r="U177" s="2571"/>
      <c r="V177" s="935"/>
      <c r="W177" s="2614"/>
      <c r="X177" s="2614"/>
      <c r="Y177" s="2569"/>
      <c r="Z177" s="2420"/>
      <c r="AA177" s="2570"/>
      <c r="AB177" s="2420">
        <v>20</v>
      </c>
      <c r="AC177" s="2420"/>
      <c r="AD177" s="2569"/>
      <c r="AE177" s="2570"/>
      <c r="AF177" s="2420"/>
      <c r="AG177" s="2420"/>
      <c r="AH177" s="2420"/>
      <c r="AI177" s="2569"/>
      <c r="AJ177" s="2420"/>
      <c r="AK177" s="2570"/>
      <c r="AL177" s="2420"/>
      <c r="AM177" s="2420"/>
      <c r="AN177" s="2420"/>
      <c r="AO177" s="2420"/>
      <c r="AP177" s="2571"/>
      <c r="AQ177" s="2614"/>
      <c r="AR177" s="935"/>
      <c r="AS177" s="2614">
        <v>20</v>
      </c>
      <c r="AT177" s="2614">
        <v>10</v>
      </c>
      <c r="AU177" s="2571"/>
      <c r="AV177" s="2614"/>
      <c r="AW177" s="935"/>
      <c r="AX177" s="2614"/>
      <c r="AY177" s="2614"/>
      <c r="AZ177" s="2571"/>
      <c r="BA177" s="935"/>
      <c r="BB177" s="2614"/>
      <c r="BC177" s="2614"/>
      <c r="BD177" s="2571"/>
      <c r="BE177" s="935"/>
      <c r="BF177" s="2614"/>
      <c r="BG177" s="2614"/>
      <c r="BH177" s="936"/>
      <c r="BI177" s="2571"/>
      <c r="BJ177" s="935"/>
      <c r="BK177" s="2614"/>
      <c r="BL177" s="2614"/>
      <c r="BM177" s="936"/>
      <c r="BN177" s="2614"/>
      <c r="BO177" s="2614"/>
      <c r="BP177" s="2571"/>
      <c r="BQ177" s="2614"/>
      <c r="BR177" s="935"/>
      <c r="BS177" s="2614"/>
      <c r="BT177" s="2614"/>
      <c r="BU177" s="2571"/>
      <c r="BV177" s="2614"/>
      <c r="BW177" s="2614"/>
      <c r="BX177" s="935"/>
      <c r="BY177" s="2614"/>
      <c r="BZ177" s="2614"/>
      <c r="CA177" s="2614"/>
      <c r="CB177" s="2571"/>
      <c r="CC177" s="2614"/>
      <c r="CD177" s="935"/>
      <c r="CE177" s="2614"/>
      <c r="CF177" s="2614"/>
      <c r="CG177" s="2571"/>
      <c r="CH177" s="2614"/>
      <c r="CI177" s="935"/>
      <c r="CJ177" s="2614"/>
      <c r="CK177" s="2614"/>
      <c r="CL177" s="2614"/>
      <c r="CM177" s="2614"/>
      <c r="CN177" s="2571"/>
      <c r="CO177" s="935"/>
      <c r="CP177" s="2614"/>
      <c r="CQ177" s="2614"/>
      <c r="CR177" s="2571"/>
      <c r="CS177" s="2614"/>
      <c r="CT177" s="935"/>
      <c r="CU177" s="2614"/>
      <c r="CV177" s="2614"/>
      <c r="CW177" s="2571"/>
      <c r="CX177" s="2614"/>
      <c r="CY177" s="935"/>
      <c r="CZ177" s="2614"/>
      <c r="DA177" s="2571"/>
      <c r="DB177" s="2614"/>
      <c r="DC177" s="935"/>
      <c r="DD177" s="2614"/>
      <c r="DE177" s="935"/>
      <c r="DF177" s="2572">
        <f>IFERROR(VLOOKUP(G177,Personalización!$F$18:$H$21,3,0),IFERROR(VLOOKUP(G177,Personalización!$I$18:$K$21,3,0),IFERROR(VLOOKUP(G177,Personalización!$L$18:$N$21,3,0),IFERROR(VLOOKUP(G177,Personalización!$O$18:$Q$20,3,0),0))))</f>
        <v>0</v>
      </c>
    </row>
    <row r="178" spans="1:110" ht="12.75" customHeight="1" x14ac:dyDescent="0.2">
      <c r="A178" s="227">
        <v>178</v>
      </c>
      <c r="B178" s="5988"/>
      <c r="C178" s="560" t="s">
        <v>6287</v>
      </c>
      <c r="D178" s="561"/>
      <c r="F178" s="2611">
        <v>38</v>
      </c>
      <c r="G178" s="326" t="s">
        <v>1466</v>
      </c>
      <c r="H178" s="2571"/>
      <c r="I178" s="2614"/>
      <c r="J178" s="935"/>
      <c r="K178" s="2614"/>
      <c r="L178" s="2614"/>
      <c r="M178" s="2571"/>
      <c r="N178" s="2614"/>
      <c r="O178" s="935"/>
      <c r="P178" s="2614"/>
      <c r="Q178" s="2614"/>
      <c r="R178" s="2571">
        <v>20</v>
      </c>
      <c r="S178" s="935"/>
      <c r="T178" s="2614">
        <v>20</v>
      </c>
      <c r="U178" s="2571"/>
      <c r="V178" s="935"/>
      <c r="W178" s="2614"/>
      <c r="X178" s="2614"/>
      <c r="Y178" s="2569"/>
      <c r="Z178" s="2420"/>
      <c r="AA178" s="2570"/>
      <c r="AB178" s="2420">
        <v>20</v>
      </c>
      <c r="AC178" s="2420"/>
      <c r="AD178" s="2569"/>
      <c r="AE178" s="2570"/>
      <c r="AF178" s="2420"/>
      <c r="AG178" s="2420"/>
      <c r="AH178" s="2420"/>
      <c r="AI178" s="2569"/>
      <c r="AJ178" s="2420"/>
      <c r="AK178" s="2570"/>
      <c r="AL178" s="2420"/>
      <c r="AM178" s="2420"/>
      <c r="AN178" s="2420">
        <v>20</v>
      </c>
      <c r="AO178" s="2420"/>
      <c r="AP178" s="2571"/>
      <c r="AQ178" s="2614"/>
      <c r="AR178" s="935"/>
      <c r="AS178" s="2614">
        <v>10</v>
      </c>
      <c r="AT178" s="2614"/>
      <c r="AU178" s="2571"/>
      <c r="AV178" s="2614"/>
      <c r="AW178" s="935"/>
      <c r="AX178" s="2614"/>
      <c r="AY178" s="2614"/>
      <c r="AZ178" s="2571"/>
      <c r="BA178" s="935"/>
      <c r="BB178" s="2614"/>
      <c r="BC178" s="2614"/>
      <c r="BD178" s="2571">
        <v>20</v>
      </c>
      <c r="BE178" s="935"/>
      <c r="BF178" s="2614"/>
      <c r="BG178" s="2614"/>
      <c r="BH178" s="936">
        <v>20</v>
      </c>
      <c r="BI178" s="2571">
        <v>20</v>
      </c>
      <c r="BJ178" s="935">
        <v>10</v>
      </c>
      <c r="BK178" s="2614"/>
      <c r="BL178" s="2614"/>
      <c r="BM178" s="936">
        <v>20</v>
      </c>
      <c r="BN178" s="2614"/>
      <c r="BO178" s="2614"/>
      <c r="BP178" s="2571"/>
      <c r="BQ178" s="2614"/>
      <c r="BR178" s="935"/>
      <c r="BS178" s="2614"/>
      <c r="BT178" s="2614"/>
      <c r="BU178" s="2571"/>
      <c r="BV178" s="2614"/>
      <c r="BW178" s="2614"/>
      <c r="BX178" s="935"/>
      <c r="BY178" s="2614"/>
      <c r="BZ178" s="2614"/>
      <c r="CA178" s="2614"/>
      <c r="CB178" s="2571"/>
      <c r="CC178" s="2614"/>
      <c r="CD178" s="935"/>
      <c r="CE178" s="2614">
        <v>20</v>
      </c>
      <c r="CF178" s="2614"/>
      <c r="CG178" s="2571"/>
      <c r="CH178" s="2614"/>
      <c r="CI178" s="935"/>
      <c r="CJ178" s="2614">
        <v>20</v>
      </c>
      <c r="CK178" s="2614"/>
      <c r="CL178" s="2614"/>
      <c r="CM178" s="2614"/>
      <c r="CN178" s="2571"/>
      <c r="CO178" s="935"/>
      <c r="CP178" s="2614"/>
      <c r="CQ178" s="2614"/>
      <c r="CR178" s="2571"/>
      <c r="CS178" s="2614"/>
      <c r="CT178" s="935"/>
      <c r="CU178" s="2614">
        <v>20</v>
      </c>
      <c r="CV178" s="2614"/>
      <c r="CW178" s="2571"/>
      <c r="CX178" s="2614"/>
      <c r="CY178" s="935"/>
      <c r="CZ178" s="2614">
        <v>20</v>
      </c>
      <c r="DA178" s="2571"/>
      <c r="DB178" s="2614"/>
      <c r="DC178" s="935"/>
      <c r="DD178" s="2614">
        <v>20</v>
      </c>
      <c r="DE178" s="935">
        <v>20</v>
      </c>
      <c r="DF178" s="2572">
        <f>IFERROR(VLOOKUP(G178,Personalización!$F$18:$H$21,3,0),IFERROR(VLOOKUP(G178,Personalización!$I$18:$K$21,3,0),IFERROR(VLOOKUP(G178,Personalización!$L$18:$N$21,3,0),IFERROR(VLOOKUP(G178,Personalización!$O$18:$Q$20,3,0),0))))</f>
        <v>0</v>
      </c>
    </row>
    <row r="179" spans="1:110" ht="12.75" customHeight="1" x14ac:dyDescent="0.2">
      <c r="A179" s="227">
        <v>179</v>
      </c>
      <c r="B179" s="5988"/>
      <c r="C179" s="560" t="s">
        <v>6288</v>
      </c>
      <c r="D179" s="561"/>
      <c r="F179" s="2611">
        <v>39</v>
      </c>
      <c r="G179" s="326" t="s">
        <v>1468</v>
      </c>
      <c r="H179" s="2571"/>
      <c r="I179" s="2614"/>
      <c r="J179" s="935"/>
      <c r="K179" s="2614"/>
      <c r="L179" s="2614"/>
      <c r="M179" s="2571"/>
      <c r="N179" s="2614"/>
      <c r="O179" s="935"/>
      <c r="P179" s="2614"/>
      <c r="Q179" s="2614"/>
      <c r="R179" s="2571">
        <v>20</v>
      </c>
      <c r="S179" s="935"/>
      <c r="T179" s="2614"/>
      <c r="U179" s="2571"/>
      <c r="V179" s="935"/>
      <c r="W179" s="2614"/>
      <c r="X179" s="2614"/>
      <c r="Y179" s="2569"/>
      <c r="Z179" s="2420"/>
      <c r="AA179" s="2570"/>
      <c r="AB179" s="2420"/>
      <c r="AC179" s="2420"/>
      <c r="AD179" s="2569"/>
      <c r="AE179" s="2570"/>
      <c r="AF179" s="2420"/>
      <c r="AG179" s="2420"/>
      <c r="AH179" s="2420"/>
      <c r="AI179" s="2569"/>
      <c r="AJ179" s="2420"/>
      <c r="AK179" s="2570"/>
      <c r="AL179" s="2420"/>
      <c r="AM179" s="2420"/>
      <c r="AN179" s="2420"/>
      <c r="AO179" s="2420"/>
      <c r="AP179" s="2571"/>
      <c r="AQ179" s="2614"/>
      <c r="AR179" s="935"/>
      <c r="AS179" s="2614"/>
      <c r="AT179" s="2614"/>
      <c r="AU179" s="2571"/>
      <c r="AV179" s="2614"/>
      <c r="AW179" s="935"/>
      <c r="AX179" s="2614"/>
      <c r="AY179" s="2614"/>
      <c r="AZ179" s="2571"/>
      <c r="BA179" s="935"/>
      <c r="BB179" s="2614"/>
      <c r="BC179" s="2614"/>
      <c r="BD179" s="2571"/>
      <c r="BE179" s="935"/>
      <c r="BF179" s="2614"/>
      <c r="BG179" s="2614"/>
      <c r="BH179" s="936"/>
      <c r="BI179" s="2571"/>
      <c r="BJ179" s="935"/>
      <c r="BK179" s="2614"/>
      <c r="BL179" s="2614"/>
      <c r="BM179" s="936"/>
      <c r="BN179" s="2614"/>
      <c r="BO179" s="2614"/>
      <c r="BP179" s="2571"/>
      <c r="BQ179" s="2614"/>
      <c r="BR179" s="935"/>
      <c r="BS179" s="2614"/>
      <c r="BT179" s="2614"/>
      <c r="BU179" s="2571"/>
      <c r="BV179" s="2614">
        <v>20</v>
      </c>
      <c r="BW179" s="2614"/>
      <c r="BX179" s="935"/>
      <c r="BY179" s="2614"/>
      <c r="BZ179" s="2614"/>
      <c r="CA179" s="2614"/>
      <c r="CB179" s="2571"/>
      <c r="CC179" s="2614"/>
      <c r="CD179" s="935"/>
      <c r="CE179" s="2614">
        <v>20</v>
      </c>
      <c r="CF179" s="2614">
        <v>20</v>
      </c>
      <c r="CG179" s="2571"/>
      <c r="CH179" s="2614"/>
      <c r="CI179" s="935"/>
      <c r="CJ179" s="2614"/>
      <c r="CK179" s="2614"/>
      <c r="CL179" s="2614"/>
      <c r="CM179" s="2614"/>
      <c r="CN179" s="2571"/>
      <c r="CO179" s="935"/>
      <c r="CP179" s="2614">
        <v>20</v>
      </c>
      <c r="CQ179" s="2614">
        <v>20</v>
      </c>
      <c r="CR179" s="2571"/>
      <c r="CS179" s="2614"/>
      <c r="CT179" s="935"/>
      <c r="CU179" s="2614">
        <v>20</v>
      </c>
      <c r="CV179" s="2614">
        <v>20</v>
      </c>
      <c r="CW179" s="2571">
        <v>20</v>
      </c>
      <c r="CX179" s="2614"/>
      <c r="CY179" s="935"/>
      <c r="CZ179" s="2614"/>
      <c r="DA179" s="2571"/>
      <c r="DB179" s="2614"/>
      <c r="DC179" s="935"/>
      <c r="DD179" s="2614"/>
      <c r="DE179" s="935"/>
      <c r="DF179" s="2572">
        <f>IFERROR(VLOOKUP(G179,Personalización!$F$18:$H$21,3,0),IFERROR(VLOOKUP(G179,Personalización!$I$18:$K$21,3,0),IFERROR(VLOOKUP(G179,Personalización!$L$18:$N$21,3,0),IFERROR(VLOOKUP(G179,Personalización!$O$18:$Q$20,3,0),0))))</f>
        <v>0</v>
      </c>
    </row>
    <row r="180" spans="1:110" ht="12.75" customHeight="1" x14ac:dyDescent="0.2">
      <c r="A180" s="227">
        <v>180</v>
      </c>
      <c r="B180" s="5988"/>
      <c r="C180" s="560" t="s">
        <v>6289</v>
      </c>
      <c r="D180" s="561"/>
      <c r="F180" s="2611">
        <v>40</v>
      </c>
      <c r="G180" s="326" t="s">
        <v>1469</v>
      </c>
      <c r="H180" s="2571"/>
      <c r="I180" s="2614"/>
      <c r="J180" s="935"/>
      <c r="K180" s="2614"/>
      <c r="L180" s="2614"/>
      <c r="M180" s="2571"/>
      <c r="N180" s="2614"/>
      <c r="O180" s="935"/>
      <c r="P180" s="2614"/>
      <c r="Q180" s="2614"/>
      <c r="R180" s="2571"/>
      <c r="S180" s="935"/>
      <c r="T180" s="2614"/>
      <c r="U180" s="2571"/>
      <c r="V180" s="935"/>
      <c r="W180" s="2614"/>
      <c r="X180" s="2614"/>
      <c r="Y180" s="2569"/>
      <c r="Z180" s="2420"/>
      <c r="AA180" s="2570"/>
      <c r="AB180" s="2420"/>
      <c r="AC180" s="2420"/>
      <c r="AD180" s="2569"/>
      <c r="AE180" s="2570"/>
      <c r="AF180" s="2420"/>
      <c r="AG180" s="2420"/>
      <c r="AH180" s="2420"/>
      <c r="AI180" s="2569"/>
      <c r="AJ180" s="2420"/>
      <c r="AK180" s="2570"/>
      <c r="AL180" s="2420"/>
      <c r="AM180" s="2420"/>
      <c r="AN180" s="2420"/>
      <c r="AO180" s="2420"/>
      <c r="AP180" s="2571"/>
      <c r="AQ180" s="2614"/>
      <c r="AR180" s="935"/>
      <c r="AS180" s="2614"/>
      <c r="AT180" s="2614"/>
      <c r="AU180" s="2571"/>
      <c r="AV180" s="2614"/>
      <c r="AW180" s="935"/>
      <c r="AX180" s="2614"/>
      <c r="AY180" s="2614"/>
      <c r="AZ180" s="2571"/>
      <c r="BA180" s="935"/>
      <c r="BB180" s="2614"/>
      <c r="BC180" s="2614"/>
      <c r="BD180" s="2571"/>
      <c r="BE180" s="935"/>
      <c r="BF180" s="2614"/>
      <c r="BG180" s="2614"/>
      <c r="BH180" s="936"/>
      <c r="BI180" s="2571"/>
      <c r="BJ180" s="935"/>
      <c r="BK180" s="2614"/>
      <c r="BL180" s="2614"/>
      <c r="BM180" s="936"/>
      <c r="BN180" s="2614"/>
      <c r="BO180" s="2614"/>
      <c r="BP180" s="2571"/>
      <c r="BQ180" s="2614"/>
      <c r="BR180" s="935"/>
      <c r="BS180" s="2614"/>
      <c r="BT180" s="2614"/>
      <c r="BU180" s="2571"/>
      <c r="BV180" s="2614"/>
      <c r="BW180" s="2614"/>
      <c r="BX180" s="935"/>
      <c r="BY180" s="2614"/>
      <c r="BZ180" s="2614"/>
      <c r="CA180" s="2614"/>
      <c r="CB180" s="2571"/>
      <c r="CC180" s="2614"/>
      <c r="CD180" s="935"/>
      <c r="CE180" s="2614"/>
      <c r="CF180" s="2614"/>
      <c r="CG180" s="2571"/>
      <c r="CH180" s="2614"/>
      <c r="CI180" s="935"/>
      <c r="CJ180" s="2614"/>
      <c r="CK180" s="2614"/>
      <c r="CL180" s="2614"/>
      <c r="CM180" s="2614"/>
      <c r="CN180" s="2571"/>
      <c r="CO180" s="935"/>
      <c r="CP180" s="2614"/>
      <c r="CQ180" s="2614"/>
      <c r="CR180" s="2571"/>
      <c r="CS180" s="2614"/>
      <c r="CT180" s="935"/>
      <c r="CU180" s="2614"/>
      <c r="CV180" s="2614"/>
      <c r="CW180" s="2571"/>
      <c r="CX180" s="2614"/>
      <c r="CY180" s="935"/>
      <c r="CZ180" s="2614"/>
      <c r="DA180" s="2571"/>
      <c r="DB180" s="2614"/>
      <c r="DC180" s="935"/>
      <c r="DD180" s="2614"/>
      <c r="DE180" s="935"/>
      <c r="DF180" s="2572">
        <f>IFERROR(VLOOKUP(G180,Personalización!$F$18:$H$21,3,0),IFERROR(VLOOKUP(G180,Personalización!$I$18:$K$21,3,0),IFERROR(VLOOKUP(G180,Personalización!$L$18:$N$21,3,0),IFERROR(VLOOKUP(G180,Personalización!$O$18:$Q$20,3,0),0))))</f>
        <v>0</v>
      </c>
    </row>
    <row r="181" spans="1:110" ht="12.75" customHeight="1" x14ac:dyDescent="0.2">
      <c r="A181" s="227">
        <v>181</v>
      </c>
      <c r="B181" s="5988"/>
      <c r="C181" s="560" t="s">
        <v>6290</v>
      </c>
      <c r="D181" s="561"/>
      <c r="F181" s="2611">
        <v>41</v>
      </c>
      <c r="G181" s="326" t="s">
        <v>1471</v>
      </c>
      <c r="H181" s="2571"/>
      <c r="I181" s="2614"/>
      <c r="J181" s="935"/>
      <c r="K181" s="2614">
        <v>20</v>
      </c>
      <c r="L181" s="2614"/>
      <c r="M181" s="2571"/>
      <c r="N181" s="2614"/>
      <c r="O181" s="935"/>
      <c r="P181" s="2614"/>
      <c r="Q181" s="2614"/>
      <c r="R181" s="2571"/>
      <c r="S181" s="935"/>
      <c r="T181" s="2614"/>
      <c r="U181" s="2571"/>
      <c r="V181" s="935"/>
      <c r="W181" s="2614"/>
      <c r="X181" s="2614"/>
      <c r="Y181" s="2569"/>
      <c r="Z181" s="2420"/>
      <c r="AA181" s="2570"/>
      <c r="AB181" s="2420"/>
      <c r="AC181" s="2420"/>
      <c r="AD181" s="2569"/>
      <c r="AE181" s="2570"/>
      <c r="AF181" s="2420"/>
      <c r="AG181" s="2420"/>
      <c r="AH181" s="2420"/>
      <c r="AI181" s="2569"/>
      <c r="AJ181" s="2420"/>
      <c r="AK181" s="2570"/>
      <c r="AL181" s="2420"/>
      <c r="AM181" s="2420"/>
      <c r="AN181" s="2420"/>
      <c r="AO181" s="2420"/>
      <c r="AP181" s="2571"/>
      <c r="AQ181" s="2614"/>
      <c r="AR181" s="935"/>
      <c r="AS181" s="2614"/>
      <c r="AT181" s="2614"/>
      <c r="AU181" s="2571"/>
      <c r="AV181" s="2614"/>
      <c r="AW181" s="935"/>
      <c r="AX181" s="2614"/>
      <c r="AY181" s="2614"/>
      <c r="AZ181" s="2571"/>
      <c r="BA181" s="935"/>
      <c r="BB181" s="2614"/>
      <c r="BC181" s="2614"/>
      <c r="BD181" s="2571"/>
      <c r="BE181" s="935"/>
      <c r="BF181" s="2614">
        <v>10</v>
      </c>
      <c r="BG181" s="2614">
        <v>10</v>
      </c>
      <c r="BH181" s="936"/>
      <c r="BI181" s="2571"/>
      <c r="BJ181" s="935"/>
      <c r="BK181" s="2614"/>
      <c r="BL181" s="2614"/>
      <c r="BM181" s="936"/>
      <c r="BN181" s="2614">
        <v>30</v>
      </c>
      <c r="BO181" s="2614"/>
      <c r="BP181" s="2571"/>
      <c r="BQ181" s="2614">
        <v>20</v>
      </c>
      <c r="BR181" s="935"/>
      <c r="BS181" s="2614"/>
      <c r="BT181" s="2614"/>
      <c r="BU181" s="2571"/>
      <c r="BV181" s="2614"/>
      <c r="BW181" s="2614"/>
      <c r="BX181" s="935"/>
      <c r="BY181" s="2614"/>
      <c r="BZ181" s="2614"/>
      <c r="CA181" s="2614"/>
      <c r="CB181" s="2571"/>
      <c r="CC181" s="2614"/>
      <c r="CD181" s="935"/>
      <c r="CE181" s="2614"/>
      <c r="CF181" s="2614"/>
      <c r="CG181" s="2571"/>
      <c r="CH181" s="2614"/>
      <c r="CI181" s="935"/>
      <c r="CJ181" s="2614"/>
      <c r="CK181" s="2614"/>
      <c r="CL181" s="2614"/>
      <c r="CM181" s="2614"/>
      <c r="CN181" s="2571"/>
      <c r="CO181" s="935"/>
      <c r="CP181" s="2614"/>
      <c r="CQ181" s="2614"/>
      <c r="CR181" s="2571"/>
      <c r="CS181" s="2614"/>
      <c r="CT181" s="935"/>
      <c r="CU181" s="2614"/>
      <c r="CV181" s="2614"/>
      <c r="CW181" s="2571"/>
      <c r="CX181" s="2614"/>
      <c r="CY181" s="935"/>
      <c r="CZ181" s="2614"/>
      <c r="DA181" s="2571"/>
      <c r="DB181" s="2614"/>
      <c r="DC181" s="935"/>
      <c r="DD181" s="2614"/>
      <c r="DE181" s="935"/>
      <c r="DF181" s="2572">
        <f>IFERROR(VLOOKUP(G181,Personalización!$F$18:$H$21,3,0),IFERROR(VLOOKUP(G181,Personalización!$I$18:$K$21,3,0),IFERROR(VLOOKUP(G181,Personalización!$L$18:$N$21,3,0),IFERROR(VLOOKUP(G181,Personalización!$O$18:$Q$20,3,0),0))))</f>
        <v>0</v>
      </c>
    </row>
    <row r="182" spans="1:110" ht="12.75" customHeight="1" x14ac:dyDescent="0.2">
      <c r="A182" s="227">
        <v>182</v>
      </c>
      <c r="B182" s="5988"/>
      <c r="C182" s="560" t="s">
        <v>6291</v>
      </c>
      <c r="D182" s="561"/>
      <c r="F182" s="2611">
        <v>42</v>
      </c>
      <c r="G182" s="326" t="s">
        <v>1472</v>
      </c>
      <c r="H182" s="2571"/>
      <c r="I182" s="2614">
        <v>20</v>
      </c>
      <c r="J182" s="935">
        <v>20</v>
      </c>
      <c r="K182" s="2614"/>
      <c r="L182" s="2614">
        <v>20</v>
      </c>
      <c r="M182" s="2571"/>
      <c r="N182" s="2614"/>
      <c r="O182" s="935"/>
      <c r="P182" s="2614"/>
      <c r="Q182" s="2614"/>
      <c r="R182" s="2571"/>
      <c r="S182" s="935"/>
      <c r="T182" s="2614"/>
      <c r="U182" s="2571"/>
      <c r="V182" s="935"/>
      <c r="W182" s="2614"/>
      <c r="X182" s="2614"/>
      <c r="Y182" s="2569"/>
      <c r="Z182" s="2420">
        <v>20</v>
      </c>
      <c r="AA182" s="2570">
        <v>20</v>
      </c>
      <c r="AB182" s="2420"/>
      <c r="AC182" s="2420"/>
      <c r="AD182" s="2569"/>
      <c r="AE182" s="2570"/>
      <c r="AF182" s="2420"/>
      <c r="AG182" s="2420"/>
      <c r="AH182" s="2420"/>
      <c r="AI182" s="2569"/>
      <c r="AJ182" s="2420"/>
      <c r="AK182" s="2570"/>
      <c r="AL182" s="2420"/>
      <c r="AM182" s="2420"/>
      <c r="AN182" s="2420"/>
      <c r="AO182" s="2420"/>
      <c r="AP182" s="2571"/>
      <c r="AQ182" s="2614"/>
      <c r="AR182" s="935"/>
      <c r="AS182" s="2614"/>
      <c r="AT182" s="2614"/>
      <c r="AU182" s="2571"/>
      <c r="AV182" s="2614">
        <v>30</v>
      </c>
      <c r="AW182" s="935">
        <v>20</v>
      </c>
      <c r="AX182" s="2614"/>
      <c r="AY182" s="2614">
        <v>20</v>
      </c>
      <c r="AZ182" s="2571"/>
      <c r="BA182" s="935"/>
      <c r="BB182" s="2614"/>
      <c r="BC182" s="2614"/>
      <c r="BD182" s="2571"/>
      <c r="BE182" s="935"/>
      <c r="BF182" s="2614"/>
      <c r="BG182" s="2614"/>
      <c r="BH182" s="936"/>
      <c r="BI182" s="2571"/>
      <c r="BJ182" s="935"/>
      <c r="BK182" s="2614"/>
      <c r="BL182" s="2614"/>
      <c r="BM182" s="936"/>
      <c r="BN182" s="2614"/>
      <c r="BO182" s="2614"/>
      <c r="BP182" s="2571"/>
      <c r="BQ182" s="2614"/>
      <c r="BR182" s="935"/>
      <c r="BS182" s="2614"/>
      <c r="BT182" s="2614">
        <v>10</v>
      </c>
      <c r="BU182" s="2571">
        <v>20</v>
      </c>
      <c r="BV182" s="2614"/>
      <c r="BW182" s="2614">
        <v>20</v>
      </c>
      <c r="BX182" s="935">
        <v>20</v>
      </c>
      <c r="BY182" s="2614"/>
      <c r="BZ182" s="2614"/>
      <c r="CA182" s="2614"/>
      <c r="CB182" s="2571">
        <v>20</v>
      </c>
      <c r="CC182" s="2614">
        <v>20</v>
      </c>
      <c r="CD182" s="935">
        <v>20</v>
      </c>
      <c r="CE182" s="2614"/>
      <c r="CF182" s="2614"/>
      <c r="CG182" s="2571">
        <v>20</v>
      </c>
      <c r="CH182" s="2614"/>
      <c r="CI182" s="935">
        <v>20</v>
      </c>
      <c r="CJ182" s="2614">
        <v>20</v>
      </c>
      <c r="CK182" s="2614">
        <v>20</v>
      </c>
      <c r="CL182" s="2614">
        <v>20</v>
      </c>
      <c r="CM182" s="2614">
        <v>20</v>
      </c>
      <c r="CN182" s="2571">
        <v>20</v>
      </c>
      <c r="CO182" s="935">
        <v>20</v>
      </c>
      <c r="CP182" s="2614"/>
      <c r="CQ182" s="2614"/>
      <c r="CR182" s="2571">
        <v>20</v>
      </c>
      <c r="CS182" s="2614">
        <v>20</v>
      </c>
      <c r="CT182" s="935">
        <v>20</v>
      </c>
      <c r="CU182" s="2614"/>
      <c r="CV182" s="2614"/>
      <c r="CW182" s="2571"/>
      <c r="CX182" s="2614"/>
      <c r="CY182" s="935"/>
      <c r="CZ182" s="2614"/>
      <c r="DA182" s="2571">
        <v>20</v>
      </c>
      <c r="DB182" s="2614">
        <v>20</v>
      </c>
      <c r="DC182" s="935">
        <v>20</v>
      </c>
      <c r="DD182" s="2614"/>
      <c r="DE182" s="935"/>
      <c r="DF182" s="2572">
        <f>IFERROR(VLOOKUP(G182,Personalización!$F$18:$H$21,3,0),IFERROR(VLOOKUP(G182,Personalización!$I$18:$K$21,3,0),IFERROR(VLOOKUP(G182,Personalización!$L$18:$N$21,3,0),IFERROR(VLOOKUP(G182,Personalización!$O$18:$Q$20,3,0),0))))</f>
        <v>0</v>
      </c>
    </row>
    <row r="183" spans="1:110" ht="12.75" customHeight="1" x14ac:dyDescent="0.2">
      <c r="A183" s="227">
        <v>183</v>
      </c>
      <c r="B183" s="5988"/>
      <c r="C183" s="560" t="s">
        <v>8329</v>
      </c>
      <c r="D183" s="561"/>
      <c r="F183" s="2611">
        <v>43</v>
      </c>
      <c r="G183" s="326" t="s">
        <v>1473</v>
      </c>
      <c r="H183" s="2571"/>
      <c r="I183" s="2614"/>
      <c r="J183" s="935"/>
      <c r="K183" s="2614"/>
      <c r="L183" s="2614"/>
      <c r="M183" s="2571"/>
      <c r="N183" s="2614"/>
      <c r="O183" s="935"/>
      <c r="P183" s="2614">
        <v>20</v>
      </c>
      <c r="Q183" s="2614"/>
      <c r="R183" s="2571"/>
      <c r="S183" s="935"/>
      <c r="T183" s="2614"/>
      <c r="U183" s="2571"/>
      <c r="V183" s="935"/>
      <c r="W183" s="2614"/>
      <c r="X183" s="2614"/>
      <c r="Y183" s="2569"/>
      <c r="Z183" s="2420"/>
      <c r="AA183" s="2570"/>
      <c r="AB183" s="2420"/>
      <c r="AC183" s="2420"/>
      <c r="AD183" s="2569"/>
      <c r="AE183" s="2570"/>
      <c r="AF183" s="2420"/>
      <c r="AG183" s="2420"/>
      <c r="AH183" s="2420"/>
      <c r="AI183" s="2569"/>
      <c r="AJ183" s="2420"/>
      <c r="AK183" s="2570"/>
      <c r="AL183" s="2420"/>
      <c r="AM183" s="2420"/>
      <c r="AN183" s="2420"/>
      <c r="AO183" s="2420"/>
      <c r="AP183" s="2571"/>
      <c r="AQ183" s="2614"/>
      <c r="AR183" s="935"/>
      <c r="AS183" s="2614"/>
      <c r="AT183" s="2614"/>
      <c r="AU183" s="2571"/>
      <c r="AV183" s="2614"/>
      <c r="AW183" s="935"/>
      <c r="AX183" s="2614"/>
      <c r="AY183" s="2614"/>
      <c r="AZ183" s="2571"/>
      <c r="BA183" s="935"/>
      <c r="BB183" s="2614"/>
      <c r="BC183" s="2614"/>
      <c r="BD183" s="2571"/>
      <c r="BE183" s="935"/>
      <c r="BF183" s="2614">
        <v>30</v>
      </c>
      <c r="BG183" s="2614"/>
      <c r="BH183" s="936"/>
      <c r="BI183" s="2571"/>
      <c r="BJ183" s="935"/>
      <c r="BK183" s="2614"/>
      <c r="BL183" s="2614"/>
      <c r="BM183" s="936"/>
      <c r="BN183" s="2614"/>
      <c r="BO183" s="2614"/>
      <c r="BP183" s="2571"/>
      <c r="BQ183" s="2614"/>
      <c r="BR183" s="935"/>
      <c r="BS183" s="2614"/>
      <c r="BT183" s="2614"/>
      <c r="BU183" s="2571"/>
      <c r="BV183" s="2614"/>
      <c r="BW183" s="2614"/>
      <c r="BX183" s="935"/>
      <c r="BY183" s="2614"/>
      <c r="BZ183" s="2614"/>
      <c r="CA183" s="2614"/>
      <c r="CB183" s="2571"/>
      <c r="CC183" s="2614"/>
      <c r="CD183" s="935"/>
      <c r="CE183" s="2614"/>
      <c r="CF183" s="2614"/>
      <c r="CG183" s="2571"/>
      <c r="CH183" s="2614"/>
      <c r="CI183" s="935"/>
      <c r="CJ183" s="2614"/>
      <c r="CK183" s="2614"/>
      <c r="CL183" s="2614"/>
      <c r="CM183" s="2614"/>
      <c r="CN183" s="2571"/>
      <c r="CO183" s="935"/>
      <c r="CP183" s="2614"/>
      <c r="CQ183" s="2614"/>
      <c r="CR183" s="2571"/>
      <c r="CS183" s="2614"/>
      <c r="CT183" s="935"/>
      <c r="CU183" s="2614"/>
      <c r="CV183" s="2614"/>
      <c r="CW183" s="2571"/>
      <c r="CX183" s="2614"/>
      <c r="CY183" s="935"/>
      <c r="CZ183" s="2614"/>
      <c r="DA183" s="2571"/>
      <c r="DB183" s="2614"/>
      <c r="DC183" s="935"/>
      <c r="DD183" s="2614"/>
      <c r="DE183" s="935"/>
      <c r="DF183" s="2572">
        <f>IFERROR(VLOOKUP(G183,Personalización!$F$18:$H$21,3,0),IFERROR(VLOOKUP(G183,Personalización!$I$18:$K$21,3,0),IFERROR(VLOOKUP(G183,Personalización!$L$18:$N$21,3,0),IFERROR(VLOOKUP(G183,Personalización!$O$18:$Q$20,3,0),0))))</f>
        <v>0</v>
      </c>
    </row>
    <row r="184" spans="1:110" ht="12.75" customHeight="1" x14ac:dyDescent="0.2">
      <c r="A184" s="227">
        <v>184</v>
      </c>
      <c r="B184" s="5988"/>
      <c r="C184" s="560" t="s">
        <v>6292</v>
      </c>
      <c r="D184" s="561"/>
      <c r="F184" s="2611">
        <v>44</v>
      </c>
      <c r="G184" s="326" t="s">
        <v>813</v>
      </c>
      <c r="H184" s="2571"/>
      <c r="I184" s="2614"/>
      <c r="J184" s="935"/>
      <c r="K184" s="2614"/>
      <c r="L184" s="2614"/>
      <c r="M184" s="2571"/>
      <c r="N184" s="2614"/>
      <c r="O184" s="935"/>
      <c r="P184" s="2614"/>
      <c r="Q184" s="2614"/>
      <c r="R184" s="2571"/>
      <c r="S184" s="935"/>
      <c r="T184" s="2614"/>
      <c r="U184" s="2571"/>
      <c r="V184" s="935"/>
      <c r="W184" s="2614"/>
      <c r="X184" s="2614"/>
      <c r="Y184" s="2569"/>
      <c r="Z184" s="2420"/>
      <c r="AA184" s="2570"/>
      <c r="AB184" s="2420"/>
      <c r="AC184" s="2420"/>
      <c r="AD184" s="2569"/>
      <c r="AE184" s="2570"/>
      <c r="AF184" s="2420"/>
      <c r="AG184" s="2420"/>
      <c r="AH184" s="2420"/>
      <c r="AI184" s="2569"/>
      <c r="AJ184" s="2420"/>
      <c r="AK184" s="2570"/>
      <c r="AL184" s="2420"/>
      <c r="AM184" s="2420"/>
      <c r="AN184" s="2420"/>
      <c r="AO184" s="2420"/>
      <c r="AP184" s="2571"/>
      <c r="AQ184" s="2614"/>
      <c r="AR184" s="935"/>
      <c r="AS184" s="2614"/>
      <c r="AT184" s="2614"/>
      <c r="AU184" s="2571"/>
      <c r="AV184" s="2614"/>
      <c r="AW184" s="935"/>
      <c r="AX184" s="2614"/>
      <c r="AY184" s="2614"/>
      <c r="AZ184" s="2571"/>
      <c r="BA184" s="935"/>
      <c r="BB184" s="2614"/>
      <c r="BC184" s="2614"/>
      <c r="BD184" s="2571"/>
      <c r="BE184" s="935"/>
      <c r="BF184" s="2614"/>
      <c r="BG184" s="2614"/>
      <c r="BH184" s="936"/>
      <c r="BI184" s="2571"/>
      <c r="BJ184" s="935"/>
      <c r="BK184" s="2614"/>
      <c r="BL184" s="2614"/>
      <c r="BM184" s="936"/>
      <c r="BN184" s="2614"/>
      <c r="BO184" s="2614"/>
      <c r="BP184" s="2571"/>
      <c r="BQ184" s="2614"/>
      <c r="BR184" s="935"/>
      <c r="BS184" s="2614"/>
      <c r="BT184" s="2614"/>
      <c r="BU184" s="2571"/>
      <c r="BV184" s="2614"/>
      <c r="BW184" s="2614"/>
      <c r="BX184" s="935"/>
      <c r="BY184" s="2614"/>
      <c r="BZ184" s="2614"/>
      <c r="CA184" s="2614"/>
      <c r="CB184" s="2571"/>
      <c r="CC184" s="2614"/>
      <c r="CD184" s="935"/>
      <c r="CE184" s="2614"/>
      <c r="CF184" s="2614"/>
      <c r="CG184" s="2571"/>
      <c r="CH184" s="2614"/>
      <c r="CI184" s="935"/>
      <c r="CJ184" s="2614"/>
      <c r="CK184" s="2614"/>
      <c r="CL184" s="2614"/>
      <c r="CM184" s="2614"/>
      <c r="CN184" s="2571"/>
      <c r="CO184" s="935"/>
      <c r="CP184" s="2614"/>
      <c r="CQ184" s="2614"/>
      <c r="CR184" s="2571"/>
      <c r="CS184" s="2614"/>
      <c r="CT184" s="935"/>
      <c r="CU184" s="2614"/>
      <c r="CV184" s="2614"/>
      <c r="CW184" s="2571"/>
      <c r="CX184" s="2614"/>
      <c r="CY184" s="935"/>
      <c r="CZ184" s="2614"/>
      <c r="DA184" s="2571"/>
      <c r="DB184" s="2614"/>
      <c r="DC184" s="935"/>
      <c r="DD184" s="2614"/>
      <c r="DE184" s="935"/>
      <c r="DF184" s="2572">
        <f>IFERROR(VLOOKUP(G184,Personalización!$F$18:$H$21,3,0),IFERROR(VLOOKUP(G184,Personalización!$I$18:$K$21,3,0),IFERROR(VLOOKUP(G184,Personalización!$L$18:$N$21,3,0),IFERROR(VLOOKUP(G184,Personalización!$O$18:$Q$20,3,0),0))))</f>
        <v>0</v>
      </c>
    </row>
    <row r="185" spans="1:110" ht="12.75" customHeight="1" x14ac:dyDescent="0.2">
      <c r="A185" s="227">
        <v>185</v>
      </c>
      <c r="B185" s="5988"/>
      <c r="C185" s="560" t="s">
        <v>6293</v>
      </c>
      <c r="D185" s="561"/>
      <c r="F185" s="2611">
        <v>45</v>
      </c>
      <c r="G185" s="326" t="s">
        <v>814</v>
      </c>
      <c r="H185" s="2571"/>
      <c r="I185" s="2614"/>
      <c r="J185" s="935"/>
      <c r="K185" s="2614"/>
      <c r="L185" s="2614"/>
      <c r="M185" s="2571"/>
      <c r="N185" s="2614"/>
      <c r="O185" s="935"/>
      <c r="P185" s="2614"/>
      <c r="Q185" s="2614"/>
      <c r="R185" s="2571"/>
      <c r="S185" s="935"/>
      <c r="T185" s="2614"/>
      <c r="U185" s="2571"/>
      <c r="V185" s="935"/>
      <c r="W185" s="2614"/>
      <c r="X185" s="2614"/>
      <c r="Y185" s="2569"/>
      <c r="Z185" s="2420"/>
      <c r="AA185" s="2570"/>
      <c r="AB185" s="2420"/>
      <c r="AC185" s="2420"/>
      <c r="AD185" s="2569"/>
      <c r="AE185" s="2570"/>
      <c r="AF185" s="2420"/>
      <c r="AG185" s="2420"/>
      <c r="AH185" s="2420"/>
      <c r="AI185" s="2569"/>
      <c r="AJ185" s="2420"/>
      <c r="AK185" s="2570"/>
      <c r="AL185" s="2420"/>
      <c r="AM185" s="2420"/>
      <c r="AN185" s="2420"/>
      <c r="AO185" s="2420"/>
      <c r="AP185" s="2571"/>
      <c r="AQ185" s="2614"/>
      <c r="AR185" s="935"/>
      <c r="AS185" s="2614"/>
      <c r="AT185" s="2614"/>
      <c r="AU185" s="2571"/>
      <c r="AV185" s="2614"/>
      <c r="AW185" s="935"/>
      <c r="AX185" s="2614"/>
      <c r="AY185" s="2614"/>
      <c r="AZ185" s="2571"/>
      <c r="BA185" s="935"/>
      <c r="BB185" s="2614"/>
      <c r="BC185" s="2614"/>
      <c r="BD185" s="2571"/>
      <c r="BE185" s="935"/>
      <c r="BF185" s="2614"/>
      <c r="BG185" s="2614"/>
      <c r="BH185" s="936"/>
      <c r="BI185" s="2571"/>
      <c r="BJ185" s="935"/>
      <c r="BK185" s="2614"/>
      <c r="BL185" s="2614"/>
      <c r="BM185" s="936"/>
      <c r="BN185" s="2614"/>
      <c r="BO185" s="2614"/>
      <c r="BP185" s="2571"/>
      <c r="BQ185" s="2614"/>
      <c r="BR185" s="935"/>
      <c r="BS185" s="2614"/>
      <c r="BT185" s="2614"/>
      <c r="BU185" s="2571"/>
      <c r="BV185" s="2614"/>
      <c r="BW185" s="2614"/>
      <c r="BX185" s="935"/>
      <c r="BY185" s="2614"/>
      <c r="BZ185" s="2614"/>
      <c r="CA185" s="2614"/>
      <c r="CB185" s="2571"/>
      <c r="CC185" s="2614"/>
      <c r="CD185" s="935"/>
      <c r="CE185" s="2614"/>
      <c r="CF185" s="2614"/>
      <c r="CG185" s="2571"/>
      <c r="CH185" s="2614"/>
      <c r="CI185" s="935"/>
      <c r="CJ185" s="2614"/>
      <c r="CK185" s="2614"/>
      <c r="CL185" s="2614"/>
      <c r="CM185" s="2614"/>
      <c r="CN185" s="2571"/>
      <c r="CO185" s="935"/>
      <c r="CP185" s="2614"/>
      <c r="CQ185" s="2614"/>
      <c r="CR185" s="2571"/>
      <c r="CS185" s="2614"/>
      <c r="CT185" s="935"/>
      <c r="CU185" s="2614"/>
      <c r="CV185" s="2614"/>
      <c r="CW185" s="2571"/>
      <c r="CX185" s="2614"/>
      <c r="CY185" s="935"/>
      <c r="CZ185" s="2614"/>
      <c r="DA185" s="2571"/>
      <c r="DB185" s="2614"/>
      <c r="DC185" s="935"/>
      <c r="DD185" s="2614"/>
      <c r="DE185" s="935"/>
      <c r="DF185" s="2572">
        <f>IFERROR(VLOOKUP(G185,Personalización!$F$18:$H$21,3,0),IFERROR(VLOOKUP(G185,Personalización!$I$18:$K$21,3,0),IFERROR(VLOOKUP(G185,Personalización!$L$18:$N$21,3,0),IFERROR(VLOOKUP(G185,Personalización!$O$18:$Q$20,3,0),0))))</f>
        <v>0</v>
      </c>
    </row>
    <row r="186" spans="1:110" ht="12.75" customHeight="1" x14ac:dyDescent="0.2">
      <c r="A186" s="227">
        <v>186</v>
      </c>
      <c r="B186" s="5988"/>
      <c r="C186" s="560" t="s">
        <v>6294</v>
      </c>
      <c r="D186" s="561"/>
      <c r="F186" s="2611">
        <v>46</v>
      </c>
      <c r="G186" s="326" t="s">
        <v>815</v>
      </c>
      <c r="H186" s="2571"/>
      <c r="I186" s="2614"/>
      <c r="J186" s="935"/>
      <c r="K186" s="2614"/>
      <c r="L186" s="2614"/>
      <c r="M186" s="2571"/>
      <c r="N186" s="2614"/>
      <c r="O186" s="935"/>
      <c r="P186" s="2614"/>
      <c r="Q186" s="2614"/>
      <c r="R186" s="2571"/>
      <c r="S186" s="935"/>
      <c r="T186" s="2614"/>
      <c r="U186" s="2571"/>
      <c r="V186" s="935"/>
      <c r="W186" s="2614"/>
      <c r="X186" s="2614"/>
      <c r="Y186" s="2569"/>
      <c r="Z186" s="2420"/>
      <c r="AA186" s="2570"/>
      <c r="AB186" s="2420"/>
      <c r="AC186" s="2420"/>
      <c r="AD186" s="2569"/>
      <c r="AE186" s="2570"/>
      <c r="AF186" s="2420"/>
      <c r="AG186" s="2420"/>
      <c r="AH186" s="2420"/>
      <c r="AI186" s="2569"/>
      <c r="AJ186" s="2420"/>
      <c r="AK186" s="2570"/>
      <c r="AL186" s="2420"/>
      <c r="AM186" s="2420"/>
      <c r="AN186" s="2420"/>
      <c r="AO186" s="2420"/>
      <c r="AP186" s="2571"/>
      <c r="AQ186" s="2614"/>
      <c r="AR186" s="935"/>
      <c r="AS186" s="2614"/>
      <c r="AT186" s="2614"/>
      <c r="AU186" s="2571"/>
      <c r="AV186" s="2614"/>
      <c r="AW186" s="935"/>
      <c r="AX186" s="2614"/>
      <c r="AY186" s="2614"/>
      <c r="AZ186" s="2571"/>
      <c r="BA186" s="935"/>
      <c r="BB186" s="2614"/>
      <c r="BC186" s="2614"/>
      <c r="BD186" s="2571"/>
      <c r="BE186" s="935"/>
      <c r="BF186" s="2614"/>
      <c r="BG186" s="2614"/>
      <c r="BH186" s="936"/>
      <c r="BI186" s="2571"/>
      <c r="BJ186" s="935"/>
      <c r="BK186" s="2614"/>
      <c r="BL186" s="2614"/>
      <c r="BM186" s="936"/>
      <c r="BN186" s="2614"/>
      <c r="BO186" s="2614"/>
      <c r="BP186" s="2571"/>
      <c r="BQ186" s="2614"/>
      <c r="BR186" s="935"/>
      <c r="BS186" s="2614"/>
      <c r="BT186" s="2614"/>
      <c r="BU186" s="2571"/>
      <c r="BV186" s="2614"/>
      <c r="BW186" s="2614"/>
      <c r="BX186" s="935"/>
      <c r="BY186" s="2614"/>
      <c r="BZ186" s="2614"/>
      <c r="CA186" s="2614"/>
      <c r="CB186" s="2571"/>
      <c r="CC186" s="2614"/>
      <c r="CD186" s="935"/>
      <c r="CE186" s="2614"/>
      <c r="CF186" s="2614"/>
      <c r="CG186" s="2571"/>
      <c r="CH186" s="2614"/>
      <c r="CI186" s="935"/>
      <c r="CJ186" s="2614"/>
      <c r="CK186" s="2614"/>
      <c r="CL186" s="2614"/>
      <c r="CM186" s="2614"/>
      <c r="CN186" s="2571"/>
      <c r="CO186" s="935"/>
      <c r="CP186" s="2614"/>
      <c r="CQ186" s="2614"/>
      <c r="CR186" s="2571"/>
      <c r="CS186" s="2614"/>
      <c r="CT186" s="935"/>
      <c r="CU186" s="2614"/>
      <c r="CV186" s="2614"/>
      <c r="CW186" s="2571"/>
      <c r="CX186" s="2614"/>
      <c r="CY186" s="935"/>
      <c r="CZ186" s="2614"/>
      <c r="DA186" s="2571"/>
      <c r="DB186" s="2614"/>
      <c r="DC186" s="935"/>
      <c r="DD186" s="2614"/>
      <c r="DE186" s="935"/>
      <c r="DF186" s="2572">
        <f>IFERROR(VLOOKUP(G186,Personalización!$F$18:$H$21,3,0),IFERROR(VLOOKUP(G186,Personalización!$I$18:$K$21,3,0),IFERROR(VLOOKUP(G186,Personalización!$L$18:$N$21,3,0),IFERROR(VLOOKUP(G186,Personalización!$O$18:$Q$20,3,0),0))))</f>
        <v>0</v>
      </c>
    </row>
    <row r="187" spans="1:110" ht="12.75" customHeight="1" x14ac:dyDescent="0.2">
      <c r="A187" s="227">
        <v>187</v>
      </c>
      <c r="B187" s="5988"/>
      <c r="C187" s="560" t="s">
        <v>6295</v>
      </c>
      <c r="D187" s="561"/>
      <c r="F187" s="2611">
        <v>47</v>
      </c>
      <c r="G187" s="326" t="s">
        <v>1474</v>
      </c>
      <c r="H187" s="2571"/>
      <c r="I187" s="2614"/>
      <c r="J187" s="935"/>
      <c r="K187" s="2614"/>
      <c r="L187" s="2614"/>
      <c r="M187" s="2571"/>
      <c r="N187" s="2614"/>
      <c r="O187" s="935"/>
      <c r="P187" s="2614"/>
      <c r="Q187" s="2614"/>
      <c r="R187" s="2571"/>
      <c r="S187" s="935">
        <v>30</v>
      </c>
      <c r="T187" s="2614"/>
      <c r="U187" s="2571"/>
      <c r="V187" s="935"/>
      <c r="W187" s="2614"/>
      <c r="X187" s="2614"/>
      <c r="Y187" s="2569"/>
      <c r="Z187" s="2420"/>
      <c r="AA187" s="2570"/>
      <c r="AB187" s="2420"/>
      <c r="AC187" s="2420"/>
      <c r="AD187" s="2569"/>
      <c r="AE187" s="2570"/>
      <c r="AF187" s="2420"/>
      <c r="AG187" s="2420"/>
      <c r="AH187" s="2420"/>
      <c r="AI187" s="2569"/>
      <c r="AJ187" s="2420"/>
      <c r="AK187" s="2570"/>
      <c r="AL187" s="2420"/>
      <c r="AM187" s="2420"/>
      <c r="AN187" s="2420"/>
      <c r="AO187" s="2420"/>
      <c r="AP187" s="2571"/>
      <c r="AQ187" s="2614"/>
      <c r="AR187" s="935"/>
      <c r="AS187" s="2614"/>
      <c r="AT187" s="2614"/>
      <c r="AU187" s="2571"/>
      <c r="AV187" s="2614"/>
      <c r="AW187" s="935"/>
      <c r="AX187" s="2614"/>
      <c r="AY187" s="2614"/>
      <c r="AZ187" s="2571"/>
      <c r="BA187" s="935"/>
      <c r="BB187" s="2614"/>
      <c r="BC187" s="2614"/>
      <c r="BD187" s="2571"/>
      <c r="BE187" s="935"/>
      <c r="BF187" s="2614"/>
      <c r="BG187" s="2614"/>
      <c r="BH187" s="936"/>
      <c r="BI187" s="2571"/>
      <c r="BJ187" s="935"/>
      <c r="BK187" s="2614"/>
      <c r="BL187" s="2614"/>
      <c r="BM187" s="936"/>
      <c r="BN187" s="2614"/>
      <c r="BO187" s="2614"/>
      <c r="BP187" s="2571"/>
      <c r="BQ187" s="2614">
        <v>20</v>
      </c>
      <c r="BR187" s="935"/>
      <c r="BS187" s="2614"/>
      <c r="BT187" s="2614"/>
      <c r="BU187" s="2571"/>
      <c r="BV187" s="2614"/>
      <c r="BW187" s="2614"/>
      <c r="BX187" s="935"/>
      <c r="BY187" s="2614"/>
      <c r="BZ187" s="2614"/>
      <c r="CA187" s="2614"/>
      <c r="CB187" s="2571"/>
      <c r="CC187" s="2614"/>
      <c r="CD187" s="935"/>
      <c r="CE187" s="2614"/>
      <c r="CF187" s="2614"/>
      <c r="CG187" s="2571"/>
      <c r="CH187" s="2614"/>
      <c r="CI187" s="935"/>
      <c r="CJ187" s="2614"/>
      <c r="CK187" s="2614"/>
      <c r="CL187" s="2614"/>
      <c r="CM187" s="2614"/>
      <c r="CN187" s="2571"/>
      <c r="CO187" s="935"/>
      <c r="CP187" s="2614"/>
      <c r="CQ187" s="2614"/>
      <c r="CR187" s="2571">
        <v>20</v>
      </c>
      <c r="CS187" s="2614">
        <v>20</v>
      </c>
      <c r="CT187" s="935">
        <v>20</v>
      </c>
      <c r="CU187" s="2614"/>
      <c r="CV187" s="2614"/>
      <c r="CW187" s="2571"/>
      <c r="CX187" s="2614"/>
      <c r="CY187" s="935"/>
      <c r="CZ187" s="2614"/>
      <c r="DA187" s="2571"/>
      <c r="DB187" s="2614"/>
      <c r="DC187" s="935"/>
      <c r="DD187" s="2614"/>
      <c r="DE187" s="935"/>
      <c r="DF187" s="2572">
        <f>IFERROR(VLOOKUP(G187,Personalización!$F$18:$H$21,3,0),IFERROR(VLOOKUP(G187,Personalización!$I$18:$K$21,3,0),IFERROR(VLOOKUP(G187,Personalización!$L$18:$N$21,3,0),IFERROR(VLOOKUP(G187,Personalización!$O$18:$Q$20,3,0),0))))</f>
        <v>0</v>
      </c>
    </row>
    <row r="188" spans="1:110" ht="12.75" customHeight="1" x14ac:dyDescent="0.2">
      <c r="A188" s="227">
        <v>188</v>
      </c>
      <c r="B188" s="5988"/>
      <c r="C188" s="560" t="s">
        <v>6361</v>
      </c>
      <c r="D188" s="561"/>
      <c r="F188" s="2611">
        <v>48</v>
      </c>
      <c r="G188" s="326" t="s">
        <v>1476</v>
      </c>
      <c r="H188" s="2571">
        <v>20</v>
      </c>
      <c r="I188" s="2614"/>
      <c r="J188" s="935"/>
      <c r="K188" s="2614"/>
      <c r="L188" s="2614"/>
      <c r="M188" s="2571"/>
      <c r="N188" s="2614"/>
      <c r="O188" s="935"/>
      <c r="P188" s="2614"/>
      <c r="Q188" s="2614"/>
      <c r="R188" s="2571"/>
      <c r="S188" s="935"/>
      <c r="T188" s="2614"/>
      <c r="U188" s="2571"/>
      <c r="V188" s="935"/>
      <c r="W188" s="2614"/>
      <c r="X188" s="2614"/>
      <c r="Y188" s="2569">
        <v>20</v>
      </c>
      <c r="Z188" s="2420"/>
      <c r="AA188" s="2570"/>
      <c r="AB188" s="2420"/>
      <c r="AC188" s="2420"/>
      <c r="AD188" s="2569"/>
      <c r="AE188" s="2570"/>
      <c r="AF188" s="2420"/>
      <c r="AG188" s="2420"/>
      <c r="AH188" s="2420"/>
      <c r="AI188" s="2569"/>
      <c r="AJ188" s="2420"/>
      <c r="AK188" s="2570"/>
      <c r="AL188" s="2420"/>
      <c r="AM188" s="2420"/>
      <c r="AN188" s="2420"/>
      <c r="AO188" s="2420"/>
      <c r="AP188" s="2571"/>
      <c r="AQ188" s="2614"/>
      <c r="AR188" s="935"/>
      <c r="AS188" s="2614"/>
      <c r="AT188" s="2614"/>
      <c r="AU188" s="2571"/>
      <c r="AV188" s="2614"/>
      <c r="AW188" s="935"/>
      <c r="AX188" s="2614"/>
      <c r="AY188" s="2614"/>
      <c r="AZ188" s="2571"/>
      <c r="BA188" s="935"/>
      <c r="BB188" s="2614"/>
      <c r="BC188" s="2614"/>
      <c r="BD188" s="2571"/>
      <c r="BE188" s="935"/>
      <c r="BF188" s="2614"/>
      <c r="BG188" s="2614"/>
      <c r="BH188" s="936"/>
      <c r="BI188" s="2571"/>
      <c r="BJ188" s="935"/>
      <c r="BK188" s="2614"/>
      <c r="BL188" s="2614"/>
      <c r="BM188" s="936"/>
      <c r="BN188" s="2614"/>
      <c r="BO188" s="2614"/>
      <c r="BP188" s="2571"/>
      <c r="BQ188" s="2614"/>
      <c r="BR188" s="935"/>
      <c r="BS188" s="2614"/>
      <c r="BT188" s="2614"/>
      <c r="BU188" s="2571"/>
      <c r="BV188" s="2614"/>
      <c r="BW188" s="2614"/>
      <c r="BX188" s="935"/>
      <c r="BY188" s="2614"/>
      <c r="BZ188" s="2614"/>
      <c r="CA188" s="2614"/>
      <c r="CB188" s="2571"/>
      <c r="CC188" s="2614"/>
      <c r="CD188" s="935"/>
      <c r="CE188" s="2614"/>
      <c r="CF188" s="2614"/>
      <c r="CG188" s="2571"/>
      <c r="CH188" s="2614"/>
      <c r="CI188" s="935"/>
      <c r="CJ188" s="2614"/>
      <c r="CK188" s="2614"/>
      <c r="CL188" s="2614"/>
      <c r="CM188" s="2614"/>
      <c r="CN188" s="2571"/>
      <c r="CO188" s="935"/>
      <c r="CP188" s="2614"/>
      <c r="CQ188" s="2614"/>
      <c r="CR188" s="2571">
        <v>20</v>
      </c>
      <c r="CS188" s="2614"/>
      <c r="CT188" s="935"/>
      <c r="CU188" s="2614"/>
      <c r="CV188" s="2614"/>
      <c r="CW188" s="2571"/>
      <c r="CX188" s="2614"/>
      <c r="CY188" s="935"/>
      <c r="CZ188" s="2614"/>
      <c r="DA188" s="2571"/>
      <c r="DB188" s="2614"/>
      <c r="DC188" s="935"/>
      <c r="DD188" s="2614"/>
      <c r="DE188" s="935"/>
      <c r="DF188" s="2572">
        <f>IFERROR(VLOOKUP(G188,Personalización!$F$18:$H$21,3,0),IFERROR(VLOOKUP(G188,Personalización!$I$18:$K$21,3,0),IFERROR(VLOOKUP(G188,Personalización!$L$18:$N$21,3,0),IFERROR(VLOOKUP(G188,Personalización!$O$18:$Q$20,3,0),0))))</f>
        <v>0</v>
      </c>
    </row>
    <row r="189" spans="1:110" ht="12.75" customHeight="1" x14ac:dyDescent="0.2">
      <c r="A189" s="227">
        <v>189</v>
      </c>
      <c r="B189" s="5988"/>
      <c r="C189" s="560" t="s">
        <v>6296</v>
      </c>
      <c r="D189" s="561"/>
      <c r="F189" s="2611">
        <v>49</v>
      </c>
      <c r="G189" s="326" t="s">
        <v>6279</v>
      </c>
      <c r="H189" s="2571"/>
      <c r="I189" s="2614"/>
      <c r="J189" s="935"/>
      <c r="K189" s="2614"/>
      <c r="L189" s="2614"/>
      <c r="M189" s="2571"/>
      <c r="N189" s="2614"/>
      <c r="O189" s="935"/>
      <c r="P189" s="2614"/>
      <c r="Q189" s="2614"/>
      <c r="R189" s="2571"/>
      <c r="S189" s="935"/>
      <c r="T189" s="2614"/>
      <c r="U189" s="2571"/>
      <c r="V189" s="935"/>
      <c r="W189" s="2614"/>
      <c r="X189" s="2614"/>
      <c r="Y189" s="2569"/>
      <c r="Z189" s="2420"/>
      <c r="AA189" s="2570"/>
      <c r="AB189" s="2420"/>
      <c r="AC189" s="2420"/>
      <c r="AD189" s="2569"/>
      <c r="AE189" s="2570"/>
      <c r="AF189" s="2420"/>
      <c r="AG189" s="2420"/>
      <c r="AH189" s="2420"/>
      <c r="AI189" s="2569"/>
      <c r="AJ189" s="2420"/>
      <c r="AK189" s="2570"/>
      <c r="AL189" s="2420"/>
      <c r="AM189" s="2420"/>
      <c r="AN189" s="2420"/>
      <c r="AO189" s="2420"/>
      <c r="AP189" s="2571"/>
      <c r="AQ189" s="2614"/>
      <c r="AR189" s="935"/>
      <c r="AS189" s="2614"/>
      <c r="AT189" s="2614"/>
      <c r="AU189" s="2571"/>
      <c r="AV189" s="2614"/>
      <c r="AW189" s="935"/>
      <c r="AX189" s="2614"/>
      <c r="AY189" s="2614"/>
      <c r="AZ189" s="2571"/>
      <c r="BA189" s="935"/>
      <c r="BB189" s="2614"/>
      <c r="BC189" s="2614"/>
      <c r="BD189" s="2571"/>
      <c r="BE189" s="935"/>
      <c r="BF189" s="2614"/>
      <c r="BG189" s="2614"/>
      <c r="BH189" s="936"/>
      <c r="BI189" s="2571"/>
      <c r="BJ189" s="935"/>
      <c r="BK189" s="2614"/>
      <c r="BL189" s="2614"/>
      <c r="BM189" s="936"/>
      <c r="BN189" s="2614"/>
      <c r="BO189" s="2614"/>
      <c r="BP189" s="2571"/>
      <c r="BQ189" s="2614"/>
      <c r="BR189" s="935"/>
      <c r="BS189" s="2614"/>
      <c r="BT189" s="2614"/>
      <c r="BU189" s="2571"/>
      <c r="BV189" s="2614"/>
      <c r="BW189" s="2614"/>
      <c r="BX189" s="935"/>
      <c r="BY189" s="2614"/>
      <c r="BZ189" s="2614"/>
      <c r="CA189" s="2614"/>
      <c r="CB189" s="2571"/>
      <c r="CC189" s="2614"/>
      <c r="CD189" s="935"/>
      <c r="CE189" s="2614"/>
      <c r="CF189" s="2614"/>
      <c r="CG189" s="2571"/>
      <c r="CH189" s="2614"/>
      <c r="CI189" s="935"/>
      <c r="CJ189" s="2614"/>
      <c r="CK189" s="2614"/>
      <c r="CL189" s="2614"/>
      <c r="CM189" s="2614"/>
      <c r="CN189" s="2571"/>
      <c r="CO189" s="935"/>
      <c r="CP189" s="2614"/>
      <c r="CQ189" s="2614"/>
      <c r="CR189" s="2571"/>
      <c r="CS189" s="2614"/>
      <c r="CT189" s="935"/>
      <c r="CU189" s="2614"/>
      <c r="CV189" s="2614"/>
      <c r="CW189" s="2571"/>
      <c r="CX189" s="2614"/>
      <c r="CY189" s="935"/>
      <c r="CZ189" s="2614"/>
      <c r="DA189" s="2571"/>
      <c r="DB189" s="2614"/>
      <c r="DC189" s="935"/>
      <c r="DD189" s="2614"/>
      <c r="DE189" s="935"/>
      <c r="DF189" s="2572">
        <f>IFERROR(VLOOKUP(G189,Personalización!$F$18:$H$21,3,0),IFERROR(VLOOKUP(G189,Personalización!$I$18:$K$21,3,0),IFERROR(VLOOKUP(G189,Personalización!$L$18:$N$21,3,0),IFERROR(VLOOKUP(G189,Personalización!$O$18:$Q$20,3,0),0))))</f>
        <v>0</v>
      </c>
    </row>
    <row r="190" spans="1:110" ht="12.75" customHeight="1" x14ac:dyDescent="0.2">
      <c r="A190" s="227">
        <v>190</v>
      </c>
      <c r="B190" s="5988"/>
      <c r="C190" s="560" t="s">
        <v>6297</v>
      </c>
      <c r="D190" s="561"/>
      <c r="F190" s="2611">
        <v>50</v>
      </c>
      <c r="G190" s="326" t="s">
        <v>6280</v>
      </c>
      <c r="H190" s="2571"/>
      <c r="I190" s="2614"/>
      <c r="J190" s="935"/>
      <c r="K190" s="2614"/>
      <c r="L190" s="2614"/>
      <c r="M190" s="2571"/>
      <c r="N190" s="2614"/>
      <c r="O190" s="935"/>
      <c r="P190" s="2614"/>
      <c r="Q190" s="2614"/>
      <c r="R190" s="2571"/>
      <c r="S190" s="935"/>
      <c r="T190" s="2614"/>
      <c r="U190" s="2571"/>
      <c r="V190" s="935"/>
      <c r="W190" s="2614"/>
      <c r="X190" s="2614"/>
      <c r="Y190" s="2569"/>
      <c r="Z190" s="2420"/>
      <c r="AA190" s="2570"/>
      <c r="AB190" s="2420"/>
      <c r="AC190" s="2420"/>
      <c r="AD190" s="2569"/>
      <c r="AE190" s="2570"/>
      <c r="AF190" s="2420"/>
      <c r="AG190" s="2420"/>
      <c r="AH190" s="2420"/>
      <c r="AI190" s="2569"/>
      <c r="AJ190" s="2420"/>
      <c r="AK190" s="2570"/>
      <c r="AL190" s="2420"/>
      <c r="AM190" s="2420"/>
      <c r="AN190" s="2420"/>
      <c r="AO190" s="2420"/>
      <c r="AP190" s="2571"/>
      <c r="AQ190" s="2614"/>
      <c r="AR190" s="935"/>
      <c r="AS190" s="2614"/>
      <c r="AT190" s="2614"/>
      <c r="AU190" s="2571"/>
      <c r="AV190" s="2614"/>
      <c r="AW190" s="935"/>
      <c r="AX190" s="2614"/>
      <c r="AY190" s="2614"/>
      <c r="AZ190" s="2571"/>
      <c r="BA190" s="935"/>
      <c r="BB190" s="2614"/>
      <c r="BC190" s="2614"/>
      <c r="BD190" s="2571"/>
      <c r="BE190" s="935"/>
      <c r="BF190" s="2614"/>
      <c r="BG190" s="2614"/>
      <c r="BH190" s="936"/>
      <c r="BI190" s="2571"/>
      <c r="BJ190" s="935"/>
      <c r="BK190" s="2614"/>
      <c r="BL190" s="2614"/>
      <c r="BM190" s="936"/>
      <c r="BN190" s="2614"/>
      <c r="BO190" s="2614"/>
      <c r="BP190" s="2571"/>
      <c r="BQ190" s="2614"/>
      <c r="BR190" s="935"/>
      <c r="BS190" s="2614"/>
      <c r="BT190" s="2614"/>
      <c r="BU190" s="2571"/>
      <c r="BV190" s="2614"/>
      <c r="BW190" s="2614"/>
      <c r="BX190" s="935"/>
      <c r="BY190" s="2614"/>
      <c r="BZ190" s="2614"/>
      <c r="CA190" s="2614"/>
      <c r="CB190" s="2571"/>
      <c r="CC190" s="2614"/>
      <c r="CD190" s="935"/>
      <c r="CE190" s="2614"/>
      <c r="CF190" s="2614"/>
      <c r="CG190" s="2571"/>
      <c r="CH190" s="2614"/>
      <c r="CI190" s="935"/>
      <c r="CJ190" s="2614"/>
      <c r="CK190" s="2614"/>
      <c r="CL190" s="2614"/>
      <c r="CM190" s="2614"/>
      <c r="CN190" s="2571"/>
      <c r="CO190" s="935"/>
      <c r="CP190" s="2614"/>
      <c r="CQ190" s="2614"/>
      <c r="CR190" s="2571"/>
      <c r="CS190" s="2614"/>
      <c r="CT190" s="935"/>
      <c r="CU190" s="2614"/>
      <c r="CV190" s="2614"/>
      <c r="CW190" s="2571"/>
      <c r="CX190" s="2614"/>
      <c r="CY190" s="935"/>
      <c r="CZ190" s="2614"/>
      <c r="DA190" s="2571"/>
      <c r="DB190" s="2614"/>
      <c r="DC190" s="935"/>
      <c r="DD190" s="2614"/>
      <c r="DE190" s="935"/>
      <c r="DF190" s="2572">
        <f>IFERROR(VLOOKUP(G190,Personalización!$F$18:$H$21,3,0),IFERROR(VLOOKUP(G190,Personalización!$I$18:$K$21,3,0),IFERROR(VLOOKUP(G190,Personalización!$L$18:$N$21,3,0),IFERROR(VLOOKUP(G190,Personalización!$O$18:$Q$20,3,0),0))))</f>
        <v>0</v>
      </c>
    </row>
    <row r="191" spans="1:110" ht="12.75" customHeight="1" x14ac:dyDescent="0.2">
      <c r="A191" s="227">
        <v>191</v>
      </c>
      <c r="B191" s="5988"/>
      <c r="C191" s="560" t="s">
        <v>6298</v>
      </c>
      <c r="D191" s="561"/>
      <c r="F191" s="2611">
        <v>51</v>
      </c>
      <c r="G191" s="326" t="s">
        <v>6281</v>
      </c>
      <c r="H191" s="2571"/>
      <c r="I191" s="2614"/>
      <c r="J191" s="935"/>
      <c r="K191" s="2614"/>
      <c r="L191" s="2614"/>
      <c r="M191" s="2571"/>
      <c r="N191" s="2614"/>
      <c r="O191" s="935"/>
      <c r="P191" s="2614"/>
      <c r="Q191" s="2614"/>
      <c r="R191" s="2571"/>
      <c r="S191" s="935"/>
      <c r="T191" s="2614"/>
      <c r="U191" s="2571"/>
      <c r="V191" s="935"/>
      <c r="W191" s="2614"/>
      <c r="X191" s="2614"/>
      <c r="Y191" s="2569"/>
      <c r="Z191" s="2420"/>
      <c r="AA191" s="2570"/>
      <c r="AB191" s="2420"/>
      <c r="AC191" s="2420"/>
      <c r="AD191" s="2569"/>
      <c r="AE191" s="2570"/>
      <c r="AF191" s="2420"/>
      <c r="AG191" s="2420"/>
      <c r="AH191" s="2420"/>
      <c r="AI191" s="2569"/>
      <c r="AJ191" s="2420"/>
      <c r="AK191" s="2570"/>
      <c r="AL191" s="2420"/>
      <c r="AM191" s="2420"/>
      <c r="AN191" s="2420"/>
      <c r="AO191" s="2420"/>
      <c r="AP191" s="2571"/>
      <c r="AQ191" s="2614"/>
      <c r="AR191" s="935"/>
      <c r="AS191" s="2614"/>
      <c r="AT191" s="2614"/>
      <c r="AU191" s="2571"/>
      <c r="AV191" s="2614"/>
      <c r="AW191" s="935"/>
      <c r="AX191" s="2614"/>
      <c r="AY191" s="2614"/>
      <c r="AZ191" s="2571"/>
      <c r="BA191" s="935"/>
      <c r="BB191" s="2614"/>
      <c r="BC191" s="2614"/>
      <c r="BD191" s="2571"/>
      <c r="BE191" s="935"/>
      <c r="BF191" s="2614"/>
      <c r="BG191" s="2614"/>
      <c r="BH191" s="936"/>
      <c r="BI191" s="2571"/>
      <c r="BJ191" s="935"/>
      <c r="BK191" s="2614"/>
      <c r="BL191" s="2614"/>
      <c r="BM191" s="936"/>
      <c r="BN191" s="2614"/>
      <c r="BO191" s="2614"/>
      <c r="BP191" s="2571"/>
      <c r="BQ191" s="2614"/>
      <c r="BR191" s="935"/>
      <c r="BS191" s="2614"/>
      <c r="BT191" s="2614"/>
      <c r="BU191" s="2571"/>
      <c r="BV191" s="2614"/>
      <c r="BW191" s="2614"/>
      <c r="BX191" s="935"/>
      <c r="BY191" s="2614"/>
      <c r="BZ191" s="2614"/>
      <c r="CA191" s="2614"/>
      <c r="CB191" s="2571"/>
      <c r="CC191" s="2614"/>
      <c r="CD191" s="935"/>
      <c r="CE191" s="2614"/>
      <c r="CF191" s="2614"/>
      <c r="CG191" s="2571"/>
      <c r="CH191" s="2614"/>
      <c r="CI191" s="935"/>
      <c r="CJ191" s="2614"/>
      <c r="CK191" s="2614"/>
      <c r="CL191" s="2614"/>
      <c r="CM191" s="2614"/>
      <c r="CN191" s="2571"/>
      <c r="CO191" s="935"/>
      <c r="CP191" s="2614"/>
      <c r="CQ191" s="2614"/>
      <c r="CR191" s="2571"/>
      <c r="CS191" s="2614"/>
      <c r="CT191" s="935"/>
      <c r="CU191" s="2614"/>
      <c r="CV191" s="2614"/>
      <c r="CW191" s="2571"/>
      <c r="CX191" s="2614"/>
      <c r="CY191" s="935"/>
      <c r="CZ191" s="2614"/>
      <c r="DA191" s="2571"/>
      <c r="DB191" s="2614"/>
      <c r="DC191" s="935"/>
      <c r="DD191" s="2614"/>
      <c r="DE191" s="935"/>
      <c r="DF191" s="2572">
        <f>IFERROR(VLOOKUP(G191,Personalización!$F$18:$H$21,3,0),IFERROR(VLOOKUP(G191,Personalización!$I$18:$K$21,3,0),IFERROR(VLOOKUP(G191,Personalización!$L$18:$N$21,3,0),IFERROR(VLOOKUP(G191,Personalización!$O$18:$Q$20,3,0),0))))</f>
        <v>0</v>
      </c>
    </row>
    <row r="192" spans="1:110" ht="12.75" customHeight="1" x14ac:dyDescent="0.2">
      <c r="A192" s="227">
        <v>192</v>
      </c>
      <c r="B192" s="5988"/>
      <c r="C192" s="560" t="s">
        <v>6299</v>
      </c>
      <c r="D192" s="561"/>
      <c r="F192" s="2611">
        <v>52</v>
      </c>
      <c r="G192" s="326" t="s">
        <v>6282</v>
      </c>
      <c r="H192" s="2571"/>
      <c r="I192" s="2614"/>
      <c r="J192" s="935"/>
      <c r="K192" s="2614"/>
      <c r="L192" s="2614"/>
      <c r="M192" s="2571"/>
      <c r="N192" s="2614"/>
      <c r="O192" s="935"/>
      <c r="P192" s="2614"/>
      <c r="Q192" s="2614"/>
      <c r="R192" s="2571"/>
      <c r="S192" s="935"/>
      <c r="T192" s="2614"/>
      <c r="U192" s="2571"/>
      <c r="V192" s="935"/>
      <c r="W192" s="2614"/>
      <c r="X192" s="2614"/>
      <c r="Y192" s="2569"/>
      <c r="Z192" s="2420"/>
      <c r="AA192" s="2570"/>
      <c r="AB192" s="2420"/>
      <c r="AC192" s="2420"/>
      <c r="AD192" s="2569"/>
      <c r="AE192" s="2570"/>
      <c r="AF192" s="2420"/>
      <c r="AG192" s="2420"/>
      <c r="AH192" s="2420"/>
      <c r="AI192" s="2569"/>
      <c r="AJ192" s="2420"/>
      <c r="AK192" s="2570"/>
      <c r="AL192" s="2420"/>
      <c r="AM192" s="2420"/>
      <c r="AN192" s="2420"/>
      <c r="AO192" s="2420"/>
      <c r="AP192" s="2571"/>
      <c r="AQ192" s="2614"/>
      <c r="AR192" s="935"/>
      <c r="AS192" s="2614"/>
      <c r="AT192" s="2614"/>
      <c r="AU192" s="2571"/>
      <c r="AV192" s="2614"/>
      <c r="AW192" s="935"/>
      <c r="AX192" s="2614"/>
      <c r="AY192" s="2614"/>
      <c r="AZ192" s="2571"/>
      <c r="BA192" s="935"/>
      <c r="BB192" s="2614"/>
      <c r="BC192" s="2614"/>
      <c r="BD192" s="2571"/>
      <c r="BE192" s="935"/>
      <c r="BF192" s="2614"/>
      <c r="BG192" s="2614"/>
      <c r="BH192" s="936"/>
      <c r="BI192" s="2571"/>
      <c r="BJ192" s="935"/>
      <c r="BK192" s="2614"/>
      <c r="BL192" s="2614"/>
      <c r="BM192" s="936"/>
      <c r="BN192" s="2614"/>
      <c r="BO192" s="2614"/>
      <c r="BP192" s="2571"/>
      <c r="BQ192" s="2614"/>
      <c r="BR192" s="935"/>
      <c r="BS192" s="2614"/>
      <c r="BT192" s="2614"/>
      <c r="BU192" s="2571"/>
      <c r="BV192" s="2614"/>
      <c r="BW192" s="2614"/>
      <c r="BX192" s="935"/>
      <c r="BY192" s="2614"/>
      <c r="BZ192" s="2614"/>
      <c r="CA192" s="2614"/>
      <c r="CB192" s="2571"/>
      <c r="CC192" s="2614"/>
      <c r="CD192" s="935"/>
      <c r="CE192" s="2614"/>
      <c r="CF192" s="2614"/>
      <c r="CG192" s="2571"/>
      <c r="CH192" s="2614"/>
      <c r="CI192" s="935"/>
      <c r="CJ192" s="2614"/>
      <c r="CK192" s="2614"/>
      <c r="CL192" s="2614"/>
      <c r="CM192" s="2614"/>
      <c r="CN192" s="2571"/>
      <c r="CO192" s="935"/>
      <c r="CP192" s="2614"/>
      <c r="CQ192" s="2614"/>
      <c r="CR192" s="2571"/>
      <c r="CS192" s="2614"/>
      <c r="CT192" s="935"/>
      <c r="CU192" s="2614"/>
      <c r="CV192" s="2614"/>
      <c r="CW192" s="2571"/>
      <c r="CX192" s="2614"/>
      <c r="CY192" s="935"/>
      <c r="CZ192" s="2614"/>
      <c r="DA192" s="2571"/>
      <c r="DB192" s="2614"/>
      <c r="DC192" s="935"/>
      <c r="DD192" s="2614"/>
      <c r="DE192" s="935"/>
      <c r="DF192" s="2572">
        <f>IFERROR(VLOOKUP(G192,Personalización!$F$18:$H$21,3,0),IFERROR(VLOOKUP(G192,Personalización!$I$18:$K$21,3,0),IFERROR(VLOOKUP(G192,Personalización!$L$18:$N$21,3,0),IFERROR(VLOOKUP(G192,Personalización!$O$18:$Q$20,3,0),0))))</f>
        <v>0</v>
      </c>
    </row>
    <row r="193" spans="1:110" ht="12.75" customHeight="1" x14ac:dyDescent="0.2">
      <c r="A193" s="227">
        <v>193</v>
      </c>
      <c r="B193" s="5988"/>
      <c r="C193" s="560" t="str">
        <f>IF(ISNA(VLOOKUP(Personalización!C20,Tablas!$C$138:$C$192,1,0)),"&gt;&gt; PERSONALIZACIÓN","")</f>
        <v>&gt;&gt; PERSONALIZACIÓN</v>
      </c>
      <c r="D193" s="561"/>
      <c r="F193" s="2611">
        <v>53</v>
      </c>
      <c r="G193" s="571"/>
      <c r="H193" s="2571"/>
      <c r="I193" s="2614"/>
      <c r="J193" s="935" t="s">
        <v>6379</v>
      </c>
      <c r="K193" s="2614"/>
      <c r="L193" s="2614" t="s">
        <v>6379</v>
      </c>
      <c r="M193" s="2571"/>
      <c r="N193" s="2614"/>
      <c r="O193" s="935"/>
      <c r="P193" s="2614"/>
      <c r="Q193" s="2614"/>
      <c r="R193" s="2571"/>
      <c r="S193" s="935"/>
      <c r="T193" s="2614"/>
      <c r="U193" s="2571"/>
      <c r="V193" s="935"/>
      <c r="W193" s="2614"/>
      <c r="X193" s="2614"/>
      <c r="Y193" s="2569"/>
      <c r="Z193" s="2420"/>
      <c r="AA193" s="2570"/>
      <c r="AB193" s="2420"/>
      <c r="AC193" s="2420"/>
      <c r="AD193" s="2569"/>
      <c r="AE193" s="2570"/>
      <c r="AF193" s="2420"/>
      <c r="AG193" s="2420"/>
      <c r="AH193" s="2420" t="s">
        <v>6381</v>
      </c>
      <c r="AI193" s="2569"/>
      <c r="AJ193" s="2420"/>
      <c r="AK193" s="2570"/>
      <c r="AL193" s="2420"/>
      <c r="AM193" s="2420"/>
      <c r="AN193" s="2420"/>
      <c r="AO193" s="2420"/>
      <c r="AP193" s="2571"/>
      <c r="AQ193" s="2614"/>
      <c r="AR193" s="935"/>
      <c r="AS193" s="2614"/>
      <c r="AT193" s="2614"/>
      <c r="AU193" s="2571"/>
      <c r="AV193" s="2614" t="s">
        <v>6383</v>
      </c>
      <c r="AW193" s="935" t="s">
        <v>6383</v>
      </c>
      <c r="AX193" s="2614"/>
      <c r="AY193" s="2614" t="s">
        <v>6383</v>
      </c>
      <c r="AZ193" s="2571"/>
      <c r="BA193" s="935"/>
      <c r="BB193" s="2614"/>
      <c r="BC193" s="2614"/>
      <c r="BD193" s="2571"/>
      <c r="BE193" s="935"/>
      <c r="BF193" s="2614"/>
      <c r="BG193" s="2614"/>
      <c r="BH193" s="936"/>
      <c r="BI193" s="2571"/>
      <c r="BJ193" s="935"/>
      <c r="BK193" s="2614"/>
      <c r="BL193" s="2614" t="s">
        <v>6379</v>
      </c>
      <c r="BM193" s="936"/>
      <c r="BN193" s="2614"/>
      <c r="BO193" s="2614"/>
      <c r="BP193" s="2571"/>
      <c r="BQ193" s="2614"/>
      <c r="BR193" s="935"/>
      <c r="BS193" s="2614"/>
      <c r="BT193" s="2614" t="s">
        <v>6383</v>
      </c>
      <c r="BU193" s="2571"/>
      <c r="BV193" s="2614"/>
      <c r="BW193" s="2614"/>
      <c r="BX193" s="935" t="s">
        <v>6379</v>
      </c>
      <c r="BY193" s="2614"/>
      <c r="BZ193" s="2614"/>
      <c r="CA193" s="2614"/>
      <c r="CB193" s="2571"/>
      <c r="CC193" s="2614"/>
      <c r="CD193" s="935"/>
      <c r="CE193" s="2614"/>
      <c r="CF193" s="2614"/>
      <c r="CG193" s="2571"/>
      <c r="CH193" s="2614"/>
      <c r="CI193" s="935"/>
      <c r="CJ193" s="2614"/>
      <c r="CK193" s="2614" t="s">
        <v>6347</v>
      </c>
      <c r="CL193" s="2614"/>
      <c r="CM193" s="2614" t="s">
        <v>6347</v>
      </c>
      <c r="CN193" s="2571"/>
      <c r="CO193" s="935"/>
      <c r="CP193" s="2614"/>
      <c r="CQ193" s="2614"/>
      <c r="CR193" s="2571"/>
      <c r="CS193" s="2614"/>
      <c r="CT193" s="935"/>
      <c r="CU193" s="2614"/>
      <c r="CV193" s="2614"/>
      <c r="CW193" s="2571"/>
      <c r="CX193" s="2614"/>
      <c r="CY193" s="935"/>
      <c r="CZ193" s="2614"/>
      <c r="DA193" s="2571"/>
      <c r="DB193" s="2614"/>
      <c r="DC193" s="935" t="s">
        <v>6379</v>
      </c>
      <c r="DD193" s="2614"/>
      <c r="DE193" s="935"/>
      <c r="DF193" s="2572">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5988"/>
      <c r="C194" s="562" t="str">
        <f>IF(ISNA(VLOOKUP(Personalización!C20,Tablas!$C$138:$C$192,1,0)),IF(Personalización!C20&lt;&gt;"",Personalización!C20,"Región Personalizada"),"")</f>
        <v>Región Personalizada</v>
      </c>
      <c r="D194" s="563"/>
      <c r="F194" s="2611">
        <v>54</v>
      </c>
      <c r="G194" s="326"/>
      <c r="H194" s="2571"/>
      <c r="I194" s="2614"/>
      <c r="J194" s="935" t="s">
        <v>6380</v>
      </c>
      <c r="K194" s="2614"/>
      <c r="L194" s="2614" t="s">
        <v>6380</v>
      </c>
      <c r="M194" s="2571"/>
      <c r="N194" s="2614"/>
      <c r="O194" s="935"/>
      <c r="P194" s="2614"/>
      <c r="Q194" s="2614"/>
      <c r="R194" s="2571"/>
      <c r="S194" s="935"/>
      <c r="T194" s="2614"/>
      <c r="U194" s="2571"/>
      <c r="V194" s="935"/>
      <c r="W194" s="2614"/>
      <c r="X194" s="2614"/>
      <c r="Y194" s="2569"/>
      <c r="Z194" s="2420"/>
      <c r="AA194" s="2570"/>
      <c r="AB194" s="2420"/>
      <c r="AC194" s="2420"/>
      <c r="AD194" s="2569"/>
      <c r="AE194" s="2570"/>
      <c r="AF194" s="2420"/>
      <c r="AG194" s="2420"/>
      <c r="AH194" s="2420" t="s">
        <v>6379</v>
      </c>
      <c r="AI194" s="2569"/>
      <c r="AJ194" s="2420"/>
      <c r="AK194" s="2570"/>
      <c r="AL194" s="2420"/>
      <c r="AM194" s="2420"/>
      <c r="AN194" s="2420"/>
      <c r="AO194" s="2420"/>
      <c r="AP194" s="2571"/>
      <c r="AQ194" s="2614"/>
      <c r="AR194" s="935"/>
      <c r="AS194" s="2614"/>
      <c r="AT194" s="2614"/>
      <c r="AU194" s="2571"/>
      <c r="AV194" s="2614" t="s">
        <v>6382</v>
      </c>
      <c r="AW194" s="935" t="s">
        <v>6382</v>
      </c>
      <c r="AX194" s="2614"/>
      <c r="AY194" s="2614" t="s">
        <v>6382</v>
      </c>
      <c r="AZ194" s="2571"/>
      <c r="BA194" s="935"/>
      <c r="BB194" s="2614"/>
      <c r="BC194" s="2614"/>
      <c r="BD194" s="2571"/>
      <c r="BE194" s="935"/>
      <c r="BF194" s="2614"/>
      <c r="BG194" s="2614"/>
      <c r="BH194" s="936"/>
      <c r="BI194" s="2571"/>
      <c r="BJ194" s="935"/>
      <c r="BK194" s="2614"/>
      <c r="BL194" s="2614" t="s">
        <v>6380</v>
      </c>
      <c r="BM194" s="936"/>
      <c r="BN194" s="2614"/>
      <c r="BO194" s="2614"/>
      <c r="BP194" s="2571"/>
      <c r="BQ194" s="2614"/>
      <c r="BR194" s="935"/>
      <c r="BS194" s="2614"/>
      <c r="BT194" s="2614" t="s">
        <v>6382</v>
      </c>
      <c r="BU194" s="2571"/>
      <c r="BV194" s="2614"/>
      <c r="BW194" s="2614"/>
      <c r="BX194" s="935" t="s">
        <v>6380</v>
      </c>
      <c r="BY194" s="2614"/>
      <c r="BZ194" s="2614"/>
      <c r="CA194" s="2614"/>
      <c r="CB194" s="2571"/>
      <c r="CC194" s="2614"/>
      <c r="CD194" s="935"/>
      <c r="CE194" s="2614"/>
      <c r="CF194" s="2614"/>
      <c r="CG194" s="2571"/>
      <c r="CH194" s="2614"/>
      <c r="CI194" s="935"/>
      <c r="CJ194" s="2614"/>
      <c r="CK194" s="2614"/>
      <c r="CL194" s="2614"/>
      <c r="CM194" s="2614"/>
      <c r="CN194" s="2571"/>
      <c r="CO194" s="935"/>
      <c r="CP194" s="2614"/>
      <c r="CQ194" s="2614"/>
      <c r="CR194" s="2571"/>
      <c r="CS194" s="2614"/>
      <c r="CT194" s="935"/>
      <c r="CU194" s="2614"/>
      <c r="CV194" s="2614"/>
      <c r="CW194" s="2571"/>
      <c r="CX194" s="2614"/>
      <c r="CY194" s="935"/>
      <c r="CZ194" s="2614"/>
      <c r="DA194" s="2571"/>
      <c r="DB194" s="2614"/>
      <c r="DC194" s="935" t="s">
        <v>6380</v>
      </c>
      <c r="DD194" s="2614"/>
      <c r="DE194" s="935"/>
      <c r="DF194" s="2572">
        <f>IFERROR(VLOOKUP(G194,Personalización!$F$18:$H$21,3,0),IFERROR(VLOOKUP(G194,Personalización!$I$18:$K$21,3,0),IFERROR(VLOOKUP(G194,Personalización!$L$18:$N$21,3,0),IFERROR(VLOOKUP(G194,Personalización!$O$18:$Q$20,3,0),0))))</f>
        <v>0</v>
      </c>
    </row>
    <row r="195" spans="1:110" ht="12.75" customHeight="1" x14ac:dyDescent="0.2">
      <c r="A195" s="227">
        <v>195</v>
      </c>
      <c r="B195" s="5988"/>
      <c r="F195" s="2611">
        <v>55</v>
      </c>
      <c r="G195" s="571"/>
      <c r="H195" s="2571"/>
      <c r="I195" s="2614"/>
      <c r="J195" s="935"/>
      <c r="K195" s="2614"/>
      <c r="L195" s="2614"/>
      <c r="M195" s="2571"/>
      <c r="N195" s="2614"/>
      <c r="O195" s="935"/>
      <c r="P195" s="2614"/>
      <c r="Q195" s="2614"/>
      <c r="R195" s="2571"/>
      <c r="S195" s="935"/>
      <c r="T195" s="2614"/>
      <c r="U195" s="2571"/>
      <c r="V195" s="935"/>
      <c r="W195" s="2614"/>
      <c r="X195" s="2614"/>
      <c r="Y195" s="2569"/>
      <c r="Z195" s="2420"/>
      <c r="AA195" s="2570"/>
      <c r="AB195" s="2420"/>
      <c r="AC195" s="2420"/>
      <c r="AD195" s="2569"/>
      <c r="AE195" s="2570"/>
      <c r="AF195" s="2420"/>
      <c r="AG195" s="2420"/>
      <c r="AH195" s="2420" t="s">
        <v>6575</v>
      </c>
      <c r="AI195" s="2569"/>
      <c r="AJ195" s="2420"/>
      <c r="AK195" s="2570"/>
      <c r="AL195" s="2420"/>
      <c r="AM195" s="2420"/>
      <c r="AN195" s="2420"/>
      <c r="AO195" s="2420"/>
      <c r="AP195" s="2571"/>
      <c r="AQ195" s="2614"/>
      <c r="AR195" s="935"/>
      <c r="AS195" s="2614"/>
      <c r="AT195" s="2614"/>
      <c r="AU195" s="2571"/>
      <c r="AV195" s="2614"/>
      <c r="AW195" s="935"/>
      <c r="AX195" s="2614"/>
      <c r="AY195" s="2614"/>
      <c r="AZ195" s="2571"/>
      <c r="BA195" s="935"/>
      <c r="BB195" s="2614"/>
      <c r="BC195" s="2614"/>
      <c r="BD195" s="2571"/>
      <c r="BE195" s="935"/>
      <c r="BF195" s="2614"/>
      <c r="BG195" s="2614"/>
      <c r="BH195" s="936"/>
      <c r="BI195" s="2571"/>
      <c r="BJ195" s="935"/>
      <c r="BK195" s="2614"/>
      <c r="BL195" s="2614"/>
      <c r="BM195" s="936"/>
      <c r="BN195" s="2614"/>
      <c r="BO195" s="2614"/>
      <c r="BP195" s="2571"/>
      <c r="BQ195" s="2614"/>
      <c r="BR195" s="935"/>
      <c r="BS195" s="2614"/>
      <c r="BT195" s="2614"/>
      <c r="BU195" s="2571"/>
      <c r="BV195" s="2614"/>
      <c r="BW195" s="2614"/>
      <c r="BX195" s="935"/>
      <c r="BY195" s="2614"/>
      <c r="BZ195" s="2614"/>
      <c r="CA195" s="2614"/>
      <c r="CB195" s="2571"/>
      <c r="CC195" s="2614"/>
      <c r="CD195" s="935"/>
      <c r="CE195" s="2614"/>
      <c r="CF195" s="2614"/>
      <c r="CG195" s="2571"/>
      <c r="CH195" s="2614"/>
      <c r="CI195" s="935"/>
      <c r="CJ195" s="2614"/>
      <c r="CK195" s="2614"/>
      <c r="CL195" s="2614"/>
      <c r="CM195" s="2614"/>
      <c r="CN195" s="2571"/>
      <c r="CO195" s="935"/>
      <c r="CP195" s="2614"/>
      <c r="CQ195" s="2614"/>
      <c r="CR195" s="2571"/>
      <c r="CS195" s="2614"/>
      <c r="CT195" s="935"/>
      <c r="CU195" s="2614"/>
      <c r="CV195" s="2614"/>
      <c r="CW195" s="2571"/>
      <c r="CX195" s="2614"/>
      <c r="CY195" s="935"/>
      <c r="CZ195" s="2614"/>
      <c r="DA195" s="2571"/>
      <c r="DB195" s="2614"/>
      <c r="DC195" s="935"/>
      <c r="DD195" s="2614"/>
      <c r="DE195" s="935"/>
      <c r="DF195" s="2572">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5988"/>
      <c r="F196" s="2615">
        <v>56</v>
      </c>
      <c r="G196" s="567"/>
      <c r="H196" s="308"/>
      <c r="I196" s="308"/>
      <c r="J196" s="308"/>
      <c r="K196" s="308"/>
      <c r="L196" s="308"/>
      <c r="M196" s="308"/>
      <c r="N196" s="308"/>
      <c r="O196" s="308"/>
      <c r="P196" s="308"/>
      <c r="Q196" s="308"/>
      <c r="R196" s="308"/>
      <c r="S196" s="308"/>
      <c r="T196" s="308"/>
      <c r="U196" s="308"/>
      <c r="V196" s="308"/>
      <c r="W196" s="308"/>
      <c r="X196" s="308"/>
      <c r="Y196" s="2573"/>
      <c r="Z196" s="2573"/>
      <c r="AA196" s="2573"/>
      <c r="AB196" s="2573"/>
      <c r="AC196" s="2573"/>
      <c r="AD196" s="2573"/>
      <c r="AE196" s="2573"/>
      <c r="AF196" s="2573"/>
      <c r="AG196" s="2573"/>
      <c r="AH196" s="2573" t="s">
        <v>6387</v>
      </c>
      <c r="AI196" s="2573"/>
      <c r="AJ196" s="2573"/>
      <c r="AK196" s="2573"/>
      <c r="AL196" s="2573"/>
      <c r="AM196" s="2573"/>
      <c r="AN196" s="2573"/>
      <c r="AO196" s="2573"/>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7">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5988"/>
      <c r="H197"/>
      <c r="N197"/>
      <c r="Y197"/>
      <c r="Z197"/>
      <c r="AA197"/>
      <c r="AB197"/>
      <c r="AC197"/>
      <c r="AD197"/>
      <c r="AE197"/>
      <c r="AF197"/>
      <c r="AG197"/>
      <c r="AH197"/>
      <c r="AI197"/>
      <c r="AJ197"/>
      <c r="AK197"/>
      <c r="AL197"/>
      <c r="AM197"/>
      <c r="AN197"/>
      <c r="AO197"/>
    </row>
    <row r="198" spans="1:110" ht="12.75" customHeight="1" thickBot="1" x14ac:dyDescent="0.25">
      <c r="A198" s="227">
        <v>198</v>
      </c>
      <c r="B198" s="5988"/>
      <c r="C198" s="6009" t="s">
        <v>2029</v>
      </c>
      <c r="D198" s="6009"/>
      <c r="E198" s="6009"/>
      <c r="F198" s="6009"/>
      <c r="G198" s="6009"/>
      <c r="H198" s="6009"/>
      <c r="I198" s="6009"/>
      <c r="J198" s="6009"/>
      <c r="K198" s="6009"/>
      <c r="L198" s="6009"/>
      <c r="M198" s="6009"/>
      <c r="N198" s="6009"/>
      <c r="O198" s="6009"/>
      <c r="P198" s="6009"/>
      <c r="Q198" s="6009"/>
      <c r="R198" s="6009"/>
      <c r="S198" s="6009"/>
      <c r="T198" s="6009"/>
      <c r="U198" s="6009"/>
      <c r="V198" s="6009"/>
      <c r="W198" s="6009"/>
      <c r="X198" s="6009"/>
      <c r="Y198" s="6009"/>
      <c r="Z198" s="6009"/>
      <c r="AA198" s="6009"/>
      <c r="AB198" s="6009"/>
      <c r="AC198" s="6009"/>
      <c r="AD198" s="6009"/>
      <c r="AE198" s="6009"/>
      <c r="AF198" s="6009"/>
      <c r="AG198" s="6009"/>
      <c r="AH198" s="6009"/>
      <c r="AI198" s="6009"/>
      <c r="AJ198" s="6009"/>
      <c r="AK198" s="6009"/>
      <c r="AL198" s="6009"/>
      <c r="AM198" s="6009"/>
      <c r="AN198" s="6009"/>
      <c r="AO198" s="6009"/>
      <c r="AP198" s="6009"/>
      <c r="AQ198" s="6009"/>
      <c r="AR198" s="6009"/>
      <c r="AS198" s="6009"/>
      <c r="AT198" s="6009"/>
      <c r="AU198" s="6009"/>
      <c r="AV198" s="6009"/>
      <c r="AW198" s="6009"/>
      <c r="AX198" s="6009"/>
      <c r="AY198" s="6009"/>
      <c r="AZ198" s="6009"/>
      <c r="BA198" s="6009"/>
      <c r="BB198" s="6009"/>
      <c r="BC198" s="6009"/>
      <c r="BD198" s="6009"/>
      <c r="BE198" s="6009"/>
      <c r="BF198" s="6009"/>
      <c r="BG198" s="6009"/>
      <c r="BH198" s="6009"/>
      <c r="BI198" s="6009"/>
      <c r="BJ198" s="6009"/>
      <c r="BK198" s="6009"/>
      <c r="BL198" s="6009"/>
      <c r="BM198" s="6009"/>
      <c r="BN198" s="6009"/>
      <c r="BO198" s="6009"/>
      <c r="BP198" s="6009"/>
      <c r="BQ198" s="6009"/>
      <c r="BR198" s="6009"/>
      <c r="BS198" s="6009"/>
      <c r="BT198" s="6009"/>
      <c r="BU198" s="6009"/>
      <c r="BV198" s="6009"/>
      <c r="BW198" s="6009"/>
      <c r="BX198" s="6009"/>
      <c r="BY198" s="6009"/>
      <c r="BZ198" s="6009"/>
      <c r="CA198" s="6009"/>
      <c r="CB198" s="6009"/>
      <c r="CC198" s="6009"/>
      <c r="CD198" s="6009"/>
      <c r="CE198" s="6009"/>
      <c r="CF198" s="6009"/>
      <c r="CG198" s="6009"/>
      <c r="CH198" s="6009"/>
      <c r="CI198" s="6009"/>
    </row>
    <row r="199" spans="1:110" ht="12.75" customHeight="1" x14ac:dyDescent="0.2">
      <c r="A199" s="227">
        <v>199</v>
      </c>
      <c r="B199" s="5988"/>
      <c r="C199" s="6009"/>
      <c r="D199" s="6009"/>
      <c r="E199" s="6009"/>
      <c r="F199" s="6009"/>
      <c r="G199" s="6009"/>
      <c r="H199" s="6009"/>
      <c r="I199" s="6009"/>
      <c r="J199" s="6009"/>
      <c r="K199" s="6009"/>
      <c r="L199" s="6009"/>
      <c r="M199" s="6009"/>
      <c r="N199" s="6009"/>
      <c r="O199" s="6009"/>
      <c r="P199" s="6009"/>
      <c r="Q199" s="6009"/>
      <c r="R199" s="6009"/>
      <c r="S199" s="6009"/>
      <c r="T199" s="6009"/>
      <c r="U199" s="6009"/>
      <c r="V199" s="6009"/>
      <c r="W199" s="6009"/>
      <c r="X199" s="6009"/>
      <c r="Y199" s="6009"/>
      <c r="Z199" s="6009"/>
      <c r="AA199" s="6009"/>
      <c r="AB199" s="6009"/>
      <c r="AC199" s="6009"/>
      <c r="AD199" s="6009"/>
      <c r="AE199" s="6009"/>
      <c r="AF199" s="6009"/>
      <c r="AG199" s="6009"/>
      <c r="AH199" s="6009"/>
      <c r="AI199" s="6009"/>
      <c r="AJ199" s="6009"/>
      <c r="AK199" s="6009"/>
      <c r="AL199" s="6009"/>
      <c r="AM199" s="6009"/>
      <c r="AN199" s="6009"/>
      <c r="AO199" s="6009"/>
      <c r="AP199" s="6009"/>
      <c r="AQ199" s="6009"/>
      <c r="AR199" s="6009"/>
      <c r="AS199" s="6009"/>
      <c r="AT199" s="6009"/>
      <c r="AU199" s="6009"/>
      <c r="AV199" s="6009"/>
      <c r="AW199" s="6009"/>
      <c r="AX199" s="6009"/>
      <c r="AY199" s="6009"/>
      <c r="AZ199" s="6009"/>
      <c r="BA199" s="6009"/>
      <c r="BB199" s="6009"/>
      <c r="BC199" s="6009"/>
      <c r="BD199" s="6009"/>
      <c r="BE199" s="6009"/>
      <c r="BF199" s="6009"/>
      <c r="BG199" s="6009"/>
      <c r="BH199" s="6009"/>
      <c r="BI199" s="6009"/>
      <c r="BJ199" s="6009"/>
      <c r="BK199" s="6009"/>
      <c r="BL199" s="6009"/>
      <c r="BM199" s="6009"/>
      <c r="BN199" s="6009"/>
      <c r="BO199" s="6009"/>
      <c r="BP199" s="6009"/>
      <c r="BQ199" s="6009"/>
      <c r="BR199" s="6009"/>
      <c r="BS199" s="6009"/>
      <c r="BT199" s="6009"/>
      <c r="BU199" s="6009"/>
      <c r="BV199" s="6009"/>
      <c r="BW199" s="6009"/>
      <c r="BX199" s="6009"/>
      <c r="BY199" s="6009"/>
      <c r="BZ199" s="6009"/>
      <c r="CA199" s="6009"/>
      <c r="CB199" s="6009"/>
      <c r="CC199" s="6009"/>
      <c r="CD199" s="6009"/>
      <c r="CE199" s="6009"/>
      <c r="CF199" s="6009"/>
      <c r="CG199" s="6009"/>
      <c r="CH199" s="6009"/>
      <c r="CI199" s="6009"/>
    </row>
    <row r="200" spans="1:110" ht="12.75" customHeight="1" x14ac:dyDescent="0.2">
      <c r="A200" s="227">
        <v>200</v>
      </c>
      <c r="B200" s="5988"/>
      <c r="C200" s="171"/>
      <c r="D200" s="172">
        <v>1</v>
      </c>
      <c r="E200" s="172">
        <v>2</v>
      </c>
      <c r="F200" s="172">
        <v>3</v>
      </c>
      <c r="G200" s="172">
        <v>4</v>
      </c>
      <c r="H200" s="172">
        <v>5</v>
      </c>
      <c r="I200" s="597">
        <v>6</v>
      </c>
      <c r="J200" s="172">
        <v>7</v>
      </c>
      <c r="K200" s="172">
        <v>8</v>
      </c>
      <c r="L200" s="172">
        <v>9</v>
      </c>
      <c r="M200" s="172">
        <v>10</v>
      </c>
      <c r="N200" s="172">
        <v>11</v>
      </c>
      <c r="O200" s="597">
        <v>12</v>
      </c>
      <c r="P200" s="172">
        <v>13</v>
      </c>
      <c r="Q200" s="172">
        <v>14</v>
      </c>
      <c r="R200" s="172">
        <v>15</v>
      </c>
      <c r="S200" s="172">
        <v>16</v>
      </c>
      <c r="T200" s="172">
        <v>17</v>
      </c>
      <c r="U200" s="172">
        <v>18</v>
      </c>
      <c r="V200" s="172">
        <v>19</v>
      </c>
      <c r="W200" s="172">
        <v>20</v>
      </c>
      <c r="X200" s="172">
        <v>21</v>
      </c>
      <c r="Y200" s="597">
        <v>22</v>
      </c>
      <c r="Z200" s="597">
        <v>23</v>
      </c>
      <c r="AA200" s="597">
        <v>24</v>
      </c>
      <c r="AB200" s="597">
        <v>25</v>
      </c>
      <c r="AC200" s="597">
        <v>26</v>
      </c>
      <c r="AD200" s="597">
        <v>27</v>
      </c>
      <c r="AE200" s="597">
        <v>28</v>
      </c>
      <c r="AF200" s="597">
        <v>29</v>
      </c>
      <c r="AG200" s="597">
        <v>30</v>
      </c>
      <c r="AH200" s="597">
        <v>31</v>
      </c>
      <c r="AI200" s="597">
        <v>32</v>
      </c>
      <c r="AJ200" s="597">
        <v>33</v>
      </c>
      <c r="AK200" s="597">
        <v>34</v>
      </c>
      <c r="AL200" s="597">
        <v>35</v>
      </c>
      <c r="AM200" s="597">
        <v>36</v>
      </c>
      <c r="AN200" s="597">
        <v>37</v>
      </c>
      <c r="AO200" s="597">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5988"/>
      <c r="C201" s="200" t="s">
        <v>1403</v>
      </c>
      <c r="D201" s="201" t="s">
        <v>1489</v>
      </c>
      <c r="E201" s="201" t="s">
        <v>1393</v>
      </c>
      <c r="F201" s="201" t="s">
        <v>6973</v>
      </c>
      <c r="G201" s="201" t="s">
        <v>2030</v>
      </c>
      <c r="H201" s="201" t="s">
        <v>1501</v>
      </c>
      <c r="I201" s="590" t="s">
        <v>2031</v>
      </c>
      <c r="J201" s="201" t="s">
        <v>2032</v>
      </c>
      <c r="K201" s="201" t="s">
        <v>2033</v>
      </c>
      <c r="L201" s="201" t="s">
        <v>9953</v>
      </c>
      <c r="M201" s="201" t="str">
        <f>PDs!E25</f>
        <v>H. Ataque</v>
      </c>
      <c r="N201" s="201" t="s">
        <v>1494</v>
      </c>
      <c r="O201" s="590" t="s">
        <v>1495</v>
      </c>
      <c r="P201" s="201" t="s">
        <v>1496</v>
      </c>
      <c r="Q201" s="201" t="s">
        <v>1509</v>
      </c>
      <c r="R201" s="921" t="str">
        <f>"Coste"&amp;PDs!$E$25</f>
        <v>CosteH. Ataque</v>
      </c>
      <c r="S201" s="921" t="str">
        <f>"Coste"&amp;PDs!$E$26</f>
        <v>CosteH. Parada</v>
      </c>
      <c r="T201" s="921" t="str">
        <f>"Coste"&amp;PDs!$E$27</f>
        <v>CosteH. Esquiva</v>
      </c>
      <c r="U201" s="921" t="str">
        <f>"Coste"&amp;PDs!$E$28</f>
        <v>CosteLlevar Armadura</v>
      </c>
      <c r="V201" s="921" t="s">
        <v>2034</v>
      </c>
      <c r="W201" s="921" t="s">
        <v>7216</v>
      </c>
      <c r="X201" s="921" t="str">
        <f>"Coste"&amp;PDs!$E$93</f>
        <v>CosteZeón</v>
      </c>
      <c r="Y201" s="1239" t="s">
        <v>6974</v>
      </c>
      <c r="Z201" s="1239" t="str">
        <f>"Coste"&amp;PDs!$E$96</f>
        <v>CosteProyección Mágica</v>
      </c>
      <c r="AA201" s="1239" t="s">
        <v>2035</v>
      </c>
      <c r="AB201" s="1239" t="str">
        <f>"Coste"&amp;PDs!$E$99</f>
        <v>CosteControlar</v>
      </c>
      <c r="AC201" s="1239" t="s">
        <v>2036</v>
      </c>
      <c r="AD201" s="1239" t="s">
        <v>7217</v>
      </c>
      <c r="AE201" s="1239" t="s">
        <v>2037</v>
      </c>
      <c r="AF201" s="1239" t="str">
        <f>"Coste"&amp;PDs!$E$112</f>
        <v>CosteProyección psíquica</v>
      </c>
      <c r="AG201" s="1239" t="str">
        <f>"Coste"&amp;PDs!D129</f>
        <v>CosteAtléticas</v>
      </c>
      <c r="AH201" s="1239" t="s">
        <v>2038</v>
      </c>
      <c r="AI201" s="1239" t="s">
        <v>8336</v>
      </c>
      <c r="AJ201" s="1239" t="str">
        <f>"Coste"&amp;PDs!$D$146</f>
        <v>CosteIntelectuales</v>
      </c>
      <c r="AK201" s="1239" t="s">
        <v>2039</v>
      </c>
      <c r="AL201" s="1239" t="s">
        <v>7218</v>
      </c>
      <c r="AM201" s="1239" t="s">
        <v>7219</v>
      </c>
      <c r="AN201" s="1239" t="str">
        <f>"Coste"&amp;PDs!E159</f>
        <v>CosteP. Fuerza</v>
      </c>
      <c r="AO201" s="1239" t="str">
        <f>"Coste"&amp;PDs!E160</f>
        <v>CosteRes. Dolor</v>
      </c>
      <c r="AP201" s="921" t="s">
        <v>2040</v>
      </c>
      <c r="AQ201" s="921" t="str">
        <f>"Coste"&amp;PDs!E166</f>
        <v>CosteTrampería</v>
      </c>
      <c r="AR201" s="921" t="str">
        <f>"Coste"&amp;PDs!E149</f>
        <v>CosteHerbolaria</v>
      </c>
      <c r="AS201" s="921" t="s">
        <v>2041</v>
      </c>
      <c r="AT201" s="921" t="s">
        <v>2042</v>
      </c>
      <c r="AU201" s="921" t="str">
        <f>"Coste"&amp;PDs!E156</f>
        <v>CosteTasación</v>
      </c>
      <c r="AV201" s="921" t="s">
        <v>2043</v>
      </c>
      <c r="AW201" s="921" t="s">
        <v>2044</v>
      </c>
      <c r="AX201" s="921" t="str">
        <f>"Coste"&amp;PDs!E157</f>
        <v>CosteV. Mágica</v>
      </c>
      <c r="AY201" s="921" t="str">
        <f>"Coste"&amp;PDs!E175</f>
        <v>CosteT. Manos</v>
      </c>
      <c r="AZ201" s="921" t="str">
        <f>"Coste"&amp;PDs!E139</f>
        <v>CostePersuasión</v>
      </c>
      <c r="BA201" s="921" t="s">
        <v>2045</v>
      </c>
      <c r="BB201" s="201" t="str">
        <f>PDs!E159</f>
        <v>P. Fuerza</v>
      </c>
      <c r="BC201" s="201" t="str">
        <f>PDs!E129</f>
        <v>Acrobacias</v>
      </c>
      <c r="BD201" s="201" t="s">
        <v>1419</v>
      </c>
      <c r="BE201" s="201" t="s">
        <v>1406</v>
      </c>
      <c r="BF201" s="201" t="str">
        <f>PDs!E175</f>
        <v>T. Manos</v>
      </c>
      <c r="BG201" s="201" t="s">
        <v>1423</v>
      </c>
      <c r="BH201" s="201" t="s">
        <v>1428</v>
      </c>
      <c r="BI201" s="201" t="str">
        <f>PDs!E160</f>
        <v>Res. Dolor</v>
      </c>
      <c r="BJ201" s="201" t="s">
        <v>1425</v>
      </c>
      <c r="BK201" s="201" t="s">
        <v>1450</v>
      </c>
      <c r="BL201" s="201" t="s">
        <v>1430</v>
      </c>
      <c r="BM201" s="201" t="s">
        <v>1518</v>
      </c>
      <c r="BN201" s="201" t="s">
        <v>6972</v>
      </c>
      <c r="BO201" s="201" t="s">
        <v>1432</v>
      </c>
      <c r="BP201" s="201" t="s">
        <v>1433</v>
      </c>
      <c r="BQ201" s="201" t="s">
        <v>1434</v>
      </c>
      <c r="BR201" s="201" t="s">
        <v>1468</v>
      </c>
      <c r="BS201" s="201" t="s">
        <v>1436</v>
      </c>
      <c r="BT201" s="201" t="s">
        <v>1438</v>
      </c>
      <c r="BU201" s="201" t="s">
        <v>1462</v>
      </c>
      <c r="BV201" s="201" t="s">
        <v>1466</v>
      </c>
      <c r="BW201" s="201" t="s">
        <v>1464</v>
      </c>
      <c r="BX201" s="201" t="s">
        <v>1469</v>
      </c>
      <c r="BY201" s="201" t="s">
        <v>1446</v>
      </c>
      <c r="BZ201" s="201" t="s">
        <v>1448</v>
      </c>
      <c r="CA201" s="201" t="s">
        <v>1460</v>
      </c>
      <c r="CB201" s="201" t="s">
        <v>1515</v>
      </c>
      <c r="CC201" s="201" t="s">
        <v>386</v>
      </c>
      <c r="CD201" s="201" t="str">
        <f>Ki!C35</f>
        <v>Detección Ki</v>
      </c>
      <c r="CE201" s="201" t="str">
        <f>Ki!C36</f>
        <v>Ocultación Ki</v>
      </c>
      <c r="CF201" s="201" t="s">
        <v>2046</v>
      </c>
      <c r="CG201" s="201" t="s">
        <v>2047</v>
      </c>
      <c r="CH201" s="201" t="s">
        <v>2048</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5988"/>
      <c r="C202" s="899">
        <f>SUMIF(PDs!$AD$6:$AD$10,Tablas!D202,PDs!$AE$6:$AE$10)</f>
        <v>0</v>
      </c>
      <c r="D202" s="902" t="s">
        <v>2049</v>
      </c>
      <c r="E202" s="203">
        <v>5</v>
      </c>
      <c r="F202" s="203">
        <v>15</v>
      </c>
      <c r="G202" s="203">
        <v>15</v>
      </c>
      <c r="H202" s="203">
        <v>25</v>
      </c>
      <c r="I202" s="606">
        <v>0.60000000000000009</v>
      </c>
      <c r="J202" s="204">
        <v>0.5</v>
      </c>
      <c r="K202" s="204">
        <v>0.5</v>
      </c>
      <c r="L202" s="205">
        <v>3</v>
      </c>
      <c r="M202" s="205">
        <v>5</v>
      </c>
      <c r="N202" s="205">
        <v>5</v>
      </c>
      <c r="O202" s="754"/>
      <c r="P202" s="205">
        <v>5</v>
      </c>
      <c r="Q202" s="205"/>
      <c r="R202" s="205">
        <v>2</v>
      </c>
      <c r="S202" s="205">
        <v>2</v>
      </c>
      <c r="T202" s="205">
        <v>2</v>
      </c>
      <c r="U202" s="205">
        <v>2</v>
      </c>
      <c r="V202" s="205">
        <v>2</v>
      </c>
      <c r="W202" s="205">
        <v>20</v>
      </c>
      <c r="X202" s="205">
        <v>3</v>
      </c>
      <c r="Y202" s="754">
        <v>70</v>
      </c>
      <c r="Z202" s="754">
        <v>3</v>
      </c>
      <c r="AA202" s="754">
        <v>3</v>
      </c>
      <c r="AB202" s="754">
        <v>3</v>
      </c>
      <c r="AC202" s="754">
        <v>3</v>
      </c>
      <c r="AD202" s="754">
        <v>3</v>
      </c>
      <c r="AE202" s="754">
        <v>20</v>
      </c>
      <c r="AF202" s="754">
        <v>3</v>
      </c>
      <c r="AG202" s="754">
        <v>2</v>
      </c>
      <c r="AH202" s="754">
        <v>2</v>
      </c>
      <c r="AI202" s="754">
        <v>2</v>
      </c>
      <c r="AJ202" s="754">
        <v>3</v>
      </c>
      <c r="AK202" s="754">
        <v>2</v>
      </c>
      <c r="AL202" s="754">
        <v>2</v>
      </c>
      <c r="AM202" s="754">
        <v>2</v>
      </c>
      <c r="AN202" s="754">
        <v>1</v>
      </c>
      <c r="AO202" s="1240">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2050</v>
      </c>
      <c r="CG202" s="192" t="s">
        <v>2051</v>
      </c>
      <c r="CH202" s="46" t="str">
        <f>CF202&amp;CG202</f>
        <v>LuchadorSin</v>
      </c>
      <c r="CI202" s="83"/>
      <c r="CJ202">
        <f>LEN(D202)</f>
        <v>8</v>
      </c>
    </row>
    <row r="203" spans="1:110" ht="12.75" customHeight="1" x14ac:dyDescent="0.2">
      <c r="A203" s="227">
        <v>203</v>
      </c>
      <c r="B203" s="5988"/>
      <c r="C203" s="900">
        <f>SUMIF(PDs!$AD$6:$AD$10,Tablas!D203,PDs!$AE$6:$AE$10)</f>
        <v>0</v>
      </c>
      <c r="D203" s="903" t="s">
        <v>2052</v>
      </c>
      <c r="E203" s="77">
        <v>10</v>
      </c>
      <c r="F203" s="77">
        <v>10</v>
      </c>
      <c r="G203" s="77">
        <v>20</v>
      </c>
      <c r="H203" s="77">
        <v>25</v>
      </c>
      <c r="I203" s="607">
        <v>0.60000000000000009</v>
      </c>
      <c r="J203" s="207">
        <v>0.5</v>
      </c>
      <c r="K203" s="207">
        <v>0.5</v>
      </c>
      <c r="L203" s="208">
        <v>3</v>
      </c>
      <c r="M203" s="208">
        <v>5</v>
      </c>
      <c r="N203" s="208"/>
      <c r="O203" s="755">
        <v>5</v>
      </c>
      <c r="P203" s="209"/>
      <c r="Q203" s="209"/>
      <c r="R203" s="208">
        <v>2</v>
      </c>
      <c r="S203" s="208">
        <v>3</v>
      </c>
      <c r="T203" s="208">
        <v>2</v>
      </c>
      <c r="U203" s="208">
        <v>2</v>
      </c>
      <c r="V203" s="208">
        <v>2</v>
      </c>
      <c r="W203" s="208">
        <v>20</v>
      </c>
      <c r="X203" s="208">
        <v>3</v>
      </c>
      <c r="Y203" s="755">
        <v>70</v>
      </c>
      <c r="Z203" s="755">
        <v>3</v>
      </c>
      <c r="AA203" s="755">
        <v>3</v>
      </c>
      <c r="AB203" s="755">
        <v>3</v>
      </c>
      <c r="AC203" s="755">
        <v>3</v>
      </c>
      <c r="AD203" s="755">
        <v>3</v>
      </c>
      <c r="AE203" s="755">
        <v>20</v>
      </c>
      <c r="AF203" s="755">
        <v>3</v>
      </c>
      <c r="AG203" s="755">
        <v>2</v>
      </c>
      <c r="AH203" s="755">
        <v>2</v>
      </c>
      <c r="AI203" s="755">
        <v>2</v>
      </c>
      <c r="AJ203" s="755">
        <v>3</v>
      </c>
      <c r="AK203" s="755">
        <v>2</v>
      </c>
      <c r="AL203" s="755">
        <v>2</v>
      </c>
      <c r="AM203" s="755">
        <v>2</v>
      </c>
      <c r="AN203" s="1241">
        <v>3</v>
      </c>
      <c r="AO203" s="1241">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2050</v>
      </c>
      <c r="CG203" s="86" t="s">
        <v>2051</v>
      </c>
      <c r="CH203" s="21" t="str">
        <f t="shared" ref="CH203:CH223" si="30">CF203&amp;CG203</f>
        <v>LuchadorSin</v>
      </c>
      <c r="CI203" s="36"/>
      <c r="CJ203">
        <f t="shared" ref="CJ203:CJ223" si="31">LEN(D203)</f>
        <v>17</v>
      </c>
    </row>
    <row r="204" spans="1:110" ht="12.75" customHeight="1" x14ac:dyDescent="0.2">
      <c r="A204" s="227">
        <v>204</v>
      </c>
      <c r="B204" s="5988"/>
      <c r="C204" s="900">
        <f>SUMIF(PDs!$AD$6:$AD$10,Tablas!D204,PDs!$AE$6:$AE$10)</f>
        <v>0</v>
      </c>
      <c r="D204" s="903" t="s">
        <v>2053</v>
      </c>
      <c r="E204" s="77">
        <v>5</v>
      </c>
      <c r="F204" s="77">
        <v>15</v>
      </c>
      <c r="G204" s="77">
        <v>15</v>
      </c>
      <c r="H204" s="77">
        <v>20</v>
      </c>
      <c r="I204" s="607">
        <v>0.60000000000000009</v>
      </c>
      <c r="J204" s="207">
        <v>0.5</v>
      </c>
      <c r="K204" s="207">
        <v>0.5</v>
      </c>
      <c r="L204" s="208">
        <v>3</v>
      </c>
      <c r="M204" s="208"/>
      <c r="N204" s="208">
        <v>5</v>
      </c>
      <c r="O204" s="755"/>
      <c r="P204" s="208">
        <v>10</v>
      </c>
      <c r="Q204" s="208">
        <v>20</v>
      </c>
      <c r="R204" s="208">
        <v>2</v>
      </c>
      <c r="S204" s="208">
        <v>2</v>
      </c>
      <c r="T204" s="208">
        <v>2</v>
      </c>
      <c r="U204" s="208">
        <v>2</v>
      </c>
      <c r="V204" s="208">
        <v>2</v>
      </c>
      <c r="W204" s="208">
        <v>20</v>
      </c>
      <c r="X204" s="208">
        <v>2</v>
      </c>
      <c r="Y204" s="755">
        <v>60</v>
      </c>
      <c r="Z204" s="755">
        <v>3</v>
      </c>
      <c r="AA204" s="755">
        <v>3</v>
      </c>
      <c r="AB204" s="755">
        <v>3</v>
      </c>
      <c r="AC204" s="755">
        <v>3</v>
      </c>
      <c r="AD204" s="755">
        <v>1</v>
      </c>
      <c r="AE204" s="755">
        <v>20</v>
      </c>
      <c r="AF204" s="755">
        <v>3</v>
      </c>
      <c r="AG204" s="755">
        <v>2</v>
      </c>
      <c r="AH204" s="755">
        <v>1</v>
      </c>
      <c r="AI204" s="755">
        <v>2</v>
      </c>
      <c r="AJ204" s="755">
        <v>2</v>
      </c>
      <c r="AK204" s="755">
        <v>2</v>
      </c>
      <c r="AL204" s="755">
        <v>3</v>
      </c>
      <c r="AM204" s="755">
        <v>2</v>
      </c>
      <c r="AN204" s="1241">
        <v>3</v>
      </c>
      <c r="AO204" s="755">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2050</v>
      </c>
      <c r="CG204" s="86" t="s">
        <v>2051</v>
      </c>
      <c r="CH204" s="21" t="str">
        <f t="shared" si="30"/>
        <v>LuchadorSin</v>
      </c>
      <c r="CI204" s="36"/>
      <c r="CJ204">
        <f t="shared" si="31"/>
        <v>7</v>
      </c>
    </row>
    <row r="205" spans="1:110" ht="12.75" customHeight="1" x14ac:dyDescent="0.2">
      <c r="A205" s="227">
        <v>205</v>
      </c>
      <c r="B205" s="5988"/>
      <c r="C205" s="900">
        <f>SUMIF(PDs!$AD$6:$AD$10,Tablas!D205,PDs!$AE$6:$AE$10)</f>
        <v>0</v>
      </c>
      <c r="D205" s="903" t="s">
        <v>2569</v>
      </c>
      <c r="E205" s="77">
        <v>5</v>
      </c>
      <c r="F205" s="77">
        <v>15</v>
      </c>
      <c r="G205" s="77">
        <v>15</v>
      </c>
      <c r="H205" s="77">
        <v>20</v>
      </c>
      <c r="I205" s="607">
        <v>0.60000000000000009</v>
      </c>
      <c r="J205" s="207">
        <v>0.5</v>
      </c>
      <c r="K205" s="207">
        <v>0.5</v>
      </c>
      <c r="L205" s="208">
        <v>3</v>
      </c>
      <c r="M205" s="208"/>
      <c r="N205" s="208">
        <v>5</v>
      </c>
      <c r="O205" s="755"/>
      <c r="P205" s="208">
        <v>10</v>
      </c>
      <c r="Q205" s="208"/>
      <c r="R205" s="208">
        <v>2</v>
      </c>
      <c r="S205" s="208">
        <v>2</v>
      </c>
      <c r="T205" s="208">
        <v>2</v>
      </c>
      <c r="U205" s="208">
        <v>2</v>
      </c>
      <c r="V205" s="208">
        <v>2</v>
      </c>
      <c r="W205" s="208">
        <v>20</v>
      </c>
      <c r="X205" s="208">
        <v>2</v>
      </c>
      <c r="Y205" s="755">
        <v>60</v>
      </c>
      <c r="Z205" s="755">
        <v>3</v>
      </c>
      <c r="AA205" s="755">
        <v>3</v>
      </c>
      <c r="AB205" s="755">
        <v>3</v>
      </c>
      <c r="AC205" s="755">
        <v>3</v>
      </c>
      <c r="AD205" s="755">
        <v>1</v>
      </c>
      <c r="AE205" s="755">
        <v>20</v>
      </c>
      <c r="AF205" s="755">
        <v>3</v>
      </c>
      <c r="AG205" s="755">
        <v>2</v>
      </c>
      <c r="AH205" s="755">
        <v>1</v>
      </c>
      <c r="AI205" s="755">
        <v>2</v>
      </c>
      <c r="AJ205" s="755">
        <v>2</v>
      </c>
      <c r="AK205" s="755">
        <v>2</v>
      </c>
      <c r="AL205" s="755">
        <v>3</v>
      </c>
      <c r="AM205" s="755">
        <v>2</v>
      </c>
      <c r="AN205" s="1241">
        <v>3</v>
      </c>
      <c r="AO205" s="755">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2050</v>
      </c>
      <c r="CG205" s="86" t="s">
        <v>2051</v>
      </c>
      <c r="CH205" s="21" t="str">
        <f t="shared" si="30"/>
        <v>LuchadorSin</v>
      </c>
      <c r="CI205" s="36"/>
      <c r="CJ205">
        <f t="shared" si="31"/>
        <v>11</v>
      </c>
    </row>
    <row r="206" spans="1:110" ht="12.75" customHeight="1" x14ac:dyDescent="0.2">
      <c r="A206" s="227">
        <v>206</v>
      </c>
      <c r="B206" s="5988"/>
      <c r="C206" s="900">
        <f>SUMIF(PDs!$AD$6:$AD$10,Tablas!D206,PDs!$AE$6:$AE$10)</f>
        <v>0</v>
      </c>
      <c r="D206" s="903" t="s">
        <v>2054</v>
      </c>
      <c r="E206" s="77">
        <v>5</v>
      </c>
      <c r="F206" s="77">
        <v>15</v>
      </c>
      <c r="G206" s="77">
        <v>15</v>
      </c>
      <c r="H206" s="77">
        <v>20</v>
      </c>
      <c r="I206" s="607">
        <v>0.60000000000000009</v>
      </c>
      <c r="J206" s="207">
        <v>0.5</v>
      </c>
      <c r="K206" s="207">
        <v>0.5</v>
      </c>
      <c r="L206" s="208">
        <v>3</v>
      </c>
      <c r="M206" s="208">
        <v>5</v>
      </c>
      <c r="N206" s="208"/>
      <c r="O206" s="755"/>
      <c r="P206" s="208">
        <v>5</v>
      </c>
      <c r="Q206" s="208">
        <v>20</v>
      </c>
      <c r="R206" s="208">
        <v>2</v>
      </c>
      <c r="S206" s="208">
        <v>2</v>
      </c>
      <c r="T206" s="208">
        <v>2</v>
      </c>
      <c r="U206" s="208">
        <v>2</v>
      </c>
      <c r="V206" s="208">
        <v>2</v>
      </c>
      <c r="W206" s="208">
        <v>20</v>
      </c>
      <c r="X206" s="208">
        <v>2</v>
      </c>
      <c r="Y206" s="755">
        <v>60</v>
      </c>
      <c r="Z206" s="755">
        <v>3</v>
      </c>
      <c r="AA206" s="755">
        <v>3</v>
      </c>
      <c r="AB206" s="755">
        <v>1</v>
      </c>
      <c r="AC206" s="755">
        <v>3</v>
      </c>
      <c r="AD206" s="755">
        <v>3</v>
      </c>
      <c r="AE206" s="755">
        <v>20</v>
      </c>
      <c r="AF206" s="755">
        <v>3</v>
      </c>
      <c r="AG206" s="755">
        <v>2</v>
      </c>
      <c r="AH206" s="755">
        <v>1</v>
      </c>
      <c r="AI206" s="755">
        <v>2</v>
      </c>
      <c r="AJ206" s="755">
        <v>2</v>
      </c>
      <c r="AK206" s="755">
        <v>2</v>
      </c>
      <c r="AL206" s="755">
        <v>2</v>
      </c>
      <c r="AM206" s="755">
        <v>2</v>
      </c>
      <c r="AN206" s="1241">
        <v>3</v>
      </c>
      <c r="AO206" s="1241">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2050</v>
      </c>
      <c r="CG206" s="86" t="s">
        <v>2051</v>
      </c>
      <c r="CH206" s="21" t="str">
        <f t="shared" si="30"/>
        <v>LuchadorSin</v>
      </c>
      <c r="CI206" s="36"/>
      <c r="CJ206">
        <f t="shared" si="31"/>
        <v>14</v>
      </c>
    </row>
    <row r="207" spans="1:110" ht="12.75" customHeight="1" x14ac:dyDescent="0.2">
      <c r="A207" s="227">
        <v>207</v>
      </c>
      <c r="B207" s="5988"/>
      <c r="C207" s="900">
        <f>SUMIF(PDs!$AD$6:$AD$10,Tablas!D207,PDs!$AE$6:$AE$10)</f>
        <v>0</v>
      </c>
      <c r="D207" s="903" t="s">
        <v>2568</v>
      </c>
      <c r="E207" s="77">
        <v>5</v>
      </c>
      <c r="F207" s="77">
        <v>15</v>
      </c>
      <c r="G207" s="77">
        <v>15</v>
      </c>
      <c r="H207" s="77">
        <v>20</v>
      </c>
      <c r="I207" s="607">
        <v>0.60000000000000009</v>
      </c>
      <c r="J207" s="207">
        <v>0.5</v>
      </c>
      <c r="K207" s="207">
        <v>0.5</v>
      </c>
      <c r="L207" s="208">
        <v>3</v>
      </c>
      <c r="M207" s="208">
        <v>5</v>
      </c>
      <c r="N207" s="208"/>
      <c r="O207" s="755"/>
      <c r="P207" s="208">
        <v>5</v>
      </c>
      <c r="Q207" s="208"/>
      <c r="R207" s="208">
        <v>2</v>
      </c>
      <c r="S207" s="208">
        <v>2</v>
      </c>
      <c r="T207" s="208">
        <v>2</v>
      </c>
      <c r="U207" s="208">
        <v>2</v>
      </c>
      <c r="V207" s="208">
        <v>2</v>
      </c>
      <c r="W207" s="208">
        <v>20</v>
      </c>
      <c r="X207" s="208">
        <v>2</v>
      </c>
      <c r="Y207" s="755">
        <v>60</v>
      </c>
      <c r="Z207" s="755">
        <v>3</v>
      </c>
      <c r="AA207" s="755">
        <v>3</v>
      </c>
      <c r="AB207" s="755">
        <v>1</v>
      </c>
      <c r="AC207" s="755">
        <v>3</v>
      </c>
      <c r="AD207" s="755">
        <v>3</v>
      </c>
      <c r="AE207" s="755">
        <v>20</v>
      </c>
      <c r="AF207" s="755">
        <v>3</v>
      </c>
      <c r="AG207" s="755">
        <v>2</v>
      </c>
      <c r="AH207" s="755">
        <v>1</v>
      </c>
      <c r="AI207" s="755">
        <v>2</v>
      </c>
      <c r="AJ207" s="755">
        <v>2</v>
      </c>
      <c r="AK207" s="755">
        <v>2</v>
      </c>
      <c r="AL207" s="755">
        <v>2</v>
      </c>
      <c r="AM207" s="755">
        <v>2</v>
      </c>
      <c r="AN207" s="1241">
        <v>3</v>
      </c>
      <c r="AO207" s="1241">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2050</v>
      </c>
      <c r="CG207" s="86" t="s">
        <v>2051</v>
      </c>
      <c r="CH207" s="21" t="str">
        <f t="shared" si="30"/>
        <v>LuchadorSin</v>
      </c>
      <c r="CI207" s="36"/>
      <c r="CJ207">
        <f t="shared" si="31"/>
        <v>19</v>
      </c>
    </row>
    <row r="208" spans="1:110" ht="12.75" customHeight="1" x14ac:dyDescent="0.2">
      <c r="A208" s="227">
        <v>208</v>
      </c>
      <c r="B208" s="5988"/>
      <c r="C208" s="900">
        <f>SUMIF(PDs!$AD$6:$AD$10,Tablas!D208,PDs!$AE$6:$AE$10)</f>
        <v>0</v>
      </c>
      <c r="D208" s="903" t="s">
        <v>9972</v>
      </c>
      <c r="E208" s="77">
        <v>5</v>
      </c>
      <c r="F208" s="77">
        <v>20</v>
      </c>
      <c r="G208" s="77">
        <v>10</v>
      </c>
      <c r="H208" s="77">
        <v>10</v>
      </c>
      <c r="I208" s="607">
        <v>0.60000000000000009</v>
      </c>
      <c r="J208" s="207">
        <v>0.5</v>
      </c>
      <c r="K208" s="207">
        <v>0.5</v>
      </c>
      <c r="L208" s="208">
        <v>3</v>
      </c>
      <c r="M208" s="208">
        <v>5</v>
      </c>
      <c r="N208" s="208">
        <v>5</v>
      </c>
      <c r="O208" s="755"/>
      <c r="P208" s="208">
        <v>10</v>
      </c>
      <c r="Q208" s="208"/>
      <c r="R208" s="208">
        <v>2</v>
      </c>
      <c r="S208" s="208">
        <v>2</v>
      </c>
      <c r="T208" s="208">
        <v>2</v>
      </c>
      <c r="U208" s="208">
        <v>1</v>
      </c>
      <c r="V208" s="208">
        <v>3</v>
      </c>
      <c r="W208" s="208">
        <v>30</v>
      </c>
      <c r="X208" s="208">
        <v>3</v>
      </c>
      <c r="Y208" s="755">
        <v>70</v>
      </c>
      <c r="Z208" s="755">
        <v>3</v>
      </c>
      <c r="AA208" s="755">
        <v>3</v>
      </c>
      <c r="AB208" s="755">
        <v>3</v>
      </c>
      <c r="AC208" s="755">
        <v>3</v>
      </c>
      <c r="AD208" s="755">
        <v>3</v>
      </c>
      <c r="AE208" s="755">
        <v>20</v>
      </c>
      <c r="AF208" s="755">
        <v>3</v>
      </c>
      <c r="AG208" s="755">
        <v>2</v>
      </c>
      <c r="AH208" s="755">
        <v>2</v>
      </c>
      <c r="AI208" s="755">
        <v>2</v>
      </c>
      <c r="AJ208" s="755">
        <v>3</v>
      </c>
      <c r="AK208" s="755">
        <v>1</v>
      </c>
      <c r="AL208" s="755">
        <v>3</v>
      </c>
      <c r="AM208" s="755">
        <v>2</v>
      </c>
      <c r="AN208" s="1241">
        <v>3</v>
      </c>
      <c r="AO208" s="1241">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2050</v>
      </c>
      <c r="CG208" s="86" t="s">
        <v>2051</v>
      </c>
      <c r="CH208" s="21" t="str">
        <f t="shared" si="30"/>
        <v>LuchadorSin</v>
      </c>
      <c r="CI208" s="36"/>
      <c r="CJ208">
        <f t="shared" si="31"/>
        <v>16</v>
      </c>
    </row>
    <row r="209" spans="1:109" ht="12.75" customHeight="1" x14ac:dyDescent="0.2">
      <c r="A209" s="227">
        <v>209</v>
      </c>
      <c r="B209" s="5988"/>
      <c r="C209" s="900">
        <f>SUMIF(PDs!$AD$6:$AD$10,Tablas!D209,PDs!$AE$6:$AE$10)</f>
        <v>0</v>
      </c>
      <c r="D209" s="903" t="s">
        <v>2055</v>
      </c>
      <c r="E209" s="77">
        <v>5</v>
      </c>
      <c r="F209" s="77">
        <v>5</v>
      </c>
      <c r="G209" s="77">
        <v>20</v>
      </c>
      <c r="H209" s="77">
        <v>50</v>
      </c>
      <c r="I209" s="607">
        <v>0.60000000000000009</v>
      </c>
      <c r="J209" s="207">
        <v>0.5</v>
      </c>
      <c r="K209" s="207">
        <v>0.5</v>
      </c>
      <c r="L209" s="208">
        <v>3</v>
      </c>
      <c r="M209" s="208">
        <v>5</v>
      </c>
      <c r="N209" s="208"/>
      <c r="O209" s="755"/>
      <c r="P209" s="208"/>
      <c r="Q209" s="208"/>
      <c r="R209" s="208">
        <v>2</v>
      </c>
      <c r="S209" s="208">
        <v>2</v>
      </c>
      <c r="T209" s="208">
        <v>2</v>
      </c>
      <c r="U209" s="208">
        <v>2</v>
      </c>
      <c r="V209" s="209">
        <v>1</v>
      </c>
      <c r="W209" s="209">
        <v>10</v>
      </c>
      <c r="X209" s="209">
        <v>3</v>
      </c>
      <c r="Y209" s="1241">
        <v>70</v>
      </c>
      <c r="Z209" s="1241">
        <v>3</v>
      </c>
      <c r="AA209" s="1241">
        <v>3</v>
      </c>
      <c r="AB209" s="1241">
        <v>3</v>
      </c>
      <c r="AC209" s="1241">
        <v>3</v>
      </c>
      <c r="AD209" s="1241">
        <v>3</v>
      </c>
      <c r="AE209" s="1241">
        <v>20</v>
      </c>
      <c r="AF209" s="1241">
        <v>3</v>
      </c>
      <c r="AG209" s="1241">
        <v>2</v>
      </c>
      <c r="AH209" s="1241">
        <v>2</v>
      </c>
      <c r="AI209" s="1241">
        <v>2</v>
      </c>
      <c r="AJ209" s="1241">
        <v>3</v>
      </c>
      <c r="AK209" s="1241">
        <v>2</v>
      </c>
      <c r="AL209" s="1241">
        <v>2</v>
      </c>
      <c r="AM209" s="1241">
        <v>2</v>
      </c>
      <c r="AN209" s="1241">
        <v>3</v>
      </c>
      <c r="AO209" s="1241">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2056</v>
      </c>
      <c r="CG209" s="86" t="s">
        <v>2051</v>
      </c>
      <c r="CH209" s="21" t="str">
        <f t="shared" si="30"/>
        <v>DomineSin</v>
      </c>
      <c r="CI209" s="36"/>
      <c r="CJ209">
        <f t="shared" si="31"/>
        <v>10</v>
      </c>
    </row>
    <row r="210" spans="1:109" ht="13.5" customHeight="1" x14ac:dyDescent="0.2">
      <c r="A210" s="227">
        <v>210</v>
      </c>
      <c r="B210" s="5988"/>
      <c r="C210" s="900">
        <f>SUMIF(PDs!$AD$6:$AD$10,Tablas!D210,PDs!$AE$6:$AE$10)</f>
        <v>0</v>
      </c>
      <c r="D210" s="903" t="s">
        <v>2057</v>
      </c>
      <c r="E210" s="77">
        <v>5</v>
      </c>
      <c r="F210" s="77">
        <v>10</v>
      </c>
      <c r="G210" s="77">
        <v>20</v>
      </c>
      <c r="H210" s="77">
        <v>30</v>
      </c>
      <c r="I210" s="607">
        <v>0.60000000000000009</v>
      </c>
      <c r="J210" s="207">
        <v>0.5</v>
      </c>
      <c r="K210" s="207">
        <v>0.5</v>
      </c>
      <c r="L210" s="208">
        <v>3</v>
      </c>
      <c r="M210" s="208"/>
      <c r="N210" s="208"/>
      <c r="O210" s="755"/>
      <c r="P210" s="208"/>
      <c r="Q210" s="208"/>
      <c r="R210" s="208">
        <v>2</v>
      </c>
      <c r="S210" s="208">
        <v>2</v>
      </c>
      <c r="T210" s="208">
        <v>2</v>
      </c>
      <c r="U210" s="208">
        <v>2</v>
      </c>
      <c r="V210" s="208">
        <v>2</v>
      </c>
      <c r="W210" s="208">
        <v>15</v>
      </c>
      <c r="X210" s="208">
        <v>3</v>
      </c>
      <c r="Y210" s="755">
        <v>70</v>
      </c>
      <c r="Z210" s="755">
        <v>3</v>
      </c>
      <c r="AA210" s="755">
        <v>3</v>
      </c>
      <c r="AB210" s="755">
        <v>3</v>
      </c>
      <c r="AC210" s="755">
        <v>3</v>
      </c>
      <c r="AD210" s="755">
        <v>3</v>
      </c>
      <c r="AE210" s="755">
        <v>20</v>
      </c>
      <c r="AF210" s="755">
        <v>3</v>
      </c>
      <c r="AG210" s="755">
        <v>2</v>
      </c>
      <c r="AH210" s="755">
        <v>2</v>
      </c>
      <c r="AI210" s="755">
        <v>2</v>
      </c>
      <c r="AJ210" s="755">
        <v>3</v>
      </c>
      <c r="AK210" s="755">
        <v>2</v>
      </c>
      <c r="AL210" s="755">
        <v>2</v>
      </c>
      <c r="AM210" s="755">
        <v>2</v>
      </c>
      <c r="AN210" s="1241">
        <v>3</v>
      </c>
      <c r="AO210" s="1241">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2056</v>
      </c>
      <c r="CG210" s="86" t="s">
        <v>2050</v>
      </c>
      <c r="CH210" s="21" t="str">
        <f t="shared" si="30"/>
        <v>DomineLuchador</v>
      </c>
      <c r="CI210" s="36"/>
      <c r="CJ210">
        <f t="shared" si="31"/>
        <v>3</v>
      </c>
    </row>
    <row r="211" spans="1:109" s="91" customFormat="1" ht="12.75" customHeight="1" x14ac:dyDescent="0.2">
      <c r="A211" s="227">
        <v>211</v>
      </c>
      <c r="B211" s="5988"/>
      <c r="C211" s="900">
        <f>SUMIF(PDs!$AD$6:$AD$10,Tablas!D211,PDs!$AE$6:$AE$10)</f>
        <v>0</v>
      </c>
      <c r="D211" s="903" t="s">
        <v>2058</v>
      </c>
      <c r="E211" s="77">
        <v>5</v>
      </c>
      <c r="F211" s="77">
        <v>10</v>
      </c>
      <c r="G211" s="77">
        <v>20</v>
      </c>
      <c r="H211" s="77">
        <v>20</v>
      </c>
      <c r="I211" s="607">
        <v>0.60000000000000009</v>
      </c>
      <c r="J211" s="207">
        <v>0.5</v>
      </c>
      <c r="K211" s="207">
        <v>0.5</v>
      </c>
      <c r="L211" s="208">
        <v>3</v>
      </c>
      <c r="M211" s="208">
        <v>5</v>
      </c>
      <c r="N211" s="208"/>
      <c r="O211" s="755"/>
      <c r="P211" s="208"/>
      <c r="Q211" s="208"/>
      <c r="R211" s="208">
        <v>2</v>
      </c>
      <c r="S211" s="208">
        <v>2</v>
      </c>
      <c r="T211" s="208">
        <v>2</v>
      </c>
      <c r="U211" s="208">
        <v>2</v>
      </c>
      <c r="V211" s="209">
        <v>2</v>
      </c>
      <c r="W211" s="209">
        <v>25</v>
      </c>
      <c r="X211" s="209">
        <v>3</v>
      </c>
      <c r="Y211" s="1241">
        <v>70</v>
      </c>
      <c r="Z211" s="1241">
        <v>3</v>
      </c>
      <c r="AA211" s="1241">
        <v>3</v>
      </c>
      <c r="AB211" s="1241">
        <v>3</v>
      </c>
      <c r="AC211" s="1241">
        <v>3</v>
      </c>
      <c r="AD211" s="1241">
        <v>3</v>
      </c>
      <c r="AE211" s="1241">
        <v>20</v>
      </c>
      <c r="AF211" s="1241">
        <v>3</v>
      </c>
      <c r="AG211" s="1241">
        <v>2</v>
      </c>
      <c r="AH211" s="1241">
        <v>2</v>
      </c>
      <c r="AI211" s="1241">
        <v>1</v>
      </c>
      <c r="AJ211" s="1241">
        <v>3</v>
      </c>
      <c r="AK211" s="1241">
        <v>3</v>
      </c>
      <c r="AL211" s="1241">
        <v>2</v>
      </c>
      <c r="AM211" s="1241">
        <v>2</v>
      </c>
      <c r="AN211" s="1241">
        <v>3</v>
      </c>
      <c r="AO211" s="1241">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2059</v>
      </c>
      <c r="CG211" s="86" t="s">
        <v>2050</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5988"/>
      <c r="C212" s="900">
        <f>SUMIF(PDs!$AD$6:$AD$10,Tablas!D212,PDs!$AE$6:$AE$10)</f>
        <v>0</v>
      </c>
      <c r="D212" s="903" t="s">
        <v>2060</v>
      </c>
      <c r="E212" s="77">
        <v>10</v>
      </c>
      <c r="F212" s="77">
        <v>5</v>
      </c>
      <c r="G212" s="77">
        <v>20</v>
      </c>
      <c r="H212" s="77">
        <v>25</v>
      </c>
      <c r="I212" s="607">
        <v>0.60000000000000009</v>
      </c>
      <c r="J212" s="207">
        <v>0.5</v>
      </c>
      <c r="K212" s="207">
        <v>0.5</v>
      </c>
      <c r="L212" s="208">
        <v>3</v>
      </c>
      <c r="M212" s="208">
        <v>5</v>
      </c>
      <c r="N212" s="208"/>
      <c r="O212" s="755">
        <v>5</v>
      </c>
      <c r="P212" s="208"/>
      <c r="Q212" s="208"/>
      <c r="R212" s="208">
        <v>2</v>
      </c>
      <c r="S212" s="208">
        <v>3</v>
      </c>
      <c r="T212" s="208">
        <v>2</v>
      </c>
      <c r="U212" s="208">
        <v>2</v>
      </c>
      <c r="V212" s="209">
        <v>2</v>
      </c>
      <c r="W212" s="209">
        <v>20</v>
      </c>
      <c r="X212" s="209">
        <v>3</v>
      </c>
      <c r="Y212" s="1241">
        <v>70</v>
      </c>
      <c r="Z212" s="1241">
        <v>3</v>
      </c>
      <c r="AA212" s="1241">
        <v>3</v>
      </c>
      <c r="AB212" s="1241">
        <v>3</v>
      </c>
      <c r="AC212" s="1241">
        <v>3</v>
      </c>
      <c r="AD212" s="1241">
        <v>3</v>
      </c>
      <c r="AE212" s="1241">
        <v>20</v>
      </c>
      <c r="AF212" s="1241">
        <v>3</v>
      </c>
      <c r="AG212" s="1241">
        <v>2</v>
      </c>
      <c r="AH212" s="1241">
        <v>2</v>
      </c>
      <c r="AI212" s="1241">
        <v>2</v>
      </c>
      <c r="AJ212" s="1241">
        <v>3</v>
      </c>
      <c r="AK212" s="1241">
        <v>2</v>
      </c>
      <c r="AL212" s="1241">
        <v>2</v>
      </c>
      <c r="AM212" s="1241">
        <v>2</v>
      </c>
      <c r="AN212" s="1241">
        <v>3</v>
      </c>
      <c r="AO212" s="1241">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2059</v>
      </c>
      <c r="CG212" s="86" t="s">
        <v>2050</v>
      </c>
      <c r="CH212" s="21" t="str">
        <f t="shared" si="30"/>
        <v>AcechadorLuchador</v>
      </c>
      <c r="CI212" s="36"/>
      <c r="CJ212">
        <f t="shared" si="31"/>
        <v>6</v>
      </c>
    </row>
    <row r="213" spans="1:109" ht="12.75" customHeight="1" x14ac:dyDescent="0.2">
      <c r="A213" s="227">
        <v>213</v>
      </c>
      <c r="B213" s="5988"/>
      <c r="C213" s="900">
        <f>SUMIF(PDs!$AD$6:$AD$10,Tablas!D213,PDs!$AE$6:$AE$10)</f>
        <v>0</v>
      </c>
      <c r="D213" s="903" t="s">
        <v>2061</v>
      </c>
      <c r="E213" s="77">
        <v>10</v>
      </c>
      <c r="F213" s="77">
        <v>5</v>
      </c>
      <c r="G213" s="77">
        <v>20</v>
      </c>
      <c r="H213" s="77">
        <v>20</v>
      </c>
      <c r="I213" s="607">
        <v>0.5</v>
      </c>
      <c r="J213" s="207">
        <v>0.5</v>
      </c>
      <c r="K213" s="207">
        <v>0.5</v>
      </c>
      <c r="L213" s="208">
        <v>3</v>
      </c>
      <c r="M213" s="208"/>
      <c r="N213" s="208"/>
      <c r="O213" s="755">
        <v>5</v>
      </c>
      <c r="P213" s="208"/>
      <c r="Q213" s="208"/>
      <c r="R213" s="208">
        <v>2</v>
      </c>
      <c r="S213" s="208">
        <v>3</v>
      </c>
      <c r="T213" s="208">
        <v>2</v>
      </c>
      <c r="U213" s="208">
        <v>3</v>
      </c>
      <c r="V213" s="209">
        <v>2</v>
      </c>
      <c r="W213" s="209">
        <v>25</v>
      </c>
      <c r="X213" s="209">
        <v>3</v>
      </c>
      <c r="Y213" s="1241">
        <v>70</v>
      </c>
      <c r="Z213" s="1241">
        <v>3</v>
      </c>
      <c r="AA213" s="1241">
        <v>3</v>
      </c>
      <c r="AB213" s="1241">
        <v>3</v>
      </c>
      <c r="AC213" s="1241">
        <v>3</v>
      </c>
      <c r="AD213" s="1241">
        <v>3</v>
      </c>
      <c r="AE213" s="1241">
        <v>20</v>
      </c>
      <c r="AF213" s="1241">
        <v>3</v>
      </c>
      <c r="AG213" s="1241">
        <v>1</v>
      </c>
      <c r="AH213" s="1241">
        <v>2</v>
      </c>
      <c r="AI213" s="1241">
        <v>2</v>
      </c>
      <c r="AJ213" s="1241">
        <v>3</v>
      </c>
      <c r="AK213" s="1241">
        <v>3</v>
      </c>
      <c r="AL213" s="1241">
        <v>1</v>
      </c>
      <c r="AM213" s="1241">
        <v>2</v>
      </c>
      <c r="AN213" s="1241">
        <v>3</v>
      </c>
      <c r="AO213" s="1241">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2059</v>
      </c>
      <c r="CG213" s="86" t="s">
        <v>2051</v>
      </c>
      <c r="CH213" s="21" t="str">
        <f t="shared" si="30"/>
        <v>AcechadorSin</v>
      </c>
      <c r="CI213" s="36"/>
      <c r="CJ213">
        <f t="shared" si="31"/>
        <v>6</v>
      </c>
    </row>
    <row r="214" spans="1:109" ht="12.75" customHeight="1" x14ac:dyDescent="0.2">
      <c r="A214" s="227">
        <v>214</v>
      </c>
      <c r="B214" s="5988"/>
      <c r="C214" s="900">
        <f>SUMIF(PDs!$AD$6:$AD$10,Tablas!D214,PDs!$AE$6:$AE$10)</f>
        <v>0</v>
      </c>
      <c r="D214" s="47" t="s">
        <v>2062</v>
      </c>
      <c r="E214" s="77">
        <v>10</v>
      </c>
      <c r="F214" s="77">
        <v>5</v>
      </c>
      <c r="G214" s="77">
        <v>20</v>
      </c>
      <c r="H214" s="77">
        <v>20</v>
      </c>
      <c r="I214" s="607">
        <v>0.5</v>
      </c>
      <c r="J214" s="207">
        <v>0.5</v>
      </c>
      <c r="K214" s="207">
        <v>0.5</v>
      </c>
      <c r="L214" s="208">
        <v>3</v>
      </c>
      <c r="M214" s="208">
        <v>5</v>
      </c>
      <c r="N214" s="208"/>
      <c r="O214" s="755"/>
      <c r="P214" s="208"/>
      <c r="Q214" s="208"/>
      <c r="R214" s="209">
        <v>2</v>
      </c>
      <c r="S214" s="209">
        <v>3</v>
      </c>
      <c r="T214" s="209">
        <v>2</v>
      </c>
      <c r="U214" s="209">
        <v>3</v>
      </c>
      <c r="V214" s="209">
        <v>2</v>
      </c>
      <c r="W214" s="209">
        <v>25</v>
      </c>
      <c r="X214" s="209">
        <v>3</v>
      </c>
      <c r="Y214" s="1241">
        <v>70</v>
      </c>
      <c r="Z214" s="1241">
        <v>3</v>
      </c>
      <c r="AA214" s="1241">
        <v>3</v>
      </c>
      <c r="AB214" s="1241">
        <v>3</v>
      </c>
      <c r="AC214" s="1241">
        <v>3</v>
      </c>
      <c r="AD214" s="1241">
        <v>3</v>
      </c>
      <c r="AE214" s="1241">
        <v>20</v>
      </c>
      <c r="AF214" s="1241">
        <v>3</v>
      </c>
      <c r="AG214" s="1241">
        <v>2</v>
      </c>
      <c r="AH214" s="1241">
        <v>2</v>
      </c>
      <c r="AI214" s="1241">
        <v>1</v>
      </c>
      <c r="AJ214" s="1241">
        <v>3</v>
      </c>
      <c r="AK214" s="1241">
        <v>3</v>
      </c>
      <c r="AL214" s="1241">
        <v>2</v>
      </c>
      <c r="AM214" s="1241">
        <v>2</v>
      </c>
      <c r="AN214" s="1241">
        <v>3</v>
      </c>
      <c r="AO214" s="1241">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2059</v>
      </c>
      <c r="CG214" s="86" t="s">
        <v>2051</v>
      </c>
      <c r="CH214" s="21" t="str">
        <f t="shared" si="30"/>
        <v>AcechadorSin</v>
      </c>
      <c r="CI214" s="36"/>
      <c r="CJ214">
        <f t="shared" si="31"/>
        <v>7</v>
      </c>
    </row>
    <row r="215" spans="1:109" ht="12.75" customHeight="1" x14ac:dyDescent="0.2">
      <c r="A215" s="227">
        <v>215</v>
      </c>
      <c r="B215" s="5988"/>
      <c r="C215" s="900">
        <f>SUMIF(PDs!$AD$6:$AD$10,Tablas!D215,PDs!$AE$6:$AE$10)</f>
        <v>0</v>
      </c>
      <c r="D215" s="903" t="s">
        <v>2063</v>
      </c>
      <c r="E215" s="77">
        <v>5</v>
      </c>
      <c r="F215" s="77">
        <v>5</v>
      </c>
      <c r="G215" s="77">
        <v>20</v>
      </c>
      <c r="H215" s="77">
        <v>10</v>
      </c>
      <c r="I215" s="607">
        <v>0.5</v>
      </c>
      <c r="J215" s="207">
        <v>0.60000000000000009</v>
      </c>
      <c r="K215" s="207">
        <v>0.5</v>
      </c>
      <c r="L215" s="208">
        <v>3</v>
      </c>
      <c r="M215" s="208"/>
      <c r="N215" s="208"/>
      <c r="O215" s="755"/>
      <c r="P215" s="208"/>
      <c r="Q215" s="208">
        <v>100</v>
      </c>
      <c r="R215" s="208">
        <v>3</v>
      </c>
      <c r="S215" s="208">
        <v>3</v>
      </c>
      <c r="T215" s="208">
        <v>2</v>
      </c>
      <c r="U215" s="208">
        <v>3</v>
      </c>
      <c r="V215" s="209">
        <v>3</v>
      </c>
      <c r="W215" s="209">
        <v>30</v>
      </c>
      <c r="X215" s="209">
        <v>1</v>
      </c>
      <c r="Y215" s="1241">
        <v>50</v>
      </c>
      <c r="Z215" s="1241">
        <v>2</v>
      </c>
      <c r="AA215" s="1241">
        <v>2</v>
      </c>
      <c r="AB215" s="1241">
        <v>2</v>
      </c>
      <c r="AC215" s="1241">
        <v>2</v>
      </c>
      <c r="AD215" s="1241">
        <v>2</v>
      </c>
      <c r="AE215" s="1241">
        <v>20</v>
      </c>
      <c r="AF215" s="1241">
        <v>3</v>
      </c>
      <c r="AG215" s="1241">
        <v>2</v>
      </c>
      <c r="AH215" s="1241">
        <v>2</v>
      </c>
      <c r="AI215" s="1241">
        <v>2</v>
      </c>
      <c r="AJ215" s="1241">
        <v>2</v>
      </c>
      <c r="AK215" s="1241">
        <v>3</v>
      </c>
      <c r="AL215" s="1241">
        <v>2</v>
      </c>
      <c r="AM215" s="1241">
        <v>2</v>
      </c>
      <c r="AN215" s="1241">
        <v>3</v>
      </c>
      <c r="AO215" s="1241">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2064</v>
      </c>
      <c r="CG215" s="86" t="s">
        <v>2051</v>
      </c>
      <c r="CH215" s="21" t="str">
        <f t="shared" si="30"/>
        <v>MísticoSin</v>
      </c>
      <c r="CI215" s="36"/>
      <c r="CJ215">
        <f t="shared" si="31"/>
        <v>9</v>
      </c>
    </row>
    <row r="216" spans="1:109" ht="12.75" customHeight="1" x14ac:dyDescent="0.2">
      <c r="A216" s="227">
        <v>216</v>
      </c>
      <c r="B216" s="5988"/>
      <c r="C216" s="900">
        <f>SUMIF(PDs!$AD$6:$AD$10,Tablas!D216,PDs!$AE$6:$AE$10)</f>
        <v>0</v>
      </c>
      <c r="D216" s="903" t="s">
        <v>2065</v>
      </c>
      <c r="E216" s="77">
        <v>5</v>
      </c>
      <c r="F216" s="77">
        <v>10</v>
      </c>
      <c r="G216" s="77">
        <v>20</v>
      </c>
      <c r="H216" s="77">
        <v>20</v>
      </c>
      <c r="I216" s="607">
        <v>0.5</v>
      </c>
      <c r="J216" s="207">
        <v>0.5</v>
      </c>
      <c r="K216" s="207">
        <v>0.5</v>
      </c>
      <c r="L216" s="208">
        <v>3</v>
      </c>
      <c r="M216" s="208">
        <v>5</v>
      </c>
      <c r="N216" s="208">
        <v>5</v>
      </c>
      <c r="O216" s="755">
        <v>5</v>
      </c>
      <c r="P216" s="209"/>
      <c r="Q216" s="209">
        <v>20</v>
      </c>
      <c r="R216" s="209">
        <v>2</v>
      </c>
      <c r="S216" s="209">
        <v>2</v>
      </c>
      <c r="T216" s="209">
        <v>2</v>
      </c>
      <c r="U216" s="209">
        <v>2</v>
      </c>
      <c r="V216" s="209">
        <v>2</v>
      </c>
      <c r="W216" s="209">
        <v>25</v>
      </c>
      <c r="X216" s="209">
        <v>1</v>
      </c>
      <c r="Y216" s="1241">
        <v>50</v>
      </c>
      <c r="Z216" s="1241">
        <v>2</v>
      </c>
      <c r="AA216" s="1241">
        <v>2</v>
      </c>
      <c r="AB216" s="1241">
        <v>2</v>
      </c>
      <c r="AC216" s="1241">
        <v>2</v>
      </c>
      <c r="AD216" s="1241">
        <v>2</v>
      </c>
      <c r="AE216" s="1241">
        <v>20</v>
      </c>
      <c r="AF216" s="1241">
        <v>3</v>
      </c>
      <c r="AG216" s="1241">
        <v>2</v>
      </c>
      <c r="AH216" s="1241">
        <v>2</v>
      </c>
      <c r="AI216" s="1241">
        <v>2</v>
      </c>
      <c r="AJ216" s="1241">
        <v>2</v>
      </c>
      <c r="AK216" s="1241">
        <v>2</v>
      </c>
      <c r="AL216" s="1241">
        <v>2</v>
      </c>
      <c r="AM216" s="1241">
        <v>2</v>
      </c>
      <c r="AN216" s="1241">
        <v>3</v>
      </c>
      <c r="AO216" s="1241">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2050</v>
      </c>
      <c r="CG216" s="86" t="s">
        <v>2064</v>
      </c>
      <c r="CH216" s="21" t="str">
        <f t="shared" si="30"/>
        <v>LuchadorMístico</v>
      </c>
      <c r="CI216" s="36"/>
      <c r="CJ216">
        <f t="shared" si="31"/>
        <v>7</v>
      </c>
    </row>
    <row r="217" spans="1:109" ht="12.75" customHeight="1" x14ac:dyDescent="0.2">
      <c r="A217" s="227">
        <v>217</v>
      </c>
      <c r="B217" s="5988"/>
      <c r="C217" s="900">
        <f>SUMIF(PDs!$AD$6:$AD$10,Tablas!D217,PDs!$AE$6:$AE$10)</f>
        <v>0</v>
      </c>
      <c r="D217" s="903" t="s">
        <v>2066</v>
      </c>
      <c r="E217" s="77">
        <v>5</v>
      </c>
      <c r="F217" s="77">
        <v>5</v>
      </c>
      <c r="G217" s="77">
        <v>20</v>
      </c>
      <c r="H217" s="77">
        <v>20</v>
      </c>
      <c r="I217" s="607">
        <v>0.5</v>
      </c>
      <c r="J217" s="207">
        <v>0.60000000000000009</v>
      </c>
      <c r="K217" s="207">
        <v>0.5</v>
      </c>
      <c r="L217" s="208">
        <v>3</v>
      </c>
      <c r="M217" s="208"/>
      <c r="N217" s="208"/>
      <c r="O217" s="755"/>
      <c r="P217" s="208"/>
      <c r="Q217" s="208">
        <v>75</v>
      </c>
      <c r="R217" s="208">
        <v>3</v>
      </c>
      <c r="S217" s="208">
        <v>3</v>
      </c>
      <c r="T217" s="208">
        <v>2</v>
      </c>
      <c r="U217" s="208">
        <v>3</v>
      </c>
      <c r="V217" s="209">
        <v>2</v>
      </c>
      <c r="W217" s="209">
        <v>25</v>
      </c>
      <c r="X217" s="209">
        <v>1</v>
      </c>
      <c r="Y217" s="1241">
        <v>60</v>
      </c>
      <c r="Z217" s="1241">
        <v>2</v>
      </c>
      <c r="AA217" s="1241">
        <v>3</v>
      </c>
      <c r="AB217" s="1241">
        <v>3</v>
      </c>
      <c r="AC217" s="1241">
        <v>3</v>
      </c>
      <c r="AD217" s="1241">
        <v>3</v>
      </c>
      <c r="AE217" s="1241">
        <v>20</v>
      </c>
      <c r="AF217" s="1241">
        <v>3</v>
      </c>
      <c r="AG217" s="1241">
        <v>2</v>
      </c>
      <c r="AH217" s="1241">
        <v>2</v>
      </c>
      <c r="AI217" s="1241">
        <v>2</v>
      </c>
      <c r="AJ217" s="1241">
        <v>2</v>
      </c>
      <c r="AK217" s="1241">
        <v>3</v>
      </c>
      <c r="AL217" s="1241">
        <v>2</v>
      </c>
      <c r="AM217" s="1241">
        <v>2</v>
      </c>
      <c r="AN217" s="1241">
        <v>3</v>
      </c>
      <c r="AO217" s="1241">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2059</v>
      </c>
      <c r="CG217" s="86" t="s">
        <v>2064</v>
      </c>
      <c r="CH217" s="21" t="str">
        <f t="shared" si="30"/>
        <v>AcechadorMístico</v>
      </c>
      <c r="CI217" s="36"/>
      <c r="CJ217">
        <f t="shared" si="31"/>
        <v>11</v>
      </c>
    </row>
    <row r="218" spans="1:109" ht="12.75" customHeight="1" x14ac:dyDescent="0.2">
      <c r="A218" s="227">
        <v>218</v>
      </c>
      <c r="B218" s="5988"/>
      <c r="C218" s="900">
        <f>SUMIF(PDs!$AD$6:$AD$10,Tablas!D218,PDs!$AE$6:$AE$10)</f>
        <v>0</v>
      </c>
      <c r="D218" s="903" t="s">
        <v>2067</v>
      </c>
      <c r="E218" s="77">
        <v>5</v>
      </c>
      <c r="F218" s="77">
        <v>5</v>
      </c>
      <c r="G218" s="77">
        <v>20</v>
      </c>
      <c r="H218" s="77">
        <v>10</v>
      </c>
      <c r="I218" s="607">
        <v>0.5</v>
      </c>
      <c r="J218" s="207">
        <v>0.5</v>
      </c>
      <c r="K218" s="207">
        <v>0.5</v>
      </c>
      <c r="L218" s="208">
        <v>1</v>
      </c>
      <c r="M218" s="208"/>
      <c r="N218" s="208"/>
      <c r="O218" s="755"/>
      <c r="P218" s="208"/>
      <c r="Q218" s="208">
        <v>100</v>
      </c>
      <c r="R218" s="208">
        <v>3</v>
      </c>
      <c r="S218" s="208">
        <v>3</v>
      </c>
      <c r="T218" s="208">
        <v>2</v>
      </c>
      <c r="U218" s="208">
        <v>3</v>
      </c>
      <c r="V218" s="209">
        <v>3</v>
      </c>
      <c r="W218" s="209">
        <v>30</v>
      </c>
      <c r="X218" s="209">
        <v>1</v>
      </c>
      <c r="Y218" s="1241">
        <v>50</v>
      </c>
      <c r="Z218" s="1241">
        <v>2</v>
      </c>
      <c r="AA218" s="1241">
        <v>2</v>
      </c>
      <c r="AB218" s="1241">
        <v>2</v>
      </c>
      <c r="AC218" s="1241">
        <v>2</v>
      </c>
      <c r="AD218" s="1241">
        <v>2</v>
      </c>
      <c r="AE218" s="1241">
        <v>10</v>
      </c>
      <c r="AF218" s="1241">
        <v>2</v>
      </c>
      <c r="AG218" s="1241">
        <v>2</v>
      </c>
      <c r="AH218" s="1241">
        <v>2</v>
      </c>
      <c r="AI218" s="1241">
        <v>2</v>
      </c>
      <c r="AJ218" s="1241">
        <v>2</v>
      </c>
      <c r="AK218" s="1241">
        <v>3</v>
      </c>
      <c r="AL218" s="1241">
        <v>2</v>
      </c>
      <c r="AM218" s="1241">
        <v>2</v>
      </c>
      <c r="AN218" s="1241">
        <v>3</v>
      </c>
      <c r="AO218" s="1241">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2064</v>
      </c>
      <c r="CG218" s="86" t="s">
        <v>2068</v>
      </c>
      <c r="CH218" s="21" t="str">
        <f t="shared" si="30"/>
        <v>MísticoPsíquico</v>
      </c>
      <c r="CI218" s="36"/>
      <c r="CJ218">
        <f t="shared" si="31"/>
        <v>20</v>
      </c>
    </row>
    <row r="219" spans="1:109" ht="12.75" customHeight="1" x14ac:dyDescent="0.2">
      <c r="A219" s="227">
        <v>219</v>
      </c>
      <c r="B219" s="5988"/>
      <c r="C219" s="900">
        <f>SUMIF(PDs!$AD$6:$AD$10,Tablas!D219,PDs!$AE$6:$AE$10)</f>
        <v>0</v>
      </c>
      <c r="D219" s="47" t="s">
        <v>2069</v>
      </c>
      <c r="E219" s="77">
        <v>5</v>
      </c>
      <c r="F219" s="77">
        <v>5</v>
      </c>
      <c r="G219" s="77">
        <v>20</v>
      </c>
      <c r="H219" s="77">
        <v>10</v>
      </c>
      <c r="I219" s="607">
        <v>0.5</v>
      </c>
      <c r="J219" s="207">
        <v>0.60000000000000009</v>
      </c>
      <c r="K219" s="207">
        <v>0.5</v>
      </c>
      <c r="L219" s="208">
        <v>3</v>
      </c>
      <c r="M219" s="208"/>
      <c r="N219" s="208"/>
      <c r="O219" s="755"/>
      <c r="P219" s="208"/>
      <c r="Q219" s="208">
        <v>50</v>
      </c>
      <c r="R219" s="209">
        <v>3</v>
      </c>
      <c r="S219" s="209">
        <v>3</v>
      </c>
      <c r="T219" s="209">
        <v>2</v>
      </c>
      <c r="U219" s="209">
        <v>3</v>
      </c>
      <c r="V219" s="209">
        <v>3</v>
      </c>
      <c r="W219" s="209">
        <v>30</v>
      </c>
      <c r="X219" s="209">
        <v>1</v>
      </c>
      <c r="Y219" s="1241">
        <v>60</v>
      </c>
      <c r="Z219" s="1241">
        <v>3</v>
      </c>
      <c r="AA219" s="1241">
        <v>1</v>
      </c>
      <c r="AB219" s="1241">
        <v>1</v>
      </c>
      <c r="AC219" s="1241">
        <v>1</v>
      </c>
      <c r="AD219" s="1241">
        <v>1</v>
      </c>
      <c r="AE219" s="1241">
        <v>20</v>
      </c>
      <c r="AF219" s="1241">
        <v>3</v>
      </c>
      <c r="AG219" s="1241">
        <v>2</v>
      </c>
      <c r="AH219" s="1241">
        <v>2</v>
      </c>
      <c r="AI219" s="1241">
        <v>2</v>
      </c>
      <c r="AJ219" s="1241">
        <v>2</v>
      </c>
      <c r="AK219" s="1241">
        <v>3</v>
      </c>
      <c r="AL219" s="1241">
        <v>2</v>
      </c>
      <c r="AM219" s="1241">
        <v>2</v>
      </c>
      <c r="AN219" s="1241">
        <v>3</v>
      </c>
      <c r="AO219" s="1241">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2064</v>
      </c>
      <c r="CG219" s="86" t="s">
        <v>2051</v>
      </c>
      <c r="CH219" s="21" t="str">
        <f t="shared" si="30"/>
        <v>MísticoSin</v>
      </c>
      <c r="CI219" s="36"/>
      <c r="CJ219">
        <f t="shared" si="31"/>
        <v>10</v>
      </c>
    </row>
    <row r="220" spans="1:109" ht="12.75" customHeight="1" x14ac:dyDescent="0.2">
      <c r="A220" s="227">
        <v>220</v>
      </c>
      <c r="B220" s="5988"/>
      <c r="C220" s="900">
        <f>SUMIF(PDs!$AD$6:$AD$10,Tablas!D220,PDs!$AE$6:$AE$10)</f>
        <v>0</v>
      </c>
      <c r="D220" s="903" t="s">
        <v>2070</v>
      </c>
      <c r="E220" s="77">
        <v>5</v>
      </c>
      <c r="F220" s="77">
        <v>10</v>
      </c>
      <c r="G220" s="77">
        <v>20</v>
      </c>
      <c r="H220" s="77">
        <v>20</v>
      </c>
      <c r="I220" s="607">
        <v>0.5</v>
      </c>
      <c r="J220" s="207">
        <v>0.5</v>
      </c>
      <c r="K220" s="207">
        <v>0.5</v>
      </c>
      <c r="L220" s="208">
        <v>3</v>
      </c>
      <c r="M220" s="208">
        <v>5</v>
      </c>
      <c r="N220" s="208">
        <v>5</v>
      </c>
      <c r="O220" s="755">
        <v>5</v>
      </c>
      <c r="P220" s="208"/>
      <c r="Q220" s="208">
        <v>20</v>
      </c>
      <c r="R220" s="208">
        <v>2</v>
      </c>
      <c r="S220" s="208">
        <v>2</v>
      </c>
      <c r="T220" s="208">
        <v>2</v>
      </c>
      <c r="U220" s="208">
        <v>2</v>
      </c>
      <c r="V220" s="209">
        <v>2</v>
      </c>
      <c r="W220" s="209">
        <v>20</v>
      </c>
      <c r="X220" s="209">
        <v>1</v>
      </c>
      <c r="Y220" s="1241">
        <v>60</v>
      </c>
      <c r="Z220" s="1241">
        <v>3</v>
      </c>
      <c r="AA220" s="1241">
        <v>1</v>
      </c>
      <c r="AB220" s="1241">
        <v>1</v>
      </c>
      <c r="AC220" s="1241">
        <v>1</v>
      </c>
      <c r="AD220" s="1241">
        <v>1</v>
      </c>
      <c r="AE220" s="1241">
        <v>20</v>
      </c>
      <c r="AF220" s="1241">
        <v>3</v>
      </c>
      <c r="AG220" s="1241">
        <v>2</v>
      </c>
      <c r="AH220" s="1241">
        <v>2</v>
      </c>
      <c r="AI220" s="1241">
        <v>2</v>
      </c>
      <c r="AJ220" s="1241">
        <v>2</v>
      </c>
      <c r="AK220" s="1241">
        <v>2</v>
      </c>
      <c r="AL220" s="1241">
        <v>2</v>
      </c>
      <c r="AM220" s="1241">
        <v>2</v>
      </c>
      <c r="AN220" s="1241">
        <v>3</v>
      </c>
      <c r="AO220" s="1241">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2050</v>
      </c>
      <c r="CG220" s="86" t="s">
        <v>2064</v>
      </c>
      <c r="CH220" s="21" t="str">
        <f t="shared" si="30"/>
        <v>LuchadorMístico</v>
      </c>
      <c r="CI220" s="36"/>
      <c r="CJ220">
        <f t="shared" si="31"/>
        <v>19</v>
      </c>
    </row>
    <row r="221" spans="1:109" ht="12.75" customHeight="1" x14ac:dyDescent="0.2">
      <c r="A221" s="227">
        <v>221</v>
      </c>
      <c r="B221" s="5988"/>
      <c r="C221" s="900">
        <f>SUMIF(PDs!$AD$6:$AD$10,Tablas!D221,PDs!$AE$6:$AE$10)</f>
        <v>0</v>
      </c>
      <c r="D221" s="903" t="s">
        <v>2071</v>
      </c>
      <c r="E221" s="77">
        <v>5</v>
      </c>
      <c r="F221" s="77">
        <v>5</v>
      </c>
      <c r="G221" s="77">
        <v>20</v>
      </c>
      <c r="H221" s="77">
        <v>10</v>
      </c>
      <c r="I221" s="607">
        <v>0.5</v>
      </c>
      <c r="J221" s="207">
        <v>0.5</v>
      </c>
      <c r="K221" s="207">
        <v>0.60000000000000009</v>
      </c>
      <c r="L221" s="208">
        <v>1</v>
      </c>
      <c r="M221" s="208"/>
      <c r="N221" s="208"/>
      <c r="O221" s="755"/>
      <c r="P221" s="208"/>
      <c r="Q221" s="208"/>
      <c r="R221" s="208">
        <v>3</v>
      </c>
      <c r="S221" s="208">
        <v>3</v>
      </c>
      <c r="T221" s="208">
        <v>2</v>
      </c>
      <c r="U221" s="208">
        <v>3</v>
      </c>
      <c r="V221" s="209">
        <v>3</v>
      </c>
      <c r="W221" s="209">
        <v>30</v>
      </c>
      <c r="X221" s="209">
        <v>3</v>
      </c>
      <c r="Y221" s="1241">
        <v>70</v>
      </c>
      <c r="Z221" s="1241">
        <v>3</v>
      </c>
      <c r="AA221" s="1241">
        <v>3</v>
      </c>
      <c r="AB221" s="1241">
        <v>3</v>
      </c>
      <c r="AC221" s="1241">
        <v>3</v>
      </c>
      <c r="AD221" s="1241">
        <v>3</v>
      </c>
      <c r="AE221" s="1241">
        <v>10</v>
      </c>
      <c r="AF221" s="1241">
        <v>2</v>
      </c>
      <c r="AG221" s="1241">
        <v>2</v>
      </c>
      <c r="AH221" s="1241">
        <v>2</v>
      </c>
      <c r="AI221" s="1241">
        <v>2</v>
      </c>
      <c r="AJ221" s="1241">
        <v>2</v>
      </c>
      <c r="AK221" s="1241">
        <v>3</v>
      </c>
      <c r="AL221" s="1241">
        <v>2</v>
      </c>
      <c r="AM221" s="1241">
        <v>2</v>
      </c>
      <c r="AN221" s="1241">
        <v>3</v>
      </c>
      <c r="AO221" s="1241">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2068</v>
      </c>
      <c r="CG221" s="86" t="s">
        <v>2051</v>
      </c>
      <c r="CH221" s="21" t="str">
        <f t="shared" si="30"/>
        <v>PsíquicoSin</v>
      </c>
      <c r="CI221" s="36"/>
      <c r="CJ221">
        <f t="shared" si="31"/>
        <v>10</v>
      </c>
    </row>
    <row r="222" spans="1:109" ht="12.75" customHeight="1" x14ac:dyDescent="0.2">
      <c r="A222" s="227">
        <v>222</v>
      </c>
      <c r="B222" s="5988"/>
      <c r="C222" s="900">
        <f>SUMIF(PDs!$AD$6:$AD$10,Tablas!D222,PDs!$AE$6:$AE$10)</f>
        <v>0</v>
      </c>
      <c r="D222" s="903" t="s">
        <v>2072</v>
      </c>
      <c r="E222" s="77">
        <v>5</v>
      </c>
      <c r="F222" s="77">
        <v>10</v>
      </c>
      <c r="G222" s="77">
        <v>20</v>
      </c>
      <c r="H222" s="77">
        <v>20</v>
      </c>
      <c r="I222" s="607">
        <v>0.5</v>
      </c>
      <c r="J222" s="207">
        <v>0.5</v>
      </c>
      <c r="K222" s="207">
        <v>0.5</v>
      </c>
      <c r="L222" s="208">
        <v>1</v>
      </c>
      <c r="M222" s="208">
        <v>5</v>
      </c>
      <c r="N222" s="208">
        <v>5</v>
      </c>
      <c r="O222" s="755">
        <v>5</v>
      </c>
      <c r="P222" s="208"/>
      <c r="Q222" s="208"/>
      <c r="R222" s="209">
        <v>2</v>
      </c>
      <c r="S222" s="209">
        <v>2</v>
      </c>
      <c r="T222" s="209">
        <v>2</v>
      </c>
      <c r="U222" s="209">
        <v>2</v>
      </c>
      <c r="V222" s="209">
        <v>2</v>
      </c>
      <c r="W222" s="209">
        <v>25</v>
      </c>
      <c r="X222" s="209">
        <v>3</v>
      </c>
      <c r="Y222" s="1241">
        <v>70</v>
      </c>
      <c r="Z222" s="1241">
        <v>3</v>
      </c>
      <c r="AA222" s="1241">
        <v>3</v>
      </c>
      <c r="AB222" s="1241">
        <v>3</v>
      </c>
      <c r="AC222" s="1241">
        <v>3</v>
      </c>
      <c r="AD222" s="1241">
        <v>3</v>
      </c>
      <c r="AE222" s="1241">
        <v>15</v>
      </c>
      <c r="AF222" s="1241">
        <v>2</v>
      </c>
      <c r="AG222" s="1241">
        <v>2</v>
      </c>
      <c r="AH222" s="1241">
        <v>2</v>
      </c>
      <c r="AI222" s="1241">
        <v>2</v>
      </c>
      <c r="AJ222" s="1241">
        <v>3</v>
      </c>
      <c r="AK222" s="1241">
        <v>2</v>
      </c>
      <c r="AL222" s="1241">
        <v>2</v>
      </c>
      <c r="AM222" s="1241">
        <v>2</v>
      </c>
      <c r="AN222" s="1241">
        <v>3</v>
      </c>
      <c r="AO222" s="1241">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2050</v>
      </c>
      <c r="CG222" s="86" t="s">
        <v>2068</v>
      </c>
      <c r="CH222" s="21" t="str">
        <f t="shared" si="30"/>
        <v>LuchadorPsíquico</v>
      </c>
      <c r="CI222" s="36"/>
      <c r="CJ222">
        <f t="shared" si="31"/>
        <v>19</v>
      </c>
    </row>
    <row r="223" spans="1:109" ht="12.75" customHeight="1" thickBot="1" x14ac:dyDescent="0.25">
      <c r="A223" s="227">
        <v>223</v>
      </c>
      <c r="B223" s="5988"/>
      <c r="C223" s="901">
        <f>SUMIF(PDs!$AD$6:$AD$10,Tablas!D223,PDs!$AE$6:$AE$10)</f>
        <v>0</v>
      </c>
      <c r="D223" s="904" t="s">
        <v>1539</v>
      </c>
      <c r="E223" s="197">
        <v>5</v>
      </c>
      <c r="F223" s="197">
        <v>5</v>
      </c>
      <c r="G223" s="197">
        <v>20</v>
      </c>
      <c r="H223" s="197">
        <v>20</v>
      </c>
      <c r="I223" s="608">
        <v>0.60000000000000009</v>
      </c>
      <c r="J223" s="210">
        <v>0.60000000000000009</v>
      </c>
      <c r="K223" s="210">
        <v>0.60000000000000009</v>
      </c>
      <c r="L223" s="211">
        <v>2</v>
      </c>
      <c r="M223" s="211"/>
      <c r="N223" s="211"/>
      <c r="O223" s="756"/>
      <c r="P223" s="211"/>
      <c r="Q223" s="211">
        <v>10</v>
      </c>
      <c r="R223" s="211">
        <v>2</v>
      </c>
      <c r="S223" s="211">
        <v>2</v>
      </c>
      <c r="T223" s="211">
        <v>2</v>
      </c>
      <c r="U223" s="211">
        <v>2</v>
      </c>
      <c r="V223" s="212">
        <v>2</v>
      </c>
      <c r="W223" s="212">
        <v>20</v>
      </c>
      <c r="X223" s="212">
        <v>2</v>
      </c>
      <c r="Y223" s="1242">
        <v>60</v>
      </c>
      <c r="Z223" s="1242">
        <v>2</v>
      </c>
      <c r="AA223" s="1242">
        <v>2</v>
      </c>
      <c r="AB223" s="1242">
        <v>2</v>
      </c>
      <c r="AC223" s="1242">
        <v>2</v>
      </c>
      <c r="AD223" s="1242">
        <v>2</v>
      </c>
      <c r="AE223" s="1242">
        <v>20</v>
      </c>
      <c r="AF223" s="1242">
        <v>2</v>
      </c>
      <c r="AG223" s="1242">
        <v>2</v>
      </c>
      <c r="AH223" s="1242">
        <v>2</v>
      </c>
      <c r="AI223" s="1242">
        <v>2</v>
      </c>
      <c r="AJ223" s="1242">
        <v>2</v>
      </c>
      <c r="AK223" s="1242">
        <v>2</v>
      </c>
      <c r="AL223" s="1242">
        <v>2</v>
      </c>
      <c r="AM223" s="1242">
        <v>2</v>
      </c>
      <c r="AN223" s="1242">
        <v>3</v>
      </c>
      <c r="AO223" s="1242">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2051</v>
      </c>
      <c r="CG223" s="190" t="s">
        <v>2051</v>
      </c>
      <c r="CH223" s="68" t="str">
        <f t="shared" si="30"/>
        <v>SinSin</v>
      </c>
      <c r="CI223" s="69"/>
      <c r="CJ223">
        <f t="shared" si="31"/>
        <v>5</v>
      </c>
    </row>
    <row r="224" spans="1:109" ht="12.75" customHeight="1" thickBot="1" x14ac:dyDescent="0.25">
      <c r="A224" s="227">
        <v>224</v>
      </c>
      <c r="B224" s="5988"/>
      <c r="C224" s="91"/>
      <c r="D224" s="6196" t="s">
        <v>7312</v>
      </c>
      <c r="E224" s="201" t="str">
        <f>E201</f>
        <v>Turno</v>
      </c>
      <c r="F224" s="201" t="str">
        <f>F201</f>
        <v>PV</v>
      </c>
      <c r="G224" s="201" t="s">
        <v>1456</v>
      </c>
      <c r="H224" s="201" t="str">
        <f>H201</f>
        <v>Conocimiento Marcial</v>
      </c>
      <c r="I224" s="201" t="s">
        <v>1456</v>
      </c>
      <c r="J224" s="201" t="s">
        <v>1456</v>
      </c>
      <c r="K224" s="201" t="s">
        <v>1456</v>
      </c>
      <c r="L224" s="201" t="s">
        <v>1456</v>
      </c>
      <c r="M224" s="201" t="str">
        <f>M201</f>
        <v>H. Ataque</v>
      </c>
      <c r="N224" s="201" t="str">
        <f>N201</f>
        <v>H. Parada</v>
      </c>
      <c r="O224" s="201" t="str">
        <f>O201</f>
        <v>H. Esquiva</v>
      </c>
      <c r="P224" s="201" t="str">
        <f>P201</f>
        <v>Llevar Armadura</v>
      </c>
      <c r="Q224" s="201" t="str">
        <f>Q201</f>
        <v>Zeón</v>
      </c>
      <c r="R224" s="201" t="s">
        <v>1456</v>
      </c>
      <c r="S224" s="201" t="s">
        <v>1456</v>
      </c>
      <c r="T224" s="201" t="s">
        <v>1456</v>
      </c>
      <c r="U224" s="201" t="s">
        <v>1456</v>
      </c>
      <c r="V224" s="201" t="s">
        <v>1456</v>
      </c>
      <c r="W224" s="201" t="s">
        <v>1456</v>
      </c>
      <c r="X224" s="201" t="s">
        <v>1456</v>
      </c>
      <c r="Y224" s="590" t="s">
        <v>1456</v>
      </c>
      <c r="Z224" s="590" t="s">
        <v>1456</v>
      </c>
      <c r="AA224" s="590" t="s">
        <v>1456</v>
      </c>
      <c r="AB224" s="590" t="s">
        <v>1456</v>
      </c>
      <c r="AC224" s="590" t="s">
        <v>1456</v>
      </c>
      <c r="AD224" s="590" t="s">
        <v>1456</v>
      </c>
      <c r="AE224" s="590" t="s">
        <v>1456</v>
      </c>
      <c r="AF224" s="590" t="s">
        <v>1456</v>
      </c>
      <c r="AG224" s="590" t="s">
        <v>1456</v>
      </c>
      <c r="AH224" s="590" t="s">
        <v>1456</v>
      </c>
      <c r="AI224" s="590" t="s">
        <v>1456</v>
      </c>
      <c r="AJ224" s="590" t="s">
        <v>1456</v>
      </c>
      <c r="AK224" s="590" t="s">
        <v>1456</v>
      </c>
      <c r="AL224" s="590" t="s">
        <v>1456</v>
      </c>
      <c r="AM224" s="590" t="s">
        <v>1456</v>
      </c>
      <c r="AN224" s="590" t="s">
        <v>1456</v>
      </c>
      <c r="AO224" s="590" t="s">
        <v>1456</v>
      </c>
      <c r="AP224" s="201" t="s">
        <v>1456</v>
      </c>
      <c r="AQ224" s="201" t="s">
        <v>1456</v>
      </c>
      <c r="AR224" s="201" t="s">
        <v>1456</v>
      </c>
      <c r="AS224" s="201" t="s">
        <v>1456</v>
      </c>
      <c r="AT224" s="201" t="s">
        <v>1456</v>
      </c>
      <c r="AU224" s="201" t="s">
        <v>1456</v>
      </c>
      <c r="AV224" s="201" t="s">
        <v>1456</v>
      </c>
      <c r="AW224" s="201" t="s">
        <v>1456</v>
      </c>
      <c r="AX224" s="201" t="s">
        <v>1456</v>
      </c>
      <c r="AY224" s="201" t="s">
        <v>1456</v>
      </c>
      <c r="AZ224" s="201" t="s">
        <v>1456</v>
      </c>
      <c r="BA224" s="201" t="s">
        <v>1456</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5988"/>
      <c r="D225" s="6197"/>
      <c r="E225" s="905">
        <f>SUMPRODUCT($C$202:$C$223,E$202:E$223)</f>
        <v>0</v>
      </c>
      <c r="F225" s="905">
        <f>SUMPRODUCT($C$202:$C$223,F$202:F$223)</f>
        <v>0</v>
      </c>
      <c r="G225" s="905" t="s">
        <v>1456</v>
      </c>
      <c r="H225" s="2392">
        <f>SUMPRODUCT($C$202:$C$223,$H$202:$H$223)</f>
        <v>0</v>
      </c>
      <c r="I225" s="905" t="s">
        <v>1456</v>
      </c>
      <c r="J225" s="905" t="s">
        <v>1456</v>
      </c>
      <c r="K225" s="905" t="s">
        <v>1456</v>
      </c>
      <c r="L225" s="906" t="s">
        <v>1456</v>
      </c>
      <c r="M225" s="906">
        <f>MIN(50,SUMPRODUCT($C$202:$C$223,M$202:M$223))</f>
        <v>0</v>
      </c>
      <c r="N225" s="906">
        <f>MIN(50,SUMPRODUCT($C$202:$C$223,N$202:N$223))</f>
        <v>0</v>
      </c>
      <c r="O225" s="906">
        <f>MIN(50,SUMPRODUCT($C$202:$C$223,O$202:O$223))</f>
        <v>0</v>
      </c>
      <c r="P225" s="905">
        <f>SUMPRODUCT($C$202:$C$223,P$202:P$223)</f>
        <v>0</v>
      </c>
      <c r="Q225" s="905">
        <f>SUMPRODUCT($C$202:$C$223,Q$202:Q$223)</f>
        <v>0</v>
      </c>
      <c r="R225" s="905" t="s">
        <v>1456</v>
      </c>
      <c r="S225" s="905" t="s">
        <v>1456</v>
      </c>
      <c r="T225" s="905" t="s">
        <v>1456</v>
      </c>
      <c r="U225" s="905" t="s">
        <v>1456</v>
      </c>
      <c r="V225" s="905" t="s">
        <v>1456</v>
      </c>
      <c r="W225" s="905" t="s">
        <v>1456</v>
      </c>
      <c r="X225" s="905" t="s">
        <v>1456</v>
      </c>
      <c r="Y225" s="1243" t="s">
        <v>1456</v>
      </c>
      <c r="Z225" s="1243" t="s">
        <v>1456</v>
      </c>
      <c r="AA225" s="1243" t="s">
        <v>1456</v>
      </c>
      <c r="AB225" s="1243" t="s">
        <v>1456</v>
      </c>
      <c r="AC225" s="1243" t="s">
        <v>1456</v>
      </c>
      <c r="AD225" s="1243" t="s">
        <v>1456</v>
      </c>
      <c r="AE225" s="1243" t="s">
        <v>1456</v>
      </c>
      <c r="AF225" s="1243" t="s">
        <v>1456</v>
      </c>
      <c r="AG225" s="1243" t="s">
        <v>1456</v>
      </c>
      <c r="AH225" s="1243" t="s">
        <v>1456</v>
      </c>
      <c r="AI225" s="1243" t="s">
        <v>1456</v>
      </c>
      <c r="AJ225" s="1243" t="s">
        <v>1456</v>
      </c>
      <c r="AK225" s="1243" t="s">
        <v>1456</v>
      </c>
      <c r="AL225" s="1243" t="s">
        <v>1456</v>
      </c>
      <c r="AM225" s="1243" t="s">
        <v>1456</v>
      </c>
      <c r="AN225" s="1243" t="s">
        <v>1456</v>
      </c>
      <c r="AO225" s="1243" t="s">
        <v>1456</v>
      </c>
      <c r="AP225" s="905" t="s">
        <v>1456</v>
      </c>
      <c r="AQ225" s="905" t="s">
        <v>1456</v>
      </c>
      <c r="AR225" s="905" t="s">
        <v>1456</v>
      </c>
      <c r="AS225" s="905" t="s">
        <v>1456</v>
      </c>
      <c r="AT225" s="905" t="s">
        <v>1456</v>
      </c>
      <c r="AU225" s="905" t="s">
        <v>1456</v>
      </c>
      <c r="AV225" s="905" t="s">
        <v>1456</v>
      </c>
      <c r="AW225" s="905" t="s">
        <v>1456</v>
      </c>
      <c r="AX225" s="905" t="s">
        <v>1456</v>
      </c>
      <c r="AY225" s="905" t="s">
        <v>1456</v>
      </c>
      <c r="AZ225" s="905" t="s">
        <v>1456</v>
      </c>
      <c r="BA225" s="905" t="s">
        <v>1456</v>
      </c>
      <c r="BB225" s="905">
        <f t="shared" ref="BB225:CE225" si="33">SUMPRODUCT($C$202:$C$223,BB$202:BB$223)</f>
        <v>0</v>
      </c>
      <c r="BC225" s="905">
        <f t="shared" si="33"/>
        <v>0</v>
      </c>
      <c r="BD225" s="905">
        <f t="shared" si="33"/>
        <v>0</v>
      </c>
      <c r="BE225" s="905">
        <f t="shared" si="33"/>
        <v>0</v>
      </c>
      <c r="BF225" s="905">
        <f t="shared" si="33"/>
        <v>0</v>
      </c>
      <c r="BG225" s="905">
        <f t="shared" si="33"/>
        <v>0</v>
      </c>
      <c r="BH225" s="905">
        <f t="shared" si="33"/>
        <v>0</v>
      </c>
      <c r="BI225" s="905">
        <f t="shared" si="33"/>
        <v>0</v>
      </c>
      <c r="BJ225" s="905">
        <f t="shared" si="33"/>
        <v>0</v>
      </c>
      <c r="BK225" s="905">
        <f t="shared" si="33"/>
        <v>0</v>
      </c>
      <c r="BL225" s="905">
        <f t="shared" si="33"/>
        <v>0</v>
      </c>
      <c r="BM225" s="905">
        <f t="shared" si="33"/>
        <v>0</v>
      </c>
      <c r="BN225" s="905">
        <f t="shared" si="33"/>
        <v>0</v>
      </c>
      <c r="BO225" s="905">
        <f t="shared" si="33"/>
        <v>0</v>
      </c>
      <c r="BP225" s="905">
        <f t="shared" si="33"/>
        <v>0</v>
      </c>
      <c r="BQ225" s="905">
        <f t="shared" si="33"/>
        <v>0</v>
      </c>
      <c r="BR225" s="905">
        <f t="shared" si="33"/>
        <v>0</v>
      </c>
      <c r="BS225" s="905">
        <f t="shared" si="33"/>
        <v>0</v>
      </c>
      <c r="BT225" s="905">
        <f t="shared" si="33"/>
        <v>0</v>
      </c>
      <c r="BU225" s="905">
        <f t="shared" si="33"/>
        <v>0</v>
      </c>
      <c r="BV225" s="905">
        <f t="shared" si="33"/>
        <v>0</v>
      </c>
      <c r="BW225" s="905">
        <f t="shared" si="33"/>
        <v>0</v>
      </c>
      <c r="BX225" s="905">
        <f t="shared" si="33"/>
        <v>0</v>
      </c>
      <c r="BY225" s="905">
        <f t="shared" si="33"/>
        <v>0</v>
      </c>
      <c r="BZ225" s="905">
        <f t="shared" si="33"/>
        <v>0</v>
      </c>
      <c r="CA225" s="905">
        <f t="shared" si="33"/>
        <v>0</v>
      </c>
      <c r="CB225" s="905">
        <f t="shared" si="33"/>
        <v>0</v>
      </c>
      <c r="CC225" s="905">
        <f t="shared" si="33"/>
        <v>0</v>
      </c>
      <c r="CD225" s="905">
        <f t="shared" si="33"/>
        <v>0</v>
      </c>
      <c r="CE225" s="907">
        <f t="shared" si="33"/>
        <v>0</v>
      </c>
    </row>
    <row r="226" spans="1:83" ht="12.75" customHeight="1" x14ac:dyDescent="0.2">
      <c r="A226" s="227">
        <v>226</v>
      </c>
      <c r="B226" s="5988"/>
    </row>
    <row r="227" spans="1:83" ht="12.75" customHeight="1" x14ac:dyDescent="0.2">
      <c r="A227" s="227">
        <v>227</v>
      </c>
      <c r="B227" s="5988"/>
    </row>
    <row r="228" spans="1:83" ht="12.75" customHeight="1" x14ac:dyDescent="0.2">
      <c r="A228" s="227">
        <v>228</v>
      </c>
      <c r="B228" s="5988"/>
      <c r="C228" s="6003" t="s">
        <v>7320</v>
      </c>
      <c r="D228" s="6003"/>
      <c r="E228" s="6003"/>
      <c r="F228" s="6003"/>
      <c r="G228" s="6003"/>
      <c r="H228" s="6003"/>
      <c r="I228" s="6003"/>
      <c r="J228" s="6003"/>
      <c r="K228" s="6003"/>
      <c r="L228" s="6003"/>
      <c r="M228" s="6003"/>
      <c r="N228" s="6003"/>
      <c r="O228" s="6003"/>
      <c r="P228" s="6003"/>
      <c r="Q228" s="6003"/>
      <c r="R228" s="6003"/>
      <c r="S228" s="6003"/>
      <c r="T228" s="6003"/>
      <c r="U228" s="6003"/>
      <c r="V228" s="6003"/>
      <c r="W228" s="6003"/>
      <c r="X228" s="6003"/>
      <c r="Y228" s="6003"/>
      <c r="Z228" s="6003"/>
    </row>
    <row r="229" spans="1:83" ht="12.75" customHeight="1" x14ac:dyDescent="0.2">
      <c r="A229" s="227">
        <v>229</v>
      </c>
      <c r="B229" s="5988"/>
      <c r="C229" s="6003"/>
      <c r="D229" s="6003"/>
      <c r="E229" s="6003"/>
      <c r="F229" s="6003"/>
      <c r="G229" s="6003"/>
      <c r="H229" s="6003"/>
      <c r="I229" s="6003"/>
      <c r="J229" s="6003"/>
      <c r="K229" s="6003"/>
      <c r="L229" s="6003"/>
      <c r="M229" s="6003"/>
      <c r="N229" s="6003"/>
      <c r="O229" s="6003"/>
      <c r="P229" s="6003"/>
      <c r="Q229" s="6003"/>
      <c r="R229" s="6003"/>
      <c r="S229" s="6003"/>
      <c r="T229" s="6003"/>
      <c r="U229" s="6003"/>
      <c r="V229" s="6003"/>
      <c r="W229" s="6003"/>
      <c r="X229" s="6003"/>
      <c r="Y229" s="6003"/>
      <c r="Z229" s="6003"/>
    </row>
    <row r="230" spans="1:83" ht="12.75" customHeight="1" x14ac:dyDescent="0.2">
      <c r="A230" s="227">
        <v>230</v>
      </c>
      <c r="B230" s="5988"/>
      <c r="C230" s="6003"/>
      <c r="D230" s="6003"/>
      <c r="E230" s="6003"/>
      <c r="F230" s="6003"/>
      <c r="G230" s="6003"/>
      <c r="H230" s="6003"/>
      <c r="I230" s="6003"/>
      <c r="J230" s="6003"/>
      <c r="K230" s="6003"/>
      <c r="L230" s="6003"/>
      <c r="M230" s="6003"/>
      <c r="N230" s="6003"/>
      <c r="O230" s="6003"/>
      <c r="P230" s="6003"/>
      <c r="Q230" s="6003"/>
      <c r="R230" s="6003"/>
      <c r="S230" s="6003"/>
      <c r="T230" s="6003"/>
      <c r="U230" s="6003"/>
      <c r="V230" s="6003"/>
      <c r="W230" s="6003"/>
      <c r="X230" s="6003"/>
      <c r="Y230" s="6003"/>
      <c r="Z230" s="6003"/>
    </row>
    <row r="231" spans="1:83" ht="12.75" customHeight="1" thickBot="1" x14ac:dyDescent="0.25">
      <c r="A231" s="227">
        <v>231</v>
      </c>
      <c r="B231" s="5988"/>
      <c r="H231"/>
      <c r="I231" s="559"/>
      <c r="N231"/>
      <c r="O231" s="559"/>
    </row>
    <row r="232" spans="1:83" ht="12.75" customHeight="1" x14ac:dyDescent="0.2">
      <c r="A232" s="227">
        <v>232</v>
      </c>
      <c r="B232" s="5988"/>
      <c r="C232" s="6242" t="s">
        <v>2250</v>
      </c>
      <c r="D232" s="6243"/>
      <c r="E232" s="6243"/>
      <c r="F232" s="6243"/>
      <c r="G232" s="6244"/>
      <c r="H232" s="2480"/>
      <c r="I232" s="559"/>
      <c r="L232" s="6013" t="s">
        <v>2498</v>
      </c>
      <c r="M232" s="6073"/>
      <c r="N232" s="6073"/>
      <c r="O232" s="6073"/>
      <c r="P232" s="6073"/>
      <c r="Q232" s="6073"/>
      <c r="R232" s="6073"/>
      <c r="S232" s="6073"/>
      <c r="T232" s="6014"/>
    </row>
    <row r="233" spans="1:83" ht="12.75" customHeight="1" x14ac:dyDescent="0.2">
      <c r="A233" s="227">
        <v>233</v>
      </c>
      <c r="B233" s="5988"/>
      <c r="C233" s="864" t="s">
        <v>1349</v>
      </c>
      <c r="D233" s="2491" t="s">
        <v>2811</v>
      </c>
      <c r="E233" s="2491" t="s">
        <v>6585</v>
      </c>
      <c r="F233" s="2491" t="s">
        <v>6584</v>
      </c>
      <c r="G233" s="865" t="s">
        <v>7166</v>
      </c>
      <c r="I233" s="559"/>
      <c r="L233" s="6015"/>
      <c r="M233" s="6074"/>
      <c r="N233" s="6074"/>
      <c r="O233" s="6074"/>
      <c r="P233" s="6074"/>
      <c r="Q233" s="6074"/>
      <c r="R233" s="6074"/>
      <c r="S233" s="6074"/>
      <c r="T233" s="6016"/>
    </row>
    <row r="234" spans="1:83" ht="12.75" customHeight="1" thickBot="1" x14ac:dyDescent="0.25">
      <c r="A234" s="227">
        <v>234</v>
      </c>
      <c r="B234" s="5988"/>
      <c r="C234" s="867">
        <f>D234+E234+F234+G234</f>
        <v>0</v>
      </c>
      <c r="D234" s="868">
        <f>SUM($H$256:H404)+SUM(H498:H542)+SUM(H566:H569)</f>
        <v>0</v>
      </c>
      <c r="E234" s="868">
        <f>E236+F236</f>
        <v>0</v>
      </c>
      <c r="F234" s="868">
        <f>SUM(H558:H564)+SUM(H476:H497)</f>
        <v>0</v>
      </c>
      <c r="G234" s="869">
        <f>Q267</f>
        <v>0</v>
      </c>
      <c r="I234" s="559"/>
      <c r="L234" s="1170"/>
      <c r="M234" s="2656"/>
      <c r="N234" s="2656" t="s">
        <v>1441</v>
      </c>
      <c r="O234" s="2656" t="s">
        <v>1490</v>
      </c>
      <c r="P234" s="2656" t="s">
        <v>2252</v>
      </c>
      <c r="Q234" s="2656" t="s">
        <v>2253</v>
      </c>
      <c r="R234" s="6064" t="s">
        <v>1549</v>
      </c>
      <c r="S234" s="6216"/>
      <c r="T234" s="2657" t="s">
        <v>8382</v>
      </c>
    </row>
    <row r="235" spans="1:83" ht="12.75" customHeight="1" thickBot="1" x14ac:dyDescent="0.25">
      <c r="A235" s="227">
        <v>235</v>
      </c>
      <c r="B235" s="5988"/>
      <c r="E235" s="862" t="s">
        <v>2268</v>
      </c>
      <c r="F235" s="863" t="s">
        <v>6583</v>
      </c>
      <c r="H235"/>
      <c r="L235" s="564" t="str">
        <f>N235</f>
        <v>&gt; LEGADOS DE SANGRE</v>
      </c>
      <c r="M235" s="871">
        <f t="shared" ref="M235:M261" si="34">COUNTIF($N$236:$N$262,"&lt;="&amp;N235)</f>
        <v>0</v>
      </c>
      <c r="N235" s="2413" t="s">
        <v>2499</v>
      </c>
      <c r="O235" s="1884"/>
      <c r="P235" s="1879"/>
      <c r="Q235" s="1895"/>
      <c r="R235" s="771"/>
      <c r="S235" s="1160"/>
      <c r="T235" s="2150"/>
    </row>
    <row r="236" spans="1:83" ht="12.75" customHeight="1" thickBot="1" x14ac:dyDescent="0.25">
      <c r="A236" s="227">
        <v>236</v>
      </c>
      <c r="B236" s="5988"/>
      <c r="E236" s="866">
        <f>SUM(H405:H449)+SUM(H543:H551)</f>
        <v>0</v>
      </c>
      <c r="F236" s="866">
        <f>SUM(H450:H474)+SUM(H553:H556)</f>
        <v>0</v>
      </c>
      <c r="H236"/>
      <c r="L236" s="564" t="str">
        <f t="shared" ref="L236:L261" si="35">VLOOKUP(A1,$M$235:$N$262,2,0)</f>
        <v>Armas Naturales (1)</v>
      </c>
      <c r="M236" s="871">
        <f t="shared" si="34"/>
        <v>12</v>
      </c>
      <c r="N236" s="2413" t="s">
        <v>2500</v>
      </c>
      <c r="O236" s="1884">
        <f>1+IF(Principal!$Y$24="No",1,0)</f>
        <v>1</v>
      </c>
      <c r="P236" s="1879">
        <f>COUNTIF(Principal!$C$35:$J$47,Tablas!N236)</f>
        <v>0</v>
      </c>
      <c r="Q236" s="1878">
        <f t="shared" ref="Q236:Q251" si="36">P236*O236</f>
        <v>0</v>
      </c>
      <c r="R236" s="2147" t="s">
        <v>8357</v>
      </c>
      <c r="S236" s="1160"/>
      <c r="T236" s="2151" t="str">
        <f>IF(P236=0,"",R236)</f>
        <v/>
      </c>
    </row>
    <row r="237" spans="1:83" ht="12.75" customHeight="1" thickBot="1" x14ac:dyDescent="0.25">
      <c r="A237" s="227">
        <v>237</v>
      </c>
      <c r="B237" s="5988"/>
      <c r="H237"/>
      <c r="L237" s="564" t="str">
        <f t="shared" si="35"/>
        <v>Armas Naturales (2)</v>
      </c>
      <c r="M237" s="871">
        <f t="shared" si="34"/>
        <v>11</v>
      </c>
      <c r="N237" s="2413" t="s">
        <v>2501</v>
      </c>
      <c r="O237" s="1884">
        <f>1+IF(Principal!$Y$24="No",1,0)</f>
        <v>1</v>
      </c>
      <c r="P237" s="1879">
        <f>COUNTIF(Principal!$C$35:$J$47,Tablas!N237)</f>
        <v>0</v>
      </c>
      <c r="Q237" s="1878">
        <f t="shared" si="36"/>
        <v>0</v>
      </c>
      <c r="R237" s="2147" t="s">
        <v>8358</v>
      </c>
      <c r="S237" s="1160"/>
      <c r="T237" s="2151" t="str">
        <f t="shared" ref="T237:T251" si="37">IF(P237=0,"",R237)</f>
        <v/>
      </c>
    </row>
    <row r="238" spans="1:83" ht="12.75" customHeight="1" x14ac:dyDescent="0.2">
      <c r="A238" s="227">
        <v>238</v>
      </c>
      <c r="B238" s="5988"/>
      <c r="C238" s="6013" t="s">
        <v>2251</v>
      </c>
      <c r="D238" s="6073"/>
      <c r="E238" s="6073"/>
      <c r="F238" s="6073"/>
      <c r="G238" s="6073"/>
      <c r="H238" s="6014"/>
      <c r="L238" s="564" t="str">
        <f t="shared" si="35"/>
        <v>Devorador de Existencia</v>
      </c>
      <c r="M238" s="871">
        <f t="shared" si="34"/>
        <v>13</v>
      </c>
      <c r="N238" s="2413" t="s">
        <v>2502</v>
      </c>
      <c r="O238" s="1884">
        <f>1+IF(Principal!$Y$24="No",1,0)</f>
        <v>1</v>
      </c>
      <c r="P238" s="1879">
        <f>COUNTIF(Principal!$C$35:$J$47,Tablas!N238)</f>
        <v>0</v>
      </c>
      <c r="Q238" s="1878">
        <f t="shared" si="36"/>
        <v>0</v>
      </c>
      <c r="R238" s="2147" t="s">
        <v>8359</v>
      </c>
      <c r="S238" s="1160"/>
      <c r="T238" s="2151" t="str">
        <f>IF(P238=0,"",R238)</f>
        <v/>
      </c>
    </row>
    <row r="239" spans="1:83" ht="12.75" customHeight="1" x14ac:dyDescent="0.2">
      <c r="A239" s="227">
        <v>239</v>
      </c>
      <c r="B239" s="5988"/>
      <c r="C239" s="6015"/>
      <c r="D239" s="6074"/>
      <c r="E239" s="6074"/>
      <c r="F239" s="6074"/>
      <c r="G239" s="6074"/>
      <c r="H239" s="6016"/>
      <c r="L239" s="564" t="str">
        <f t="shared" si="35"/>
        <v>Esencia Venenosa</v>
      </c>
      <c r="M239" s="871">
        <f t="shared" si="34"/>
        <v>16</v>
      </c>
      <c r="N239" s="2413" t="s">
        <v>2503</v>
      </c>
      <c r="O239" s="1884">
        <f>1+IF(Principal!$Y$24="No",1,0)</f>
        <v>1</v>
      </c>
      <c r="P239" s="1879">
        <f>COUNTIF(Principal!$C$35:$J$47,Tablas!N239)</f>
        <v>0</v>
      </c>
      <c r="Q239" s="1878">
        <f t="shared" si="36"/>
        <v>0</v>
      </c>
      <c r="R239" s="2147" t="s">
        <v>8360</v>
      </c>
      <c r="S239" s="1160"/>
      <c r="T239" s="2151" t="str">
        <f t="shared" si="37"/>
        <v/>
      </c>
    </row>
    <row r="240" spans="1:83" ht="12.75" customHeight="1" x14ac:dyDescent="0.2">
      <c r="A240" s="227">
        <v>240</v>
      </c>
      <c r="B240" s="5988"/>
      <c r="C240" s="2485"/>
      <c r="D240" s="2486"/>
      <c r="E240" s="2487" t="s">
        <v>1441</v>
      </c>
      <c r="F240" s="2487" t="s">
        <v>998</v>
      </c>
      <c r="G240" s="2487" t="s">
        <v>1143</v>
      </c>
      <c r="H240" s="618" t="s">
        <v>1903</v>
      </c>
      <c r="L240" s="564" t="str">
        <f t="shared" si="35"/>
        <v>La Sangre de Orochi</v>
      </c>
      <c r="M240" s="871">
        <f t="shared" si="34"/>
        <v>15</v>
      </c>
      <c r="N240" s="2413" t="s">
        <v>2504</v>
      </c>
      <c r="O240" s="1884">
        <f>1+IF(Principal!$Y$24="No",1,0)</f>
        <v>1</v>
      </c>
      <c r="P240" s="1879">
        <f>COUNTIF(Principal!$C$35:$J$47,Tablas!N240)</f>
        <v>0</v>
      </c>
      <c r="Q240" s="1878">
        <f t="shared" si="36"/>
        <v>0</v>
      </c>
      <c r="R240" s="2147" t="s">
        <v>8499</v>
      </c>
      <c r="S240" s="1160"/>
      <c r="T240" s="2151" t="str">
        <f t="shared" si="37"/>
        <v/>
      </c>
    </row>
    <row r="241" spans="1:20" ht="12.75" customHeight="1" x14ac:dyDescent="0.2">
      <c r="A241" s="227">
        <v>241</v>
      </c>
      <c r="B241" s="5988"/>
      <c r="C241" s="489"/>
      <c r="D241" s="2409"/>
      <c r="E241" s="2488" t="s">
        <v>7075</v>
      </c>
      <c r="F241" s="1895"/>
      <c r="G241" s="1895"/>
      <c r="H241" s="561"/>
      <c r="L241" s="564" t="str">
        <f t="shared" si="35"/>
        <v>La Sangre de Uroboros</v>
      </c>
      <c r="M241" s="871">
        <f t="shared" si="34"/>
        <v>18</v>
      </c>
      <c r="N241" s="2413" t="s">
        <v>2506</v>
      </c>
      <c r="O241" s="1884">
        <f>1+IF(Principal!$Y$24="No",1,0)</f>
        <v>1</v>
      </c>
      <c r="P241" s="1879">
        <f>COUNTIF(Principal!$C$35:$J$47,Tablas!N241)</f>
        <v>0</v>
      </c>
      <c r="Q241" s="1878">
        <f t="shared" si="36"/>
        <v>0</v>
      </c>
      <c r="R241" s="2147" t="s">
        <v>8361</v>
      </c>
      <c r="S241" s="1160"/>
      <c r="T241" s="2151" t="str">
        <f t="shared" si="37"/>
        <v/>
      </c>
    </row>
    <row r="242" spans="1:20" ht="12.75" customHeight="1" x14ac:dyDescent="0.2">
      <c r="A242" s="227">
        <v>242</v>
      </c>
      <c r="B242" s="5988"/>
      <c r="C242" s="489"/>
      <c r="D242" s="2411"/>
      <c r="E242" s="2489" t="s">
        <v>2615</v>
      </c>
      <c r="F242" s="1878">
        <f>Principal!H50</f>
        <v>0</v>
      </c>
      <c r="G242" s="1878">
        <f t="shared" ref="G242:G249" si="38">H258+2*H499</f>
        <v>0</v>
      </c>
      <c r="H242" s="561">
        <v>1</v>
      </c>
      <c r="L242" s="564" t="str">
        <f t="shared" si="35"/>
        <v>Legado de la Luna (Tsukiyomi)</v>
      </c>
      <c r="M242" s="871">
        <f t="shared" si="34"/>
        <v>14</v>
      </c>
      <c r="N242" s="2413" t="s">
        <v>7074</v>
      </c>
      <c r="O242" s="1884">
        <f>1+IF(Principal!$Y$24="No",1,0)</f>
        <v>1</v>
      </c>
      <c r="P242" s="1879">
        <f>COUNTIF(Principal!$C$35:$J$47,Tablas!N242)</f>
        <v>0</v>
      </c>
      <c r="Q242" s="1878">
        <f t="shared" si="36"/>
        <v>0</v>
      </c>
      <c r="R242" s="2147" t="s">
        <v>8362</v>
      </c>
      <c r="S242" s="1160"/>
      <c r="T242" s="2151" t="str">
        <f t="shared" si="37"/>
        <v/>
      </c>
    </row>
    <row r="243" spans="1:20" ht="12.75" customHeight="1" x14ac:dyDescent="0.2">
      <c r="A243" s="227">
        <v>243</v>
      </c>
      <c r="B243" s="5988"/>
      <c r="C243" s="489"/>
      <c r="D243" s="2411"/>
      <c r="E243" s="2489" t="s">
        <v>2617</v>
      </c>
      <c r="F243" s="1878">
        <f>Principal!H51</f>
        <v>0</v>
      </c>
      <c r="G243" s="1878">
        <f t="shared" si="38"/>
        <v>0</v>
      </c>
      <c r="H243" s="561">
        <v>1</v>
      </c>
      <c r="L243" s="564" t="str">
        <f t="shared" si="35"/>
        <v>Los Ojos de la Muerte</v>
      </c>
      <c r="M243" s="871">
        <f t="shared" si="34"/>
        <v>17</v>
      </c>
      <c r="N243" s="2413" t="s">
        <v>2507</v>
      </c>
      <c r="O243" s="1884">
        <f>1+IF(Principal!$Y$24="No",1,0)</f>
        <v>1</v>
      </c>
      <c r="P243" s="1879">
        <f>COUNTIF(Principal!$C$35:$J$47,Tablas!N243)</f>
        <v>0</v>
      </c>
      <c r="Q243" s="1878">
        <f t="shared" si="36"/>
        <v>0</v>
      </c>
      <c r="R243" s="2147" t="s">
        <v>8363</v>
      </c>
      <c r="S243" s="1160"/>
      <c r="T243" s="2151" t="str">
        <f t="shared" si="37"/>
        <v/>
      </c>
    </row>
    <row r="244" spans="1:20" ht="12.75" customHeight="1" x14ac:dyDescent="0.2">
      <c r="A244" s="227">
        <v>244</v>
      </c>
      <c r="B244" s="5988"/>
      <c r="C244" s="489"/>
      <c r="D244" s="2411"/>
      <c r="E244" s="2489" t="s">
        <v>2619</v>
      </c>
      <c r="F244" s="1878">
        <f>Principal!H52</f>
        <v>0</v>
      </c>
      <c r="G244" s="1878">
        <f t="shared" si="38"/>
        <v>0</v>
      </c>
      <c r="H244" s="561">
        <v>1</v>
      </c>
      <c r="L244" s="564" t="str">
        <f t="shared" si="35"/>
        <v>Ojos del Alma</v>
      </c>
      <c r="M244" s="871">
        <f t="shared" si="34"/>
        <v>8</v>
      </c>
      <c r="N244" s="2413" t="s">
        <v>2508</v>
      </c>
      <c r="O244" s="1884">
        <f>2+IF(Principal!$Y$24="No",1,0)</f>
        <v>2</v>
      </c>
      <c r="P244" s="1879">
        <f>COUNTIF(Principal!$C$35:$J$47,Tablas!N244)</f>
        <v>0</v>
      </c>
      <c r="Q244" s="1878">
        <f t="shared" si="36"/>
        <v>0</v>
      </c>
      <c r="R244" s="2147" t="s">
        <v>8364</v>
      </c>
      <c r="S244" s="1160"/>
      <c r="T244" s="2151" t="str">
        <f t="shared" si="37"/>
        <v/>
      </c>
    </row>
    <row r="245" spans="1:20" ht="12.75" customHeight="1" x14ac:dyDescent="0.2">
      <c r="A245" s="227">
        <v>245</v>
      </c>
      <c r="B245" s="5988"/>
      <c r="C245" s="489"/>
      <c r="D245" s="2411"/>
      <c r="E245" s="2489" t="s">
        <v>2621</v>
      </c>
      <c r="F245" s="1878">
        <f>Principal!H53</f>
        <v>0</v>
      </c>
      <c r="G245" s="1878">
        <f t="shared" si="38"/>
        <v>0</v>
      </c>
      <c r="H245" s="561">
        <v>1</v>
      </c>
      <c r="L245" s="564" t="str">
        <f t="shared" si="35"/>
        <v>Ojos del Destino</v>
      </c>
      <c r="M245" s="871">
        <f t="shared" si="34"/>
        <v>9</v>
      </c>
      <c r="N245" s="2413" t="s">
        <v>2509</v>
      </c>
      <c r="O245" s="1884">
        <f>1+IF(Principal!$Y$24="No",1,0)</f>
        <v>1</v>
      </c>
      <c r="P245" s="1879">
        <f>COUNTIF(Principal!$C$35:$J$47,Tablas!N245)</f>
        <v>0</v>
      </c>
      <c r="Q245" s="1878">
        <f t="shared" si="36"/>
        <v>0</v>
      </c>
      <c r="R245" s="2147" t="s">
        <v>8365</v>
      </c>
      <c r="S245" s="1160"/>
      <c r="T245" s="2151" t="str">
        <f t="shared" si="37"/>
        <v/>
      </c>
    </row>
    <row r="246" spans="1:20" ht="12.75" customHeight="1" x14ac:dyDescent="0.2">
      <c r="A246" s="227">
        <v>246</v>
      </c>
      <c r="B246" s="5988"/>
      <c r="C246" s="489"/>
      <c r="D246" s="2411"/>
      <c r="E246" s="2489" t="s">
        <v>2623</v>
      </c>
      <c r="F246" s="1878">
        <f>Principal!J50</f>
        <v>0</v>
      </c>
      <c r="G246" s="1878">
        <f t="shared" si="38"/>
        <v>0</v>
      </c>
      <c r="H246" s="561">
        <v>1</v>
      </c>
      <c r="L246" s="564" t="str">
        <f t="shared" si="35"/>
        <v>Sangre de Aeon: Boreas</v>
      </c>
      <c r="M246" s="871">
        <f t="shared" si="34"/>
        <v>7</v>
      </c>
      <c r="N246" s="2413" t="s">
        <v>2510</v>
      </c>
      <c r="O246" s="1884">
        <f>1+IF(Principal!$Y$24="No",1,0)</f>
        <v>1</v>
      </c>
      <c r="P246" s="1879">
        <f>COUNTIF(Principal!$C$35:$J$47,Tablas!N246)</f>
        <v>0</v>
      </c>
      <c r="Q246" s="1878">
        <f t="shared" si="36"/>
        <v>0</v>
      </c>
      <c r="R246" s="2147" t="s">
        <v>8366</v>
      </c>
      <c r="S246" s="1160"/>
      <c r="T246" s="2151" t="str">
        <f t="shared" si="37"/>
        <v/>
      </c>
    </row>
    <row r="247" spans="1:20" ht="12.75" customHeight="1" x14ac:dyDescent="0.2">
      <c r="A247" s="227">
        <v>247</v>
      </c>
      <c r="B247" s="5988"/>
      <c r="C247" s="489"/>
      <c r="D247" s="2411"/>
      <c r="E247" s="2489" t="s">
        <v>2625</v>
      </c>
      <c r="F247" s="1878">
        <f>Principal!J51</f>
        <v>0</v>
      </c>
      <c r="G247" s="1878">
        <f t="shared" si="38"/>
        <v>0</v>
      </c>
      <c r="H247" s="561">
        <v>1</v>
      </c>
      <c r="L247" s="564" t="str">
        <f t="shared" si="35"/>
        <v>Sangre de Aeon: Kagutsuchi</v>
      </c>
      <c r="M247" s="871">
        <f t="shared" si="34"/>
        <v>6</v>
      </c>
      <c r="N247" s="2413" t="s">
        <v>2511</v>
      </c>
      <c r="O247" s="1884">
        <f>1+IF(Principal!$Y$24="No",1,0)</f>
        <v>1</v>
      </c>
      <c r="P247" s="1879">
        <f>COUNTIF(Principal!$C$35:$J$47,Tablas!N247)</f>
        <v>0</v>
      </c>
      <c r="Q247" s="1878">
        <f t="shared" si="36"/>
        <v>0</v>
      </c>
      <c r="R247" s="2147" t="s">
        <v>8367</v>
      </c>
      <c r="S247" s="1160"/>
      <c r="T247" s="2151" t="str">
        <f t="shared" si="37"/>
        <v/>
      </c>
    </row>
    <row r="248" spans="1:20" ht="12.75" customHeight="1" x14ac:dyDescent="0.2">
      <c r="A248" s="227">
        <v>248</v>
      </c>
      <c r="B248" s="5988"/>
      <c r="C248" s="489"/>
      <c r="D248" s="2411"/>
      <c r="E248" s="2489" t="s">
        <v>2627</v>
      </c>
      <c r="F248" s="1878">
        <f>Principal!J52</f>
        <v>0</v>
      </c>
      <c r="G248" s="1878">
        <f t="shared" si="38"/>
        <v>0</v>
      </c>
      <c r="H248" s="561">
        <v>1</v>
      </c>
      <c r="L248" s="564" t="str">
        <f t="shared" si="35"/>
        <v>Sangre de Aeon: Niflheim</v>
      </c>
      <c r="M248" s="871">
        <f t="shared" si="34"/>
        <v>20</v>
      </c>
      <c r="N248" s="2413" t="s">
        <v>2512</v>
      </c>
      <c r="O248" s="1884">
        <f>1+IF(Principal!$Y$24="No",1,0)</f>
        <v>1</v>
      </c>
      <c r="P248" s="1879">
        <f>COUNTIF(Principal!$C$35:$J$47,Tablas!N248)</f>
        <v>0</v>
      </c>
      <c r="Q248" s="1878">
        <f t="shared" si="36"/>
        <v>0</v>
      </c>
      <c r="R248" s="2147" t="s">
        <v>8368</v>
      </c>
      <c r="S248" s="1160"/>
      <c r="T248" s="2151" t="str">
        <f t="shared" si="37"/>
        <v/>
      </c>
    </row>
    <row r="249" spans="1:20" ht="12.75" customHeight="1" thickBot="1" x14ac:dyDescent="0.25">
      <c r="A249" s="227">
        <v>249</v>
      </c>
      <c r="B249" s="5988"/>
      <c r="C249" s="491"/>
      <c r="D249" s="492"/>
      <c r="E249" s="2490" t="s">
        <v>2629</v>
      </c>
      <c r="F249" s="2154">
        <f>Principal!J53</f>
        <v>0</v>
      </c>
      <c r="G249" s="2154">
        <f t="shared" si="38"/>
        <v>0</v>
      </c>
      <c r="H249" s="563">
        <v>1</v>
      </c>
      <c r="L249" s="564" t="str">
        <f t="shared" si="35"/>
        <v>Sangre de Aeon: Phandemonium</v>
      </c>
      <c r="M249" s="871">
        <f t="shared" si="34"/>
        <v>21</v>
      </c>
      <c r="N249" s="2413" t="s">
        <v>2513</v>
      </c>
      <c r="O249" s="1884">
        <f>2+IF(Principal!$Y$24="No",1,0)</f>
        <v>2</v>
      </c>
      <c r="P249" s="1879">
        <f>COUNTIF(Principal!$C$35:$J$47,Tablas!N249)</f>
        <v>0</v>
      </c>
      <c r="Q249" s="1878">
        <f t="shared" si="36"/>
        <v>0</v>
      </c>
      <c r="R249" s="2147" t="s">
        <v>8369</v>
      </c>
      <c r="S249" s="1160"/>
      <c r="T249" s="2151" t="str">
        <f t="shared" si="37"/>
        <v/>
      </c>
    </row>
    <row r="250" spans="1:20" ht="12.75" customHeight="1" x14ac:dyDescent="0.2">
      <c r="A250" s="227">
        <v>250</v>
      </c>
      <c r="B250" s="5988"/>
      <c r="H250"/>
      <c r="I250" s="559"/>
      <c r="L250" s="564" t="str">
        <f t="shared" si="35"/>
        <v>Sangre de Aeon: Ran</v>
      </c>
      <c r="M250" s="871">
        <f t="shared" si="34"/>
        <v>22</v>
      </c>
      <c r="N250" s="2413" t="s">
        <v>2514</v>
      </c>
      <c r="O250" s="1884">
        <f>3+IF(Principal!$Y$24="No",1,0)</f>
        <v>3</v>
      </c>
      <c r="P250" s="1879">
        <f>COUNTIF(Principal!$C$35:$J$47,Tablas!N250)</f>
        <v>0</v>
      </c>
      <c r="Q250" s="1878">
        <f t="shared" si="36"/>
        <v>0</v>
      </c>
      <c r="R250" s="2147" t="s">
        <v>8370</v>
      </c>
      <c r="S250" s="1160"/>
      <c r="T250" s="2151" t="str">
        <f t="shared" si="37"/>
        <v/>
      </c>
    </row>
    <row r="251" spans="1:20" ht="12.75" customHeight="1" x14ac:dyDescent="0.2">
      <c r="A251" s="227">
        <v>251</v>
      </c>
      <c r="B251" s="5988"/>
      <c r="H251"/>
      <c r="I251" s="559"/>
      <c r="L251" s="564" t="str">
        <f t="shared" si="35"/>
        <v>Sangre de Aeon: Rudraksha</v>
      </c>
      <c r="M251" s="871">
        <f t="shared" si="34"/>
        <v>10</v>
      </c>
      <c r="N251" s="2413" t="s">
        <v>2515</v>
      </c>
      <c r="O251" s="1884">
        <f>2+IF(Principal!$Y$24="No",1,0)</f>
        <v>2</v>
      </c>
      <c r="P251" s="1879">
        <f>COUNTIF(Principal!$C$35:$J$47,Tablas!N251)</f>
        <v>0</v>
      </c>
      <c r="Q251" s="1878">
        <f t="shared" si="36"/>
        <v>0</v>
      </c>
      <c r="R251" s="2147" t="s">
        <v>8371</v>
      </c>
      <c r="S251" s="1160"/>
      <c r="T251" s="2151" t="str">
        <f t="shared" si="37"/>
        <v/>
      </c>
    </row>
    <row r="252" spans="1:20" ht="12.75" customHeight="1" thickBot="1" x14ac:dyDescent="0.25">
      <c r="A252" s="227">
        <v>252</v>
      </c>
      <c r="B252" s="5988"/>
      <c r="H252"/>
      <c r="I252" s="559"/>
      <c r="L252" s="564" t="str">
        <f t="shared" si="35"/>
        <v>Sangre de Aeon: Shephirah</v>
      </c>
      <c r="M252" s="871">
        <f t="shared" si="34"/>
        <v>25</v>
      </c>
      <c r="N252" s="2413" t="s">
        <v>2516</v>
      </c>
      <c r="O252" s="1884">
        <f>1+IF(Principal!$Y$24="No",1,0)</f>
        <v>1</v>
      </c>
      <c r="P252" s="1879">
        <f>COUNTIF(Principal!$C$35:$J$47,Tablas!N252)</f>
        <v>0</v>
      </c>
      <c r="Q252" s="1878">
        <f t="shared" ref="Q252:Q262" si="39">P252*O252</f>
        <v>0</v>
      </c>
      <c r="R252" s="2147" t="s">
        <v>8372</v>
      </c>
      <c r="S252" s="1160"/>
      <c r="T252" s="2151" t="str">
        <f t="shared" ref="T252:T257" si="40">IF(P252=0,"",R252)</f>
        <v/>
      </c>
    </row>
    <row r="253" spans="1:20" ht="12.75" customHeight="1" x14ac:dyDescent="0.2">
      <c r="A253" s="227">
        <v>253</v>
      </c>
      <c r="B253" s="5988"/>
      <c r="C253" s="6046" t="s">
        <v>2254</v>
      </c>
      <c r="D253" s="6047"/>
      <c r="E253" s="6047"/>
      <c r="F253" s="6047"/>
      <c r="G253" s="6047"/>
      <c r="H253" s="6047"/>
      <c r="I253" s="6047"/>
      <c r="J253" s="6048"/>
      <c r="L253" s="564" t="str">
        <f t="shared" si="35"/>
        <v>Sangre de Aeon: Toa</v>
      </c>
      <c r="M253" s="871">
        <f t="shared" si="34"/>
        <v>5</v>
      </c>
      <c r="N253" s="2413" t="s">
        <v>2517</v>
      </c>
      <c r="O253" s="1884">
        <f>1+IF(Principal!$Y$24="No",1,0)</f>
        <v>1</v>
      </c>
      <c r="P253" s="1879">
        <f>COUNTIF(Principal!$C$35:$J$47,Tablas!N253)</f>
        <v>0</v>
      </c>
      <c r="Q253" s="1878">
        <f t="shared" si="39"/>
        <v>0</v>
      </c>
      <c r="R253" s="2147" t="s">
        <v>8373</v>
      </c>
      <c r="S253" s="1160"/>
      <c r="T253" s="2151" t="str">
        <f t="shared" si="40"/>
        <v/>
      </c>
    </row>
    <row r="254" spans="1:20" ht="12.75" customHeight="1" x14ac:dyDescent="0.2">
      <c r="A254" s="227">
        <v>254</v>
      </c>
      <c r="B254" s="5988"/>
      <c r="C254" s="6049"/>
      <c r="D254" s="6050"/>
      <c r="E254" s="6050"/>
      <c r="F254" s="6050"/>
      <c r="G254" s="6050"/>
      <c r="H254" s="6050"/>
      <c r="I254" s="6050"/>
      <c r="J254" s="6051"/>
      <c r="L254" s="564" t="str">
        <f t="shared" si="35"/>
        <v>Sangre de El Dragón</v>
      </c>
      <c r="M254" s="871">
        <f t="shared" si="34"/>
        <v>3</v>
      </c>
      <c r="N254" s="2413" t="s">
        <v>2518</v>
      </c>
      <c r="O254" s="1884">
        <f>2+IF(Principal!$Y$24="No",1,0)</f>
        <v>2</v>
      </c>
      <c r="P254" s="1879">
        <f>COUNTIF(Principal!$C$35:$J$47,Tablas!N254)</f>
        <v>0</v>
      </c>
      <c r="Q254" s="1878">
        <f t="shared" si="39"/>
        <v>0</v>
      </c>
      <c r="R254" s="2147" t="s">
        <v>8374</v>
      </c>
      <c r="S254" s="1160"/>
      <c r="T254" s="2151" t="str">
        <f t="shared" si="40"/>
        <v/>
      </c>
    </row>
    <row r="255" spans="1:20" ht="12.75" customHeight="1" x14ac:dyDescent="0.2">
      <c r="A255" s="227">
        <v>255</v>
      </c>
      <c r="B255" s="5988"/>
      <c r="C255" s="6115" t="s">
        <v>6386</v>
      </c>
      <c r="D255" s="6116"/>
      <c r="E255" s="213" t="s">
        <v>1441</v>
      </c>
      <c r="F255" s="213" t="s">
        <v>1490</v>
      </c>
      <c r="G255" s="213" t="s">
        <v>2252</v>
      </c>
      <c r="H255" s="213" t="s">
        <v>2253</v>
      </c>
      <c r="I255" s="618" t="s">
        <v>1903</v>
      </c>
      <c r="J255" s="1876" t="s">
        <v>1399</v>
      </c>
      <c r="L255" s="564" t="str">
        <f t="shared" si="35"/>
        <v>Sangre de Grandes Bestias (1)</v>
      </c>
      <c r="M255" s="871">
        <f t="shared" si="34"/>
        <v>4</v>
      </c>
      <c r="N255" s="2413" t="s">
        <v>2519</v>
      </c>
      <c r="O255" s="1884">
        <f>1+IF(Principal!$Y$24="No",1,0)</f>
        <v>1</v>
      </c>
      <c r="P255" s="1879">
        <f>COUNTIF(Principal!$C$35:$J$47,Tablas!N255)</f>
        <v>0</v>
      </c>
      <c r="Q255" s="1878">
        <f t="shared" si="39"/>
        <v>0</v>
      </c>
      <c r="R255" s="2147" t="s">
        <v>8375</v>
      </c>
      <c r="S255" s="1160"/>
      <c r="T255" s="2151" t="str">
        <f t="shared" si="40"/>
        <v/>
      </c>
    </row>
    <row r="256" spans="1:20" ht="12.75" customHeight="1" x14ac:dyDescent="0.2">
      <c r="A256" s="227">
        <v>256</v>
      </c>
      <c r="B256" s="5988"/>
      <c r="C256" s="1877" t="str">
        <f>"Tablas!"&amp;ADDRESS(ROW(C257),COLUMN(C257))&amp;":"&amp;ADDRESS(ROW(C257)+MAX(D256:D404),COLUMN(C257))</f>
        <v>Tablas!$C$257:$C$397</v>
      </c>
      <c r="D256" s="871">
        <v>0</v>
      </c>
      <c r="E256" s="47" t="s">
        <v>10023</v>
      </c>
      <c r="F256" s="1878"/>
      <c r="G256" s="1878"/>
      <c r="H256" s="1879"/>
      <c r="I256" s="1880"/>
      <c r="J256" s="1881"/>
      <c r="L256" s="564" t="str">
        <f t="shared" si="35"/>
        <v>Sangre de Grandes Bestias (2)</v>
      </c>
      <c r="M256" s="871">
        <f t="shared" si="34"/>
        <v>1</v>
      </c>
      <c r="N256" s="2413" t="s">
        <v>10103</v>
      </c>
      <c r="O256" s="1884">
        <f>1+IF(Principal!$Y$24="No",1,0)</f>
        <v>1</v>
      </c>
      <c r="P256" s="1879">
        <f>COUNTIF(Principal!$C$35:$J$47,Tablas!N256)+P257</f>
        <v>0</v>
      </c>
      <c r="Q256" s="1878">
        <f t="shared" si="39"/>
        <v>0</v>
      </c>
      <c r="R256" s="2147" t="s">
        <v>8376</v>
      </c>
      <c r="S256" s="1160"/>
      <c r="T256" s="2151" t="str">
        <f t="shared" si="40"/>
        <v/>
      </c>
    </row>
    <row r="257" spans="1:41" ht="12.75" customHeight="1" x14ac:dyDescent="0.2">
      <c r="A257" s="227">
        <v>257</v>
      </c>
      <c r="B257" s="5988"/>
      <c r="C257" s="1882" t="str">
        <f>E256</f>
        <v xml:space="preserve"> &gt; VENTAJAS COMUNES</v>
      </c>
      <c r="D257" s="871">
        <f t="shared" ref="D257:D320" si="41">COUNTIF($E$256:$E$399,"&lt;="&amp;E257)-COUNTIF($E$256:$E$399,"*&gt;*")</f>
        <v>100</v>
      </c>
      <c r="E257" s="47" t="s">
        <v>2255</v>
      </c>
      <c r="F257" s="1878">
        <v>1</v>
      </c>
      <c r="G257" s="1878">
        <f>COUNTIF(Principal!$C$35:$J$47,Tablas!E257)+COUNTIF(Principal!$C$48:$F$49,Tablas!E257)</f>
        <v>0</v>
      </c>
      <c r="H257" s="1879">
        <f>G257*F257</f>
        <v>0</v>
      </c>
      <c r="I257" s="876"/>
      <c r="J257" s="1883" t="s">
        <v>2811</v>
      </c>
      <c r="L257" s="564" t="str">
        <f t="shared" si="35"/>
        <v>Sangre de Grandes Bestias (3)</v>
      </c>
      <c r="M257" s="871">
        <f t="shared" si="34"/>
        <v>2</v>
      </c>
      <c r="N257" s="2413" t="s">
        <v>10104</v>
      </c>
      <c r="O257" s="1884">
        <f>1</f>
        <v>1</v>
      </c>
      <c r="P257" s="1879">
        <f>COUNTIF(Principal!$C$35:$J$47,Tablas!N257)</f>
        <v>0</v>
      </c>
      <c r="Q257" s="1878">
        <f t="shared" si="39"/>
        <v>0</v>
      </c>
      <c r="R257" s="2147"/>
      <c r="S257" s="1160"/>
      <c r="T257" s="2151" t="str">
        <f t="shared" si="40"/>
        <v/>
      </c>
    </row>
    <row r="258" spans="1:41" ht="12.75" customHeight="1" x14ac:dyDescent="0.2">
      <c r="A258" s="227">
        <v>258</v>
      </c>
      <c r="B258" s="5988"/>
      <c r="C258" s="1882" t="str">
        <f>VLOOKUP(A1,$D$257:$E$404,2,0)</f>
        <v>+1 a característica: AGI</v>
      </c>
      <c r="D258" s="871">
        <f t="shared" si="41"/>
        <v>1</v>
      </c>
      <c r="E258" s="877" t="s">
        <v>10015</v>
      </c>
      <c r="F258" s="1878">
        <v>1</v>
      </c>
      <c r="G258" s="1878">
        <f>COUNTIF(Principal!$C$35:$J$47,Tablas!E258)+COUNTIF(Principal!$C$48:$F$49,Tablas!E258)</f>
        <v>0</v>
      </c>
      <c r="H258" s="1879">
        <f t="shared" ref="H258:H265" si="42">G258*F258</f>
        <v>0</v>
      </c>
      <c r="I258" s="876"/>
      <c r="J258" s="1883" t="s">
        <v>2811</v>
      </c>
      <c r="L258" s="564" t="str">
        <f t="shared" si="35"/>
        <v>Sangre de Kami: Genus Loci</v>
      </c>
      <c r="M258" s="871">
        <f t="shared" si="34"/>
        <v>24</v>
      </c>
      <c r="N258" s="2413" t="s">
        <v>2520</v>
      </c>
      <c r="O258" s="1884">
        <f>1+IF(Principal!$Y$24="No",1,0)</f>
        <v>1</v>
      </c>
      <c r="P258" s="1879">
        <f>COUNTIF(Principal!$C$35:$J$47,Tablas!N258)</f>
        <v>0</v>
      </c>
      <c r="Q258" s="1878">
        <f t="shared" si="39"/>
        <v>0</v>
      </c>
      <c r="R258" s="2147" t="s">
        <v>8377</v>
      </c>
      <c r="S258" s="1160"/>
      <c r="T258" s="2151" t="str">
        <f t="shared" ref="T258:T266" si="43">IF(P258=0,"",R258)</f>
        <v/>
      </c>
      <c r="Y258" s="2480"/>
      <c r="Z258" s="2480"/>
      <c r="AA258" s="2480"/>
      <c r="AB258" s="2480"/>
      <c r="AE258" s="2480"/>
      <c r="AF258" s="2480"/>
      <c r="AG258" s="2480"/>
      <c r="AH258" s="2480"/>
      <c r="AI258" s="2480"/>
      <c r="AJ258" s="2480"/>
      <c r="AK258" s="2480"/>
      <c r="AL258" s="2480"/>
      <c r="AM258" s="2480"/>
      <c r="AN258" s="2480"/>
      <c r="AO258" s="2480"/>
    </row>
    <row r="259" spans="1:41" ht="12.75" customHeight="1" x14ac:dyDescent="0.2">
      <c r="A259" s="227">
        <v>259</v>
      </c>
      <c r="B259" s="5988"/>
      <c r="C259" s="1882" t="str">
        <f t="shared" ref="C259:C322" si="44">VLOOKUP(A2,$D$257:$E$404,2,0)</f>
        <v>+1 a característica: CON</v>
      </c>
      <c r="D259" s="871">
        <f t="shared" si="41"/>
        <v>2</v>
      </c>
      <c r="E259" s="877" t="s">
        <v>10016</v>
      </c>
      <c r="F259" s="1878">
        <v>1</v>
      </c>
      <c r="G259" s="1878">
        <f>COUNTIF(Principal!$C$35:$J$47,Tablas!E259)+COUNTIF(Principal!$C$48:$F$49,Tablas!E259)</f>
        <v>0</v>
      </c>
      <c r="H259" s="1879">
        <f t="shared" si="42"/>
        <v>0</v>
      </c>
      <c r="I259" s="876"/>
      <c r="J259" s="1883" t="s">
        <v>2811</v>
      </c>
      <c r="L259" s="564" t="str">
        <f t="shared" si="35"/>
        <v>Sangre de los Muertos</v>
      </c>
      <c r="M259" s="871">
        <f t="shared" si="34"/>
        <v>23</v>
      </c>
      <c r="N259" s="2413" t="s">
        <v>2521</v>
      </c>
      <c r="O259" s="1884">
        <f>1+IF(Principal!$Y$24="No",1,0)</f>
        <v>1</v>
      </c>
      <c r="P259" s="1879">
        <f>COUNTIF(Principal!$C$35:$J$47,Tablas!N259)</f>
        <v>0</v>
      </c>
      <c r="Q259" s="1878">
        <f t="shared" si="39"/>
        <v>0</v>
      </c>
      <c r="R259" s="2147" t="s">
        <v>8378</v>
      </c>
      <c r="S259" s="1160"/>
      <c r="T259" s="2151" t="str">
        <f t="shared" si="43"/>
        <v/>
      </c>
      <c r="Y259" s="2480"/>
      <c r="Z259" s="2480"/>
      <c r="AA259" s="2480"/>
      <c r="AB259" s="2480"/>
      <c r="AE259" s="2480"/>
      <c r="AF259" s="2480"/>
      <c r="AG259" s="2480"/>
      <c r="AH259" s="2480"/>
      <c r="AI259" s="2480"/>
      <c r="AJ259" s="2480"/>
      <c r="AK259" s="2480"/>
      <c r="AL259" s="2480"/>
      <c r="AM259" s="2480"/>
      <c r="AN259" s="2480"/>
      <c r="AO259" s="2480"/>
    </row>
    <row r="260" spans="1:41" ht="12.75" customHeight="1" x14ac:dyDescent="0.2">
      <c r="A260" s="227">
        <v>260</v>
      </c>
      <c r="B260" s="5988"/>
      <c r="C260" s="1882" t="str">
        <f t="shared" si="44"/>
        <v>+1 a característica: DES</v>
      </c>
      <c r="D260" s="871">
        <f t="shared" si="41"/>
        <v>3</v>
      </c>
      <c r="E260" s="877" t="s">
        <v>10017</v>
      </c>
      <c r="F260" s="1878">
        <v>1</v>
      </c>
      <c r="G260" s="1878">
        <f>COUNTIF(Principal!$C$35:$J$47,Tablas!E260)+COUNTIF(Principal!$C$48:$F$49,Tablas!E260)</f>
        <v>0</v>
      </c>
      <c r="H260" s="1879">
        <f t="shared" si="42"/>
        <v>0</v>
      </c>
      <c r="I260" s="876"/>
      <c r="J260" s="1883" t="s">
        <v>2811</v>
      </c>
      <c r="L260" s="564" t="str">
        <f t="shared" si="35"/>
        <v>Sangre Eterna</v>
      </c>
      <c r="M260" s="871">
        <f t="shared" si="34"/>
        <v>26</v>
      </c>
      <c r="N260" s="2413" t="s">
        <v>2522</v>
      </c>
      <c r="O260" s="1884">
        <f>1+IF(Principal!$Y$24="No",1,0)</f>
        <v>1</v>
      </c>
      <c r="P260" s="1879">
        <f>COUNTIF(Principal!$C$35:$J$47,Tablas!N260)</f>
        <v>0</v>
      </c>
      <c r="Q260" s="1878">
        <f t="shared" si="39"/>
        <v>0</v>
      </c>
      <c r="R260" s="2147" t="s">
        <v>8379</v>
      </c>
      <c r="S260" s="1160"/>
      <c r="T260" s="2151" t="str">
        <f t="shared" si="43"/>
        <v/>
      </c>
      <c r="Y260" s="2480"/>
      <c r="Z260" s="2480"/>
      <c r="AA260" s="2480"/>
      <c r="AB260" s="2480"/>
      <c r="AE260" s="2480"/>
      <c r="AF260" s="2480"/>
      <c r="AG260" s="2480"/>
      <c r="AH260" s="2480"/>
      <c r="AI260" s="2480"/>
      <c r="AJ260" s="2480"/>
      <c r="AK260" s="2480"/>
      <c r="AL260" s="2480"/>
      <c r="AM260" s="2480"/>
      <c r="AN260" s="2480"/>
      <c r="AO260" s="2480"/>
    </row>
    <row r="261" spans="1:41" ht="12.75" customHeight="1" x14ac:dyDescent="0.2">
      <c r="A261" s="227">
        <v>261</v>
      </c>
      <c r="B261" s="5988"/>
      <c r="C261" s="1882" t="str">
        <f t="shared" si="44"/>
        <v>+1 a característica: FUE</v>
      </c>
      <c r="D261" s="871">
        <f t="shared" si="41"/>
        <v>4</v>
      </c>
      <c r="E261" s="877" t="s">
        <v>10018</v>
      </c>
      <c r="F261" s="1878">
        <v>1</v>
      </c>
      <c r="G261" s="1878">
        <f>COUNTIF(Principal!$C$35:$J$47,Tablas!E261)+COUNTIF(Principal!$C$48:$F$49,Tablas!E261)</f>
        <v>0</v>
      </c>
      <c r="H261" s="1879">
        <f t="shared" si="42"/>
        <v>0</v>
      </c>
      <c r="I261" s="876"/>
      <c r="J261" s="1883" t="s">
        <v>2811</v>
      </c>
      <c r="L261" s="564" t="str">
        <f t="shared" si="35"/>
        <v>Sangre Kami: Sr. de la Guerra</v>
      </c>
      <c r="M261" s="871">
        <f t="shared" si="34"/>
        <v>19</v>
      </c>
      <c r="N261" s="2413" t="s">
        <v>2523</v>
      </c>
      <c r="O261" s="1884">
        <f>1+IF(Principal!$Y$24="No",1,0)</f>
        <v>1</v>
      </c>
      <c r="P261" s="1879">
        <f>COUNTIF(Principal!$C$35:$J$47,Tablas!N261)</f>
        <v>0</v>
      </c>
      <c r="Q261" s="1878">
        <f t="shared" si="39"/>
        <v>0</v>
      </c>
      <c r="R261" s="2147" t="s">
        <v>8380</v>
      </c>
      <c r="S261" s="1160"/>
      <c r="T261" s="2151" t="str">
        <f t="shared" si="43"/>
        <v/>
      </c>
      <c r="AH261" s="2480"/>
      <c r="AI261" s="2480"/>
      <c r="AJ261" s="2480"/>
      <c r="AK261" s="2480"/>
      <c r="AL261" s="2480"/>
      <c r="AM261" s="2480"/>
      <c r="AN261" s="2480"/>
      <c r="AO261" s="2480"/>
    </row>
    <row r="262" spans="1:41" ht="12.75" customHeight="1" x14ac:dyDescent="0.2">
      <c r="A262" s="227">
        <v>262</v>
      </c>
      <c r="B262" s="5988"/>
      <c r="C262" s="1882" t="str">
        <f t="shared" si="44"/>
        <v>+1 a característica: INT</v>
      </c>
      <c r="D262" s="871">
        <f t="shared" si="41"/>
        <v>5</v>
      </c>
      <c r="E262" s="877" t="s">
        <v>10019</v>
      </c>
      <c r="F262" s="1878">
        <v>1</v>
      </c>
      <c r="G262" s="1878">
        <f>COUNTIF(Principal!$C$35:$J$47,Tablas!E262)+COUNTIF(Principal!$C$48:$F$49,Tablas!E262)</f>
        <v>0</v>
      </c>
      <c r="H262" s="1879">
        <f t="shared" si="42"/>
        <v>0</v>
      </c>
      <c r="I262" s="876"/>
      <c r="J262" s="1883" t="s">
        <v>2811</v>
      </c>
      <c r="L262" s="564" t="str">
        <f>VLOOKUP(A27,$M$235:$N$262,2,0)</f>
        <v>Sangre Latente</v>
      </c>
      <c r="M262" s="871">
        <f>COUNTIF($N$236:$N$262,"&lt;="&amp;N262)</f>
        <v>27</v>
      </c>
      <c r="N262" s="2413" t="s">
        <v>2524</v>
      </c>
      <c r="O262" s="1884">
        <f>1+IF(Principal!$Y$24="No",1,0)</f>
        <v>1</v>
      </c>
      <c r="P262" s="1879">
        <f>COUNTIF(Principal!$C$35:$J$47,Tablas!N262)</f>
        <v>0</v>
      </c>
      <c r="Q262" s="1878">
        <f t="shared" si="39"/>
        <v>0</v>
      </c>
      <c r="R262" s="2147" t="s">
        <v>8381</v>
      </c>
      <c r="S262" s="1160"/>
      <c r="T262" s="2151" t="str">
        <f t="shared" si="43"/>
        <v/>
      </c>
      <c r="AH262" s="2480"/>
      <c r="AI262" s="2480"/>
      <c r="AJ262" s="2480"/>
      <c r="AK262" s="2480"/>
      <c r="AL262" s="2480"/>
      <c r="AM262" s="2480"/>
      <c r="AN262" s="2480"/>
      <c r="AO262" s="2480"/>
    </row>
    <row r="263" spans="1:41" ht="12.75" customHeight="1" x14ac:dyDescent="0.2">
      <c r="A263" s="227">
        <v>263</v>
      </c>
      <c r="B263" s="5988"/>
      <c r="C263" s="1882" t="str">
        <f t="shared" si="44"/>
        <v>+1 a característica: PER</v>
      </c>
      <c r="D263" s="871">
        <f t="shared" si="41"/>
        <v>6</v>
      </c>
      <c r="E263" s="877" t="s">
        <v>10020</v>
      </c>
      <c r="F263" s="1878">
        <v>1</v>
      </c>
      <c r="G263" s="1878">
        <f>COUNTIF(Principal!$C$35:$J$47,Tablas!E263)+COUNTIF(Principal!$C$48:$F$49,Tablas!E263)</f>
        <v>0</v>
      </c>
      <c r="H263" s="1879">
        <f t="shared" si="42"/>
        <v>0</v>
      </c>
      <c r="I263" s="876"/>
      <c r="J263" s="1883" t="s">
        <v>2811</v>
      </c>
      <c r="L263" s="564" t="str">
        <f>N263</f>
        <v>&gt; LEGADOS PERSONALIZADOS</v>
      </c>
      <c r="M263" s="871">
        <f>COUNTIF($N$236:$N$257,"&lt;="&amp;N263)</f>
        <v>0</v>
      </c>
      <c r="N263" s="2413" t="s">
        <v>9587</v>
      </c>
      <c r="O263" s="1884"/>
      <c r="P263" s="1879"/>
      <c r="Q263" s="1878"/>
      <c r="R263" s="2147"/>
      <c r="S263" s="1160"/>
      <c r="T263" s="2151" t="str">
        <f t="shared" si="43"/>
        <v/>
      </c>
      <c r="AH263" s="2480"/>
      <c r="AI263" s="2480"/>
      <c r="AJ263" s="2480"/>
      <c r="AK263" s="2480"/>
      <c r="AL263" s="2480"/>
      <c r="AM263" s="2480"/>
      <c r="AN263" s="2480"/>
      <c r="AO263" s="2480"/>
    </row>
    <row r="264" spans="1:41" ht="12.75" customHeight="1" x14ac:dyDescent="0.2">
      <c r="A264" s="227">
        <v>264</v>
      </c>
      <c r="B264" s="5988"/>
      <c r="C264" s="1882" t="str">
        <f t="shared" si="44"/>
        <v>+1 a característica: POD</v>
      </c>
      <c r="D264" s="871">
        <f t="shared" si="41"/>
        <v>7</v>
      </c>
      <c r="E264" s="877" t="s">
        <v>10021</v>
      </c>
      <c r="F264" s="1878">
        <v>1</v>
      </c>
      <c r="G264" s="1878">
        <f>COUNTIF(Principal!$C$35:$J$47,Tablas!E264)+COUNTIF(Principal!$C$48:$F$49,Tablas!E264)</f>
        <v>0</v>
      </c>
      <c r="H264" s="1879">
        <f t="shared" si="42"/>
        <v>0</v>
      </c>
      <c r="I264" s="876"/>
      <c r="J264" s="1883" t="s">
        <v>2811</v>
      </c>
      <c r="L264" s="564" t="str">
        <f>N264</f>
        <v>Legado Personalizado #1</v>
      </c>
      <c r="M264" s="871">
        <v>1</v>
      </c>
      <c r="N264" s="2413" t="str">
        <f>IF(Personalización!V80="","Legado Personalizado #1",Personalización!V80)</f>
        <v>Legado Personalizado #1</v>
      </c>
      <c r="O264" s="1884">
        <f>Personalización!AB80+IF(Principal!$Y$24="No",1,0)</f>
        <v>0</v>
      </c>
      <c r="P264" s="1879">
        <f>COUNTIF(Principal!$C$35:$J$47,Tablas!N264)</f>
        <v>0</v>
      </c>
      <c r="Q264" s="1878">
        <f>P264*O264</f>
        <v>0</v>
      </c>
      <c r="R264" s="2147" t="str">
        <f>", "&amp;N264</f>
        <v>, Legado Personalizado #1</v>
      </c>
      <c r="S264" s="1160"/>
      <c r="T264" s="2151" t="str">
        <f t="shared" si="43"/>
        <v/>
      </c>
      <c r="AH264" s="2480"/>
      <c r="AI264" s="2480"/>
      <c r="AJ264" s="2480"/>
      <c r="AK264" s="2480"/>
      <c r="AL264" s="2480"/>
      <c r="AM264" s="2480"/>
      <c r="AN264" s="2480"/>
      <c r="AO264" s="2480"/>
    </row>
    <row r="265" spans="1:41" ht="12.75" customHeight="1" x14ac:dyDescent="0.2">
      <c r="A265" s="227">
        <v>265</v>
      </c>
      <c r="B265" s="5988"/>
      <c r="C265" s="1882" t="str">
        <f t="shared" si="44"/>
        <v>+1 a característica: VOL</v>
      </c>
      <c r="D265" s="871">
        <f t="shared" si="41"/>
        <v>8</v>
      </c>
      <c r="E265" s="877" t="s">
        <v>10022</v>
      </c>
      <c r="F265" s="1878">
        <v>1</v>
      </c>
      <c r="G265" s="1878">
        <f>COUNTIF(Principal!$C$35:$J$47,Tablas!E265)+COUNTIF(Principal!$C$48:$F$49,Tablas!E265)</f>
        <v>0</v>
      </c>
      <c r="H265" s="1879">
        <f t="shared" si="42"/>
        <v>0</v>
      </c>
      <c r="I265" s="876"/>
      <c r="J265" s="1883" t="s">
        <v>2811</v>
      </c>
      <c r="L265" s="564" t="str">
        <f>N265</f>
        <v>Legado Personalizado #2</v>
      </c>
      <c r="M265" s="871">
        <v>2</v>
      </c>
      <c r="N265" s="2413" t="str">
        <f>IF(Personalización!V81="","Legado Personalizado #2",Personalización!V81)</f>
        <v>Legado Personalizado #2</v>
      </c>
      <c r="O265" s="1884">
        <f>Personalización!AB81+IF(Principal!$Y$24="No",1,0)</f>
        <v>0</v>
      </c>
      <c r="P265" s="1879">
        <f>COUNTIF(Principal!$C$35:$J$47,Tablas!N265)</f>
        <v>0</v>
      </c>
      <c r="Q265" s="1878">
        <f>P265*O265</f>
        <v>0</v>
      </c>
      <c r="R265" s="2147" t="str">
        <f>", "&amp;N265</f>
        <v>, Legado Personalizado #2</v>
      </c>
      <c r="S265" s="1160"/>
      <c r="T265" s="2151" t="str">
        <f t="shared" si="43"/>
        <v/>
      </c>
      <c r="AH265" s="2480"/>
      <c r="AI265" s="2480"/>
      <c r="AJ265" s="2480"/>
      <c r="AK265" s="2480"/>
      <c r="AL265" s="2480"/>
      <c r="AM265" s="2480"/>
      <c r="AN265" s="2480"/>
      <c r="AO265" s="2480"/>
    </row>
    <row r="266" spans="1:41" ht="12.75" customHeight="1" thickBot="1" x14ac:dyDescent="0.25">
      <c r="A266" s="227">
        <v>266</v>
      </c>
      <c r="B266" s="5988"/>
      <c r="C266" s="1882" t="str">
        <f t="shared" si="44"/>
        <v>Ac. de Ki incrementada (1)</v>
      </c>
      <c r="D266" s="871">
        <f t="shared" si="41"/>
        <v>117</v>
      </c>
      <c r="E266" s="47" t="s">
        <v>2256</v>
      </c>
      <c r="F266" s="1878">
        <v>2</v>
      </c>
      <c r="G266" s="1878">
        <f>COUNTIF(Principal!$C$35:$J$47,Tablas!E266)+COUNTIF(Principal!$C$48:$F$49,Tablas!E266)</f>
        <v>0</v>
      </c>
      <c r="H266" s="1879">
        <f t="shared" ref="H266:H285" si="45">G266*F266</f>
        <v>0</v>
      </c>
      <c r="I266" s="876"/>
      <c r="J266" s="1883" t="s">
        <v>2811</v>
      </c>
      <c r="L266" s="1172" t="str">
        <f>N266</f>
        <v>Legado Personalizado #3</v>
      </c>
      <c r="M266" s="1173">
        <v>3</v>
      </c>
      <c r="N266" s="611" t="str">
        <f>IF(Personalización!V82="","Legado Personalizado #3",Personalización!V82)</f>
        <v>Legado Personalizado #3</v>
      </c>
      <c r="O266" s="2152">
        <f>Personalización!AB82+IF(Principal!$Y$24="No",1,0)</f>
        <v>0</v>
      </c>
      <c r="P266" s="2153">
        <f>COUNTIF(Principal!$C$35:$J$47,Tablas!N266)</f>
        <v>0</v>
      </c>
      <c r="Q266" s="2154">
        <f>P266*O266</f>
        <v>0</v>
      </c>
      <c r="R266" s="2155" t="str">
        <f>", "&amp;N266</f>
        <v>, Legado Personalizado #3</v>
      </c>
      <c r="S266" s="2156"/>
      <c r="T266" s="2157" t="str">
        <f t="shared" si="43"/>
        <v/>
      </c>
    </row>
    <row r="267" spans="1:41" ht="12.75" customHeight="1" thickBot="1" x14ac:dyDescent="0.25">
      <c r="A267" s="227">
        <v>267</v>
      </c>
      <c r="B267" s="5988"/>
      <c r="C267" s="1882" t="str">
        <f t="shared" si="44"/>
        <v>Ac. de Ki incrementada (2)</v>
      </c>
      <c r="D267" s="871">
        <f t="shared" si="41"/>
        <v>101</v>
      </c>
      <c r="E267" s="47" t="s">
        <v>2257</v>
      </c>
      <c r="F267" s="1878">
        <v>1</v>
      </c>
      <c r="G267" s="1878">
        <f>COUNTIF(Principal!$C$35:$J$47,Tablas!E267)+COUNTIF(Principal!$C$48:$F$49,Tablas!E267)</f>
        <v>0</v>
      </c>
      <c r="H267" s="1879">
        <f t="shared" si="45"/>
        <v>0</v>
      </c>
      <c r="I267" s="876">
        <v>1</v>
      </c>
      <c r="J267" s="1883" t="s">
        <v>2811</v>
      </c>
      <c r="N267"/>
      <c r="Q267" s="6236">
        <f>SUM(Q236:Q266)</f>
        <v>0</v>
      </c>
      <c r="R267" s="2148" t="str">
        <f>MID(T236&amp;T237&amp;T238&amp;T239&amp;T240&amp;T241&amp;T242&amp;T243&amp;T244&amp;T245&amp;T246&amp;T247&amp;T248&amp;T249&amp;T250&amp;T251&amp;T252&amp;T253&amp;T254&amp;T255&amp;T256&amp;T258&amp;T259&amp;T260&amp;T261&amp;T262&amp;T264&amp;T265&amp;T266,3,20000)</f>
        <v/>
      </c>
      <c r="S267" s="2149"/>
      <c r="T267" s="2149"/>
    </row>
    <row r="268" spans="1:41" ht="12.75" customHeight="1" thickBot="1" x14ac:dyDescent="0.25">
      <c r="A268" s="227">
        <v>268</v>
      </c>
      <c r="B268" s="5988"/>
      <c r="C268" s="1882" t="str">
        <f t="shared" si="44"/>
        <v>Acc. psíquico natural (1)</v>
      </c>
      <c r="D268" s="871">
        <f t="shared" si="41"/>
        <v>102</v>
      </c>
      <c r="E268" s="47" t="s">
        <v>2258</v>
      </c>
      <c r="F268" s="1878">
        <v>2</v>
      </c>
      <c r="G268" s="1878">
        <f>COUNTIF(Principal!$C$35:$J$47,Tablas!E268)+COUNTIF(Principal!$C$48:$F$49,Tablas!E268)</f>
        <v>0</v>
      </c>
      <c r="H268" s="1879">
        <f t="shared" si="45"/>
        <v>0</v>
      </c>
      <c r="I268" s="876">
        <v>1</v>
      </c>
      <c r="J268" s="1883" t="s">
        <v>2811</v>
      </c>
      <c r="N268"/>
      <c r="Q268" s="6237"/>
    </row>
    <row r="269" spans="1:41" ht="12.75" customHeight="1" x14ac:dyDescent="0.2">
      <c r="A269" s="227">
        <v>269</v>
      </c>
      <c r="B269" s="5988"/>
      <c r="C269" s="1882" t="str">
        <f t="shared" si="44"/>
        <v>Acc. psíquico natural (2)</v>
      </c>
      <c r="D269" s="871">
        <f t="shared" si="41"/>
        <v>103</v>
      </c>
      <c r="E269" s="47" t="s">
        <v>2259</v>
      </c>
      <c r="F269" s="1878">
        <v>1</v>
      </c>
      <c r="G269" s="1878">
        <f>COUNTIF(Principal!$C$35:$J$47,Tablas!E269)+COUNTIF(Principal!$C$48:$F$49,Tablas!E269)</f>
        <v>0</v>
      </c>
      <c r="H269" s="1879">
        <f t="shared" si="45"/>
        <v>0</v>
      </c>
      <c r="I269" s="876">
        <v>1</v>
      </c>
      <c r="J269" s="1883" t="s">
        <v>2811</v>
      </c>
    </row>
    <row r="270" spans="1:41" ht="12.75" customHeight="1" x14ac:dyDescent="0.2">
      <c r="A270" s="227">
        <v>270</v>
      </c>
      <c r="B270" s="5988"/>
      <c r="C270" s="1882" t="str">
        <f t="shared" si="44"/>
        <v>Acc. psíquico natural (3)</v>
      </c>
      <c r="D270" s="871">
        <f t="shared" si="41"/>
        <v>104</v>
      </c>
      <c r="E270" s="47" t="s">
        <v>2260</v>
      </c>
      <c r="F270" s="1878">
        <v>2</v>
      </c>
      <c r="G270" s="1878">
        <f>COUNTIF(Principal!$C$35:$J$47,Tablas!E270)+COUNTIF(Principal!$C$48:$F$49,Tablas!E270)</f>
        <v>0</v>
      </c>
      <c r="H270" s="1879">
        <f t="shared" si="45"/>
        <v>0</v>
      </c>
      <c r="I270" s="876">
        <v>1</v>
      </c>
      <c r="J270" s="1883" t="s">
        <v>2811</v>
      </c>
      <c r="U270" s="222"/>
      <c r="V270" s="223"/>
      <c r="X270" s="559"/>
    </row>
    <row r="271" spans="1:41" ht="12.75" customHeight="1" x14ac:dyDescent="0.2">
      <c r="A271" s="227">
        <v>271</v>
      </c>
      <c r="B271" s="5988"/>
      <c r="C271" s="1882" t="str">
        <f t="shared" si="44"/>
        <v>Acceso a 1 disciplina psiquica</v>
      </c>
      <c r="D271" s="871">
        <f t="shared" si="41"/>
        <v>105</v>
      </c>
      <c r="E271" s="870" t="s">
        <v>2261</v>
      </c>
      <c r="F271" s="1878">
        <v>1</v>
      </c>
      <c r="G271" s="1878">
        <f>COUNTIF(Principal!$C$35:$J$47,Tablas!E271)+COUNTIF(Principal!$C$48:$F$49,Tablas!E271)</f>
        <v>0</v>
      </c>
      <c r="H271" s="1879">
        <f t="shared" si="45"/>
        <v>0</v>
      </c>
      <c r="I271" s="876">
        <v>1</v>
      </c>
      <c r="J271" s="1883" t="s">
        <v>2811</v>
      </c>
      <c r="X271" s="559"/>
    </row>
    <row r="272" spans="1:41" ht="12.75" customHeight="1" x14ac:dyDescent="0.2">
      <c r="A272" s="227">
        <v>272</v>
      </c>
      <c r="B272" s="5988"/>
      <c r="C272" s="1882" t="str">
        <f t="shared" si="44"/>
        <v>Acceso libre a dis. psiquicas</v>
      </c>
      <c r="D272" s="871">
        <f t="shared" si="41"/>
        <v>106</v>
      </c>
      <c r="E272" s="870" t="s">
        <v>2262</v>
      </c>
      <c r="F272" s="1878">
        <v>2</v>
      </c>
      <c r="G272" s="1878">
        <f>COUNTIF(Principal!$C$35:$J$47,Tablas!E272)+COUNTIF(Principal!$C$48:$F$49,Tablas!E272)</f>
        <v>0</v>
      </c>
      <c r="H272" s="1879">
        <f t="shared" si="45"/>
        <v>0</v>
      </c>
      <c r="I272" s="876">
        <v>1</v>
      </c>
      <c r="J272" s="1883" t="s">
        <v>2811</v>
      </c>
    </row>
    <row r="273" spans="1:26" ht="12.75" customHeight="1" x14ac:dyDescent="0.2">
      <c r="A273" s="227">
        <v>273</v>
      </c>
      <c r="B273" s="5988"/>
      <c r="C273" s="1882" t="str">
        <f t="shared" si="44"/>
        <v>Acumulación plena</v>
      </c>
      <c r="D273" s="871">
        <f t="shared" si="41"/>
        <v>14</v>
      </c>
      <c r="E273" s="589" t="s">
        <v>2263</v>
      </c>
      <c r="F273" s="1884">
        <v>1</v>
      </c>
      <c r="G273" s="1878">
        <f>COUNTIF(Principal!$C$35:$J$47,Tablas!E273)+COUNTIF(Principal!$C$48:$F$49,Tablas!E273)</f>
        <v>0</v>
      </c>
      <c r="H273" s="1879">
        <f t="shared" si="45"/>
        <v>0</v>
      </c>
      <c r="I273" s="876"/>
      <c r="J273" s="1883" t="s">
        <v>2811</v>
      </c>
    </row>
    <row r="274" spans="1:26" ht="12.75" customHeight="1" x14ac:dyDescent="0.2">
      <c r="A274" s="227">
        <v>274</v>
      </c>
      <c r="B274" s="5988"/>
      <c r="C274" s="1882" t="str">
        <f t="shared" si="44"/>
        <v>Afinidad animal</v>
      </c>
      <c r="D274" s="871">
        <f t="shared" si="41"/>
        <v>15</v>
      </c>
      <c r="E274" s="47" t="s">
        <v>2264</v>
      </c>
      <c r="F274" s="1884">
        <v>2</v>
      </c>
      <c r="G274" s="1878">
        <f>COUNTIF(Principal!$C$35:$J$47,Tablas!E274)+COUNTIF(Principal!$C$48:$F$49,Tablas!E274)</f>
        <v>0</v>
      </c>
      <c r="H274" s="1879">
        <f t="shared" si="45"/>
        <v>0</v>
      </c>
      <c r="I274" s="876"/>
      <c r="J274" s="1883" t="s">
        <v>2811</v>
      </c>
    </row>
    <row r="275" spans="1:26" ht="12.75" customHeight="1" x14ac:dyDescent="0.2">
      <c r="A275" s="227">
        <v>275</v>
      </c>
      <c r="B275" s="5988"/>
      <c r="C275" s="1882" t="str">
        <f t="shared" si="44"/>
        <v>Afinidad de uso</v>
      </c>
      <c r="D275" s="871">
        <f t="shared" si="41"/>
        <v>17</v>
      </c>
      <c r="E275" s="47" t="s">
        <v>2265</v>
      </c>
      <c r="F275" s="1884">
        <v>1</v>
      </c>
      <c r="G275" s="1878">
        <f>COUNTIF(Principal!$C$35:$J$47,Tablas!E275)+COUNTIF(Principal!$C$48:$F$49,Tablas!E275)</f>
        <v>0</v>
      </c>
      <c r="H275" s="1879">
        <f t="shared" si="45"/>
        <v>0</v>
      </c>
      <c r="I275" s="876"/>
      <c r="J275" s="1883" t="s">
        <v>2811</v>
      </c>
    </row>
    <row r="276" spans="1:26" ht="13.5" customHeight="1" thickBot="1" x14ac:dyDescent="0.25">
      <c r="A276" s="227">
        <v>276</v>
      </c>
      <c r="B276" s="5988"/>
      <c r="C276" s="1882" t="str">
        <f t="shared" si="44"/>
        <v>Afortunado</v>
      </c>
      <c r="D276" s="871">
        <f t="shared" si="41"/>
        <v>97</v>
      </c>
      <c r="E276" s="47" t="s">
        <v>10225</v>
      </c>
      <c r="F276" s="1884">
        <v>1</v>
      </c>
      <c r="G276" s="1878">
        <f>COUNTIF(Principal!$C$35:$J$47,Tablas!E276)+COUNTIF(Principal!$C$48:$F$49,Tablas!E276)</f>
        <v>0</v>
      </c>
      <c r="H276" s="1879">
        <f t="shared" si="45"/>
        <v>0</v>
      </c>
      <c r="I276" s="876">
        <v>1</v>
      </c>
      <c r="J276" s="1883" t="s">
        <v>2811</v>
      </c>
    </row>
    <row r="277" spans="1:26" ht="12.75" customHeight="1" x14ac:dyDescent="0.2">
      <c r="A277" s="227">
        <v>277</v>
      </c>
      <c r="B277" s="5988"/>
      <c r="C277" s="1882" t="str">
        <f t="shared" si="44"/>
        <v>Al límite</v>
      </c>
      <c r="D277" s="871">
        <f t="shared" si="41"/>
        <v>98</v>
      </c>
      <c r="E277" s="47" t="s">
        <v>10226</v>
      </c>
      <c r="F277" s="1884">
        <v>2</v>
      </c>
      <c r="G277" s="1878">
        <f>COUNTIF(Principal!$C$35:$J$47,Tablas!E277)+COUNTIF(Principal!$C$48:$F$49,Tablas!E277)</f>
        <v>0</v>
      </c>
      <c r="H277" s="1879">
        <f t="shared" si="45"/>
        <v>0</v>
      </c>
      <c r="I277" s="876">
        <v>1</v>
      </c>
      <c r="J277" s="1883" t="s">
        <v>2811</v>
      </c>
      <c r="L277" s="6013" t="s">
        <v>2466</v>
      </c>
      <c r="M277" s="6073"/>
      <c r="N277" s="6073"/>
      <c r="O277" s="6073"/>
      <c r="P277" s="6073"/>
      <c r="Q277" s="6073"/>
      <c r="R277" s="6073"/>
      <c r="S277" s="6073"/>
      <c r="T277" s="6073"/>
      <c r="U277" s="6073"/>
      <c r="V277" s="6073"/>
      <c r="W277" s="6073"/>
      <c r="X277" s="6014"/>
      <c r="Y277"/>
      <c r="Z277"/>
    </row>
    <row r="278" spans="1:26" ht="12.75" customHeight="1" thickBot="1" x14ac:dyDescent="0.25">
      <c r="A278" s="227">
        <v>278</v>
      </c>
      <c r="B278" s="5988"/>
      <c r="C278" s="1882" t="str">
        <f t="shared" si="44"/>
        <v>Ambidestría</v>
      </c>
      <c r="D278" s="871">
        <f t="shared" si="41"/>
        <v>99</v>
      </c>
      <c r="E278" s="47" t="s">
        <v>10227</v>
      </c>
      <c r="F278" s="1878">
        <v>3</v>
      </c>
      <c r="G278" s="1878">
        <f>COUNTIF(Principal!$C$35:$J$47,Tablas!E278)+COUNTIF(Principal!$C$48:$F$49,Tablas!E278)</f>
        <v>0</v>
      </c>
      <c r="H278" s="1879">
        <f t="shared" si="45"/>
        <v>0</v>
      </c>
      <c r="I278" s="876">
        <v>1</v>
      </c>
      <c r="J278" s="1883" t="s">
        <v>2811</v>
      </c>
      <c r="L278" s="6121"/>
      <c r="M278" s="6122"/>
      <c r="N278" s="6122"/>
      <c r="O278" s="6122"/>
      <c r="P278" s="6122"/>
      <c r="Q278" s="6122"/>
      <c r="R278" s="6122"/>
      <c r="S278" s="6122"/>
      <c r="T278" s="6122"/>
      <c r="U278" s="6122"/>
      <c r="V278" s="6122"/>
      <c r="W278" s="6122"/>
      <c r="X278" s="6123"/>
      <c r="Y278"/>
      <c r="Z278"/>
    </row>
    <row r="279" spans="1:26" ht="12.75" customHeight="1" x14ac:dyDescent="0.2">
      <c r="A279" s="227">
        <v>279</v>
      </c>
      <c r="B279" s="5988"/>
      <c r="C279" s="1882" t="str">
        <f t="shared" si="44"/>
        <v>Apr. innato (2): Atléticas</v>
      </c>
      <c r="D279" s="871">
        <f t="shared" si="41"/>
        <v>113</v>
      </c>
      <c r="E279" s="47" t="s">
        <v>2266</v>
      </c>
      <c r="F279" s="1878">
        <v>1</v>
      </c>
      <c r="G279" s="1878">
        <f>COUNTIF(Principal!$C$35:$J$47,Tablas!E279)+COUNTIF(Principal!$C$48:$F$49,Tablas!E279)</f>
        <v>0</v>
      </c>
      <c r="H279" s="1879">
        <f t="shared" si="45"/>
        <v>0</v>
      </c>
      <c r="I279" s="876">
        <v>1</v>
      </c>
      <c r="J279" s="1883" t="s">
        <v>2811</v>
      </c>
      <c r="L279" s="979"/>
      <c r="M279" s="2487"/>
      <c r="N279" s="6217" t="s">
        <v>1531</v>
      </c>
      <c r="O279" s="6218"/>
      <c r="P279" s="6235" t="s">
        <v>1533</v>
      </c>
      <c r="Q279" s="6235"/>
      <c r="R279" s="6284" t="s">
        <v>1532</v>
      </c>
      <c r="S279" s="6285"/>
      <c r="T279" s="6217" t="s">
        <v>1534</v>
      </c>
      <c r="U279" s="6218"/>
      <c r="V279" s="6232" t="s">
        <v>1535</v>
      </c>
      <c r="W279" s="6233"/>
      <c r="X279" s="6060" t="s">
        <v>7078</v>
      </c>
    </row>
    <row r="280" spans="1:26" ht="12.75" customHeight="1" thickBot="1" x14ac:dyDescent="0.25">
      <c r="A280" s="227">
        <v>280</v>
      </c>
      <c r="B280" s="5988"/>
      <c r="C280" s="1882" t="str">
        <f t="shared" si="44"/>
        <v>Apr. innato (2): Creativas</v>
      </c>
      <c r="D280" s="871">
        <f t="shared" si="41"/>
        <v>21</v>
      </c>
      <c r="E280" s="47" t="s">
        <v>2267</v>
      </c>
      <c r="F280" s="1878">
        <v>1</v>
      </c>
      <c r="G280" s="1878">
        <f>COUNTIF(Principal!$C$35:$J$47,Tablas!E280)+COUNTIF(Principal!$C$48:$F$49,Tablas!E280)</f>
        <v>0</v>
      </c>
      <c r="H280" s="1879">
        <f t="shared" si="45"/>
        <v>0</v>
      </c>
      <c r="I280" s="876">
        <v>1</v>
      </c>
      <c r="J280" s="1883" t="s">
        <v>2811</v>
      </c>
      <c r="L280" s="2910" t="s">
        <v>1399</v>
      </c>
      <c r="M280" s="2911" t="s">
        <v>1441</v>
      </c>
      <c r="N280" s="1359" t="s">
        <v>1490</v>
      </c>
      <c r="O280" s="1359" t="s">
        <v>2252</v>
      </c>
      <c r="P280" s="2912" t="s">
        <v>1490</v>
      </c>
      <c r="Q280" s="1359" t="s">
        <v>2252</v>
      </c>
      <c r="R280" s="2912" t="s">
        <v>1490</v>
      </c>
      <c r="S280" s="1359" t="s">
        <v>2252</v>
      </c>
      <c r="T280" s="2912" t="s">
        <v>1490</v>
      </c>
      <c r="U280" s="1359" t="s">
        <v>2252</v>
      </c>
      <c r="V280" s="2912" t="s">
        <v>1490</v>
      </c>
      <c r="W280" s="1215" t="s">
        <v>2252</v>
      </c>
      <c r="X280" s="6061"/>
    </row>
    <row r="281" spans="1:26" ht="12.75" customHeight="1" x14ac:dyDescent="0.2">
      <c r="A281" s="227">
        <v>281</v>
      </c>
      <c r="B281" s="5988"/>
      <c r="C281" s="1882" t="str">
        <f t="shared" si="44"/>
        <v>Apr. innato (2): Intelectuales</v>
      </c>
      <c r="D281" s="871">
        <f t="shared" si="41"/>
        <v>63</v>
      </c>
      <c r="E281" s="47" t="s">
        <v>2268</v>
      </c>
      <c r="F281" s="1878">
        <v>2</v>
      </c>
      <c r="G281" s="1878">
        <f>COUNTIF(Principal!$C$35:$J$47,Tablas!E281)+COUNTIF(Principal!$C$48:$F$49,Tablas!E281)</f>
        <v>0</v>
      </c>
      <c r="H281" s="1879">
        <f t="shared" si="45"/>
        <v>0</v>
      </c>
      <c r="I281" s="876">
        <v>2</v>
      </c>
      <c r="J281" s="1883" t="s">
        <v>2811</v>
      </c>
      <c r="L281" s="489" t="s">
        <v>1404</v>
      </c>
      <c r="M281" s="978" t="s">
        <v>1405</v>
      </c>
      <c r="N281" s="2411">
        <v>1</v>
      </c>
      <c r="O281" s="2411">
        <f>IF(Personalización!$L$11=M281,1,0)+IF(Personalización!$N$11=M281,1,0)+IF(Personalización!$P$11=M281,1,0)</f>
        <v>0</v>
      </c>
      <c r="P281" s="1879">
        <v>2</v>
      </c>
      <c r="Q281" s="2411">
        <f>IF(Personalización!$L$12=M281,1,0)+IF(Personalización!$N$12=M281,1,0)+IF(Personalización!$P$12=M281,1,0)</f>
        <v>0</v>
      </c>
      <c r="R281" s="1879">
        <v>1</v>
      </c>
      <c r="S281" s="2411">
        <f>IF(Personalización!$L$13=M281,1,0)+IF(Personalización!$N$13=M281,1,0)+IF(Personalización!$P$13=M281,1,0)</f>
        <v>0</v>
      </c>
      <c r="T281" s="1879">
        <v>2</v>
      </c>
      <c r="U281" s="2411">
        <f>IF(Personalización!$L$14=M281,1,0)+IF(Personalización!$N$14=M281,1,0)+IF(Personalización!$P$14=M281,1,0)</f>
        <v>0</v>
      </c>
      <c r="V281" s="1879">
        <v>3</v>
      </c>
      <c r="W281" s="561">
        <f>IF(Personalización!$L$15=M281,1,0)+IF(Personalización!$N$15=M281,1,0)+IF(Personalización!$P$15=M281,1,0)</f>
        <v>0</v>
      </c>
      <c r="X281" s="561">
        <f>10*Tablas!S281+20*Tablas!U281+30*Tablas!W281+5*VLOOKUP("Apr. innato (2): "&amp;L281,$E$293:$G$309,3,FALSE)+10*VLOOKUP("Apr. innato (3): "&amp;L281,$E$293:$G$309,3,FALSE)</f>
        <v>0</v>
      </c>
    </row>
    <row r="282" spans="1:26" ht="12.75" customHeight="1" x14ac:dyDescent="0.2">
      <c r="A282" s="227">
        <v>282</v>
      </c>
      <c r="B282" s="5988"/>
      <c r="C282" s="1882" t="str">
        <f t="shared" si="44"/>
        <v>Apr. innato (2): Perceptivas</v>
      </c>
      <c r="D282" s="871">
        <f t="shared" si="41"/>
        <v>135</v>
      </c>
      <c r="E282" s="47" t="s">
        <v>1912</v>
      </c>
      <c r="F282" s="1878">
        <v>1</v>
      </c>
      <c r="G282" s="1878">
        <f>COUNTIF(Principal!$C$35:$J$47,Tablas!E282)+COUNTIF(Principal!$C$48:$F$49,Tablas!E282)</f>
        <v>0</v>
      </c>
      <c r="H282" s="1879">
        <f t="shared" si="45"/>
        <v>0</v>
      </c>
      <c r="I282" s="876"/>
      <c r="J282" s="1883" t="s">
        <v>2811</v>
      </c>
      <c r="L282" s="489" t="s">
        <v>1404</v>
      </c>
      <c r="M282" s="978" t="s">
        <v>1406</v>
      </c>
      <c r="N282" s="2411">
        <v>1</v>
      </c>
      <c r="O282" s="2411">
        <f>IF(Personalización!$L$11=M282,1,0)+IF(Personalización!$N$11=M282,1,0)+IF(Personalización!$P$11=M282,1,0)</f>
        <v>0</v>
      </c>
      <c r="P282" s="1879">
        <v>2</v>
      </c>
      <c r="Q282" s="2411">
        <f>IF(Personalización!$L$12=M282,1,0)+IF(Personalización!$N$12=M282,1,0)+IF(Personalización!$P$12=M282,1,0)</f>
        <v>0</v>
      </c>
      <c r="R282" s="1879">
        <v>1</v>
      </c>
      <c r="S282" s="2411">
        <f>IF(Personalización!$L$13=M282,1,0)+IF(Personalización!$N$13=M282,1,0)+IF(Personalización!$P$13=M282,1,0)</f>
        <v>0</v>
      </c>
      <c r="T282" s="1879">
        <v>2</v>
      </c>
      <c r="U282" s="2411">
        <f>IF(Personalización!$L$14=M282,1,0)+IF(Personalización!$N$14=M282,1,0)+IF(Personalización!$P$14=M282,1,0)</f>
        <v>0</v>
      </c>
      <c r="V282" s="1879">
        <v>3</v>
      </c>
      <c r="W282" s="561">
        <f>IF(Personalización!$L$15=M282,1,0)+IF(Personalización!$N$15=M282,1,0)+IF(Personalización!$P$15=M282,1,0)</f>
        <v>0</v>
      </c>
      <c r="X282" s="561">
        <f>10*Tablas!S282+20*Tablas!U282+30*Tablas!W282+5*VLOOKUP("Apr. innato (2): "&amp;L282,$E$293:$G$309,3,FALSE)+10*VLOOKUP("Apr. innato (3): "&amp;L282,$E$293:$G$309,3,FALSE)</f>
        <v>0</v>
      </c>
    </row>
    <row r="283" spans="1:26" ht="12.75" customHeight="1" x14ac:dyDescent="0.2">
      <c r="A283" s="227">
        <v>283</v>
      </c>
      <c r="B283" s="5988"/>
      <c r="C283" s="1882" t="str">
        <f t="shared" si="44"/>
        <v>Apr. innato (2): Sociales</v>
      </c>
      <c r="D283" s="871">
        <f t="shared" si="41"/>
        <v>81</v>
      </c>
      <c r="E283" s="47" t="s">
        <v>2269</v>
      </c>
      <c r="F283" s="1878">
        <v>1</v>
      </c>
      <c r="G283" s="1878">
        <f>COUNTIF(Principal!$C$35:$J$47,Tablas!E283)+COUNTIF(Principal!$C$48:$F$49,Tablas!E283)</f>
        <v>0</v>
      </c>
      <c r="H283" s="1879">
        <f t="shared" si="45"/>
        <v>0</v>
      </c>
      <c r="I283" s="876"/>
      <c r="J283" s="1883" t="s">
        <v>2811</v>
      </c>
      <c r="L283" s="489" t="s">
        <v>1404</v>
      </c>
      <c r="M283" s="978" t="s">
        <v>1409</v>
      </c>
      <c r="N283" s="2411">
        <v>1</v>
      </c>
      <c r="O283" s="2411">
        <f>IF(Personalización!$L$11=M283,1,0)+IF(Personalización!$N$11=M283,1,0)+IF(Personalización!$P$11=M283,1,0)</f>
        <v>0</v>
      </c>
      <c r="P283" s="1879">
        <v>2</v>
      </c>
      <c r="Q283" s="2411">
        <f>IF(Personalización!$L$12=M283,1,0)+IF(Personalización!$N$12=M283,1,0)+IF(Personalización!$P$12=M283,1,0)</f>
        <v>0</v>
      </c>
      <c r="R283" s="1879">
        <v>1</v>
      </c>
      <c r="S283" s="2411">
        <f>IF(Personalización!$L$13=M283,1,0)+IF(Personalización!$N$13=M283,1,0)+IF(Personalización!$P$13=M283,1,0)</f>
        <v>0</v>
      </c>
      <c r="T283" s="1879">
        <v>2</v>
      </c>
      <c r="U283" s="2411">
        <f>IF(Personalización!$L$14=M283,1,0)+IF(Personalización!$N$14=M283,1,0)+IF(Personalización!$P$14=M283,1,0)</f>
        <v>0</v>
      </c>
      <c r="V283" s="1879">
        <v>3</v>
      </c>
      <c r="W283" s="561">
        <f>IF(Personalización!$L$15=M283,1,0)+IF(Personalización!$N$15=M283,1,0)+IF(Personalización!$P$15=M283,1,0)</f>
        <v>0</v>
      </c>
      <c r="X283" s="561">
        <f>10*Tablas!S283+20*Tablas!U283+30*Tablas!W283+5*VLOOKUP("Apr. innato (2): "&amp;L283,$E$293:$G$309,3,FALSE)+10*VLOOKUP("Apr. innato (3): "&amp;L283,$E$293:$G$309,3,FALSE)</f>
        <v>0</v>
      </c>
    </row>
    <row r="284" spans="1:26" ht="12.75" customHeight="1" x14ac:dyDescent="0.2">
      <c r="A284" s="227">
        <v>284</v>
      </c>
      <c r="B284" s="5988"/>
      <c r="C284" s="1882" t="str">
        <f t="shared" si="44"/>
        <v>Apr. innato (2): Subterfugio</v>
      </c>
      <c r="D284" s="871">
        <f t="shared" si="41"/>
        <v>50</v>
      </c>
      <c r="E284" s="47" t="s">
        <v>1531</v>
      </c>
      <c r="F284" s="1878">
        <v>1</v>
      </c>
      <c r="G284" s="1878">
        <f>COUNTIF(Principal!$C$35:$J$47,Tablas!E284)+COUNTIF(Principal!$C$48:$F$49,Tablas!E284)</f>
        <v>0</v>
      </c>
      <c r="H284" s="1879">
        <f t="shared" si="45"/>
        <v>0</v>
      </c>
      <c r="I284" s="876">
        <v>1</v>
      </c>
      <c r="J284" s="1883" t="s">
        <v>2811</v>
      </c>
      <c r="L284" s="489" t="s">
        <v>1404</v>
      </c>
      <c r="M284" s="978" t="s">
        <v>1413</v>
      </c>
      <c r="N284" s="2411">
        <v>1</v>
      </c>
      <c r="O284" s="2411">
        <f>IF(Personalización!$L$11=M284,1,0)+IF(Personalización!$N$11=M284,1,0)+IF(Personalización!$P$11=M284,1,0)</f>
        <v>0</v>
      </c>
      <c r="P284" s="1879">
        <v>2</v>
      </c>
      <c r="Q284" s="2411">
        <f>IF(Personalización!$L$12=M284,1,0)+IF(Personalización!$N$12=M284,1,0)+IF(Personalización!$P$12=M284,1,0)</f>
        <v>0</v>
      </c>
      <c r="R284" s="1879">
        <v>1</v>
      </c>
      <c r="S284" s="2411">
        <f>IF(Personalización!$L$13=M284,1,0)+IF(Personalización!$N$13=M284,1,0)+IF(Personalización!$P$13=M284,1,0)</f>
        <v>0</v>
      </c>
      <c r="T284" s="1879">
        <v>2</v>
      </c>
      <c r="U284" s="2411">
        <f>IF(Personalización!$L$14=M284,1,0)+IF(Personalización!$N$14=M284,1,0)+IF(Personalización!$P$14=M284,1,0)</f>
        <v>0</v>
      </c>
      <c r="V284" s="1879">
        <v>3</v>
      </c>
      <c r="W284" s="561">
        <f>IF(Personalización!$L$15=M284,1,0)+IF(Personalización!$N$15=M284,1,0)+IF(Personalización!$P$15=M284,1,0)</f>
        <v>0</v>
      </c>
      <c r="X284" s="561">
        <f>10*Tablas!S284+20*Tablas!U284+30*Tablas!W284+5*VLOOKUP("Apr. innato (2): "&amp;L284,$E$293:$G$309,3,FALSE)+10*VLOOKUP("Apr. innato (3): "&amp;L284,$E$293:$G$309,3,FALSE)</f>
        <v>0</v>
      </c>
    </row>
    <row r="285" spans="1:26" ht="12.75" customHeight="1" x14ac:dyDescent="0.2">
      <c r="A285" s="227">
        <v>285</v>
      </c>
      <c r="B285" s="5988"/>
      <c r="C285" s="1882" t="str">
        <f t="shared" si="44"/>
        <v>Apr. innato (2): Vigor</v>
      </c>
      <c r="D285" s="871">
        <f t="shared" si="41"/>
        <v>51</v>
      </c>
      <c r="E285" s="47" t="s">
        <v>1533</v>
      </c>
      <c r="F285" s="1878">
        <v>2</v>
      </c>
      <c r="G285" s="1878">
        <f>COUNTIF(Principal!$C$35:$J$47,Tablas!E285)+COUNTIF(Principal!$C$48:$F$49,Tablas!E285)</f>
        <v>0</v>
      </c>
      <c r="H285" s="1879">
        <f t="shared" si="45"/>
        <v>0</v>
      </c>
      <c r="I285" s="876">
        <v>1</v>
      </c>
      <c r="J285" s="1883" t="s">
        <v>2811</v>
      </c>
      <c r="L285" s="489" t="s">
        <v>1404</v>
      </c>
      <c r="M285" s="978" t="s">
        <v>1416</v>
      </c>
      <c r="N285" s="2411">
        <v>1</v>
      </c>
      <c r="O285" s="2411">
        <f>IF(Personalización!$L$11=M285,1,0)+IF(Personalización!$N$11=M285,1,0)+IF(Personalización!$P$11=M285,1,0)</f>
        <v>0</v>
      </c>
      <c r="P285" s="1879">
        <v>2</v>
      </c>
      <c r="Q285" s="2411">
        <f>IF(Personalización!$L$12=M285,1,0)+IF(Personalización!$N$12=M285,1,0)+IF(Personalización!$P$12=M285,1,0)</f>
        <v>0</v>
      </c>
      <c r="R285" s="1879">
        <v>1</v>
      </c>
      <c r="S285" s="2411">
        <f>IF(Personalización!$L$13=M285,1,0)+IF(Personalización!$N$13=M285,1,0)+IF(Personalización!$P$13=M285,1,0)</f>
        <v>0</v>
      </c>
      <c r="T285" s="1879">
        <v>2</v>
      </c>
      <c r="U285" s="2411">
        <f>IF(Personalización!$L$14=M285,1,0)+IF(Personalización!$N$14=M285,1,0)+IF(Personalización!$P$14=M285,1,0)</f>
        <v>0</v>
      </c>
      <c r="V285" s="1879">
        <v>3</v>
      </c>
      <c r="W285" s="561">
        <f>IF(Personalización!$L$15=M285,1,0)+IF(Personalización!$N$15=M285,1,0)+IF(Personalización!$P$15=M285,1,0)</f>
        <v>0</v>
      </c>
      <c r="X285" s="561">
        <f>10*Tablas!S285+20*Tablas!U285+30*Tablas!W285+5*VLOOKUP("Apr. innato (2): "&amp;L285,$E$293:$G$309,3,FALSE)+10*VLOOKUP("Apr. innato (3): "&amp;L285,$E$293:$G$309,3,FALSE)</f>
        <v>0</v>
      </c>
    </row>
    <row r="286" spans="1:26" ht="13.5" customHeight="1" x14ac:dyDescent="0.2">
      <c r="A286" s="227">
        <v>286</v>
      </c>
      <c r="B286" s="5988"/>
      <c r="C286" s="1882" t="str">
        <f t="shared" si="44"/>
        <v>Apr. innato (3): Atléticas</v>
      </c>
      <c r="D286" s="871">
        <f t="shared" si="41"/>
        <v>43</v>
      </c>
      <c r="E286" s="47" t="s">
        <v>2270</v>
      </c>
      <c r="F286" s="1878">
        <v>2</v>
      </c>
      <c r="G286" s="1878">
        <f>COUNTIF(Principal!$C$35:$J$47,Tablas!E286)+COUNTIF(Principal!$C$48:$F$49,Tablas!E286)</f>
        <v>0</v>
      </c>
      <c r="H286" s="1879">
        <f t="shared" ref="H286:H295" si="46">G286*F286</f>
        <v>0</v>
      </c>
      <c r="I286" s="876">
        <v>1</v>
      </c>
      <c r="J286" s="1883" t="s">
        <v>2811</v>
      </c>
      <c r="L286" s="489" t="s">
        <v>1404</v>
      </c>
      <c r="M286" s="978" t="s">
        <v>1419</v>
      </c>
      <c r="N286" s="2411">
        <v>1</v>
      </c>
      <c r="O286" s="2411">
        <f>IF(Personalización!$L$11=M286,1,0)+IF(Personalización!$N$11=M286,1,0)+IF(Personalización!$P$11=M286,1,0)</f>
        <v>0</v>
      </c>
      <c r="P286" s="1879">
        <v>2</v>
      </c>
      <c r="Q286" s="2411">
        <f>IF(Personalización!$L$12=M286,1,0)+IF(Personalización!$N$12=M286,1,0)+IF(Personalización!$P$12=M286,1,0)</f>
        <v>0</v>
      </c>
      <c r="R286" s="1879">
        <v>1</v>
      </c>
      <c r="S286" s="2411">
        <f>IF(Personalización!$L$13=M286,1,0)+IF(Personalización!$N$13=M286,1,0)+IF(Personalización!$P$13=M286,1,0)</f>
        <v>0</v>
      </c>
      <c r="T286" s="1879">
        <v>2</v>
      </c>
      <c r="U286" s="2411">
        <f>IF(Personalización!$L$14=M286,1,0)+IF(Personalización!$N$14=M286,1,0)+IF(Personalización!$P$14=M286,1,0)</f>
        <v>0</v>
      </c>
      <c r="V286" s="1879">
        <v>3</v>
      </c>
      <c r="W286" s="561">
        <f>IF(Personalización!$L$15=M286,1,0)+IF(Personalización!$N$15=M286,1,0)+IF(Personalización!$P$15=M286,1,0)</f>
        <v>0</v>
      </c>
      <c r="X286" s="561">
        <f>10*Tablas!S286+20*Tablas!U286+30*Tablas!W286+5*VLOOKUP("Apr. innato (2): "&amp;L286,$E$293:$G$309,3,FALSE)+10*VLOOKUP("Apr. innato (3): "&amp;L286,$E$293:$G$309,3,FALSE)</f>
        <v>0</v>
      </c>
    </row>
    <row r="287" spans="1:26" ht="12.75" customHeight="1" x14ac:dyDescent="0.2">
      <c r="A287" s="227">
        <v>287</v>
      </c>
      <c r="B287" s="5988"/>
      <c r="C287" s="1882" t="str">
        <f t="shared" si="44"/>
        <v>Apr. innato (3): Creativas</v>
      </c>
      <c r="D287" s="871">
        <f t="shared" si="41"/>
        <v>47</v>
      </c>
      <c r="E287" s="47" t="s">
        <v>2271</v>
      </c>
      <c r="F287" s="1878">
        <v>2</v>
      </c>
      <c r="G287" s="1878">
        <f>COUNTIF(Principal!$C$35:$J$47,Tablas!E287)+COUNTIF(Principal!$C$48:$F$49,Tablas!E287)</f>
        <v>0</v>
      </c>
      <c r="H287" s="1879">
        <f t="shared" si="46"/>
        <v>0</v>
      </c>
      <c r="I287" s="876">
        <v>1</v>
      </c>
      <c r="J287" s="1883" t="s">
        <v>2811</v>
      </c>
      <c r="L287" s="489" t="s">
        <v>1404</v>
      </c>
      <c r="M287" s="978" t="s">
        <v>6278</v>
      </c>
      <c r="N287" s="2411">
        <v>1</v>
      </c>
      <c r="O287" s="2411">
        <f>IF(Personalización!$L$11=M287,1,0)+IF(Personalización!$N$11=M287,1,0)+IF(Personalización!$P$11=M287,1,0)</f>
        <v>0</v>
      </c>
      <c r="P287" s="1879">
        <v>2</v>
      </c>
      <c r="Q287" s="2411">
        <f>IF(Personalización!$L$12=M287,1,0)+IF(Personalización!$N$12=M287,1,0)+IF(Personalización!$P$12=M287,1,0)</f>
        <v>0</v>
      </c>
      <c r="R287" s="1879">
        <v>1</v>
      </c>
      <c r="S287" s="2411">
        <f>IF(Personalización!$L$13=M287,1,0)+IF(Personalización!$N$13=M287,1,0)+IF(Personalización!$P$13=M287,1,0)</f>
        <v>0</v>
      </c>
      <c r="T287" s="1879">
        <v>2</v>
      </c>
      <c r="U287" s="2411">
        <f>IF(Personalización!$L$14=M287,1,0)+IF(Personalización!$N$14=M287,1,0)+IF(Personalización!$P$14=M287,1,0)</f>
        <v>0</v>
      </c>
      <c r="V287" s="1879">
        <v>3</v>
      </c>
      <c r="W287" s="561">
        <f>IF(Personalización!$L$15=M287,1,0)+IF(Personalización!$N$15=M287,1,0)+IF(Personalización!$P$15=M287,1,0)</f>
        <v>0</v>
      </c>
      <c r="X287" s="561">
        <f>10*Tablas!S287+20*Tablas!U287+30*Tablas!W287+5*VLOOKUP("Apr. innato (2): "&amp;L287,$E$293:$G$309,3,FALSE)+10*VLOOKUP("Apr. innato (3): "&amp;L287,$E$293:$G$309,3,FALSE)</f>
        <v>0</v>
      </c>
    </row>
    <row r="288" spans="1:26" ht="12.75" customHeight="1" x14ac:dyDescent="0.2">
      <c r="A288" s="227">
        <v>288</v>
      </c>
      <c r="B288" s="5988"/>
      <c r="C288" s="1882" t="str">
        <f t="shared" si="44"/>
        <v>Apr. innato (3): Intelectuales</v>
      </c>
      <c r="D288" s="871">
        <f t="shared" si="41"/>
        <v>46</v>
      </c>
      <c r="E288" s="47" t="s">
        <v>2272</v>
      </c>
      <c r="F288" s="1878">
        <v>2</v>
      </c>
      <c r="G288" s="1878">
        <f>COUNTIF(Principal!$C$35:$J$47,Tablas!E288)+COUNTIF(Principal!$C$48:$F$49,Tablas!E288)</f>
        <v>0</v>
      </c>
      <c r="H288" s="1879">
        <f t="shared" si="46"/>
        <v>0</v>
      </c>
      <c r="I288" s="876">
        <v>1</v>
      </c>
      <c r="J288" s="1883" t="s">
        <v>2811</v>
      </c>
      <c r="L288" s="489" t="s">
        <v>1422</v>
      </c>
      <c r="M288" s="978" t="s">
        <v>1423</v>
      </c>
      <c r="N288" s="2411">
        <v>1</v>
      </c>
      <c r="O288" s="2411">
        <f>IF(Personalización!$L$11=M288,1,0)+IF(Personalización!$N$11=M288,1,0)+IF(Personalización!$P$11=M288,1,0)</f>
        <v>0</v>
      </c>
      <c r="P288" s="1879">
        <v>2</v>
      </c>
      <c r="Q288" s="2411">
        <f>IF(Personalización!$L$12=M288,1,0)+IF(Personalización!$N$12=M288,1,0)+IF(Personalización!$P$12=M288,1,0)</f>
        <v>0</v>
      </c>
      <c r="R288" s="1879">
        <v>1</v>
      </c>
      <c r="S288" s="2411">
        <f>IF(Personalización!$L$13=M288,1,0)+IF(Personalización!$N$13=M288,1,0)+IF(Personalización!$P$13=M288,1,0)</f>
        <v>0</v>
      </c>
      <c r="T288" s="1879">
        <v>2</v>
      </c>
      <c r="U288" s="2411">
        <f>IF(Personalización!$L$14=M288,1,0)+IF(Personalización!$N$14=M288,1,0)+IF(Personalización!$P$14=M288,1,0)</f>
        <v>0</v>
      </c>
      <c r="V288" s="1879">
        <v>3</v>
      </c>
      <c r="W288" s="561">
        <f>IF(Personalización!$L$15=M288,1,0)+IF(Personalización!$N$15=M288,1,0)+IF(Personalización!$P$15=M288,1,0)</f>
        <v>0</v>
      </c>
      <c r="X288" s="561">
        <f>10*Tablas!S288+20*Tablas!U288+30*Tablas!W288+5*VLOOKUP("Apr. innato (2): "&amp;L288,$E$293:$G$309,3,FALSE)+10*VLOOKUP("Apr. innato (3): "&amp;L288,$E$293:$G$309,3,FALSE)</f>
        <v>0</v>
      </c>
    </row>
    <row r="289" spans="1:24" ht="12.75" customHeight="1" x14ac:dyDescent="0.2">
      <c r="A289" s="227">
        <v>289</v>
      </c>
      <c r="B289" s="5988"/>
      <c r="C289" s="1882" t="str">
        <f t="shared" si="44"/>
        <v>Apr. innato (3): Perceptivas</v>
      </c>
      <c r="D289" s="871">
        <f t="shared" si="41"/>
        <v>45</v>
      </c>
      <c r="E289" s="47" t="s">
        <v>2273</v>
      </c>
      <c r="F289" s="1878">
        <v>2</v>
      </c>
      <c r="G289" s="1878">
        <f>COUNTIF(Principal!$C$35:$J$47,Tablas!E289)+COUNTIF(Principal!$C$48:$F$49,Tablas!E289)</f>
        <v>0</v>
      </c>
      <c r="H289" s="1879">
        <f t="shared" si="46"/>
        <v>0</v>
      </c>
      <c r="I289" s="876">
        <v>1</v>
      </c>
      <c r="J289" s="1883" t="s">
        <v>2811</v>
      </c>
      <c r="L289" s="489" t="s">
        <v>1422</v>
      </c>
      <c r="M289" s="978" t="s">
        <v>1425</v>
      </c>
      <c r="N289" s="2411">
        <v>1</v>
      </c>
      <c r="O289" s="2411">
        <f>IF(Personalización!$L$11=M289,1,0)+IF(Personalización!$N$11=M289,1,0)+IF(Personalización!$P$11=M289,1,0)</f>
        <v>0</v>
      </c>
      <c r="P289" s="1879">
        <v>2</v>
      </c>
      <c r="Q289" s="2411">
        <f>IF(Personalización!$L$12=M289,1,0)+IF(Personalización!$N$12=M289,1,0)+IF(Personalización!$P$12=M289,1,0)</f>
        <v>0</v>
      </c>
      <c r="R289" s="1879">
        <v>1</v>
      </c>
      <c r="S289" s="2411">
        <f>IF(Personalización!$L$13=M289,1,0)+IF(Personalización!$N$13=M289,1,0)+IF(Personalización!$P$13=M289,1,0)</f>
        <v>0</v>
      </c>
      <c r="T289" s="1879">
        <v>2</v>
      </c>
      <c r="U289" s="2411">
        <f>IF(Personalización!$L$14=M289,1,0)+IF(Personalización!$N$14=M289,1,0)+IF(Personalización!$P$14=M289,1,0)</f>
        <v>0</v>
      </c>
      <c r="V289" s="1879">
        <v>3</v>
      </c>
      <c r="W289" s="561">
        <f>IF(Personalización!$L$15=M289,1,0)+IF(Personalización!$N$15=M289,1,0)+IF(Personalización!$P$15=M289,1,0)</f>
        <v>0</v>
      </c>
      <c r="X289" s="561">
        <f>10*Tablas!S289+20*Tablas!U289+30*Tablas!W289+5*VLOOKUP("Apr. innato (2): "&amp;L289,$E$293:$G$309,3,FALSE)+10*VLOOKUP("Apr. innato (3): "&amp;L289,$E$293:$G$309,3,FALSE)</f>
        <v>0</v>
      </c>
    </row>
    <row r="290" spans="1:24" ht="12.75" customHeight="1" x14ac:dyDescent="0.2">
      <c r="A290" s="227">
        <v>290</v>
      </c>
      <c r="B290" s="5988"/>
      <c r="C290" s="1882" t="str">
        <f t="shared" si="44"/>
        <v>Apr. innato (3): Sociales</v>
      </c>
      <c r="D290" s="871">
        <f t="shared" si="41"/>
        <v>49</v>
      </c>
      <c r="E290" s="47" t="s">
        <v>2274</v>
      </c>
      <c r="F290" s="1878">
        <v>2</v>
      </c>
      <c r="G290" s="1878">
        <f>COUNTIF(Principal!$C$35:$J$47,Tablas!E290)+COUNTIF(Principal!$C$48:$F$49,Tablas!E290)</f>
        <v>0</v>
      </c>
      <c r="H290" s="1879">
        <f t="shared" si="46"/>
        <v>0</v>
      </c>
      <c r="I290" s="876">
        <v>1</v>
      </c>
      <c r="J290" s="1883" t="s">
        <v>2811</v>
      </c>
      <c r="L290" s="489" t="s">
        <v>1422</v>
      </c>
      <c r="M290" s="978" t="s">
        <v>1428</v>
      </c>
      <c r="N290" s="2411">
        <v>1</v>
      </c>
      <c r="O290" s="2411">
        <f>IF(Personalización!$L$11=M290,1,0)+IF(Personalización!$N$11=M290,1,0)+IF(Personalización!$P$11=M290,1,0)</f>
        <v>0</v>
      </c>
      <c r="P290" s="1879">
        <v>2</v>
      </c>
      <c r="Q290" s="2411">
        <f>IF(Personalización!$L$12=M290,1,0)+IF(Personalización!$N$12=M290,1,0)+IF(Personalización!$P$12=M290,1,0)</f>
        <v>0</v>
      </c>
      <c r="R290" s="1879">
        <v>1</v>
      </c>
      <c r="S290" s="2411">
        <f>IF(Personalización!$L$13=M290,1,0)+IF(Personalización!$N$13=M290,1,0)+IF(Personalización!$P$13=M290,1,0)</f>
        <v>0</v>
      </c>
      <c r="T290" s="1879">
        <v>2</v>
      </c>
      <c r="U290" s="2411">
        <f>IF(Personalización!$L$14=M290,1,0)+IF(Personalización!$N$14=M290,1,0)+IF(Personalización!$P$14=M290,1,0)</f>
        <v>0</v>
      </c>
      <c r="V290" s="1879">
        <v>3</v>
      </c>
      <c r="W290" s="561">
        <f>IF(Personalización!$L$15=M290,1,0)+IF(Personalización!$N$15=M290,1,0)+IF(Personalización!$P$15=M290,1,0)</f>
        <v>0</v>
      </c>
      <c r="X290" s="561">
        <f>10*Tablas!S290+20*Tablas!U290+30*Tablas!W290+5*VLOOKUP("Apr. innato (2): "&amp;L290,$E$293:$G$309,3,FALSE)+10*VLOOKUP("Apr. innato (3): "&amp;L290,$E$293:$G$309,3,FALSE)</f>
        <v>0</v>
      </c>
    </row>
    <row r="291" spans="1:24" ht="12.75" customHeight="1" x14ac:dyDescent="0.2">
      <c r="A291" s="227">
        <v>291</v>
      </c>
      <c r="B291" s="5988"/>
      <c r="C291" s="1882" t="str">
        <f t="shared" si="44"/>
        <v>Apr. innato (3): Subterfugio</v>
      </c>
      <c r="D291" s="871">
        <f t="shared" si="41"/>
        <v>48</v>
      </c>
      <c r="E291" s="47" t="s">
        <v>2275</v>
      </c>
      <c r="F291" s="1878">
        <v>2</v>
      </c>
      <c r="G291" s="1878">
        <f>COUNTIF(Principal!$C$35:$J$47,Tablas!E291)+COUNTIF(Principal!$C$48:$F$49,Tablas!E291)</f>
        <v>0</v>
      </c>
      <c r="H291" s="1879">
        <f t="shared" si="46"/>
        <v>0</v>
      </c>
      <c r="I291" s="876">
        <v>1</v>
      </c>
      <c r="J291" s="1883" t="s">
        <v>2811</v>
      </c>
      <c r="L291" s="489" t="s">
        <v>1422</v>
      </c>
      <c r="M291" s="978" t="s">
        <v>1430</v>
      </c>
      <c r="N291" s="2411">
        <v>1</v>
      </c>
      <c r="O291" s="2411">
        <f>IF(Personalización!$L$11=M291,1,0)+IF(Personalización!$N$11=M291,1,0)+IF(Personalización!$P$11=M291,1,0)</f>
        <v>0</v>
      </c>
      <c r="P291" s="1879">
        <v>2</v>
      </c>
      <c r="Q291" s="2411">
        <f>IF(Personalización!$L$12=M291,1,0)+IF(Personalización!$N$12=M291,1,0)+IF(Personalización!$P$12=M291,1,0)</f>
        <v>0</v>
      </c>
      <c r="R291" s="1879">
        <v>1</v>
      </c>
      <c r="S291" s="2411">
        <f>IF(Personalización!$L$13=M291,1,0)+IF(Personalización!$N$13=M291,1,0)+IF(Personalización!$P$13=M291,1,0)</f>
        <v>0</v>
      </c>
      <c r="T291" s="1879">
        <v>2</v>
      </c>
      <c r="U291" s="2411">
        <f>IF(Personalización!$L$14=M291,1,0)+IF(Personalización!$N$14=M291,1,0)+IF(Personalización!$P$14=M291,1,0)</f>
        <v>0</v>
      </c>
      <c r="V291" s="1879">
        <v>3</v>
      </c>
      <c r="W291" s="561">
        <f>IF(Personalización!$L$15=M291,1,0)+IF(Personalización!$N$15=M291,1,0)+IF(Personalización!$P$15=M291,1,0)</f>
        <v>0</v>
      </c>
      <c r="X291" s="561">
        <f>10*Tablas!S291+20*Tablas!U291+30*Tablas!W291+5*VLOOKUP("Apr. innato (2): "&amp;L291,$E$293:$G$309,3,FALSE)+10*VLOOKUP("Apr. innato (3): "&amp;L291,$E$293:$G$309,3,FALSE)</f>
        <v>0</v>
      </c>
    </row>
    <row r="292" spans="1:24" ht="12.75" customHeight="1" x14ac:dyDescent="0.2">
      <c r="A292" s="227">
        <v>292</v>
      </c>
      <c r="B292" s="5988"/>
      <c r="C292" s="1882" t="str">
        <f t="shared" si="44"/>
        <v>Apr. innato (3): Vigor</v>
      </c>
      <c r="D292" s="871">
        <f t="shared" si="41"/>
        <v>44</v>
      </c>
      <c r="E292" s="47" t="s">
        <v>2276</v>
      </c>
      <c r="F292" s="1878">
        <v>2</v>
      </c>
      <c r="G292" s="1878">
        <f>COUNTIF(Principal!$C$35:$J$47,Tablas!E292)+COUNTIF(Principal!$C$48:$F$49,Tablas!E292)</f>
        <v>0</v>
      </c>
      <c r="H292" s="1879">
        <f t="shared" si="46"/>
        <v>0</v>
      </c>
      <c r="I292" s="876">
        <v>1</v>
      </c>
      <c r="J292" s="1883" t="s">
        <v>2811</v>
      </c>
      <c r="L292" s="489" t="s">
        <v>1422</v>
      </c>
      <c r="M292" s="978" t="s">
        <v>816</v>
      </c>
      <c r="N292" s="2411">
        <v>1</v>
      </c>
      <c r="O292" s="2411">
        <f>IF(Personalización!$L$11=M292,1,0)+IF(Personalización!$N$11=M292,1,0)+IF(Personalización!$P$11=M292,1,0)</f>
        <v>0</v>
      </c>
      <c r="P292" s="1879">
        <v>2</v>
      </c>
      <c r="Q292" s="2411">
        <f>IF(Personalización!$L$12=M292,1,0)+IF(Personalización!$N$12=M292,1,0)+IF(Personalización!$P$12=M292,1,0)</f>
        <v>0</v>
      </c>
      <c r="R292" s="1879">
        <v>1</v>
      </c>
      <c r="S292" s="2411">
        <f>IF(Personalización!$L$13=M292,1,0)+IF(Personalización!$N$13=M292,1,0)+IF(Personalización!$P$13=M292,1,0)</f>
        <v>0</v>
      </c>
      <c r="T292" s="1879">
        <v>2</v>
      </c>
      <c r="U292" s="2411">
        <f>IF(Personalización!$L$14=M292,1,0)+IF(Personalización!$N$14=M292,1,0)+IF(Personalización!$P$14=M292,1,0)</f>
        <v>0</v>
      </c>
      <c r="V292" s="1879">
        <v>3</v>
      </c>
      <c r="W292" s="561">
        <f>IF(Personalización!$L$15=M292,1,0)+IF(Personalización!$N$15=M292,1,0)+IF(Personalización!$P$15=M292,1,0)</f>
        <v>0</v>
      </c>
      <c r="X292" s="561">
        <f>10*Tablas!S292+20*Tablas!U292+30*Tablas!W292+5*VLOOKUP("Apr. innato (2): "&amp;L292,$E$293:$G$309,3,FALSE)+10*VLOOKUP("Apr. innato (3): "&amp;L292,$E$293:$G$309,3,FALSE)</f>
        <v>0</v>
      </c>
    </row>
    <row r="293" spans="1:24" ht="12.75" customHeight="1" x14ac:dyDescent="0.2">
      <c r="A293" s="227">
        <v>293</v>
      </c>
      <c r="B293" s="5988"/>
      <c r="C293" s="1882" t="str">
        <f t="shared" si="44"/>
        <v>Aprendizaje (1)</v>
      </c>
      <c r="D293" s="871">
        <f t="shared" si="41"/>
        <v>39</v>
      </c>
      <c r="E293" s="47" t="s">
        <v>10125</v>
      </c>
      <c r="F293" s="1878">
        <v>1</v>
      </c>
      <c r="G293" s="1878">
        <f>COUNTIF(Principal!$C$35:$J$47,Tablas!E293)+COUNTIF(Principal!$C$48:$F$49,Tablas!E293)</f>
        <v>0</v>
      </c>
      <c r="H293" s="1879">
        <f t="shared" si="46"/>
        <v>0</v>
      </c>
      <c r="I293" s="876">
        <v>1</v>
      </c>
      <c r="J293" s="1883" t="s">
        <v>2811</v>
      </c>
      <c r="L293" s="489" t="s">
        <v>1422</v>
      </c>
      <c r="M293" s="978" t="s">
        <v>817</v>
      </c>
      <c r="N293" s="2411">
        <v>1</v>
      </c>
      <c r="O293" s="2411">
        <f>IF(Personalización!$L$11=M293,1,0)+IF(Personalización!$N$11=M293,1,0)+IF(Personalización!$P$11=M293,1,0)</f>
        <v>0</v>
      </c>
      <c r="P293" s="1879">
        <v>2</v>
      </c>
      <c r="Q293" s="2411">
        <f>IF(Personalización!$L$12=M293,1,0)+IF(Personalización!$N$12=M293,1,0)+IF(Personalización!$P$12=M293,1,0)</f>
        <v>0</v>
      </c>
      <c r="R293" s="1879">
        <v>1</v>
      </c>
      <c r="S293" s="2411">
        <f>IF(Personalización!$L$13=M293,1,0)+IF(Personalización!$N$13=M293,1,0)+IF(Personalización!$P$13=M293,1,0)</f>
        <v>0</v>
      </c>
      <c r="T293" s="1879">
        <v>2</v>
      </c>
      <c r="U293" s="2411">
        <f>IF(Personalización!$L$14=M293,1,0)+IF(Personalización!$N$14=M293,1,0)+IF(Personalización!$P$14=M293,1,0)</f>
        <v>0</v>
      </c>
      <c r="V293" s="1879">
        <v>3</v>
      </c>
      <c r="W293" s="561">
        <f>IF(Personalización!$L$15=M293,1,0)+IF(Personalización!$N$15=M293,1,0)+IF(Personalización!$P$15=M293,1,0)</f>
        <v>0</v>
      </c>
      <c r="X293" s="561">
        <f>10*Tablas!S293+20*Tablas!U293+30*Tablas!W293+5*VLOOKUP("Apr. innato (2): "&amp;L293,$E$293:$G$309,3,FALSE)+10*VLOOKUP("Apr. innato (3): "&amp;L293,$E$293:$G$309,3,FALSE)</f>
        <v>0</v>
      </c>
    </row>
    <row r="294" spans="1:24" ht="12.75" customHeight="1" x14ac:dyDescent="0.2">
      <c r="A294" s="227">
        <v>294</v>
      </c>
      <c r="B294" s="5988"/>
      <c r="C294" s="1882" t="str">
        <f t="shared" si="44"/>
        <v>Aprendizaje (2)</v>
      </c>
      <c r="D294" s="871">
        <f t="shared" si="41"/>
        <v>40</v>
      </c>
      <c r="E294" s="47" t="s">
        <v>10126</v>
      </c>
      <c r="F294" s="1878">
        <v>2</v>
      </c>
      <c r="G294" s="1878">
        <f>COUNTIF(Principal!$C$35:$J$47,Tablas!E294)+COUNTIF(Principal!$C$48:$F$49,Tablas!E294)</f>
        <v>0</v>
      </c>
      <c r="H294" s="1879">
        <f t="shared" si="46"/>
        <v>0</v>
      </c>
      <c r="I294" s="876">
        <v>1</v>
      </c>
      <c r="J294" s="1883" t="s">
        <v>2811</v>
      </c>
      <c r="L294" s="489" t="s">
        <v>1422</v>
      </c>
      <c r="M294" s="978" t="s">
        <v>818</v>
      </c>
      <c r="N294" s="2411">
        <v>1</v>
      </c>
      <c r="O294" s="2411">
        <f>IF(Personalización!$L$11=M294,1,0)+IF(Personalización!$N$11=M294,1,0)+IF(Personalización!$P$11=M294,1,0)</f>
        <v>0</v>
      </c>
      <c r="P294" s="1879">
        <v>2</v>
      </c>
      <c r="Q294" s="2411">
        <f>IF(Personalización!$L$12=M294,1,0)+IF(Personalización!$N$12=M294,1,0)+IF(Personalización!$P$12=M294,1,0)</f>
        <v>0</v>
      </c>
      <c r="R294" s="1879">
        <v>1</v>
      </c>
      <c r="S294" s="2411">
        <f>IF(Personalización!$L$13=M294,1,0)+IF(Personalización!$N$13=M294,1,0)+IF(Personalización!$P$13=M294,1,0)</f>
        <v>0</v>
      </c>
      <c r="T294" s="1879">
        <v>2</v>
      </c>
      <c r="U294" s="2411">
        <f>IF(Personalización!$L$14=M294,1,0)+IF(Personalización!$N$14=M294,1,0)+IF(Personalización!$P$14=M294,1,0)</f>
        <v>0</v>
      </c>
      <c r="V294" s="1879">
        <v>3</v>
      </c>
      <c r="W294" s="561">
        <f>IF(Personalización!$L$15=M294,1,0)+IF(Personalización!$N$15=M294,1,0)+IF(Personalización!$P$15=M294,1,0)</f>
        <v>0</v>
      </c>
      <c r="X294" s="561">
        <f>10*Tablas!S294+20*Tablas!U294+30*Tablas!W294+5*VLOOKUP("Apr. innato (2): "&amp;L294,$E$293:$G$309,3,FALSE)+10*VLOOKUP("Apr. innato (3): "&amp;L294,$E$293:$G$309,3,FALSE)</f>
        <v>0</v>
      </c>
    </row>
    <row r="295" spans="1:24" ht="12.75" customHeight="1" x14ac:dyDescent="0.2">
      <c r="A295" s="227">
        <v>295</v>
      </c>
      <c r="B295" s="5988"/>
      <c r="C295" s="1882" t="str">
        <f t="shared" si="44"/>
        <v>Aprendizaje (3)</v>
      </c>
      <c r="D295" s="871">
        <f t="shared" si="41"/>
        <v>41</v>
      </c>
      <c r="E295" s="47" t="s">
        <v>10127</v>
      </c>
      <c r="F295" s="1878">
        <v>3</v>
      </c>
      <c r="G295" s="1878">
        <f>COUNTIF(Principal!$C$35:$J$47,Tablas!E295)+COUNTIF(Principal!$C$48:$F$49,Tablas!E295)</f>
        <v>0</v>
      </c>
      <c r="H295" s="1879">
        <f t="shared" si="46"/>
        <v>0</v>
      </c>
      <c r="I295" s="876">
        <v>1</v>
      </c>
      <c r="J295" s="1883" t="s">
        <v>2811</v>
      </c>
      <c r="L295" s="489" t="s">
        <v>7077</v>
      </c>
      <c r="M295" s="978" t="s">
        <v>1432</v>
      </c>
      <c r="N295" s="2411">
        <v>1</v>
      </c>
      <c r="O295" s="2411">
        <f>IF(Personalización!$L$11=M295,1,0)+IF(Personalización!$N$11=M295,1,0)+IF(Personalización!$P$11=M295,1,0)</f>
        <v>0</v>
      </c>
      <c r="P295" s="1879">
        <v>2</v>
      </c>
      <c r="Q295" s="2411">
        <f>IF(Personalización!$L$12=M295,1,0)+IF(Personalización!$N$12=M295,1,0)+IF(Personalización!$P$12=M295,1,0)</f>
        <v>0</v>
      </c>
      <c r="R295" s="1879">
        <v>1</v>
      </c>
      <c r="S295" s="2411">
        <f>IF(Personalización!$L$13=M295,1,0)+IF(Personalización!$N$13=M295,1,0)+IF(Personalización!$P$13=M295,1,0)</f>
        <v>0</v>
      </c>
      <c r="T295" s="1879">
        <v>2</v>
      </c>
      <c r="U295" s="2411">
        <f>IF(Personalización!$L$14=M295,1,0)+IF(Personalización!$N$14=M295,1,0)+IF(Personalización!$P$14=M295,1,0)</f>
        <v>0</v>
      </c>
      <c r="V295" s="1879">
        <v>3</v>
      </c>
      <c r="W295" s="561">
        <f>IF(Personalización!$L$15=M295,1,0)+IF(Personalización!$N$15=M295,1,0)+IF(Personalización!$P$15=M295,1,0)</f>
        <v>0</v>
      </c>
      <c r="X295" s="561">
        <f>10*Tablas!S295+20*Tablas!U295+30*Tablas!W295+5*VLOOKUP("Apr. innato (2): "&amp;L295,$E$293:$G$309,3,FALSE)+10*VLOOKUP("Apr. innato (3): "&amp;L295,$E$293:$G$309,3,FALSE)</f>
        <v>0</v>
      </c>
    </row>
    <row r="296" spans="1:24" ht="12.75" customHeight="1" x14ac:dyDescent="0.2">
      <c r="A296" s="227">
        <v>296</v>
      </c>
      <c r="B296" s="5988"/>
      <c r="C296" s="1882" t="str">
        <f t="shared" si="44"/>
        <v>Aprendizaje innato (1)</v>
      </c>
      <c r="D296" s="871">
        <f t="shared" si="41"/>
        <v>22</v>
      </c>
      <c r="E296" s="47" t="s">
        <v>10124</v>
      </c>
      <c r="F296" s="1878">
        <v>2</v>
      </c>
      <c r="G296" s="1878">
        <f>COUNTIF(Principal!$C$35:$J$47,Tablas!E296)+COUNTIF(Principal!$C$48:$F$49,Tablas!E296)</f>
        <v>0</v>
      </c>
      <c r="H296" s="1879">
        <f t="shared" ref="H296:H327" si="47">G296*F296</f>
        <v>0</v>
      </c>
      <c r="I296" s="876">
        <v>1</v>
      </c>
      <c r="J296" s="1883" t="s">
        <v>2811</v>
      </c>
      <c r="L296" s="489" t="s">
        <v>7077</v>
      </c>
      <c r="M296" s="978" t="s">
        <v>1433</v>
      </c>
      <c r="N296" s="2411">
        <v>1</v>
      </c>
      <c r="O296" s="2411">
        <f>IF(Personalización!$L$11=M296,1,0)+IF(Personalización!$N$11=M296,1,0)+IF(Personalización!$P$11=M296,1,0)</f>
        <v>0</v>
      </c>
      <c r="P296" s="1879">
        <v>2</v>
      </c>
      <c r="Q296" s="2411">
        <f>IF(Personalización!$L$12=M296,1,0)+IF(Personalización!$N$12=M296,1,0)+IF(Personalización!$P$12=M296,1,0)</f>
        <v>0</v>
      </c>
      <c r="R296" s="1879">
        <v>1</v>
      </c>
      <c r="S296" s="2411">
        <f>IF(Personalización!$L$13=M296,1,0)+IF(Personalización!$N$13=M296,1,0)+IF(Personalización!$P$13=M296,1,0)</f>
        <v>0</v>
      </c>
      <c r="T296" s="1879">
        <v>2</v>
      </c>
      <c r="U296" s="2411">
        <f>IF(Personalización!$L$14=M296,1,0)+IF(Personalización!$N$14=M296,1,0)+IF(Personalización!$P$14=M296,1,0)</f>
        <v>0</v>
      </c>
      <c r="V296" s="1879">
        <v>3</v>
      </c>
      <c r="W296" s="561">
        <f>IF(Personalización!$L$15=M296,1,0)+IF(Personalización!$N$15=M296,1,0)+IF(Personalización!$P$15=M296,1,0)</f>
        <v>0</v>
      </c>
      <c r="X296" s="561">
        <f>10*Tablas!S296+20*Tablas!U296+30*Tablas!W296+5*VLOOKUP("Apr. innato (2): "&amp;L296,$E$293:$G$309,3,FALSE)+10*VLOOKUP("Apr. innato (3): "&amp;L296,$E$293:$G$309,3,FALSE)</f>
        <v>0</v>
      </c>
    </row>
    <row r="297" spans="1:24" ht="12.75" customHeight="1" x14ac:dyDescent="0.2">
      <c r="A297" s="227">
        <v>297</v>
      </c>
      <c r="B297" s="5988"/>
      <c r="C297" s="1882" t="str">
        <f t="shared" si="44"/>
        <v>Aprendizaje innato (2)</v>
      </c>
      <c r="D297" s="871">
        <f t="shared" si="41"/>
        <v>26</v>
      </c>
      <c r="E297" s="47" t="s">
        <v>10128</v>
      </c>
      <c r="F297" s="1878">
        <v>2</v>
      </c>
      <c r="G297" s="1878">
        <f>COUNTIF(Principal!$C$35:$J$47,Tablas!E297)+COUNTIF(Principal!$C$48:$F$49,Tablas!E297)</f>
        <v>0</v>
      </c>
      <c r="H297" s="1879">
        <f t="shared" si="47"/>
        <v>0</v>
      </c>
      <c r="I297" s="876">
        <v>1</v>
      </c>
      <c r="J297" s="1883" t="s">
        <v>2811</v>
      </c>
      <c r="L297" s="489" t="s">
        <v>7077</v>
      </c>
      <c r="M297" s="978" t="s">
        <v>1434</v>
      </c>
      <c r="N297" s="2411">
        <v>1</v>
      </c>
      <c r="O297" s="2411">
        <f>IF(Personalización!$L$11=M297,1,0)+IF(Personalización!$N$11=M297,1,0)+IF(Personalización!$P$11=M297,1,0)</f>
        <v>0</v>
      </c>
      <c r="P297" s="1879">
        <v>2</v>
      </c>
      <c r="Q297" s="2411">
        <f>IF(Personalización!$L$12=M297,1,0)+IF(Personalización!$N$12=M297,1,0)+IF(Personalización!$P$12=M297,1,0)</f>
        <v>0</v>
      </c>
      <c r="R297" s="1879">
        <v>1</v>
      </c>
      <c r="S297" s="2411">
        <f>IF(Personalización!$L$13=M297,1,0)+IF(Personalización!$N$13=M297,1,0)+IF(Personalización!$P$13=M297,1,0)</f>
        <v>0</v>
      </c>
      <c r="T297" s="1879">
        <v>2</v>
      </c>
      <c r="U297" s="2411">
        <f>IF(Personalización!$L$14=M297,1,0)+IF(Personalización!$N$14=M297,1,0)+IF(Personalización!$P$14=M297,1,0)</f>
        <v>0</v>
      </c>
      <c r="V297" s="1879">
        <v>3</v>
      </c>
      <c r="W297" s="561">
        <f>IF(Personalización!$L$15=M297,1,0)+IF(Personalización!$N$15=M297,1,0)+IF(Personalización!$P$15=M297,1,0)</f>
        <v>0</v>
      </c>
      <c r="X297" s="561">
        <f>10*Tablas!S297+20*Tablas!U297+30*Tablas!W297+5*VLOOKUP("Apr. innato (2): "&amp;L297,$E$293:$G$309,3,FALSE)+10*VLOOKUP("Apr. innato (3): "&amp;L297,$E$293:$G$309,3,FALSE)</f>
        <v>0</v>
      </c>
    </row>
    <row r="298" spans="1:24" ht="12.75" customHeight="1" x14ac:dyDescent="0.2">
      <c r="A298" s="227">
        <v>298</v>
      </c>
      <c r="B298" s="5988"/>
      <c r="C298" s="1882" t="str">
        <f t="shared" si="44"/>
        <v>Aprendizaje innato (3)</v>
      </c>
      <c r="D298" s="871">
        <f t="shared" si="41"/>
        <v>25</v>
      </c>
      <c r="E298" s="47" t="s">
        <v>10129</v>
      </c>
      <c r="F298" s="1878">
        <v>2</v>
      </c>
      <c r="G298" s="1878">
        <f>COUNTIF(Principal!$C$35:$J$47,Tablas!E298)+COUNTIF(Principal!$C$48:$F$49,Tablas!E298)</f>
        <v>0</v>
      </c>
      <c r="H298" s="1879">
        <f t="shared" si="47"/>
        <v>0</v>
      </c>
      <c r="I298" s="876">
        <v>1</v>
      </c>
      <c r="J298" s="1883" t="s">
        <v>2811</v>
      </c>
      <c r="L298" s="489" t="s">
        <v>1435</v>
      </c>
      <c r="M298" s="978" t="s">
        <v>1436</v>
      </c>
      <c r="N298" s="2411">
        <v>1</v>
      </c>
      <c r="O298" s="2411">
        <f>IF(Personalización!$L$11=M298,1,0)+IF(Personalización!$N$11=M298,1,0)+IF(Personalización!$P$11=M298,1,0)</f>
        <v>0</v>
      </c>
      <c r="P298" s="1879">
        <v>2</v>
      </c>
      <c r="Q298" s="2411">
        <f>IF(Personalización!$L$12=M298,1,0)+IF(Personalización!$N$12=M298,1,0)+IF(Personalización!$P$12=M298,1,0)</f>
        <v>0</v>
      </c>
      <c r="R298" s="1879">
        <v>1</v>
      </c>
      <c r="S298" s="2411">
        <f>IF(Personalización!$L$13=M298,1,0)+IF(Personalización!$N$13=M298,1,0)+IF(Personalización!$P$13=M298,1,0)</f>
        <v>0</v>
      </c>
      <c r="T298" s="1879">
        <v>2</v>
      </c>
      <c r="U298" s="2411">
        <f>IF(Personalización!$L$14=M298,1,0)+IF(Personalización!$N$14=M298,1,0)+IF(Personalización!$P$14=M298,1,0)</f>
        <v>0</v>
      </c>
      <c r="V298" s="1879">
        <v>3</v>
      </c>
      <c r="W298" s="561">
        <f>IF(Personalización!$L$15=M298,1,0)+IF(Personalización!$N$15=M298,1,0)+IF(Personalización!$P$15=M298,1,0)</f>
        <v>0</v>
      </c>
      <c r="X298" s="561">
        <f>10*Tablas!S298+20*Tablas!U298+30*Tablas!W298+5*VLOOKUP("Apr. innato (2): "&amp;L298,$E$293:$G$309,3,FALSE)+10*VLOOKUP("Apr. innato (3): "&amp;L298,$E$293:$G$309,3,FALSE)</f>
        <v>0</v>
      </c>
    </row>
    <row r="299" spans="1:24" ht="12.75" customHeight="1" x14ac:dyDescent="0.2">
      <c r="A299" s="227">
        <v>299</v>
      </c>
      <c r="B299" s="5988"/>
      <c r="C299" s="1882" t="str">
        <f t="shared" si="44"/>
        <v>Aprendizaje marcial</v>
      </c>
      <c r="D299" s="871">
        <f t="shared" si="41"/>
        <v>24</v>
      </c>
      <c r="E299" s="47" t="s">
        <v>10130</v>
      </c>
      <c r="F299" s="1878">
        <v>2</v>
      </c>
      <c r="G299" s="1878">
        <f>COUNTIF(Principal!$C$35:$J$47,Tablas!E299)+COUNTIF(Principal!$C$48:$F$49,Tablas!E299)</f>
        <v>0</v>
      </c>
      <c r="H299" s="1879">
        <f t="shared" si="47"/>
        <v>0</v>
      </c>
      <c r="I299" s="876">
        <v>1</v>
      </c>
      <c r="J299" s="1883" t="s">
        <v>2811</v>
      </c>
      <c r="L299" s="489" t="s">
        <v>1435</v>
      </c>
      <c r="M299" s="978" t="s">
        <v>1437</v>
      </c>
      <c r="N299" s="2411">
        <v>1</v>
      </c>
      <c r="O299" s="2411">
        <f>IF(Personalización!$L$11=M299,1,0)+IF(Personalización!$N$11=M299,1,0)+IF(Personalización!$P$11=M299,1,0)</f>
        <v>0</v>
      </c>
      <c r="P299" s="1879">
        <v>2</v>
      </c>
      <c r="Q299" s="2411">
        <f>IF(Personalización!$L$12=M299,1,0)+IF(Personalización!$N$12=M299,1,0)+IF(Personalización!$P$12=M299,1,0)</f>
        <v>0</v>
      </c>
      <c r="R299" s="1879">
        <v>1</v>
      </c>
      <c r="S299" s="2411">
        <f>IF(Personalización!$L$13=M299,1,0)+IF(Personalización!$N$13=M299,1,0)+IF(Personalización!$P$13=M299,1,0)</f>
        <v>0</v>
      </c>
      <c r="T299" s="1879">
        <v>2</v>
      </c>
      <c r="U299" s="2411">
        <f>IF(Personalización!$L$14=M299,1,0)+IF(Personalización!$N$14=M299,1,0)+IF(Personalización!$P$14=M299,1,0)</f>
        <v>0</v>
      </c>
      <c r="V299" s="1879">
        <v>3</v>
      </c>
      <c r="W299" s="561">
        <f>IF(Personalización!$L$15=M299,1,0)+IF(Personalización!$N$15=M299,1,0)+IF(Personalización!$P$15=M299,1,0)</f>
        <v>0</v>
      </c>
      <c r="X299" s="561">
        <f>10*Tablas!S299+20*Tablas!U299+30*Tablas!W299+5*VLOOKUP("Apr. innato (2): "&amp;L299,$E$293:$G$309,3,FALSE)+10*VLOOKUP("Apr. innato (3): "&amp;L299,$E$293:$G$309,3,FALSE)</f>
        <v>0</v>
      </c>
    </row>
    <row r="300" spans="1:24" ht="12.75" customHeight="1" x14ac:dyDescent="0.2">
      <c r="A300" s="227">
        <v>300</v>
      </c>
      <c r="B300" s="5988"/>
      <c r="C300" s="1882" t="str">
        <f t="shared" si="44"/>
        <v>Apto en campo: Atléticas</v>
      </c>
      <c r="D300" s="871">
        <f t="shared" si="41"/>
        <v>28</v>
      </c>
      <c r="E300" s="47" t="s">
        <v>10131</v>
      </c>
      <c r="F300" s="1878">
        <v>2</v>
      </c>
      <c r="G300" s="1878">
        <f>COUNTIF(Principal!$C$35:$J$47,Tablas!E300)+COUNTIF(Principal!$C$48:$F$49,Tablas!E300)</f>
        <v>0</v>
      </c>
      <c r="H300" s="1879">
        <f t="shared" si="47"/>
        <v>0</v>
      </c>
      <c r="I300" s="876">
        <v>1</v>
      </c>
      <c r="J300" s="1883" t="s">
        <v>2811</v>
      </c>
      <c r="L300" s="489" t="s">
        <v>1435</v>
      </c>
      <c r="M300" s="978" t="s">
        <v>2567</v>
      </c>
      <c r="N300" s="2411">
        <v>1</v>
      </c>
      <c r="O300" s="2411">
        <f>IF(Personalización!$L$11=M300,1,0)+IF(Personalización!$N$11=M300,1,0)+IF(Personalización!$P$11=M300,1,0)</f>
        <v>0</v>
      </c>
      <c r="P300" s="1879">
        <v>2</v>
      </c>
      <c r="Q300" s="2411">
        <f>IF(Personalización!$L$12=M300,1,0)+IF(Personalización!$N$12=M300,1,0)+IF(Personalización!$P$12=M300,1,0)</f>
        <v>0</v>
      </c>
      <c r="R300" s="1879">
        <v>1</v>
      </c>
      <c r="S300" s="2411">
        <f>IF(Personalización!$L$13=M300,1,0)+IF(Personalización!$N$13=M300,1,0)+IF(Personalización!$P$13=M300,1,0)</f>
        <v>0</v>
      </c>
      <c r="T300" s="1879">
        <v>2</v>
      </c>
      <c r="U300" s="2411">
        <f>IF(Personalización!$L$14=M300,1,0)+IF(Personalización!$N$14=M300,1,0)+IF(Personalización!$P$14=M300,1,0)</f>
        <v>0</v>
      </c>
      <c r="V300" s="1879">
        <v>3</v>
      </c>
      <c r="W300" s="561">
        <f>IF(Personalización!$L$15=M300,1,0)+IF(Personalización!$N$15=M300,1,0)+IF(Personalización!$P$15=M300,1,0)</f>
        <v>0</v>
      </c>
      <c r="X300" s="561">
        <f>10*Tablas!S300+20*Tablas!U300+30*Tablas!W300+5*VLOOKUP("Apr. innato (2): "&amp;L300,$E$293:$G$309,3,FALSE)+10*VLOOKUP("Apr. innato (3): "&amp;L300,$E$293:$G$309,3,FALSE)</f>
        <v>0</v>
      </c>
    </row>
    <row r="301" spans="1:24" ht="12.75" customHeight="1" x14ac:dyDescent="0.2">
      <c r="A301" s="227">
        <v>301</v>
      </c>
      <c r="B301" s="5988"/>
      <c r="C301" s="1882" t="str">
        <f t="shared" si="44"/>
        <v>Apto en campo: Creativas</v>
      </c>
      <c r="D301" s="871">
        <f t="shared" si="41"/>
        <v>27</v>
      </c>
      <c r="E301" s="47" t="s">
        <v>10132</v>
      </c>
      <c r="F301" s="1878">
        <v>2</v>
      </c>
      <c r="G301" s="1878">
        <f>COUNTIF(Principal!$C$35:$J$47,Tablas!E301)+COUNTIF(Principal!$C$48:$F$49,Tablas!E301)</f>
        <v>0</v>
      </c>
      <c r="H301" s="1879">
        <f t="shared" si="47"/>
        <v>0</v>
      </c>
      <c r="I301" s="876">
        <v>1</v>
      </c>
      <c r="J301" s="1883" t="s">
        <v>2811</v>
      </c>
      <c r="L301" s="489" t="s">
        <v>1435</v>
      </c>
      <c r="M301" s="978" t="s">
        <v>1438</v>
      </c>
      <c r="N301" s="2411">
        <v>1</v>
      </c>
      <c r="O301" s="2411">
        <f>IF(Personalización!$L$11=M301,1,0)+IF(Personalización!$N$11=M301,1,0)+IF(Personalización!$P$11=M301,1,0)</f>
        <v>0</v>
      </c>
      <c r="P301" s="1879">
        <v>2</v>
      </c>
      <c r="Q301" s="2411">
        <f>IF(Personalización!$L$12=M301,1,0)+IF(Personalización!$N$12=M301,1,0)+IF(Personalización!$P$12=M301,1,0)</f>
        <v>0</v>
      </c>
      <c r="R301" s="1879">
        <v>1</v>
      </c>
      <c r="S301" s="2411">
        <f>IF(Personalización!$L$13=M301,1,0)+IF(Personalización!$N$13=M301,1,0)+IF(Personalización!$P$13=M301,1,0)</f>
        <v>0</v>
      </c>
      <c r="T301" s="1879">
        <v>2</v>
      </c>
      <c r="U301" s="2411">
        <f>IF(Personalización!$L$14=M301,1,0)+IF(Personalización!$N$14=M301,1,0)+IF(Personalización!$P$14=M301,1,0)</f>
        <v>0</v>
      </c>
      <c r="V301" s="1879">
        <v>3</v>
      </c>
      <c r="W301" s="561">
        <f>IF(Personalización!$L$15=M301,1,0)+IF(Personalización!$N$15=M301,1,0)+IF(Personalización!$P$15=M301,1,0)</f>
        <v>0</v>
      </c>
      <c r="X301" s="561">
        <f>10*Tablas!S301+20*Tablas!U301+30*Tablas!W301+5*VLOOKUP("Apr. innato (2): "&amp;L301,$E$293:$G$309,3,FALSE)+10*VLOOKUP("Apr. innato (3): "&amp;L301,$E$293:$G$309,3,FALSE)</f>
        <v>0</v>
      </c>
    </row>
    <row r="302" spans="1:24" ht="12.75" customHeight="1" x14ac:dyDescent="0.2">
      <c r="A302" s="227">
        <v>302</v>
      </c>
      <c r="B302" s="5988"/>
      <c r="C302" s="1882" t="str">
        <f t="shared" si="44"/>
        <v>Apto en campo: Intelectuales</v>
      </c>
      <c r="D302" s="871">
        <f t="shared" si="41"/>
        <v>23</v>
      </c>
      <c r="E302" s="47" t="s">
        <v>10133</v>
      </c>
      <c r="F302" s="1878">
        <v>2</v>
      </c>
      <c r="G302" s="1878">
        <f>COUNTIF(Principal!$C$35:$J$47,Tablas!E302)+COUNTIF(Principal!$C$48:$F$49,Tablas!E302)</f>
        <v>0</v>
      </c>
      <c r="H302" s="1879">
        <f t="shared" si="47"/>
        <v>0</v>
      </c>
      <c r="I302" s="876">
        <v>1</v>
      </c>
      <c r="J302" s="1883" t="s">
        <v>2811</v>
      </c>
      <c r="L302" s="489" t="s">
        <v>1435</v>
      </c>
      <c r="M302" s="978" t="s">
        <v>1440</v>
      </c>
      <c r="N302" s="2411">
        <v>1</v>
      </c>
      <c r="O302" s="2411">
        <f>IF(Personalización!$L$11=M302,1,0)+IF(Personalización!$N$11=M302,1,0)+IF(Personalización!$P$11=M302,1,0)</f>
        <v>0</v>
      </c>
      <c r="P302" s="1879">
        <v>2</v>
      </c>
      <c r="Q302" s="2411">
        <f>IF(Personalización!$L$12=M302,1,0)+IF(Personalización!$N$12=M302,1,0)+IF(Personalización!$P$12=M302,1,0)</f>
        <v>0</v>
      </c>
      <c r="R302" s="1879">
        <v>1</v>
      </c>
      <c r="S302" s="2411">
        <f>IF(Personalización!$L$13=M302,1,0)+IF(Personalización!$N$13=M302,1,0)+IF(Personalización!$P$13=M302,1,0)</f>
        <v>0</v>
      </c>
      <c r="T302" s="1879">
        <v>2</v>
      </c>
      <c r="U302" s="2411">
        <f>IF(Personalización!$L$14=M302,1,0)+IF(Personalización!$N$14=M302,1,0)+IF(Personalización!$P$14=M302,1,0)</f>
        <v>0</v>
      </c>
      <c r="V302" s="1879">
        <v>3</v>
      </c>
      <c r="W302" s="561">
        <f>IF(Personalización!$L$15=M302,1,0)+IF(Personalización!$N$15=M302,1,0)+IF(Personalización!$P$15=M302,1,0)</f>
        <v>0</v>
      </c>
      <c r="X302" s="561">
        <f>10*Tablas!S302+20*Tablas!U302+30*Tablas!W302+5*VLOOKUP("Apr. innato (2): "&amp;L302,$E$293:$G$309,3,FALSE)+10*VLOOKUP("Apr. innato (3): "&amp;L302,$E$293:$G$309,3,FALSE)</f>
        <v>0</v>
      </c>
    </row>
    <row r="303" spans="1:24" ht="12.75" customHeight="1" x14ac:dyDescent="0.2">
      <c r="A303" s="227">
        <v>303</v>
      </c>
      <c r="B303" s="5988"/>
      <c r="C303" s="1882" t="str">
        <f t="shared" si="44"/>
        <v>Apto en campo: Perceptivas</v>
      </c>
      <c r="D303" s="871">
        <f t="shared" si="41"/>
        <v>29</v>
      </c>
      <c r="E303" s="47" t="s">
        <v>10134</v>
      </c>
      <c r="F303" s="1878">
        <v>3</v>
      </c>
      <c r="G303" s="1878">
        <f>COUNTIF(Principal!$C$35:$J$47,Tablas!E303)+COUNTIF(Principal!$C$48:$F$49,Tablas!E303)</f>
        <v>0</v>
      </c>
      <c r="H303" s="1879">
        <f t="shared" si="47"/>
        <v>0</v>
      </c>
      <c r="I303" s="876">
        <v>1</v>
      </c>
      <c r="J303" s="1883" t="s">
        <v>2811</v>
      </c>
      <c r="L303" s="489" t="s">
        <v>1435</v>
      </c>
      <c r="M303" s="978" t="s">
        <v>819</v>
      </c>
      <c r="N303" s="2411">
        <v>1</v>
      </c>
      <c r="O303" s="2411">
        <f>IF(Personalización!$L$11=M303,1,0)+IF(Personalización!$N$11=M303,1,0)+IF(Personalización!$P$11=M303,1,0)</f>
        <v>0</v>
      </c>
      <c r="P303" s="1879">
        <v>2</v>
      </c>
      <c r="Q303" s="2411">
        <f>IF(Personalización!$L$12=M303,1,0)+IF(Personalización!$N$12=M303,1,0)+IF(Personalización!$P$12=M303,1,0)</f>
        <v>0</v>
      </c>
      <c r="R303" s="1879">
        <v>1</v>
      </c>
      <c r="S303" s="2411">
        <f>IF(Personalización!$L$13=M303,1,0)+IF(Personalización!$N$13=M303,1,0)+IF(Personalización!$P$13=M303,1,0)</f>
        <v>0</v>
      </c>
      <c r="T303" s="1879">
        <v>2</v>
      </c>
      <c r="U303" s="2411">
        <f>IF(Personalización!$L$14=M303,1,0)+IF(Personalización!$N$14=M303,1,0)+IF(Personalización!$P$14=M303,1,0)</f>
        <v>0</v>
      </c>
      <c r="V303" s="1879">
        <v>3</v>
      </c>
      <c r="W303" s="561">
        <f>IF(Personalización!$L$15=M303,1,0)+IF(Personalización!$N$15=M303,1,0)+IF(Personalización!$P$15=M303,1,0)</f>
        <v>0</v>
      </c>
      <c r="X303" s="561">
        <f>10*Tablas!S303+20*Tablas!U303+30*Tablas!W303+5*VLOOKUP("Apr. innato (2): "&amp;L303,$E$293:$G$309,3,FALSE)+10*VLOOKUP("Apr. innato (3): "&amp;L303,$E$293:$G$309,3,FALSE)</f>
        <v>0</v>
      </c>
    </row>
    <row r="304" spans="1:24" ht="12.75" customHeight="1" x14ac:dyDescent="0.2">
      <c r="A304" s="227">
        <v>304</v>
      </c>
      <c r="B304" s="5988"/>
      <c r="C304" s="1882" t="str">
        <f t="shared" si="44"/>
        <v>Apto en campo: Sociales</v>
      </c>
      <c r="D304" s="871">
        <f t="shared" si="41"/>
        <v>33</v>
      </c>
      <c r="E304" s="47" t="s">
        <v>10135</v>
      </c>
      <c r="F304" s="1878">
        <v>3</v>
      </c>
      <c r="G304" s="1878">
        <f>COUNTIF(Principal!$C$35:$J$47,Tablas!E304)+COUNTIF(Principal!$C$48:$F$49,Tablas!E304)</f>
        <v>0</v>
      </c>
      <c r="H304" s="1879">
        <f t="shared" si="47"/>
        <v>0</v>
      </c>
      <c r="I304" s="876">
        <v>1</v>
      </c>
      <c r="J304" s="1883" t="s">
        <v>2811</v>
      </c>
      <c r="L304" s="489" t="s">
        <v>1435</v>
      </c>
      <c r="M304" s="978" t="s">
        <v>1443</v>
      </c>
      <c r="N304" s="2411">
        <v>1</v>
      </c>
      <c r="O304" s="2411">
        <f>IF(Personalización!$L$11=M304,1,0)+IF(Personalización!$N$11=M304,1,0)+IF(Personalización!$P$11=M304,1,0)</f>
        <v>0</v>
      </c>
      <c r="P304" s="1879">
        <v>2</v>
      </c>
      <c r="Q304" s="2411">
        <f>IF(Personalización!$L$12=M304,1,0)+IF(Personalización!$N$12=M304,1,0)+IF(Personalización!$P$12=M304,1,0)</f>
        <v>0</v>
      </c>
      <c r="R304" s="1879">
        <v>1</v>
      </c>
      <c r="S304" s="2411">
        <f>IF(Personalización!$L$13=M304,1,0)+IF(Personalización!$N$13=M304,1,0)+IF(Personalización!$P$13=M304,1,0)</f>
        <v>0</v>
      </c>
      <c r="T304" s="1879">
        <v>2</v>
      </c>
      <c r="U304" s="2411">
        <f>IF(Personalización!$L$14=M304,1,0)+IF(Personalización!$N$14=M304,1,0)+IF(Personalización!$P$14=M304,1,0)</f>
        <v>0</v>
      </c>
      <c r="V304" s="1879">
        <v>3</v>
      </c>
      <c r="W304" s="561">
        <f>IF(Personalización!$L$15=M304,1,0)+IF(Personalización!$N$15=M304,1,0)+IF(Personalización!$P$15=M304,1,0)</f>
        <v>0</v>
      </c>
      <c r="X304" s="561">
        <f>10*Tablas!S304+20*Tablas!U304+30*Tablas!W304+5*VLOOKUP("Apr. innato (2): "&amp;L304,$E$293:$G$309,3,FALSE)+10*VLOOKUP("Apr. innato (3): "&amp;L304,$E$293:$G$309,3,FALSE)</f>
        <v>0</v>
      </c>
    </row>
    <row r="305" spans="1:24" ht="12.75" customHeight="1" x14ac:dyDescent="0.2">
      <c r="A305" s="227">
        <v>305</v>
      </c>
      <c r="B305" s="5988"/>
      <c r="C305" s="1882" t="str">
        <f t="shared" si="44"/>
        <v>Apto en campo: Subterfugio</v>
      </c>
      <c r="D305" s="871">
        <f t="shared" si="41"/>
        <v>32</v>
      </c>
      <c r="E305" s="47" t="s">
        <v>10136</v>
      </c>
      <c r="F305" s="1878">
        <v>3</v>
      </c>
      <c r="G305" s="1878">
        <f>COUNTIF(Principal!$C$35:$J$47,Tablas!E305)+COUNTIF(Principal!$C$48:$F$49,Tablas!E305)</f>
        <v>0</v>
      </c>
      <c r="H305" s="1879">
        <f t="shared" si="47"/>
        <v>0</v>
      </c>
      <c r="I305" s="876">
        <v>1</v>
      </c>
      <c r="J305" s="1883" t="s">
        <v>2811</v>
      </c>
      <c r="L305" s="489" t="s">
        <v>1435</v>
      </c>
      <c r="M305" s="978" t="s">
        <v>1444</v>
      </c>
      <c r="N305" s="2411">
        <v>1</v>
      </c>
      <c r="O305" s="2411">
        <f>IF(Personalización!$L$11=M305,1,0)+IF(Personalización!$N$11=M305,1,0)+IF(Personalización!$P$11=M305,1,0)</f>
        <v>0</v>
      </c>
      <c r="P305" s="1879">
        <v>2</v>
      </c>
      <c r="Q305" s="2411">
        <f>IF(Personalización!$L$12=M305,1,0)+IF(Personalización!$N$12=M305,1,0)+IF(Personalización!$P$12=M305,1,0)</f>
        <v>0</v>
      </c>
      <c r="R305" s="1879">
        <v>1</v>
      </c>
      <c r="S305" s="2411">
        <f>IF(Personalización!$L$13=M305,1,0)+IF(Personalización!$N$13=M305,1,0)+IF(Personalización!$P$13=M305,1,0)</f>
        <v>0</v>
      </c>
      <c r="T305" s="1879">
        <v>2</v>
      </c>
      <c r="U305" s="2411">
        <f>IF(Personalización!$L$14=M305,1,0)+IF(Personalización!$N$14=M305,1,0)+IF(Personalización!$P$14=M305,1,0)</f>
        <v>0</v>
      </c>
      <c r="V305" s="1879">
        <v>3</v>
      </c>
      <c r="W305" s="561">
        <f>IF(Personalización!$L$15=M305,1,0)+IF(Personalización!$N$15=M305,1,0)+IF(Personalización!$P$15=M305,1,0)</f>
        <v>0</v>
      </c>
      <c r="X305" s="561">
        <f>10*Tablas!S305+20*Tablas!U305+30*Tablas!W305+5*VLOOKUP("Apr. innato (2): "&amp;L305,$E$293:$G$309,3,FALSE)+10*VLOOKUP("Apr. innato (3): "&amp;L305,$E$293:$G$309,3,FALSE)</f>
        <v>0</v>
      </c>
    </row>
    <row r="306" spans="1:24" ht="12.75" customHeight="1" x14ac:dyDescent="0.2">
      <c r="A306" s="227">
        <v>306</v>
      </c>
      <c r="B306" s="5988"/>
      <c r="C306" s="1882" t="str">
        <f t="shared" si="44"/>
        <v>Apto en campo: Vigor</v>
      </c>
      <c r="D306" s="871">
        <f t="shared" si="41"/>
        <v>31</v>
      </c>
      <c r="E306" s="47" t="s">
        <v>10137</v>
      </c>
      <c r="F306" s="1878">
        <v>3</v>
      </c>
      <c r="G306" s="1878">
        <f>COUNTIF(Principal!$C$35:$J$47,Tablas!E306)+COUNTIF(Principal!$C$48:$F$49,Tablas!E306)</f>
        <v>0</v>
      </c>
      <c r="H306" s="1879">
        <f t="shared" si="47"/>
        <v>0</v>
      </c>
      <c r="I306" s="876">
        <v>1</v>
      </c>
      <c r="J306" s="1883" t="s">
        <v>2811</v>
      </c>
      <c r="L306" s="489" t="s">
        <v>1435</v>
      </c>
      <c r="M306" s="978" t="s">
        <v>1445</v>
      </c>
      <c r="N306" s="2411">
        <v>1</v>
      </c>
      <c r="O306" s="2411">
        <f>IF(Personalización!$L$11=M306,1,0)+IF(Personalización!$N$11=M306,1,0)+IF(Personalización!$P$11=M306,1,0)</f>
        <v>0</v>
      </c>
      <c r="P306" s="1879">
        <v>2</v>
      </c>
      <c r="Q306" s="2411">
        <f>IF(Personalización!$L$12=M306,1,0)+IF(Personalización!$N$12=M306,1,0)+IF(Personalización!$P$12=M306,1,0)</f>
        <v>0</v>
      </c>
      <c r="R306" s="1879">
        <v>1</v>
      </c>
      <c r="S306" s="2411">
        <f>IF(Personalización!$L$13=M306,1,0)+IF(Personalización!$N$13=M306,1,0)+IF(Personalización!$P$13=M306,1,0)</f>
        <v>0</v>
      </c>
      <c r="T306" s="1879">
        <v>2</v>
      </c>
      <c r="U306" s="2411">
        <f>IF(Personalización!$L$14=M306,1,0)+IF(Personalización!$N$14=M306,1,0)+IF(Personalización!$P$14=M306,1,0)</f>
        <v>0</v>
      </c>
      <c r="V306" s="1879">
        <v>3</v>
      </c>
      <c r="W306" s="561">
        <f>IF(Personalización!$L$15=M306,1,0)+IF(Personalización!$N$15=M306,1,0)+IF(Personalización!$P$15=M306,1,0)</f>
        <v>0</v>
      </c>
      <c r="X306" s="561">
        <f>10*Tablas!S306+20*Tablas!U306+30*Tablas!W306+5*VLOOKUP("Apr. innato (2): "&amp;L306,$E$293:$G$309,3,FALSE)+10*VLOOKUP("Apr. innato (3): "&amp;L306,$E$293:$G$309,3,FALSE)</f>
        <v>0</v>
      </c>
    </row>
    <row r="307" spans="1:24" ht="12.75" customHeight="1" x14ac:dyDescent="0.2">
      <c r="A307" s="227">
        <v>307</v>
      </c>
      <c r="B307" s="5988"/>
      <c r="C307" s="1882" t="str">
        <f t="shared" si="44"/>
        <v>Apto en una materia (1)</v>
      </c>
      <c r="D307" s="871">
        <f t="shared" si="41"/>
        <v>35</v>
      </c>
      <c r="E307" s="47" t="s">
        <v>10138</v>
      </c>
      <c r="F307" s="1878">
        <v>3</v>
      </c>
      <c r="G307" s="1878">
        <f>COUNTIF(Principal!$C$35:$J$47,Tablas!E307)+COUNTIF(Principal!$C$48:$F$49,Tablas!E307)</f>
        <v>0</v>
      </c>
      <c r="H307" s="1879">
        <f t="shared" si="47"/>
        <v>0</v>
      </c>
      <c r="I307" s="876">
        <v>1</v>
      </c>
      <c r="J307" s="1883" t="s">
        <v>2811</v>
      </c>
      <c r="L307" s="489" t="s">
        <v>1435</v>
      </c>
      <c r="M307" s="978" t="s">
        <v>1446</v>
      </c>
      <c r="N307" s="2411">
        <v>1</v>
      </c>
      <c r="O307" s="2411">
        <f>IF(Personalización!$L$11=M307,1,0)+IF(Personalización!$N$11=M307,1,0)+IF(Personalización!$P$11=M307,1,0)</f>
        <v>0</v>
      </c>
      <c r="P307" s="1879">
        <v>2</v>
      </c>
      <c r="Q307" s="2411">
        <f>IF(Personalización!$L$12=M307,1,0)+IF(Personalización!$N$12=M307,1,0)+IF(Personalización!$P$12=M307,1,0)</f>
        <v>0</v>
      </c>
      <c r="R307" s="1879">
        <v>1</v>
      </c>
      <c r="S307" s="2411">
        <f>IF(Personalización!$L$13=M307,1,0)+IF(Personalización!$N$13=M307,1,0)+IF(Personalización!$P$13=M307,1,0)</f>
        <v>0</v>
      </c>
      <c r="T307" s="1879">
        <v>2</v>
      </c>
      <c r="U307" s="2411">
        <f>IF(Personalización!$L$14=M307,1,0)+IF(Personalización!$N$14=M307,1,0)+IF(Personalización!$P$14=M307,1,0)</f>
        <v>0</v>
      </c>
      <c r="V307" s="1879">
        <v>3</v>
      </c>
      <c r="W307" s="561">
        <f>IF(Personalización!$L$15=M307,1,0)+IF(Personalización!$N$15=M307,1,0)+IF(Personalización!$P$15=M307,1,0)</f>
        <v>0</v>
      </c>
      <c r="X307" s="561">
        <f>10*Tablas!S307+20*Tablas!U307+30*Tablas!W307+5*VLOOKUP("Apr. innato (2): "&amp;L307,$E$293:$G$309,3,FALSE)+10*VLOOKUP("Apr. innato (3): "&amp;L307,$E$293:$G$309,3,FALSE)</f>
        <v>0</v>
      </c>
    </row>
    <row r="308" spans="1:24" ht="12.75" customHeight="1" x14ac:dyDescent="0.2">
      <c r="A308" s="227">
        <v>308</v>
      </c>
      <c r="B308" s="5988"/>
      <c r="C308" s="1882" t="str">
        <f t="shared" si="44"/>
        <v>Apto en una materia (2)</v>
      </c>
      <c r="D308" s="871">
        <f t="shared" si="41"/>
        <v>34</v>
      </c>
      <c r="E308" s="47" t="s">
        <v>10139</v>
      </c>
      <c r="F308" s="1878">
        <v>3</v>
      </c>
      <c r="G308" s="1878">
        <f>COUNTIF(Principal!$C$35:$J$47,Tablas!E308)+COUNTIF(Principal!$C$48:$F$49,Tablas!E308)</f>
        <v>0</v>
      </c>
      <c r="H308" s="1879">
        <f t="shared" si="47"/>
        <v>0</v>
      </c>
      <c r="I308" s="876">
        <v>1</v>
      </c>
      <c r="J308" s="1883" t="s">
        <v>2811</v>
      </c>
      <c r="L308" s="489" t="s">
        <v>1435</v>
      </c>
      <c r="M308" s="978" t="s">
        <v>1447</v>
      </c>
      <c r="N308" s="2411">
        <v>1</v>
      </c>
      <c r="O308" s="2411">
        <f>IF(Personalización!$L$11=M308,1,0)+IF(Personalización!$N$11=M308,1,0)+IF(Personalización!$P$11=M308,1,0)</f>
        <v>0</v>
      </c>
      <c r="P308" s="1879">
        <v>2</v>
      </c>
      <c r="Q308" s="2411">
        <f>IF(Personalización!$L$12=M308,1,0)+IF(Personalización!$N$12=M308,1,0)+IF(Personalización!$P$12=M308,1,0)</f>
        <v>0</v>
      </c>
      <c r="R308" s="1879">
        <v>1</v>
      </c>
      <c r="S308" s="2411">
        <f>IF(Personalización!$L$13=M308,1,0)+IF(Personalización!$N$13=M308,1,0)+IF(Personalización!$P$13=M308,1,0)</f>
        <v>0</v>
      </c>
      <c r="T308" s="1879">
        <v>2</v>
      </c>
      <c r="U308" s="2411">
        <f>IF(Personalización!$L$14=M308,1,0)+IF(Personalización!$N$14=M308,1,0)+IF(Personalización!$P$14=M308,1,0)</f>
        <v>0</v>
      </c>
      <c r="V308" s="1879">
        <v>3</v>
      </c>
      <c r="W308" s="561">
        <f>IF(Personalización!$L$15=M308,1,0)+IF(Personalización!$N$15=M308,1,0)+IF(Personalización!$P$15=M308,1,0)</f>
        <v>0</v>
      </c>
      <c r="X308" s="561">
        <f>10*Tablas!S308+20*Tablas!U308+30*Tablas!W308+5*VLOOKUP("Apr. innato (2): "&amp;L308,$E$293:$G$309,3,FALSE)+10*VLOOKUP("Apr. innato (3): "&amp;L308,$E$293:$G$309,3,FALSE)</f>
        <v>0</v>
      </c>
    </row>
    <row r="309" spans="1:24" ht="12.75" customHeight="1" x14ac:dyDescent="0.2">
      <c r="A309" s="227">
        <v>309</v>
      </c>
      <c r="B309" s="5988"/>
      <c r="C309" s="1882" t="str">
        <f t="shared" si="44"/>
        <v>Armadura mística</v>
      </c>
      <c r="D309" s="871">
        <f t="shared" si="41"/>
        <v>30</v>
      </c>
      <c r="E309" s="47" t="s">
        <v>10140</v>
      </c>
      <c r="F309" s="1878">
        <v>3</v>
      </c>
      <c r="G309" s="1878">
        <f>COUNTIF(Principal!$C$35:$J$47,Tablas!E309)+COUNTIF(Principal!$C$48:$F$49,Tablas!E309)</f>
        <v>0</v>
      </c>
      <c r="H309" s="1879">
        <f t="shared" si="47"/>
        <v>0</v>
      </c>
      <c r="I309" s="876">
        <v>1</v>
      </c>
      <c r="J309" s="1883" t="s">
        <v>2811</v>
      </c>
      <c r="L309" s="489" t="s">
        <v>1435</v>
      </c>
      <c r="M309" s="978" t="s">
        <v>1448</v>
      </c>
      <c r="N309" s="2411">
        <v>1</v>
      </c>
      <c r="O309" s="2411">
        <f>IF(Personalización!$L$11=M309,1,0)+IF(Personalización!$N$11=M309,1,0)+IF(Personalización!$P$11=M309,1,0)</f>
        <v>0</v>
      </c>
      <c r="P309" s="1879">
        <v>2</v>
      </c>
      <c r="Q309" s="2411">
        <f>IF(Personalización!$L$12=M309,1,0)+IF(Personalización!$N$12=M309,1,0)+IF(Personalización!$P$12=M309,1,0)</f>
        <v>0</v>
      </c>
      <c r="R309" s="1879">
        <v>1</v>
      </c>
      <c r="S309" s="2411">
        <f>IF(Personalización!$L$13=M309,1,0)+IF(Personalización!$N$13=M309,1,0)+IF(Personalización!$P$13=M309,1,0)</f>
        <v>0</v>
      </c>
      <c r="T309" s="1879">
        <v>2</v>
      </c>
      <c r="U309" s="2411">
        <f>IF(Personalización!$L$14=M309,1,0)+IF(Personalización!$N$14=M309,1,0)+IF(Personalización!$P$14=M309,1,0)</f>
        <v>0</v>
      </c>
      <c r="V309" s="1879">
        <v>3</v>
      </c>
      <c r="W309" s="561">
        <f>IF(Personalización!$L$15=M309,1,0)+IF(Personalización!$N$15=M309,1,0)+IF(Personalización!$P$15=M309,1,0)</f>
        <v>0</v>
      </c>
      <c r="X309" s="561">
        <f>10*Tablas!S309+20*Tablas!U309+30*Tablas!W309+5*VLOOKUP("Apr. innato (2): "&amp;L309,$E$293:$G$309,3,FALSE)+10*VLOOKUP("Apr. innato (3): "&amp;L309,$E$293:$G$309,3,FALSE)</f>
        <v>0</v>
      </c>
    </row>
    <row r="310" spans="1:24" ht="12.75" customHeight="1" x14ac:dyDescent="0.2">
      <c r="A310" s="227">
        <v>310</v>
      </c>
      <c r="B310" s="5988"/>
      <c r="C310" s="1882" t="str">
        <f t="shared" si="44"/>
        <v>Armadura natural</v>
      </c>
      <c r="D310" s="871">
        <f t="shared" si="41"/>
        <v>56</v>
      </c>
      <c r="E310" s="47" t="s">
        <v>2277</v>
      </c>
      <c r="F310" s="1878">
        <v>2</v>
      </c>
      <c r="G310" s="1878">
        <f>COUNTIF(Principal!$C$35:$J$47,Tablas!E310)+COUNTIF(Principal!$C$48:$F$49,Tablas!E310)</f>
        <v>0</v>
      </c>
      <c r="H310" s="1879">
        <f t="shared" si="47"/>
        <v>0</v>
      </c>
      <c r="I310" s="876">
        <v>1</v>
      </c>
      <c r="J310" s="1883" t="s">
        <v>2811</v>
      </c>
      <c r="L310" s="489" t="s">
        <v>1449</v>
      </c>
      <c r="M310" s="978" t="s">
        <v>1450</v>
      </c>
      <c r="N310" s="2411">
        <v>1</v>
      </c>
      <c r="O310" s="2411">
        <f>IF(Personalización!$L$11=M310,1,0)+IF(Personalización!$N$11=M310,1,0)+IF(Personalización!$P$11=M310,1,0)</f>
        <v>0</v>
      </c>
      <c r="P310" s="1879">
        <v>2</v>
      </c>
      <c r="Q310" s="2411">
        <f>IF(Personalización!$L$12=M310,1,0)+IF(Personalización!$N$12=M310,1,0)+IF(Personalización!$P$12=M310,1,0)</f>
        <v>0</v>
      </c>
      <c r="R310" s="1879">
        <v>1</v>
      </c>
      <c r="S310" s="2411">
        <f>IF(Personalización!$L$13=M310,1,0)+IF(Personalización!$N$13=M310,1,0)+IF(Personalización!$P$13=M310,1,0)</f>
        <v>0</v>
      </c>
      <c r="T310" s="1879">
        <v>2</v>
      </c>
      <c r="U310" s="2411">
        <f>IF(Personalización!$L$14=M310,1,0)+IF(Personalización!$N$14=M310,1,0)+IF(Personalización!$P$14=M310,1,0)</f>
        <v>0</v>
      </c>
      <c r="V310" s="1879">
        <v>3</v>
      </c>
      <c r="W310" s="561">
        <f>IF(Personalización!$L$15=M310,1,0)+IF(Personalización!$N$15=M310,1,0)+IF(Personalización!$P$15=M310,1,0)</f>
        <v>0</v>
      </c>
      <c r="X310" s="561">
        <f>10*Tablas!S310+20*Tablas!U310+30*Tablas!W310+5*VLOOKUP("Apr. innato (2): "&amp;L310,$E$293:$G$309,3,FALSE)+10*VLOOKUP("Apr. innato (3): "&amp;L310,$E$293:$G$309,3,FALSE)</f>
        <v>0</v>
      </c>
    </row>
    <row r="311" spans="1:24" ht="12.75" customHeight="1" x14ac:dyDescent="0.2">
      <c r="A311" s="227">
        <v>311</v>
      </c>
      <c r="B311" s="5988"/>
      <c r="C311" s="1882" t="str">
        <f t="shared" si="44"/>
        <v>Bono natural incrementado</v>
      </c>
      <c r="D311" s="871">
        <f t="shared" si="41"/>
        <v>115</v>
      </c>
      <c r="E311" s="47" t="s">
        <v>2278</v>
      </c>
      <c r="F311" s="1878">
        <v>1</v>
      </c>
      <c r="G311" s="1878">
        <f>COUNTIF(Principal!$C$35:$J$47,Tablas!E311)+COUNTIF(Principal!$C$48:$F$49,Tablas!E311)</f>
        <v>0</v>
      </c>
      <c r="H311" s="1879">
        <f t="shared" si="47"/>
        <v>0</v>
      </c>
      <c r="I311" s="876"/>
      <c r="J311" s="1883" t="s">
        <v>2811</v>
      </c>
      <c r="L311" s="489" t="s">
        <v>1449</v>
      </c>
      <c r="M311" s="978" t="s">
        <v>1451</v>
      </c>
      <c r="N311" s="2411">
        <v>1</v>
      </c>
      <c r="O311" s="2411">
        <f>IF(Personalización!$L$11=M311,1,0)+IF(Personalización!$N$11=M311,1,0)+IF(Personalización!$P$11=M311,1,0)</f>
        <v>0</v>
      </c>
      <c r="P311" s="1879">
        <v>2</v>
      </c>
      <c r="Q311" s="2411">
        <f>IF(Personalización!$L$12=M311,1,0)+IF(Personalización!$N$12=M311,1,0)+IF(Personalización!$P$12=M311,1,0)</f>
        <v>0</v>
      </c>
      <c r="R311" s="1879">
        <v>1</v>
      </c>
      <c r="S311" s="2411">
        <f>IF(Personalización!$L$13=M311,1,0)+IF(Personalización!$N$13=M311,1,0)+IF(Personalización!$P$13=M311,1,0)</f>
        <v>0</v>
      </c>
      <c r="T311" s="1879">
        <v>2</v>
      </c>
      <c r="U311" s="2411">
        <f>IF(Personalización!$L$14=M311,1,0)+IF(Personalización!$N$14=M311,1,0)+IF(Personalización!$P$14=M311,1,0)</f>
        <v>0</v>
      </c>
      <c r="V311" s="1879">
        <v>3</v>
      </c>
      <c r="W311" s="561">
        <f>IF(Personalización!$L$15=M311,1,0)+IF(Personalización!$N$15=M311,1,0)+IF(Personalización!$P$15=M311,1,0)</f>
        <v>0</v>
      </c>
      <c r="X311" s="561">
        <f>10*Tablas!S311+20*Tablas!U311+30*Tablas!W311+5*VLOOKUP("Apr. innato (2): "&amp;L311,$E$293:$G$309,3,FALSE)+10*VLOOKUP("Apr. innato (3): "&amp;L311,$E$293:$G$309,3,FALSE)</f>
        <v>0</v>
      </c>
    </row>
    <row r="312" spans="1:24" ht="12.75" customHeight="1" x14ac:dyDescent="0.2">
      <c r="A312" s="227">
        <v>312</v>
      </c>
      <c r="B312" s="5988"/>
      <c r="C312" s="1882" t="str">
        <f t="shared" si="44"/>
        <v>Buena suerte</v>
      </c>
      <c r="D312" s="871">
        <f t="shared" si="41"/>
        <v>68</v>
      </c>
      <c r="E312" s="47" t="s">
        <v>2279</v>
      </c>
      <c r="F312" s="1878">
        <v>1</v>
      </c>
      <c r="G312" s="1878">
        <f>COUNTIF(Principal!$C$35:$J$47,Tablas!E312)+COUNTIF(Principal!$C$48:$F$49,Tablas!E312)</f>
        <v>0</v>
      </c>
      <c r="H312" s="1879">
        <f t="shared" si="47"/>
        <v>0</v>
      </c>
      <c r="I312" s="876"/>
      <c r="J312" s="1883" t="s">
        <v>2811</v>
      </c>
      <c r="L312" s="489" t="s">
        <v>1449</v>
      </c>
      <c r="M312" s="978" t="s">
        <v>1454</v>
      </c>
      <c r="N312" s="2411">
        <v>1</v>
      </c>
      <c r="O312" s="2411">
        <f>IF(Personalización!$L$11=M312,1,0)+IF(Personalización!$N$11=M312,1,0)+IF(Personalización!$P$11=M312,1,0)</f>
        <v>0</v>
      </c>
      <c r="P312" s="1879">
        <v>2</v>
      </c>
      <c r="Q312" s="2411">
        <f>IF(Personalización!$L$12=M312,1,0)+IF(Personalización!$N$12=M312,1,0)+IF(Personalización!$P$12=M312,1,0)</f>
        <v>0</v>
      </c>
      <c r="R312" s="1879">
        <v>1</v>
      </c>
      <c r="S312" s="2411">
        <f>IF(Personalización!$L$13=M312,1,0)+IF(Personalización!$N$13=M312,1,0)+IF(Personalización!$P$13=M312,1,0)</f>
        <v>0</v>
      </c>
      <c r="T312" s="1879">
        <v>2</v>
      </c>
      <c r="U312" s="2411">
        <f>IF(Personalización!$L$14=M312,1,0)+IF(Personalización!$N$14=M312,1,0)+IF(Personalización!$P$14=M312,1,0)</f>
        <v>0</v>
      </c>
      <c r="V312" s="1879">
        <v>3</v>
      </c>
      <c r="W312" s="561">
        <f>IF(Personalización!$L$15=M312,1,0)+IF(Personalización!$N$15=M312,1,0)+IF(Personalización!$P$15=M312,1,0)</f>
        <v>0</v>
      </c>
      <c r="X312" s="561">
        <f>10*Tablas!S312+20*Tablas!U312+30*Tablas!W312+5*VLOOKUP("Apr. innato (2): "&amp;L312,$E$293:$G$309,3,FALSE)+10*VLOOKUP("Apr. innato (3): "&amp;L312,$E$293:$G$309,3,FALSE)</f>
        <v>0</v>
      </c>
    </row>
    <row r="313" spans="1:24" ht="12.75" customHeight="1" x14ac:dyDescent="0.2">
      <c r="A313" s="227">
        <v>313</v>
      </c>
      <c r="B313" s="5988"/>
      <c r="C313" s="1882" t="str">
        <f t="shared" si="44"/>
        <v>Con. de todas las materias</v>
      </c>
      <c r="D313" s="871">
        <f t="shared" si="41"/>
        <v>55</v>
      </c>
      <c r="E313" s="47" t="s">
        <v>2280</v>
      </c>
      <c r="F313" s="1878">
        <v>1</v>
      </c>
      <c r="G313" s="1878">
        <f>COUNTIF(Principal!$C$35:$J$47,Tablas!E313)+COUNTIF(Principal!$C$48:$F$49,Tablas!E313)</f>
        <v>0</v>
      </c>
      <c r="H313" s="1879">
        <f t="shared" si="47"/>
        <v>0</v>
      </c>
      <c r="I313" s="876"/>
      <c r="J313" s="1883" t="s">
        <v>2811</v>
      </c>
      <c r="L313" s="489" t="s">
        <v>1457</v>
      </c>
      <c r="M313" s="978" t="s">
        <v>1458</v>
      </c>
      <c r="N313" s="2411">
        <v>1</v>
      </c>
      <c r="O313" s="2411">
        <f>IF(Personalización!$L$11=M313,1,0)+IF(Personalización!$N$11=M313,1,0)+IF(Personalización!$P$11=M313,1,0)</f>
        <v>0</v>
      </c>
      <c r="P313" s="1879">
        <v>2</v>
      </c>
      <c r="Q313" s="2411">
        <f>IF(Personalización!$L$12=M313,1,0)+IF(Personalización!$N$12=M313,1,0)+IF(Personalización!$P$12=M313,1,0)</f>
        <v>0</v>
      </c>
      <c r="R313" s="1879">
        <v>1</v>
      </c>
      <c r="S313" s="2411">
        <f>IF(Personalización!$L$13=M313,1,0)+IF(Personalización!$N$13=M313,1,0)+IF(Personalización!$P$13=M313,1,0)</f>
        <v>0</v>
      </c>
      <c r="T313" s="1879">
        <v>2</v>
      </c>
      <c r="U313" s="2411">
        <f>IF(Personalización!$L$14=M313,1,0)+IF(Personalización!$N$14=M313,1,0)+IF(Personalización!$P$14=M313,1,0)</f>
        <v>0</v>
      </c>
      <c r="V313" s="1879">
        <v>3</v>
      </c>
      <c r="W313" s="561">
        <f>IF(Personalización!$L$15=M313,1,0)+IF(Personalización!$N$15=M313,1,0)+IF(Personalización!$P$15=M313,1,0)</f>
        <v>0</v>
      </c>
      <c r="X313" s="561">
        <f>10*Tablas!S313+20*Tablas!U313+30*Tablas!W313+5*VLOOKUP("Apr. innato (2): "&amp;L313,$E$293:$G$309,3,FALSE)+10*VLOOKUP("Apr. innato (3): "&amp;L313,$E$293:$G$309,3,FALSE)</f>
        <v>0</v>
      </c>
    </row>
    <row r="314" spans="1:24" ht="12.75" customHeight="1" x14ac:dyDescent="0.2">
      <c r="A314" s="227">
        <v>314</v>
      </c>
      <c r="B314" s="5988"/>
      <c r="C314" s="1882" t="str">
        <f t="shared" si="44"/>
        <v>Convocador de masas (1)</v>
      </c>
      <c r="D314" s="871">
        <f t="shared" si="41"/>
        <v>19</v>
      </c>
      <c r="E314" s="47" t="s">
        <v>2281</v>
      </c>
      <c r="F314" s="1878">
        <v>1</v>
      </c>
      <c r="G314" s="1878">
        <f>COUNTIF(Principal!$C$35:$J$47,Tablas!E314)+COUNTIF(Principal!$C$48:$F$49,Tablas!E314)</f>
        <v>0</v>
      </c>
      <c r="H314" s="1879">
        <f t="shared" si="47"/>
        <v>0</v>
      </c>
      <c r="I314" s="876"/>
      <c r="J314" s="1883" t="s">
        <v>2811</v>
      </c>
      <c r="L314" s="489" t="s">
        <v>1457</v>
      </c>
      <c r="M314" s="978" t="s">
        <v>1460</v>
      </c>
      <c r="N314" s="2411">
        <v>1</v>
      </c>
      <c r="O314" s="2411">
        <f>IF(Personalización!$L$11=M314,1,0)+IF(Personalización!$N$11=M314,1,0)+IF(Personalización!$P$11=M314,1,0)</f>
        <v>0</v>
      </c>
      <c r="P314" s="1879">
        <v>2</v>
      </c>
      <c r="Q314" s="2411">
        <f>IF(Personalización!$L$12=M314,1,0)+IF(Personalización!$N$12=M314,1,0)+IF(Personalización!$P$12=M314,1,0)</f>
        <v>0</v>
      </c>
      <c r="R314" s="1879">
        <v>1</v>
      </c>
      <c r="S314" s="2411">
        <f>IF(Personalización!$L$13=M314,1,0)+IF(Personalización!$N$13=M314,1,0)+IF(Personalización!$P$13=M314,1,0)</f>
        <v>0</v>
      </c>
      <c r="T314" s="1879">
        <v>2</v>
      </c>
      <c r="U314" s="2411">
        <f>IF(Personalización!$L$14=M314,1,0)+IF(Personalización!$N$14=M314,1,0)+IF(Personalización!$P$14=M314,1,0)</f>
        <v>0</v>
      </c>
      <c r="V314" s="1879">
        <v>3</v>
      </c>
      <c r="W314" s="561">
        <f>IF(Personalización!$L$15=M314,1,0)+IF(Personalización!$N$15=M314,1,0)+IF(Personalización!$P$15=M314,1,0)</f>
        <v>0</v>
      </c>
      <c r="X314" s="561">
        <f>10*Tablas!S314+20*Tablas!U314+30*Tablas!W314+5*VLOOKUP("Apr. innato (2): "&amp;L314,$E$293:$G$309,3,FALSE)+10*VLOOKUP("Apr. innato (3): "&amp;L314,$E$293:$G$309,3,FALSE)</f>
        <v>0</v>
      </c>
    </row>
    <row r="315" spans="1:24" ht="12.75" customHeight="1" x14ac:dyDescent="0.2">
      <c r="A315" s="227">
        <v>315</v>
      </c>
      <c r="B315" s="5988"/>
      <c r="C315" s="1882" t="str">
        <f t="shared" si="44"/>
        <v>Convocador de masas (2)</v>
      </c>
      <c r="D315" s="871">
        <f t="shared" si="41"/>
        <v>94</v>
      </c>
      <c r="E315" s="47" t="s">
        <v>2282</v>
      </c>
      <c r="F315" s="1878">
        <v>1</v>
      </c>
      <c r="G315" s="1878">
        <f>COUNTIF(Principal!$C$35:$J$47,Tablas!E315)+COUNTIF(Principal!$C$48:$F$49,Tablas!E315)</f>
        <v>0</v>
      </c>
      <c r="H315" s="1879">
        <f t="shared" si="47"/>
        <v>0</v>
      </c>
      <c r="I315" s="876">
        <v>1</v>
      </c>
      <c r="J315" s="1883" t="s">
        <v>2811</v>
      </c>
      <c r="L315" s="489" t="s">
        <v>1457</v>
      </c>
      <c r="M315" s="978" t="s">
        <v>1462</v>
      </c>
      <c r="N315" s="2411">
        <v>1</v>
      </c>
      <c r="O315" s="2411">
        <f>IF(Personalización!$L$11=M315,1,0)+IF(Personalización!$N$11=M315,1,0)+IF(Personalización!$P$11=M315,1,0)</f>
        <v>0</v>
      </c>
      <c r="P315" s="1879">
        <v>2</v>
      </c>
      <c r="Q315" s="2411">
        <f>IF(Personalización!$L$12=M315,1,0)+IF(Personalización!$N$12=M315,1,0)+IF(Personalización!$P$12=M315,1,0)</f>
        <v>0</v>
      </c>
      <c r="R315" s="1879">
        <v>1</v>
      </c>
      <c r="S315" s="2411">
        <f>IF(Personalización!$L$13=M315,1,0)+IF(Personalización!$N$13=M315,1,0)+IF(Personalización!$P$13=M315,1,0)</f>
        <v>0</v>
      </c>
      <c r="T315" s="1879">
        <v>2</v>
      </c>
      <c r="U315" s="2411">
        <f>IF(Personalización!$L$14=M315,1,0)+IF(Personalización!$N$14=M315,1,0)+IF(Personalización!$P$14=M315,1,0)</f>
        <v>0</v>
      </c>
      <c r="V315" s="1879">
        <v>3</v>
      </c>
      <c r="W315" s="561">
        <f>IF(Personalización!$L$15=M315,1,0)+IF(Personalización!$N$15=M315,1,0)+IF(Personalización!$P$15=M315,1,0)</f>
        <v>0</v>
      </c>
      <c r="X315" s="561">
        <f>10*Tablas!S315+20*Tablas!U315+30*Tablas!W315+5*VLOOKUP("Apr. innato (2): "&amp;L315,$E$293:$G$309,3,FALSE)+10*VLOOKUP("Apr. innato (3): "&amp;L315,$E$293:$G$309,3,FALSE)</f>
        <v>0</v>
      </c>
    </row>
    <row r="316" spans="1:24" ht="12.75" customHeight="1" x14ac:dyDescent="0.2">
      <c r="A316" s="227">
        <v>316</v>
      </c>
      <c r="B316" s="5988"/>
      <c r="C316" s="1882" t="str">
        <f t="shared" si="44"/>
        <v>Convocador de masas (3)</v>
      </c>
      <c r="D316" s="871">
        <f t="shared" si="41"/>
        <v>95</v>
      </c>
      <c r="E316" s="47" t="s">
        <v>2283</v>
      </c>
      <c r="F316" s="1878">
        <v>2</v>
      </c>
      <c r="G316" s="1878">
        <f>COUNTIF(Principal!$C$35:$J$47,Tablas!E316)+COUNTIF(Principal!$C$48:$F$49,Tablas!E316)</f>
        <v>0</v>
      </c>
      <c r="H316" s="1879">
        <f t="shared" si="47"/>
        <v>0</v>
      </c>
      <c r="I316" s="876">
        <v>1</v>
      </c>
      <c r="J316" s="1883" t="s">
        <v>2811</v>
      </c>
      <c r="L316" s="489" t="s">
        <v>1457</v>
      </c>
      <c r="M316" s="978" t="s">
        <v>1464</v>
      </c>
      <c r="N316" s="2411">
        <v>1</v>
      </c>
      <c r="O316" s="2411">
        <f>IF(Personalización!$L$11=M316,1,0)+IF(Personalización!$N$11=M316,1,0)+IF(Personalización!$P$11=M316,1,0)</f>
        <v>0</v>
      </c>
      <c r="P316" s="1879">
        <v>2</v>
      </c>
      <c r="Q316" s="2411">
        <f>IF(Personalización!$L$12=M316,1,0)+IF(Personalización!$N$12=M316,1,0)+IF(Personalización!$P$12=M316,1,0)</f>
        <v>0</v>
      </c>
      <c r="R316" s="1879">
        <v>1</v>
      </c>
      <c r="S316" s="2411">
        <f>IF(Personalización!$L$13=M316,1,0)+IF(Personalización!$N$13=M316,1,0)+IF(Personalización!$P$13=M316,1,0)</f>
        <v>0</v>
      </c>
      <c r="T316" s="1879">
        <v>2</v>
      </c>
      <c r="U316" s="2411">
        <f>IF(Personalización!$L$14=M316,1,0)+IF(Personalización!$N$14=M316,1,0)+IF(Personalización!$P$14=M316,1,0)</f>
        <v>0</v>
      </c>
      <c r="V316" s="1879">
        <v>3</v>
      </c>
      <c r="W316" s="561">
        <f>IF(Personalización!$L$15=M316,1,0)+IF(Personalización!$N$15=M316,1,0)+IF(Personalización!$P$15=M316,1,0)</f>
        <v>0</v>
      </c>
      <c r="X316" s="561">
        <f>10*Tablas!S316+20*Tablas!U316+30*Tablas!W316+5*VLOOKUP("Apr. innato (2): "&amp;L316,$E$293:$G$309,3,FALSE)+10*VLOOKUP("Apr. innato (3): "&amp;L316,$E$293:$G$309,3,FALSE)</f>
        <v>0</v>
      </c>
    </row>
    <row r="317" spans="1:24" ht="12.75" customHeight="1" x14ac:dyDescent="0.2">
      <c r="A317" s="227">
        <v>317</v>
      </c>
      <c r="B317" s="5988"/>
      <c r="C317" s="1882" t="str">
        <f t="shared" si="44"/>
        <v>Difícil de matar (1)</v>
      </c>
      <c r="D317" s="871">
        <f t="shared" si="41"/>
        <v>96</v>
      </c>
      <c r="E317" s="47" t="s">
        <v>2284</v>
      </c>
      <c r="F317" s="1878">
        <v>3</v>
      </c>
      <c r="G317" s="1878">
        <f>COUNTIF(Principal!$C$35:$J$47,Tablas!E317)+COUNTIF(Principal!$C$48:$F$49,Tablas!E317)</f>
        <v>0</v>
      </c>
      <c r="H317" s="1879">
        <f t="shared" si="47"/>
        <v>0</v>
      </c>
      <c r="I317" s="876">
        <v>1</v>
      </c>
      <c r="J317" s="1883" t="s">
        <v>2811</v>
      </c>
      <c r="L317" s="489" t="s">
        <v>1457</v>
      </c>
      <c r="M317" s="978" t="s">
        <v>1466</v>
      </c>
      <c r="N317" s="2411">
        <v>1</v>
      </c>
      <c r="O317" s="2411">
        <f>IF(Personalización!$L$11=M317,1,0)+IF(Personalización!$N$11=M317,1,0)+IF(Personalización!$P$11=M317,1,0)</f>
        <v>0</v>
      </c>
      <c r="P317" s="1879">
        <v>2</v>
      </c>
      <c r="Q317" s="2411">
        <f>IF(Personalización!$L$12=M317,1,0)+IF(Personalización!$N$12=M317,1,0)+IF(Personalización!$P$12=M317,1,0)</f>
        <v>0</v>
      </c>
      <c r="R317" s="1879">
        <v>1</v>
      </c>
      <c r="S317" s="2411">
        <f>IF(Personalización!$L$13=M317,1,0)+IF(Personalización!$N$13=M317,1,0)+IF(Personalización!$P$13=M317,1,0)</f>
        <v>0</v>
      </c>
      <c r="T317" s="1879">
        <v>2</v>
      </c>
      <c r="U317" s="2411">
        <f>IF(Personalización!$L$14=M317,1,0)+IF(Personalización!$N$14=M317,1,0)+IF(Personalización!$P$14=M317,1,0)</f>
        <v>0</v>
      </c>
      <c r="V317" s="1879">
        <v>3</v>
      </c>
      <c r="W317" s="561">
        <f>IF(Personalización!$L$15=M317,1,0)+IF(Personalización!$N$15=M317,1,0)+IF(Personalización!$P$15=M317,1,0)</f>
        <v>0</v>
      </c>
      <c r="X317" s="561">
        <f>10*Tablas!S317+20*Tablas!U317+30*Tablas!W317+5*VLOOKUP("Apr. innato (2): "&amp;L317,$E$293:$G$309,3,FALSE)+10*VLOOKUP("Apr. innato (3): "&amp;L317,$E$293:$G$309,3,FALSE)</f>
        <v>0</v>
      </c>
    </row>
    <row r="318" spans="1:24" ht="12.75" customHeight="1" x14ac:dyDescent="0.2">
      <c r="A318" s="227">
        <v>318</v>
      </c>
      <c r="B318" s="5988"/>
      <c r="C318" s="1882" t="str">
        <f t="shared" si="44"/>
        <v>Difícil de matar (2)</v>
      </c>
      <c r="D318" s="871">
        <f t="shared" si="41"/>
        <v>118</v>
      </c>
      <c r="E318" s="47" t="s">
        <v>2285</v>
      </c>
      <c r="F318" s="1878">
        <v>1</v>
      </c>
      <c r="G318" s="1878">
        <f>COUNTIF(Principal!$C$35:$J$47,Tablas!E318)+COUNTIF(Principal!$C$48:$F$49,Tablas!E318)</f>
        <v>0</v>
      </c>
      <c r="H318" s="1879">
        <f t="shared" si="47"/>
        <v>0</v>
      </c>
      <c r="I318" s="876">
        <v>1</v>
      </c>
      <c r="J318" s="1883" t="s">
        <v>2811</v>
      </c>
      <c r="K318" s="1873" t="s">
        <v>8469</v>
      </c>
      <c r="L318" s="489" t="s">
        <v>1457</v>
      </c>
      <c r="M318" s="978" t="s">
        <v>1468</v>
      </c>
      <c r="N318" s="2411">
        <v>1</v>
      </c>
      <c r="O318" s="2411">
        <f>IF(Personalización!$L$11=M318,1,0)+IF(Personalización!$N$11=M318,1,0)+IF(Personalización!$P$11=M318,1,0)</f>
        <v>0</v>
      </c>
      <c r="P318" s="1879">
        <v>2</v>
      </c>
      <c r="Q318" s="2411">
        <f>IF(Personalización!$L$12=M318,1,0)+IF(Personalización!$N$12=M318,1,0)+IF(Personalización!$P$12=M318,1,0)</f>
        <v>0</v>
      </c>
      <c r="R318" s="1879">
        <v>1</v>
      </c>
      <c r="S318" s="2411">
        <f>IF(Personalización!$L$13=M318,1,0)+IF(Personalización!$N$13=M318,1,0)+IF(Personalización!$P$13=M318,1,0)</f>
        <v>0</v>
      </c>
      <c r="T318" s="1879">
        <v>2</v>
      </c>
      <c r="U318" s="2411">
        <f>IF(Personalización!$L$14=M318,1,0)+IF(Personalización!$N$14=M318,1,0)+IF(Personalización!$P$14=M318,1,0)</f>
        <v>0</v>
      </c>
      <c r="V318" s="1879">
        <v>3</v>
      </c>
      <c r="W318" s="561">
        <f>IF(Personalización!$L$15=M318,1,0)+IF(Personalización!$N$15=M318,1,0)+IF(Personalización!$P$15=M318,1,0)</f>
        <v>0</v>
      </c>
      <c r="X318" s="561">
        <f>10*Tablas!S318+20*Tablas!U318+30*Tablas!W318+5*VLOOKUP("Apr. innato (2): "&amp;L318,$E$293:$G$309,3,FALSE)+10*VLOOKUP("Apr. innato (3): "&amp;L318,$E$293:$G$309,3,FALSE)</f>
        <v>0</v>
      </c>
    </row>
    <row r="319" spans="1:24" ht="12.75" customHeight="1" x14ac:dyDescent="0.2">
      <c r="A319" s="227">
        <v>319</v>
      </c>
      <c r="B319" s="5988"/>
      <c r="C319" s="1882" t="str">
        <f t="shared" si="44"/>
        <v>Difícil de matar (3)</v>
      </c>
      <c r="D319" s="871">
        <f t="shared" si="41"/>
        <v>119</v>
      </c>
      <c r="E319" s="47" t="s">
        <v>2286</v>
      </c>
      <c r="F319" s="1878">
        <v>1</v>
      </c>
      <c r="G319" s="1878">
        <f>COUNTIF(Principal!$C$35:$J$47,Tablas!E319)+COUNTIF(Principal!$C$48:$F$49,Tablas!E319)</f>
        <v>0</v>
      </c>
      <c r="H319" s="1879">
        <f t="shared" si="47"/>
        <v>0</v>
      </c>
      <c r="I319" s="876">
        <v>1</v>
      </c>
      <c r="J319" s="1883" t="s">
        <v>2811</v>
      </c>
      <c r="K319" s="1874">
        <f t="array" ref="K319">MAX({1;2;3;4;5}*G318:G322)+MIN({-1;-2;-3;-4;-5}*G323:G327)</f>
        <v>0</v>
      </c>
      <c r="L319" s="489" t="s">
        <v>1457</v>
      </c>
      <c r="M319" s="978" t="s">
        <v>1469</v>
      </c>
      <c r="N319" s="2411">
        <v>1</v>
      </c>
      <c r="O319" s="2411">
        <f>IF(Personalización!$L$11=M319,1,0)+IF(Personalización!$N$11=M319,1,0)+IF(Personalización!$P$11=M319,1,0)</f>
        <v>0</v>
      </c>
      <c r="P319" s="1879">
        <v>2</v>
      </c>
      <c r="Q319" s="2411">
        <f>IF(Personalización!$L$12=M319,1,0)+IF(Personalización!$N$12=M319,1,0)+IF(Personalización!$P$12=M319,1,0)</f>
        <v>0</v>
      </c>
      <c r="R319" s="1879">
        <v>1</v>
      </c>
      <c r="S319" s="2411">
        <f>IF(Personalización!$L$13=M319,1,0)+IF(Personalización!$N$13=M319,1,0)+IF(Personalización!$P$13=M319,1,0)</f>
        <v>0</v>
      </c>
      <c r="T319" s="1879">
        <v>2</v>
      </c>
      <c r="U319" s="2411">
        <f>IF(Personalización!$L$14=M319,1,0)+IF(Personalización!$N$14=M319,1,0)+IF(Personalización!$P$14=M319,1,0)</f>
        <v>0</v>
      </c>
      <c r="V319" s="1879">
        <v>3</v>
      </c>
      <c r="W319" s="561">
        <f>IF(Personalización!$L$15=M319,1,0)+IF(Personalización!$N$15=M319,1,0)+IF(Personalización!$P$15=M319,1,0)</f>
        <v>0</v>
      </c>
      <c r="X319" s="561">
        <f>10*Tablas!S319+20*Tablas!U319+30*Tablas!W319+5*VLOOKUP("Apr. innato (2): "&amp;L319,$E$293:$G$309,3,FALSE)+10*VLOOKUP("Apr. innato (3): "&amp;L319,$E$293:$G$309,3,FALSE)</f>
        <v>0</v>
      </c>
    </row>
    <row r="320" spans="1:24" ht="12.75" customHeight="1" x14ac:dyDescent="0.2">
      <c r="A320" s="227">
        <v>320</v>
      </c>
      <c r="B320" s="5988"/>
      <c r="C320" s="1882" t="str">
        <f t="shared" si="44"/>
        <v>Don</v>
      </c>
      <c r="D320" s="871">
        <f t="shared" si="41"/>
        <v>120</v>
      </c>
      <c r="E320" s="47" t="s">
        <v>2287</v>
      </c>
      <c r="F320" s="1878">
        <v>1</v>
      </c>
      <c r="G320" s="1878">
        <f>COUNTIF(Principal!$C$35:$J$47,Tablas!E320)+COUNTIF(Principal!$C$48:$F$49,Tablas!E320)</f>
        <v>0</v>
      </c>
      <c r="H320" s="1879">
        <f t="shared" si="47"/>
        <v>0</v>
      </c>
      <c r="I320" s="876">
        <v>1</v>
      </c>
      <c r="J320" s="1883" t="s">
        <v>2811</v>
      </c>
      <c r="L320" s="489" t="s">
        <v>1470</v>
      </c>
      <c r="M320" s="978" t="s">
        <v>1471</v>
      </c>
      <c r="N320" s="2411">
        <v>1</v>
      </c>
      <c r="O320" s="2411">
        <f>IF(Personalización!$L$11=M320,1,0)+IF(Personalización!$N$11=M320,1,0)+IF(Personalización!$P$11=M320,1,0)</f>
        <v>0</v>
      </c>
      <c r="P320" s="1879">
        <v>2</v>
      </c>
      <c r="Q320" s="2411">
        <f>IF(Personalización!$L$12=M320,1,0)+IF(Personalización!$N$12=M320,1,0)+IF(Personalización!$P$12=M320,1,0)</f>
        <v>0</v>
      </c>
      <c r="R320" s="1879">
        <v>1</v>
      </c>
      <c r="S320" s="2411">
        <f>IF(Personalización!$L$13=M320,1,0)+IF(Personalización!$N$13=M320,1,0)+IF(Personalización!$P$13=M320,1,0)</f>
        <v>0</v>
      </c>
      <c r="T320" s="1879">
        <v>2</v>
      </c>
      <c r="U320" s="2411">
        <f>IF(Personalización!$L$14=M320,1,0)+IF(Personalización!$N$14=M320,1,0)+IF(Personalización!$P$14=M320,1,0)</f>
        <v>0</v>
      </c>
      <c r="V320" s="1879">
        <v>3</v>
      </c>
      <c r="W320" s="561">
        <f>IF(Personalización!$L$15=M320,1,0)+IF(Personalización!$N$15=M320,1,0)+IF(Personalización!$P$15=M320,1,0)</f>
        <v>0</v>
      </c>
      <c r="X320" s="561">
        <f>10*Tablas!S320+20*Tablas!U320+30*Tablas!W320+5*VLOOKUP("Apr. innato (2): "&amp;L320,$E$293:$G$309,3,FALSE)+10*VLOOKUP("Apr. innato (3): "&amp;L320,$E$293:$G$309,3,FALSE)</f>
        <v>0</v>
      </c>
    </row>
    <row r="321" spans="1:24" ht="12.75" customHeight="1" x14ac:dyDescent="0.2">
      <c r="A321" s="227">
        <v>321</v>
      </c>
      <c r="B321" s="5988"/>
      <c r="C321" s="1882" t="str">
        <f t="shared" si="44"/>
        <v>Don incompleto</v>
      </c>
      <c r="D321" s="871">
        <f t="shared" ref="D321:D384" si="48">COUNTIF($E$256:$E$399,"&lt;="&amp;E321)-COUNTIF($E$256:$E$399,"*&gt;*")</f>
        <v>121</v>
      </c>
      <c r="E321" s="47" t="s">
        <v>2288</v>
      </c>
      <c r="F321" s="1878">
        <v>1</v>
      </c>
      <c r="G321" s="1878">
        <f>COUNTIF(Principal!$C$35:$J$47,Tablas!E321)+COUNTIF(Principal!$C$48:$F$49,Tablas!E321)</f>
        <v>0</v>
      </c>
      <c r="H321" s="1879">
        <f t="shared" si="47"/>
        <v>0</v>
      </c>
      <c r="I321" s="876">
        <v>1</v>
      </c>
      <c r="J321" s="1883" t="s">
        <v>2811</v>
      </c>
      <c r="L321" s="489" t="s">
        <v>1470</v>
      </c>
      <c r="M321" s="978" t="s">
        <v>1472</v>
      </c>
      <c r="N321" s="2411">
        <v>1</v>
      </c>
      <c r="O321" s="2411">
        <f>IF(Personalización!$L$11=M321,1,0)+IF(Personalización!$N$11=M321,1,0)+IF(Personalización!$P$11=M321,1,0)</f>
        <v>0</v>
      </c>
      <c r="P321" s="1879">
        <v>2</v>
      </c>
      <c r="Q321" s="2411">
        <f>IF(Personalización!$L$12=M321,1,0)+IF(Personalización!$N$12=M321,1,0)+IF(Personalización!$P$12=M321,1,0)</f>
        <v>0</v>
      </c>
      <c r="R321" s="1879">
        <v>1</v>
      </c>
      <c r="S321" s="2411">
        <f>IF(Personalización!$L$13=M321,1,0)+IF(Personalización!$N$13=M321,1,0)+IF(Personalización!$P$13=M321,1,0)</f>
        <v>0</v>
      </c>
      <c r="T321" s="1879">
        <v>2</v>
      </c>
      <c r="U321" s="2411">
        <f>IF(Personalización!$L$14=M321,1,0)+IF(Personalización!$N$14=M321,1,0)+IF(Personalización!$P$14=M321,1,0)</f>
        <v>0</v>
      </c>
      <c r="V321" s="1879">
        <v>3</v>
      </c>
      <c r="W321" s="561">
        <f>IF(Personalización!$L$15=M321,1,0)+IF(Personalización!$N$15=M321,1,0)+IF(Personalización!$P$15=M321,1,0)</f>
        <v>0</v>
      </c>
      <c r="X321" s="561">
        <f>10*Tablas!S321+20*Tablas!U321+30*Tablas!W321+5*VLOOKUP("Apr. innato (2): "&amp;L321,$E$293:$G$309,3,FALSE)+10*VLOOKUP("Apr. innato (3): "&amp;L321,$E$293:$G$309,3,FALSE)</f>
        <v>0</v>
      </c>
    </row>
    <row r="322" spans="1:24" ht="12.75" customHeight="1" x14ac:dyDescent="0.2">
      <c r="A322" s="227">
        <v>322</v>
      </c>
      <c r="B322" s="5988"/>
      <c r="C322" s="1882" t="str">
        <f t="shared" si="44"/>
        <v>Elan (1)</v>
      </c>
      <c r="D322" s="871">
        <f t="shared" si="48"/>
        <v>122</v>
      </c>
      <c r="E322" s="47" t="s">
        <v>2289</v>
      </c>
      <c r="F322" s="1878">
        <v>1</v>
      </c>
      <c r="G322" s="1878">
        <f>COUNTIF(Principal!$C$35:$J$47,Tablas!E322)+COUNTIF(Principal!$C$48:$F$49,Tablas!E322)</f>
        <v>0</v>
      </c>
      <c r="H322" s="1879">
        <f t="shared" si="47"/>
        <v>0</v>
      </c>
      <c r="I322" s="876">
        <v>1</v>
      </c>
      <c r="J322" s="1883" t="s">
        <v>2811</v>
      </c>
      <c r="L322" s="489" t="s">
        <v>1470</v>
      </c>
      <c r="M322" s="978" t="s">
        <v>1473</v>
      </c>
      <c r="N322" s="2411">
        <v>1</v>
      </c>
      <c r="O322" s="2411">
        <f>IF(Personalización!$L$11=M322,1,0)+IF(Personalización!$N$11=M322,1,0)+IF(Personalización!$P$11=M322,1,0)</f>
        <v>0</v>
      </c>
      <c r="P322" s="1879">
        <v>2</v>
      </c>
      <c r="Q322" s="2411">
        <f>IF(Personalización!$L$12=M322,1,0)+IF(Personalización!$N$12=M322,1,0)+IF(Personalización!$P$12=M322,1,0)</f>
        <v>0</v>
      </c>
      <c r="R322" s="1879">
        <v>1</v>
      </c>
      <c r="S322" s="2411">
        <f>IF(Personalización!$L$13=M322,1,0)+IF(Personalización!$N$13=M322,1,0)+IF(Personalización!$P$13=M322,1,0)</f>
        <v>0</v>
      </c>
      <c r="T322" s="1879">
        <v>2</v>
      </c>
      <c r="U322" s="2411">
        <f>IF(Personalización!$L$14=M322,1,0)+IF(Personalización!$N$14=M322,1,0)+IF(Personalización!$P$14=M322,1,0)</f>
        <v>0</v>
      </c>
      <c r="V322" s="1879">
        <v>3</v>
      </c>
      <c r="W322" s="561">
        <f>IF(Personalización!$L$15=M322,1,0)+IF(Personalización!$N$15=M322,1,0)+IF(Personalización!$P$15=M322,1,0)</f>
        <v>0</v>
      </c>
      <c r="X322" s="561">
        <f>10*Tablas!S322+20*Tablas!U322+30*Tablas!W322+5*VLOOKUP("Apr. innato (2): "&amp;L322,$E$293:$G$309,3,FALSE)+10*VLOOKUP("Apr. innato (3): "&amp;L322,$E$293:$G$309,3,FALSE)</f>
        <v>0</v>
      </c>
    </row>
    <row r="323" spans="1:24" ht="12.75" customHeight="1" x14ac:dyDescent="0.2">
      <c r="A323" s="227">
        <v>323</v>
      </c>
      <c r="B323" s="5988"/>
      <c r="C323" s="1882" t="str">
        <f t="shared" ref="C323:C386" si="49">VLOOKUP(A66,$D$257:$E$404,2,0)</f>
        <v>Elan (2)</v>
      </c>
      <c r="D323" s="871">
        <f t="shared" si="48"/>
        <v>123</v>
      </c>
      <c r="E323" s="47" t="s">
        <v>2290</v>
      </c>
      <c r="F323" s="1878">
        <v>1</v>
      </c>
      <c r="G323" s="1878">
        <f>COUNTIF(Principal!$C$35:$J$47,Tablas!E323)+COUNTIF(Principal!$C$48:$F$49,Tablas!E323)</f>
        <v>0</v>
      </c>
      <c r="H323" s="1879">
        <f t="shared" si="47"/>
        <v>0</v>
      </c>
      <c r="I323" s="876">
        <v>1</v>
      </c>
      <c r="J323" s="1883" t="s">
        <v>2811</v>
      </c>
      <c r="L323" s="489" t="s">
        <v>1470</v>
      </c>
      <c r="M323" s="978" t="s">
        <v>813</v>
      </c>
      <c r="N323" s="2411">
        <v>1</v>
      </c>
      <c r="O323" s="2411">
        <f>IF(Personalización!$L$11=M323,1,0)+IF(Personalización!$N$11=M323,1,0)+IF(Personalización!$P$11=M323,1,0)</f>
        <v>0</v>
      </c>
      <c r="P323" s="1879">
        <v>2</v>
      </c>
      <c r="Q323" s="2411">
        <f>IF(Personalización!$L$12=M323,1,0)+IF(Personalización!$N$12=M323,1,0)+IF(Personalización!$P$12=M323,1,0)</f>
        <v>0</v>
      </c>
      <c r="R323" s="1879">
        <v>1</v>
      </c>
      <c r="S323" s="2411">
        <f>IF(Personalización!$L$13=M323,1,0)+IF(Personalización!$N$13=M323,1,0)+IF(Personalización!$P$13=M323,1,0)</f>
        <v>0</v>
      </c>
      <c r="T323" s="1879">
        <v>2</v>
      </c>
      <c r="U323" s="2411">
        <f>IF(Personalización!$L$14=M323,1,0)+IF(Personalización!$N$14=M323,1,0)+IF(Personalización!$P$14=M323,1,0)</f>
        <v>0</v>
      </c>
      <c r="V323" s="1879">
        <v>3</v>
      </c>
      <c r="W323" s="561">
        <f>IF(Personalización!$L$15=M323,1,0)+IF(Personalización!$N$15=M323,1,0)+IF(Personalización!$P$15=M323,1,0)</f>
        <v>0</v>
      </c>
      <c r="X323" s="561">
        <f>10*Tablas!S323+20*Tablas!U323+30*Tablas!W323+5*VLOOKUP("Apr. innato (2): "&amp;L323,$E$293:$G$309,3,FALSE)+10*VLOOKUP("Apr. innato (3): "&amp;L323,$E$293:$G$309,3,FALSE)</f>
        <v>0</v>
      </c>
    </row>
    <row r="324" spans="1:24" ht="12.75" customHeight="1" x14ac:dyDescent="0.2">
      <c r="A324" s="227">
        <v>324</v>
      </c>
      <c r="B324" s="5988"/>
      <c r="C324" s="1882" t="str">
        <f t="shared" si="49"/>
        <v>Elan (3)</v>
      </c>
      <c r="D324" s="871">
        <f t="shared" si="48"/>
        <v>124</v>
      </c>
      <c r="E324" s="47" t="s">
        <v>2291</v>
      </c>
      <c r="F324" s="1878">
        <v>1</v>
      </c>
      <c r="G324" s="1878">
        <f>COUNTIF(Principal!$C$35:$J$47,Tablas!E324)+COUNTIF(Principal!$C$48:$F$49,Tablas!E324)</f>
        <v>0</v>
      </c>
      <c r="H324" s="1879">
        <f t="shared" si="47"/>
        <v>0</v>
      </c>
      <c r="I324" s="876">
        <v>1</v>
      </c>
      <c r="J324" s="1883" t="s">
        <v>2811</v>
      </c>
      <c r="L324" s="489" t="s">
        <v>1470</v>
      </c>
      <c r="M324" s="978" t="s">
        <v>814</v>
      </c>
      <c r="N324" s="2411">
        <v>1</v>
      </c>
      <c r="O324" s="2411">
        <f>IF(Personalización!$L$11=M324,1,0)+IF(Personalización!$N$11=M324,1,0)+IF(Personalización!$P$11=M324,1,0)</f>
        <v>0</v>
      </c>
      <c r="P324" s="1879">
        <v>2</v>
      </c>
      <c r="Q324" s="2411">
        <f>IF(Personalización!$L$12=M324,1,0)+IF(Personalización!$N$12=M324,1,0)+IF(Personalización!$P$12=M324,1,0)</f>
        <v>0</v>
      </c>
      <c r="R324" s="1879">
        <v>1</v>
      </c>
      <c r="S324" s="2411">
        <f>IF(Personalización!$L$13=M324,1,0)+IF(Personalización!$N$13=M324,1,0)+IF(Personalización!$P$13=M324,1,0)</f>
        <v>0</v>
      </c>
      <c r="T324" s="1879">
        <v>2</v>
      </c>
      <c r="U324" s="2411">
        <f>IF(Personalización!$L$14=M324,1,0)+IF(Personalización!$N$14=M324,1,0)+IF(Personalización!$P$14=M324,1,0)</f>
        <v>0</v>
      </c>
      <c r="V324" s="1879">
        <v>3</v>
      </c>
      <c r="W324" s="561">
        <f>IF(Personalización!$L$15=M324,1,0)+IF(Personalización!$N$15=M324,1,0)+IF(Personalización!$P$15=M324,1,0)</f>
        <v>0</v>
      </c>
      <c r="X324" s="561">
        <f>10*Tablas!S324+20*Tablas!U324+30*Tablas!W324+5*VLOOKUP("Apr. innato (2): "&amp;L324,$E$293:$G$309,3,FALSE)+10*VLOOKUP("Apr. innato (3): "&amp;L324,$E$293:$G$309,3,FALSE)</f>
        <v>0</v>
      </c>
    </row>
    <row r="325" spans="1:24" ht="12.75" customHeight="1" x14ac:dyDescent="0.2">
      <c r="A325" s="227">
        <v>325</v>
      </c>
      <c r="B325" s="5988"/>
      <c r="C325" s="1882" t="str">
        <f t="shared" si="49"/>
        <v>Encanto</v>
      </c>
      <c r="D325" s="871">
        <f t="shared" si="48"/>
        <v>125</v>
      </c>
      <c r="E325" s="47" t="s">
        <v>2292</v>
      </c>
      <c r="F325" s="1878">
        <v>1</v>
      </c>
      <c r="G325" s="1878">
        <f>COUNTIF(Principal!$C$35:$J$47,Tablas!E325)+COUNTIF(Principal!$C$48:$F$49,Tablas!E325)</f>
        <v>0</v>
      </c>
      <c r="H325" s="1879">
        <f t="shared" si="47"/>
        <v>0</v>
      </c>
      <c r="I325" s="876">
        <v>1</v>
      </c>
      <c r="J325" s="1883" t="s">
        <v>2811</v>
      </c>
      <c r="L325" s="489" t="s">
        <v>1470</v>
      </c>
      <c r="M325" s="978" t="s">
        <v>815</v>
      </c>
      <c r="N325" s="2411">
        <v>1</v>
      </c>
      <c r="O325" s="2411">
        <f>IF(Personalización!$L$11=M325,1,0)+IF(Personalización!$N$11=M325,1,0)+IF(Personalización!$P$11=M325,1,0)</f>
        <v>0</v>
      </c>
      <c r="P325" s="1879">
        <v>2</v>
      </c>
      <c r="Q325" s="2411">
        <f>IF(Personalización!$L$12=M325,1,0)+IF(Personalización!$N$12=M325,1,0)+IF(Personalización!$P$12=M325,1,0)</f>
        <v>0</v>
      </c>
      <c r="R325" s="1879">
        <v>1</v>
      </c>
      <c r="S325" s="2411">
        <f>IF(Personalización!$L$13=M325,1,0)+IF(Personalización!$N$13=M325,1,0)+IF(Personalización!$P$13=M325,1,0)</f>
        <v>0</v>
      </c>
      <c r="T325" s="1879">
        <v>2</v>
      </c>
      <c r="U325" s="2411">
        <f>IF(Personalización!$L$14=M325,1,0)+IF(Personalización!$N$14=M325,1,0)+IF(Personalización!$P$14=M325,1,0)</f>
        <v>0</v>
      </c>
      <c r="V325" s="1879">
        <v>3</v>
      </c>
      <c r="W325" s="561">
        <f>IF(Personalización!$L$15=M325,1,0)+IF(Personalización!$N$15=M325,1,0)+IF(Personalización!$P$15=M325,1,0)</f>
        <v>0</v>
      </c>
      <c r="X325" s="561">
        <f>10*Tablas!S325+20*Tablas!U325+30*Tablas!W325+5*VLOOKUP("Apr. innato (2): "&amp;L325,$E$293:$G$309,3,FALSE)+10*VLOOKUP("Apr. innato (3): "&amp;L325,$E$293:$G$309,3,FALSE)</f>
        <v>0</v>
      </c>
    </row>
    <row r="326" spans="1:24" ht="12.75" customHeight="1" x14ac:dyDescent="0.2">
      <c r="A326" s="227">
        <v>326</v>
      </c>
      <c r="B326" s="5988"/>
      <c r="C326" s="1882" t="str">
        <f t="shared" si="49"/>
        <v>Esencia Sheele</v>
      </c>
      <c r="D326" s="871">
        <f t="shared" si="48"/>
        <v>126</v>
      </c>
      <c r="E326" s="47" t="s">
        <v>2293</v>
      </c>
      <c r="F326" s="1878">
        <v>1</v>
      </c>
      <c r="G326" s="1878">
        <f>COUNTIF(Principal!$C$35:$J$47,Tablas!E326)+COUNTIF(Principal!$C$48:$F$49,Tablas!E326)</f>
        <v>0</v>
      </c>
      <c r="H326" s="1879">
        <f t="shared" si="47"/>
        <v>0</v>
      </c>
      <c r="I326" s="876">
        <v>1</v>
      </c>
      <c r="J326" s="1883" t="s">
        <v>2811</v>
      </c>
      <c r="L326" s="489" t="s">
        <v>1470</v>
      </c>
      <c r="M326" s="978" t="s">
        <v>1474</v>
      </c>
      <c r="N326" s="2411">
        <v>1</v>
      </c>
      <c r="O326" s="2411">
        <f>IF(Personalización!$L$11=M326,1,0)+IF(Personalización!$N$11=M326,1,0)+IF(Personalización!$P$11=M326,1,0)</f>
        <v>0</v>
      </c>
      <c r="P326" s="1879">
        <v>2</v>
      </c>
      <c r="Q326" s="2411">
        <f>IF(Personalización!$L$12=M326,1,0)+IF(Personalización!$N$12=M326,1,0)+IF(Personalización!$P$12=M326,1,0)</f>
        <v>0</v>
      </c>
      <c r="R326" s="1879">
        <v>1</v>
      </c>
      <c r="S326" s="2411">
        <f>IF(Personalización!$L$13=M326,1,0)+IF(Personalización!$N$13=M326,1,0)+IF(Personalización!$P$13=M326,1,0)</f>
        <v>0</v>
      </c>
      <c r="T326" s="1879">
        <v>2</v>
      </c>
      <c r="U326" s="2411">
        <f>IF(Personalización!$L$14=M326,1,0)+IF(Personalización!$N$14=M326,1,0)+IF(Personalización!$P$14=M326,1,0)</f>
        <v>0</v>
      </c>
      <c r="V326" s="1879">
        <v>3</v>
      </c>
      <c r="W326" s="561">
        <f>IF(Personalización!$L$15=M326,1,0)+IF(Personalización!$N$15=M326,1,0)+IF(Personalización!$P$15=M326,1,0)</f>
        <v>0</v>
      </c>
      <c r="X326" s="561">
        <f>10*Tablas!S326+20*Tablas!U326+30*Tablas!W326+5*VLOOKUP("Apr. innato (2): "&amp;L326,$E$293:$G$309,3,FALSE)+10*VLOOKUP("Apr. innato (3): "&amp;L326,$E$293:$G$309,3,FALSE)</f>
        <v>0</v>
      </c>
    </row>
    <row r="327" spans="1:24" ht="12.75" customHeight="1" x14ac:dyDescent="0.2">
      <c r="A327" s="227">
        <v>327</v>
      </c>
      <c r="B327" s="5988"/>
      <c r="C327" s="1882" t="str">
        <f t="shared" si="49"/>
        <v>Familiar (2)</v>
      </c>
      <c r="D327" s="871">
        <f t="shared" si="48"/>
        <v>127</v>
      </c>
      <c r="E327" s="47" t="s">
        <v>2294</v>
      </c>
      <c r="F327" s="1878">
        <v>1</v>
      </c>
      <c r="G327" s="1878">
        <f>COUNTIF(Principal!$C$35:$J$47,Tablas!E327)+COUNTIF(Principal!$C$48:$F$49,Tablas!E327)</f>
        <v>0</v>
      </c>
      <c r="H327" s="1879">
        <f t="shared" si="47"/>
        <v>0</v>
      </c>
      <c r="I327" s="876">
        <v>1</v>
      </c>
      <c r="J327" s="1883" t="s">
        <v>2811</v>
      </c>
      <c r="L327" s="489" t="s">
        <v>1470</v>
      </c>
      <c r="M327" s="978" t="s">
        <v>1476</v>
      </c>
      <c r="N327" s="2411">
        <v>1</v>
      </c>
      <c r="O327" s="2411">
        <f>IF(Personalización!$L$11=M327,1,0)+IF(Personalización!$N$11=M327,1,0)+IF(Personalización!$P$11=M327,1,0)</f>
        <v>0</v>
      </c>
      <c r="P327" s="1879">
        <v>2</v>
      </c>
      <c r="Q327" s="2411">
        <f>IF(Personalización!$L$12=M327,1,0)+IF(Personalización!$N$12=M327,1,0)+IF(Personalización!$P$12=M327,1,0)</f>
        <v>0</v>
      </c>
      <c r="R327" s="1879">
        <v>1</v>
      </c>
      <c r="S327" s="2411">
        <f>IF(Personalización!$L$13=M327,1,0)+IF(Personalización!$N$13=M327,1,0)+IF(Personalización!$P$13=M327,1,0)</f>
        <v>0</v>
      </c>
      <c r="T327" s="1879">
        <v>2</v>
      </c>
      <c r="U327" s="2411">
        <f>IF(Personalización!$L$14=M327,1,0)+IF(Personalización!$N$14=M327,1,0)+IF(Personalización!$P$14=M327,1,0)</f>
        <v>0</v>
      </c>
      <c r="V327" s="1879">
        <v>3</v>
      </c>
      <c r="W327" s="561">
        <f>IF(Personalización!$L$15=M327,1,0)+IF(Personalización!$N$15=M327,1,0)+IF(Personalización!$P$15=M327,1,0)</f>
        <v>0</v>
      </c>
      <c r="X327" s="561">
        <f>10*Tablas!S327+20*Tablas!U327+30*Tablas!W327+5*VLOOKUP("Apr. innato (2): "&amp;L327,$E$293:$G$309,3,FALSE)+10*VLOOKUP("Apr. innato (3): "&amp;L327,$E$293:$G$309,3,FALSE)</f>
        <v>0</v>
      </c>
    </row>
    <row r="328" spans="1:24" ht="12.75" customHeight="1" x14ac:dyDescent="0.2">
      <c r="A328" s="227">
        <v>328</v>
      </c>
      <c r="B328" s="5988"/>
      <c r="C328" s="1882" t="str">
        <f t="shared" si="49"/>
        <v>Familiar (3)</v>
      </c>
      <c r="D328" s="871">
        <f t="shared" si="48"/>
        <v>112</v>
      </c>
      <c r="E328" s="47" t="s">
        <v>2295</v>
      </c>
      <c r="F328" s="1878">
        <v>2</v>
      </c>
      <c r="G328" s="1878">
        <f>COUNTIF(Principal!$C$35:$J$47,Tablas!E328)+COUNTIF(Principal!$C$48:$F$49,Tablas!E328)</f>
        <v>0</v>
      </c>
      <c r="H328" s="1879">
        <f t="shared" ref="H328:H350" si="50">G328*F328</f>
        <v>0</v>
      </c>
      <c r="I328" s="876"/>
      <c r="J328" s="1883" t="s">
        <v>2811</v>
      </c>
      <c r="L328" s="489" t="s">
        <v>1470</v>
      </c>
      <c r="M328" s="978" t="s">
        <v>6279</v>
      </c>
      <c r="N328" s="2411">
        <v>1</v>
      </c>
      <c r="O328" s="2411">
        <f>IF(Personalización!$L$11=M328,1,0)+IF(Personalización!$N$11=M328,1,0)+IF(Personalización!$P$11=M328,1,0)</f>
        <v>0</v>
      </c>
      <c r="P328" s="1879">
        <v>2</v>
      </c>
      <c r="Q328" s="2411">
        <f>IF(Personalización!$L$12=M328,1,0)+IF(Personalización!$N$12=M328,1,0)+IF(Personalización!$P$12=M328,1,0)</f>
        <v>0</v>
      </c>
      <c r="R328" s="1879">
        <v>1</v>
      </c>
      <c r="S328" s="2411">
        <f>IF(Personalización!$L$13=M328,1,0)+IF(Personalización!$N$13=M328,1,0)+IF(Personalización!$P$13=M328,1,0)</f>
        <v>0</v>
      </c>
      <c r="T328" s="1879">
        <v>2</v>
      </c>
      <c r="U328" s="2411">
        <f>IF(Personalización!$L$14=M328,1,0)+IF(Personalización!$N$14=M328,1,0)+IF(Personalización!$P$14=M328,1,0)</f>
        <v>0</v>
      </c>
      <c r="V328" s="1879">
        <v>3</v>
      </c>
      <c r="W328" s="561">
        <f>IF(Personalización!$L$15=M328,1,0)+IF(Personalización!$N$15=M328,1,0)+IF(Personalización!$P$15=M328,1,0)</f>
        <v>0</v>
      </c>
      <c r="X328" s="561">
        <f>10*Tablas!S328+20*Tablas!U328+30*Tablas!W328+5*VLOOKUP("Apr. innato (2): "&amp;L328,$E$293:$G$309,3,FALSE)+10*VLOOKUP("Apr. innato (3): "&amp;L328,$E$293:$G$309,3,FALSE)</f>
        <v>0</v>
      </c>
    </row>
    <row r="329" spans="1:24" ht="12.75" customHeight="1" x14ac:dyDescent="0.2">
      <c r="A329" s="227">
        <v>329</v>
      </c>
      <c r="B329" s="5988"/>
      <c r="C329" s="1882" t="str">
        <f t="shared" si="49"/>
        <v>Habilidoso</v>
      </c>
      <c r="D329" s="871">
        <f t="shared" si="48"/>
        <v>53</v>
      </c>
      <c r="E329" s="47" t="s">
        <v>2296</v>
      </c>
      <c r="F329" s="1878">
        <v>1</v>
      </c>
      <c r="G329" s="1878">
        <f>COUNTIF(Principal!$C$35:$J$47,Tablas!E329)+COUNTIF(Principal!$C$48:$F$49,Tablas!E329)</f>
        <v>0</v>
      </c>
      <c r="H329" s="1879">
        <f t="shared" si="50"/>
        <v>0</v>
      </c>
      <c r="I329" s="876">
        <v>1</v>
      </c>
      <c r="J329" s="1883" t="s">
        <v>2811</v>
      </c>
      <c r="L329" s="489" t="s">
        <v>1470</v>
      </c>
      <c r="M329" s="978" t="s">
        <v>6280</v>
      </c>
      <c r="N329" s="2411">
        <v>1</v>
      </c>
      <c r="O329" s="2411">
        <f>IF(Personalización!$L$11=M329,1,0)+IF(Personalización!$N$11=M329,1,0)+IF(Personalización!$P$11=M329,1,0)</f>
        <v>0</v>
      </c>
      <c r="P329" s="1879">
        <v>2</v>
      </c>
      <c r="Q329" s="2411">
        <f>IF(Personalización!$L$12=M329,1,0)+IF(Personalización!$N$12=M329,1,0)+IF(Personalización!$P$12=M329,1,0)</f>
        <v>0</v>
      </c>
      <c r="R329" s="1879">
        <v>1</v>
      </c>
      <c r="S329" s="2411">
        <f>IF(Personalización!$L$13=M329,1,0)+IF(Personalización!$N$13=M329,1,0)+IF(Personalización!$P$13=M329,1,0)</f>
        <v>0</v>
      </c>
      <c r="T329" s="1879">
        <v>2</v>
      </c>
      <c r="U329" s="2411">
        <f>IF(Personalización!$L$14=M329,1,0)+IF(Personalización!$N$14=M329,1,0)+IF(Personalización!$P$14=M329,1,0)</f>
        <v>0</v>
      </c>
      <c r="V329" s="1879">
        <v>3</v>
      </c>
      <c r="W329" s="561">
        <f>IF(Personalización!$L$15=M329,1,0)+IF(Personalización!$N$15=M329,1,0)+IF(Personalización!$P$15=M329,1,0)</f>
        <v>0</v>
      </c>
      <c r="X329" s="561">
        <f>10*Tablas!S329+20*Tablas!U329+30*Tablas!W329+5*VLOOKUP("Apr. innato (2): "&amp;L329,$E$293:$G$309,3,FALSE)+10*VLOOKUP("Apr. innato (3): "&amp;L329,$E$293:$G$309,3,FALSE)</f>
        <v>0</v>
      </c>
    </row>
    <row r="330" spans="1:24" ht="12.75" customHeight="1" x14ac:dyDescent="0.2">
      <c r="A330" s="227">
        <v>330</v>
      </c>
      <c r="B330" s="5988"/>
      <c r="C330" s="1882" t="str">
        <f t="shared" si="49"/>
        <v>Infatigable (1)</v>
      </c>
      <c r="D330" s="871">
        <f t="shared" si="48"/>
        <v>52</v>
      </c>
      <c r="E330" s="47" t="s">
        <v>2297</v>
      </c>
      <c r="F330" s="1878">
        <v>1</v>
      </c>
      <c r="G330" s="1878">
        <f>COUNTIF(Principal!$C$35:$J$47,Tablas!E330)+COUNTIF(Principal!$C$48:$F$49,Tablas!E330)</f>
        <v>0</v>
      </c>
      <c r="H330" s="1879">
        <f t="shared" si="50"/>
        <v>0</v>
      </c>
      <c r="I330" s="876">
        <v>1</v>
      </c>
      <c r="J330" s="1883" t="s">
        <v>2811</v>
      </c>
      <c r="L330" s="489" t="s">
        <v>1470</v>
      </c>
      <c r="M330" s="978" t="s">
        <v>6281</v>
      </c>
      <c r="N330" s="2411">
        <v>1</v>
      </c>
      <c r="O330" s="2411">
        <f>IF(Personalización!$L$11=M330,1,0)+IF(Personalización!$N$11=M330,1,0)+IF(Personalización!$P$11=M330,1,0)</f>
        <v>0</v>
      </c>
      <c r="P330" s="1879">
        <v>2</v>
      </c>
      <c r="Q330" s="2411">
        <f>IF(Personalización!$L$12=M330,1,0)+IF(Personalización!$N$12=M330,1,0)+IF(Personalización!$P$12=M330,1,0)</f>
        <v>0</v>
      </c>
      <c r="R330" s="1879">
        <v>1</v>
      </c>
      <c r="S330" s="2411">
        <f>IF(Personalización!$L$13=M330,1,0)+IF(Personalización!$N$13=M330,1,0)+IF(Personalización!$P$13=M330,1,0)</f>
        <v>0</v>
      </c>
      <c r="T330" s="1879">
        <v>2</v>
      </c>
      <c r="U330" s="2411">
        <f>IF(Personalización!$L$14=M330,1,0)+IF(Personalización!$N$14=M330,1,0)+IF(Personalización!$P$14=M330,1,0)</f>
        <v>0</v>
      </c>
      <c r="V330" s="1879">
        <v>3</v>
      </c>
      <c r="W330" s="561">
        <f>IF(Personalización!$L$15=M330,1,0)+IF(Personalización!$N$15=M330,1,0)+IF(Personalización!$P$15=M330,1,0)</f>
        <v>0</v>
      </c>
      <c r="X330" s="561">
        <f>10*Tablas!S330+20*Tablas!U330+30*Tablas!W330+5*VLOOKUP("Apr. innato (2): "&amp;L330,$E$293:$G$309,3,FALSE)+10*VLOOKUP("Apr. innato (3): "&amp;L330,$E$293:$G$309,3,FALSE)</f>
        <v>0</v>
      </c>
    </row>
    <row r="331" spans="1:24" ht="12.75" customHeight="1" x14ac:dyDescent="0.2">
      <c r="A331" s="227">
        <v>331</v>
      </c>
      <c r="B331" s="5988"/>
      <c r="C331" s="1882" t="str">
        <f t="shared" si="49"/>
        <v>Infatigable (2)</v>
      </c>
      <c r="D331" s="871">
        <f t="shared" si="48"/>
        <v>11</v>
      </c>
      <c r="E331" s="47" t="s">
        <v>2298</v>
      </c>
      <c r="F331" s="1878">
        <v>1</v>
      </c>
      <c r="G331" s="1878">
        <f>COUNTIF(Principal!$C$35:$J$47,Tablas!E331)+COUNTIF(Principal!$C$48:$F$49,Tablas!E331)</f>
        <v>0</v>
      </c>
      <c r="H331" s="1879">
        <f t="shared" si="50"/>
        <v>0</v>
      </c>
      <c r="I331" s="876"/>
      <c r="J331" s="1883" t="s">
        <v>2811</v>
      </c>
      <c r="L331" s="489" t="s">
        <v>1470</v>
      </c>
      <c r="M331" s="978" t="s">
        <v>6282</v>
      </c>
      <c r="N331" s="2411">
        <v>1</v>
      </c>
      <c r="O331" s="2411">
        <f>IF(Personalización!$L$11=M331,1,0)+IF(Personalización!$N$11=M331,1,0)+IF(Personalización!$P$11=M331,1,0)</f>
        <v>0</v>
      </c>
      <c r="P331" s="1879">
        <v>2</v>
      </c>
      <c r="Q331" s="2411">
        <f>IF(Personalización!$L$12=M331,1,0)+IF(Personalización!$N$12=M331,1,0)+IF(Personalización!$P$12=M331,1,0)</f>
        <v>0</v>
      </c>
      <c r="R331" s="1879">
        <v>1</v>
      </c>
      <c r="S331" s="2411">
        <f>IF(Personalización!$L$13=M331,1,0)+IF(Personalización!$N$13=M331,1,0)+IF(Personalización!$P$13=M331,1,0)</f>
        <v>0</v>
      </c>
      <c r="T331" s="1879">
        <v>2</v>
      </c>
      <c r="U331" s="2411">
        <f>IF(Personalización!$L$14=M331,1,0)+IF(Personalización!$N$14=M331,1,0)+IF(Personalización!$P$14=M331,1,0)</f>
        <v>0</v>
      </c>
      <c r="V331" s="1879">
        <v>3</v>
      </c>
      <c r="W331" s="561">
        <f>IF(Personalización!$L$15=M331,1,0)+IF(Personalización!$N$15=M331,1,0)+IF(Personalización!$P$15=M331,1,0)</f>
        <v>0</v>
      </c>
      <c r="X331" s="561">
        <f>10*Tablas!S331+20*Tablas!U331+30*Tablas!W331+5*VLOOKUP("Apr. innato (2): "&amp;L331,$E$293:$G$309,3,FALSE)+10*VLOOKUP("Apr. innato (3): "&amp;L331,$E$293:$G$309,3,FALSE)</f>
        <v>0</v>
      </c>
    </row>
    <row r="332" spans="1:24" ht="12.75" customHeight="1" x14ac:dyDescent="0.2">
      <c r="A332" s="227">
        <v>332</v>
      </c>
      <c r="B332" s="5988"/>
      <c r="C332" s="1882" t="str">
        <f t="shared" si="49"/>
        <v>Infatigable (3)</v>
      </c>
      <c r="D332" s="871">
        <f t="shared" si="48"/>
        <v>12</v>
      </c>
      <c r="E332" s="47" t="s">
        <v>2299</v>
      </c>
      <c r="F332" s="1878">
        <v>2</v>
      </c>
      <c r="G332" s="1878">
        <f>COUNTIF(Principal!$C$35:$J$47,Tablas!E332)+COUNTIF(Principal!$C$48:$F$49,Tablas!E332)</f>
        <v>0</v>
      </c>
      <c r="H332" s="1879">
        <f t="shared" si="50"/>
        <v>0</v>
      </c>
      <c r="I332" s="876"/>
      <c r="J332" s="1883" t="s">
        <v>2811</v>
      </c>
      <c r="L332" s="489" t="e">
        <f>VLOOKUP(PDs!D180,PDs!AH181:AI187,2,FALSE)</f>
        <v>#N/A</v>
      </c>
      <c r="M332" s="978" t="str">
        <f>IF(PDs!E180=0,"#1",PDs!E180)</f>
        <v>#1</v>
      </c>
      <c r="N332" s="2411">
        <v>1</v>
      </c>
      <c r="O332" s="2411">
        <f>IF(Personalización!$L$11=M332,1,0)+IF(Personalización!$N$11=M332,1,0)+IF(Personalización!$P$11=M332,1,0)</f>
        <v>0</v>
      </c>
      <c r="P332" s="1879">
        <v>2</v>
      </c>
      <c r="Q332" s="2411">
        <f>IF(Personalización!$L$12=M332,1,0)+IF(Personalización!$N$12=M332,1,0)+IF(Personalización!$P$12=M332,1,0)</f>
        <v>0</v>
      </c>
      <c r="R332" s="1879">
        <v>1</v>
      </c>
      <c r="S332" s="2411">
        <f>IF(Personalización!$L$13=M332,1,0)+IF(Personalización!$N$13=M332,1,0)+IF(Personalización!$P$13=M332,1,0)</f>
        <v>0</v>
      </c>
      <c r="T332" s="1879">
        <v>2</v>
      </c>
      <c r="U332" s="2411">
        <f>IF(Personalización!$L$14=M332,1,0)+IF(Personalización!$N$14=M332,1,0)+IF(Personalización!$P$14=M332,1,0)</f>
        <v>0</v>
      </c>
      <c r="V332" s="1879">
        <v>3</v>
      </c>
      <c r="W332" s="561">
        <f>IF(Personalización!$L$15=M332,1,0)+IF(Personalización!$N$15=M332,1,0)+IF(Personalización!$P$15=M332,1,0)</f>
        <v>0</v>
      </c>
      <c r="X332" s="561">
        <f>10*Tablas!S332+20*Tablas!U332+30*Tablas!W332+IF(ISNA(L332),0,5*VLOOKUP("Apr. innato (2): "&amp;L332,$E$293:$G$309,3,FALSE)+10*VLOOKUP("Apr. innato (3): "&amp;L332,$E$293:$G$309,3,FALSE))</f>
        <v>0</v>
      </c>
    </row>
    <row r="333" spans="1:24" ht="12.75" customHeight="1" x14ac:dyDescent="0.2">
      <c r="A333" s="227">
        <v>333</v>
      </c>
      <c r="B333" s="5988"/>
      <c r="C333" s="1882" t="str">
        <f t="shared" si="49"/>
        <v>Inm. al dolor y al cansancio</v>
      </c>
      <c r="D333" s="871">
        <f t="shared" si="48"/>
        <v>13</v>
      </c>
      <c r="E333" s="47" t="s">
        <v>2300</v>
      </c>
      <c r="F333" s="1878">
        <v>3</v>
      </c>
      <c r="G333" s="1878">
        <f>COUNTIF(Principal!$C$35:$J$47,Tablas!E333)+COUNTIF(Principal!$C$48:$F$49,Tablas!E333)</f>
        <v>0</v>
      </c>
      <c r="H333" s="1879">
        <f t="shared" si="50"/>
        <v>0</v>
      </c>
      <c r="I333" s="876"/>
      <c r="J333" s="1883" t="s">
        <v>2811</v>
      </c>
      <c r="L333" s="489" t="e">
        <f>VLOOKUP(PDs!D181,PDs!AH182:AI187,2,FALSE)</f>
        <v>#N/A</v>
      </c>
      <c r="M333" s="978" t="str">
        <f>IF(PDs!E181=0,"#2",PDs!E181)</f>
        <v>#2</v>
      </c>
      <c r="N333" s="2411">
        <v>1</v>
      </c>
      <c r="O333" s="2411">
        <f>IF(Personalización!$L$11=M333,1,0)+IF(Personalización!$N$11=M333,1,0)+IF(Personalización!$P$11=M333,1,0)</f>
        <v>0</v>
      </c>
      <c r="P333" s="1879">
        <v>2</v>
      </c>
      <c r="Q333" s="2411">
        <f>IF(Personalización!$L$12=M333,1,0)+IF(Personalización!$N$12=M333,1,0)+IF(Personalización!$P$12=M333,1,0)</f>
        <v>0</v>
      </c>
      <c r="R333" s="1879">
        <v>1</v>
      </c>
      <c r="S333" s="2411">
        <f>IF(Personalización!$L$13=M333,1,0)+IF(Personalización!$N$13=M333,1,0)+IF(Personalización!$P$13=M333,1,0)</f>
        <v>0</v>
      </c>
      <c r="T333" s="1879">
        <v>2</v>
      </c>
      <c r="U333" s="2411">
        <f>IF(Personalización!$L$14=M333,1,0)+IF(Personalización!$N$14=M333,1,0)+IF(Personalización!$P$14=M333,1,0)</f>
        <v>0</v>
      </c>
      <c r="V333" s="1879">
        <v>3</v>
      </c>
      <c r="W333" s="561">
        <f>IF(Personalización!$L$15=M333,1,0)+IF(Personalización!$N$15=M333,1,0)+IF(Personalización!$P$15=M333,1,0)</f>
        <v>0</v>
      </c>
      <c r="X333" s="561">
        <f>10*Tablas!S333+20*Tablas!U333+30*Tablas!W333+IF(ISNA(L333),0,5*VLOOKUP("Apr. innato (2): "&amp;L333,$E$293:$G$309,3,FALSE)+10*VLOOKUP("Apr. innato (3): "&amp;L333,$E$293:$G$309,3,FALSE))</f>
        <v>0</v>
      </c>
    </row>
    <row r="334" spans="1:24" ht="12.75" customHeight="1" x14ac:dyDescent="0.2">
      <c r="A334" s="227">
        <v>334</v>
      </c>
      <c r="B334" s="5988"/>
      <c r="C334" s="1882" t="str">
        <f t="shared" si="49"/>
        <v>Inmunidad psíquica</v>
      </c>
      <c r="D334" s="871">
        <f t="shared" si="48"/>
        <v>76</v>
      </c>
      <c r="E334" s="47" t="s">
        <v>2301</v>
      </c>
      <c r="F334" s="1878">
        <v>1</v>
      </c>
      <c r="G334" s="1878">
        <f>COUNTIF(Principal!$C$35:$J$47,Tablas!E334)+COUNTIF(Principal!$C$48:$F$49,Tablas!E334)</f>
        <v>0</v>
      </c>
      <c r="H334" s="1879">
        <f t="shared" si="50"/>
        <v>0</v>
      </c>
      <c r="I334" s="876">
        <v>1</v>
      </c>
      <c r="J334" s="1883" t="s">
        <v>2811</v>
      </c>
      <c r="L334" s="489" t="e">
        <f>VLOOKUP(PDs!D182,PDs!AH183:AI188,2,FALSE)</f>
        <v>#N/A</v>
      </c>
      <c r="M334" s="978" t="str">
        <f>IF(PDs!E182=0,"#3",PDs!E182)</f>
        <v>#3</v>
      </c>
      <c r="N334" s="2411">
        <v>1</v>
      </c>
      <c r="O334" s="2411">
        <f>IF(Personalización!$L$11=M334,1,0)+IF(Personalización!$N$11=M334,1,0)+IF(Personalización!$P$11=M334,1,0)</f>
        <v>0</v>
      </c>
      <c r="P334" s="1879">
        <v>2</v>
      </c>
      <c r="Q334" s="2411">
        <f>IF(Personalización!$L$12=M334,1,0)+IF(Personalización!$N$12=M334,1,0)+IF(Personalización!$P$12=M334,1,0)</f>
        <v>0</v>
      </c>
      <c r="R334" s="1879">
        <v>1</v>
      </c>
      <c r="S334" s="2411">
        <f>IF(Personalización!$L$13=M334,1,0)+IF(Personalización!$N$13=M334,1,0)+IF(Personalización!$P$13=M334,1,0)</f>
        <v>0</v>
      </c>
      <c r="T334" s="1879">
        <v>2</v>
      </c>
      <c r="U334" s="2411">
        <f>IF(Personalización!$L$14=M334,1,0)+IF(Personalización!$N$14=M334,1,0)+IF(Personalización!$P$14=M334,1,0)</f>
        <v>0</v>
      </c>
      <c r="V334" s="1879">
        <v>3</v>
      </c>
      <c r="W334" s="561">
        <f>IF(Personalización!$L$15=M334,1,0)+IF(Personalización!$N$15=M334,1,0)+IF(Personalización!$P$15=M334,1,0)</f>
        <v>0</v>
      </c>
      <c r="X334" s="561">
        <f>10*Tablas!S334+20*Tablas!U334+30*Tablas!W334+IF(ISNA(L334),0,5*VLOOKUP("Apr. innato (2): "&amp;L334,$E$293:$G$309,3,FALSE)+10*VLOOKUP("Apr. innato (3): "&amp;L334,$E$293:$G$309,3,FALSE))</f>
        <v>0</v>
      </c>
    </row>
    <row r="335" spans="1:24" ht="12.75" customHeight="1" x14ac:dyDescent="0.2">
      <c r="A335" s="227">
        <v>335</v>
      </c>
      <c r="B335" s="5988"/>
      <c r="C335" s="1882" t="str">
        <f t="shared" si="49"/>
        <v>Inmunidad sobrenatural (1)</v>
      </c>
      <c r="D335" s="871">
        <f t="shared" si="48"/>
        <v>133</v>
      </c>
      <c r="E335" s="47" t="s">
        <v>2302</v>
      </c>
      <c r="F335" s="1878">
        <v>1</v>
      </c>
      <c r="G335" s="1878">
        <f>COUNTIF(Principal!$C$35:$J$47,Tablas!E335)+COUNTIF(Principal!$C$48:$F$49,Tablas!E335)</f>
        <v>0</v>
      </c>
      <c r="H335" s="1879">
        <f t="shared" si="50"/>
        <v>0</v>
      </c>
      <c r="I335" s="876"/>
      <c r="J335" s="1883" t="s">
        <v>2811</v>
      </c>
      <c r="L335" s="489" t="e">
        <f>VLOOKUP(PDs!D183,PDs!AH184:AI189,2,FALSE)</f>
        <v>#N/A</v>
      </c>
      <c r="M335" s="978" t="str">
        <f>IF(PDs!E183=0,"#4",PDs!E183)</f>
        <v>#4</v>
      </c>
      <c r="N335" s="2411">
        <v>1</v>
      </c>
      <c r="O335" s="2411">
        <f>IF(Personalización!$L$11=M335,1,0)+IF(Personalización!$N$11=M335,1,0)+IF(Personalización!$P$11=M335,1,0)</f>
        <v>0</v>
      </c>
      <c r="P335" s="1879">
        <v>2</v>
      </c>
      <c r="Q335" s="2411">
        <f>IF(Personalización!$L$12=M335,1,0)+IF(Personalización!$N$12=M335,1,0)+IF(Personalización!$P$12=M335,1,0)</f>
        <v>0</v>
      </c>
      <c r="R335" s="1879">
        <v>1</v>
      </c>
      <c r="S335" s="2411">
        <f>IF(Personalización!$L$13=M335,1,0)+IF(Personalización!$N$13=M335,1,0)+IF(Personalización!$P$13=M335,1,0)</f>
        <v>0</v>
      </c>
      <c r="T335" s="1879">
        <v>2</v>
      </c>
      <c r="U335" s="2411">
        <f>IF(Personalización!$L$14=M335,1,0)+IF(Personalización!$N$14=M335,1,0)+IF(Personalización!$P$14=M335,1,0)</f>
        <v>0</v>
      </c>
      <c r="V335" s="1879">
        <v>3</v>
      </c>
      <c r="W335" s="561">
        <f>IF(Personalización!$L$15=M335,1,0)+IF(Personalización!$N$15=M335,1,0)+IF(Personalización!$P$15=M335,1,0)</f>
        <v>0</v>
      </c>
      <c r="X335" s="561">
        <f>10*Tablas!S335+20*Tablas!U335+30*Tablas!W335+IF(ISNA(L335),0,5*VLOOKUP("Apr. innato (2): "&amp;L335,$E$293:$G$309,3,FALSE)+10*VLOOKUP("Apr. innato (3): "&amp;L335,$E$293:$G$309,3,FALSE))</f>
        <v>0</v>
      </c>
    </row>
    <row r="336" spans="1:24" ht="12.75" customHeight="1" thickBot="1" x14ac:dyDescent="0.25">
      <c r="A336" s="227">
        <v>336</v>
      </c>
      <c r="B336" s="5988"/>
      <c r="C336" s="1882" t="str">
        <f t="shared" si="49"/>
        <v>Inmunidad sobrenatural (2)</v>
      </c>
      <c r="D336" s="871">
        <f t="shared" si="48"/>
        <v>86</v>
      </c>
      <c r="E336" s="47" t="s">
        <v>2303</v>
      </c>
      <c r="F336" s="1878">
        <v>1</v>
      </c>
      <c r="G336" s="1878">
        <f>COUNTIF(Principal!$C$35:$J$47,Tablas!E336)+COUNTIF(Principal!$C$48:$F$49,Tablas!E336)</f>
        <v>0</v>
      </c>
      <c r="H336" s="1879">
        <f t="shared" si="50"/>
        <v>0</v>
      </c>
      <c r="I336" s="876">
        <v>1</v>
      </c>
      <c r="J336" s="1883" t="s">
        <v>2811</v>
      </c>
      <c r="L336" s="491" t="e">
        <f>VLOOKUP(PDs!D184,PDs!AH185:AI190,2,FALSE)</f>
        <v>#N/A</v>
      </c>
      <c r="M336" s="980" t="str">
        <f>IF(PDs!E184=0,"#5",PDs!E184)</f>
        <v>#5</v>
      </c>
      <c r="N336" s="492">
        <v>1</v>
      </c>
      <c r="O336" s="492">
        <f>IF(Personalización!$L$11=M336,1,0)+IF(Personalización!$N$11=M336,1,0)+IF(Personalización!$P$11=M336,1,0)</f>
        <v>0</v>
      </c>
      <c r="P336" s="2153">
        <v>2</v>
      </c>
      <c r="Q336" s="492">
        <f>IF(Personalización!$L$12=M336,1,0)+IF(Personalización!$N$12=M336,1,0)+IF(Personalización!$P$12=M336,1,0)</f>
        <v>0</v>
      </c>
      <c r="R336" s="2153">
        <v>1</v>
      </c>
      <c r="S336" s="492">
        <f>IF(Personalización!$L$13=M336,1,0)+IF(Personalización!$N$13=M336,1,0)+IF(Personalización!$P$13=M336,1,0)</f>
        <v>0</v>
      </c>
      <c r="T336" s="2153">
        <v>2</v>
      </c>
      <c r="U336" s="492">
        <f>IF(Personalización!$L$14=M336,1,0)+IF(Personalización!$N$14=M336,1,0)+IF(Personalización!$P$14=M336,1,0)</f>
        <v>0</v>
      </c>
      <c r="V336" s="2153">
        <v>3</v>
      </c>
      <c r="W336" s="563">
        <f>IF(Personalización!$L$15=M336,1,0)+IF(Personalización!$N$15=M336,1,0)+IF(Personalización!$P$15=M336,1,0)</f>
        <v>0</v>
      </c>
      <c r="X336" s="563">
        <f>10*Tablas!S336+20*Tablas!U336+30*Tablas!W336+IF(ISNA(L336),0,5*VLOOKUP("Apr. innato (2): "&amp;L336,$E$293:$G$309,3,FALSE)+10*VLOOKUP("Apr. innato (3): "&amp;L336,$E$293:$G$309,3,FALSE))</f>
        <v>0</v>
      </c>
    </row>
    <row r="337" spans="1:31" ht="12.75" customHeight="1" x14ac:dyDescent="0.2">
      <c r="A337" s="227">
        <v>337</v>
      </c>
      <c r="B337" s="5988"/>
      <c r="C337" s="1882" t="str">
        <f t="shared" si="49"/>
        <v>Inmunidad sobrenatural (3)</v>
      </c>
      <c r="D337" s="871">
        <f t="shared" si="48"/>
        <v>87</v>
      </c>
      <c r="E337" s="47" t="s">
        <v>2304</v>
      </c>
      <c r="F337" s="1878">
        <v>2</v>
      </c>
      <c r="G337" s="1878">
        <f>COUNTIF(Principal!$C$35:$J$47,Tablas!E337)+COUNTIF(Principal!$C$48:$F$49,Tablas!E337)</f>
        <v>0</v>
      </c>
      <c r="H337" s="1879">
        <f t="shared" si="50"/>
        <v>0</v>
      </c>
      <c r="I337" s="876">
        <v>1</v>
      </c>
      <c r="J337" s="1883" t="s">
        <v>2811</v>
      </c>
      <c r="N337"/>
      <c r="O337" s="559"/>
    </row>
    <row r="338" spans="1:31" ht="12.75" customHeight="1" x14ac:dyDescent="0.2">
      <c r="A338" s="227">
        <v>338</v>
      </c>
      <c r="B338" s="5988"/>
      <c r="C338" s="1882" t="str">
        <f t="shared" si="49"/>
        <v>Inquietante</v>
      </c>
      <c r="D338" s="871">
        <f t="shared" si="48"/>
        <v>88</v>
      </c>
      <c r="E338" s="47" t="s">
        <v>2305</v>
      </c>
      <c r="F338" s="1878">
        <v>3</v>
      </c>
      <c r="G338" s="1878">
        <f>COUNTIF(Principal!$C$35:$J$47,Tablas!E338)+COUNTIF(Principal!$C$48:$F$49,Tablas!E338)</f>
        <v>0</v>
      </c>
      <c r="H338" s="1879">
        <f t="shared" si="50"/>
        <v>0</v>
      </c>
      <c r="I338" s="876">
        <v>1</v>
      </c>
      <c r="J338" s="1883" t="s">
        <v>2811</v>
      </c>
      <c r="N338"/>
      <c r="O338" s="559"/>
    </row>
    <row r="339" spans="1:31" ht="12.75" customHeight="1" x14ac:dyDescent="0.2">
      <c r="A339" s="227">
        <v>339</v>
      </c>
      <c r="B339" s="5988"/>
      <c r="C339" s="1882" t="str">
        <f t="shared" si="49"/>
        <v>Inutilidad gestual</v>
      </c>
      <c r="D339" s="871">
        <f t="shared" si="48"/>
        <v>73</v>
      </c>
      <c r="E339" s="47" t="s">
        <v>2306</v>
      </c>
      <c r="F339" s="1878">
        <v>1</v>
      </c>
      <c r="G339" s="1878">
        <f>COUNTIF(Principal!$C$35:$J$47,Tablas!E339)+COUNTIF(Principal!$C$48:$F$49,Tablas!E339)</f>
        <v>0</v>
      </c>
      <c r="H339" s="1879">
        <f t="shared" si="50"/>
        <v>0</v>
      </c>
      <c r="I339" s="876">
        <v>1</v>
      </c>
      <c r="J339" s="1883" t="s">
        <v>2811</v>
      </c>
      <c r="N339"/>
      <c r="O339" s="559"/>
    </row>
    <row r="340" spans="1:31" ht="12.75" customHeight="1" x14ac:dyDescent="0.2">
      <c r="A340" s="227">
        <v>340</v>
      </c>
      <c r="B340" s="5988"/>
      <c r="C340" s="1882" t="str">
        <f t="shared" si="49"/>
        <v>Ki imperceptible</v>
      </c>
      <c r="D340" s="871">
        <f t="shared" si="48"/>
        <v>74</v>
      </c>
      <c r="E340" s="47" t="s">
        <v>2307</v>
      </c>
      <c r="F340" s="1878">
        <v>2</v>
      </c>
      <c r="G340" s="1878">
        <f>COUNTIF(Principal!$C$35:$J$47,Tablas!E340)+COUNTIF(Principal!$C$48:$F$49,Tablas!E340)</f>
        <v>0</v>
      </c>
      <c r="H340" s="1879">
        <f t="shared" si="50"/>
        <v>0</v>
      </c>
      <c r="I340" s="876">
        <v>1</v>
      </c>
      <c r="J340" s="1883" t="s">
        <v>2811</v>
      </c>
      <c r="N340"/>
      <c r="O340" s="559"/>
    </row>
    <row r="341" spans="1:31" ht="12.75" customHeight="1" x14ac:dyDescent="0.2">
      <c r="A341" s="227">
        <v>341</v>
      </c>
      <c r="B341" s="5988"/>
      <c r="C341" s="1882" t="str">
        <f t="shared" si="49"/>
        <v>Libre albedrío</v>
      </c>
      <c r="D341" s="871">
        <f t="shared" si="48"/>
        <v>75</v>
      </c>
      <c r="E341" s="47" t="s">
        <v>2308</v>
      </c>
      <c r="F341" s="1878">
        <v>3</v>
      </c>
      <c r="G341" s="1878">
        <f>COUNTIF(Principal!$C$35:$J$47,Tablas!E341)+COUNTIF(Principal!$C$48:$F$49,Tablas!E341)</f>
        <v>0</v>
      </c>
      <c r="H341" s="1879">
        <f t="shared" si="50"/>
        <v>0</v>
      </c>
      <c r="I341" s="876">
        <v>1</v>
      </c>
      <c r="J341" s="1883" t="s">
        <v>2811</v>
      </c>
      <c r="N341"/>
      <c r="O341" s="559"/>
    </row>
    <row r="342" spans="1:31" ht="12.75" customHeight="1" x14ac:dyDescent="0.2">
      <c r="A342" s="227">
        <v>342</v>
      </c>
      <c r="B342" s="5988"/>
      <c r="C342" s="1882" t="str">
        <f t="shared" si="49"/>
        <v>Límite dual</v>
      </c>
      <c r="D342" s="871">
        <f t="shared" si="48"/>
        <v>-4</v>
      </c>
      <c r="E342" s="47" t="str">
        <f>IF(Personalización!$G$34="Sí","Desplazamiento rápido"," &gt; Desplazamiento rápido")</f>
        <v xml:space="preserve"> &gt; Desplazamiento rápido</v>
      </c>
      <c r="F342" s="1878">
        <v>1</v>
      </c>
      <c r="G342" s="1878">
        <f>COUNTIF(Principal!$C$35:$J$47,Tablas!E342)+COUNTIF(Principal!$C$48:$F$49,Tablas!E342)</f>
        <v>0</v>
      </c>
      <c r="H342" s="1879">
        <f t="shared" si="50"/>
        <v>0</v>
      </c>
      <c r="I342" s="876">
        <v>1</v>
      </c>
      <c r="J342" s="1883" t="s">
        <v>2811</v>
      </c>
      <c r="N342"/>
      <c r="O342" s="559"/>
    </row>
    <row r="343" spans="1:31" ht="12.75" customHeight="1" x14ac:dyDescent="0.2">
      <c r="A343" s="227">
        <v>343</v>
      </c>
      <c r="B343" s="5988"/>
      <c r="C343" s="1882" t="str">
        <f t="shared" si="49"/>
        <v>Maestro marcial (1)</v>
      </c>
      <c r="D343" s="871">
        <f t="shared" si="48"/>
        <v>91</v>
      </c>
      <c r="E343" s="47" t="s">
        <v>2309</v>
      </c>
      <c r="F343" s="1878">
        <v>1</v>
      </c>
      <c r="G343" s="1878">
        <f>COUNTIF(Principal!$C$35:$J$47,Tablas!E343)+COUNTIF(Principal!$C$48:$F$49,Tablas!E343)</f>
        <v>0</v>
      </c>
      <c r="H343" s="1879">
        <f t="shared" si="50"/>
        <v>0</v>
      </c>
      <c r="I343" s="876"/>
      <c r="J343" s="1883" t="s">
        <v>2811</v>
      </c>
      <c r="N343"/>
      <c r="O343" s="559"/>
    </row>
    <row r="344" spans="1:31" ht="12.75" customHeight="1" x14ac:dyDescent="0.2">
      <c r="A344" s="227">
        <v>344</v>
      </c>
      <c r="B344" s="5988"/>
      <c r="C344" s="1882" t="str">
        <f t="shared" si="49"/>
        <v>Maestro marcial (2)</v>
      </c>
      <c r="D344" s="871">
        <f t="shared" si="48"/>
        <v>92</v>
      </c>
      <c r="E344" s="47" t="s">
        <v>2310</v>
      </c>
      <c r="F344" s="1878">
        <v>2</v>
      </c>
      <c r="G344" s="1878">
        <f>COUNTIF(Principal!$C$35:$J$47,Tablas!E344)+COUNTIF(Principal!$C$48:$F$49,Tablas!E344)</f>
        <v>0</v>
      </c>
      <c r="H344" s="1879">
        <f t="shared" si="50"/>
        <v>0</v>
      </c>
      <c r="I344" s="876"/>
      <c r="J344" s="1883" t="s">
        <v>2811</v>
      </c>
      <c r="N344"/>
      <c r="O344" s="559"/>
    </row>
    <row r="345" spans="1:31" ht="12.75" customHeight="1" x14ac:dyDescent="0.2">
      <c r="A345" s="227">
        <v>345</v>
      </c>
      <c r="B345" s="5988"/>
      <c r="C345" s="1882" t="str">
        <f t="shared" si="49"/>
        <v>Maestro marcial (3)</v>
      </c>
      <c r="D345" s="871">
        <f t="shared" si="48"/>
        <v>93</v>
      </c>
      <c r="E345" s="47" t="s">
        <v>2311</v>
      </c>
      <c r="F345" s="1878">
        <v>3</v>
      </c>
      <c r="G345" s="1878">
        <f>COUNTIF(Principal!$C$35:$J$47,Tablas!E345)+COUNTIF(Principal!$C$48:$F$49,Tablas!E345)</f>
        <v>0</v>
      </c>
      <c r="H345" s="1879">
        <f t="shared" si="50"/>
        <v>0</v>
      </c>
      <c r="I345" s="876"/>
      <c r="J345" s="1883" t="s">
        <v>2811</v>
      </c>
      <c r="N345"/>
      <c r="O345" s="559"/>
    </row>
    <row r="346" spans="1:31" ht="12.75" customHeight="1" x14ac:dyDescent="0.2">
      <c r="A346" s="227">
        <v>346</v>
      </c>
      <c r="B346" s="5988"/>
      <c r="C346" s="1882" t="str">
        <f t="shared" si="49"/>
        <v>Percepción del Ki</v>
      </c>
      <c r="D346" s="871">
        <f t="shared" si="48"/>
        <v>65</v>
      </c>
      <c r="E346" s="47" t="s">
        <v>2312</v>
      </c>
      <c r="F346" s="1878">
        <v>1</v>
      </c>
      <c r="G346" s="1878">
        <f>COUNTIF(Principal!$C$35:$J$47,Tablas!E346)+COUNTIF(Principal!$C$48:$F$49,Tablas!E346)</f>
        <v>0</v>
      </c>
      <c r="H346" s="1879">
        <f t="shared" si="50"/>
        <v>0</v>
      </c>
      <c r="I346" s="876"/>
      <c r="J346" s="1883" t="s">
        <v>2811</v>
      </c>
      <c r="N346"/>
      <c r="O346" s="559"/>
      <c r="AE346" s="847"/>
    </row>
    <row r="347" spans="1:31" ht="12.75" customHeight="1" x14ac:dyDescent="0.2">
      <c r="A347" s="227">
        <v>347</v>
      </c>
      <c r="B347" s="5988"/>
      <c r="C347" s="1882" t="str">
        <f t="shared" si="49"/>
        <v>Poder innato</v>
      </c>
      <c r="D347" s="871">
        <f t="shared" si="48"/>
        <v>66</v>
      </c>
      <c r="E347" s="47" t="s">
        <v>2313</v>
      </c>
      <c r="F347" s="1878">
        <v>2</v>
      </c>
      <c r="G347" s="1878">
        <f>COUNTIF(Principal!$C$35:$J$47,Tablas!E347)+COUNTIF(Principal!$C$48:$F$49,Tablas!E347)</f>
        <v>0</v>
      </c>
      <c r="H347" s="1879">
        <f t="shared" si="50"/>
        <v>0</v>
      </c>
      <c r="I347" s="876"/>
      <c r="J347" s="1883" t="s">
        <v>2811</v>
      </c>
      <c r="N347"/>
      <c r="O347" s="559"/>
      <c r="AE347" s="847"/>
    </row>
    <row r="348" spans="1:31" ht="12.75" customHeight="1" x14ac:dyDescent="0.2">
      <c r="A348" s="227">
        <v>348</v>
      </c>
      <c r="B348" s="5988"/>
      <c r="C348" s="1882" t="str">
        <f t="shared" si="49"/>
        <v>Recuperación de Ki (1)</v>
      </c>
      <c r="D348" s="871">
        <f t="shared" si="48"/>
        <v>67</v>
      </c>
      <c r="E348" s="47" t="s">
        <v>2314</v>
      </c>
      <c r="F348" s="1878">
        <v>3</v>
      </c>
      <c r="G348" s="1878">
        <f>COUNTIF(Principal!$C$35:$J$47,Tablas!E348)+COUNTIF(Principal!$C$48:$F$49,Tablas!E348)</f>
        <v>0</v>
      </c>
      <c r="H348" s="1879">
        <f t="shared" si="50"/>
        <v>0</v>
      </c>
      <c r="I348" s="876"/>
      <c r="J348" s="1883" t="s">
        <v>2811</v>
      </c>
      <c r="N348"/>
      <c r="O348" s="559"/>
      <c r="AE348" s="847"/>
    </row>
    <row r="349" spans="1:31" ht="12.75" customHeight="1" x14ac:dyDescent="0.2">
      <c r="A349" s="227">
        <v>349</v>
      </c>
      <c r="B349" s="5988"/>
      <c r="C349" s="1882" t="str">
        <f t="shared" si="49"/>
        <v>Recuperación de Ki (2)</v>
      </c>
      <c r="D349" s="871">
        <f t="shared" si="48"/>
        <v>36</v>
      </c>
      <c r="E349" s="47" t="s">
        <v>2315</v>
      </c>
      <c r="F349" s="1878">
        <v>1</v>
      </c>
      <c r="G349" s="1878">
        <f>COUNTIF(Principal!$C$35:$J$47,Tablas!E349)+COUNTIF(Principal!$C$48:$F$49,Tablas!E349)</f>
        <v>0</v>
      </c>
      <c r="H349" s="1879">
        <f t="shared" si="50"/>
        <v>0</v>
      </c>
      <c r="I349" s="876"/>
      <c r="J349" s="1883" t="s">
        <v>2811</v>
      </c>
      <c r="N349"/>
      <c r="O349" s="559"/>
      <c r="AE349" s="847"/>
    </row>
    <row r="350" spans="1:31" ht="12.75" customHeight="1" x14ac:dyDescent="0.2">
      <c r="A350" s="227">
        <v>350</v>
      </c>
      <c r="B350" s="5988"/>
      <c r="C350" s="1882" t="str">
        <f t="shared" si="49"/>
        <v>Recuperación de Ki (3)</v>
      </c>
      <c r="D350" s="871">
        <f t="shared" si="48"/>
        <v>37</v>
      </c>
      <c r="E350" s="47" t="s">
        <v>2316</v>
      </c>
      <c r="F350" s="1878">
        <v>2</v>
      </c>
      <c r="G350" s="1878">
        <f>COUNTIF(Principal!$C$35:$J$47,Tablas!E350)+COUNTIF(Principal!$C$48:$F$49,Tablas!E350)</f>
        <v>0</v>
      </c>
      <c r="H350" s="1879">
        <f t="shared" si="50"/>
        <v>0</v>
      </c>
      <c r="I350" s="876"/>
      <c r="J350" s="1883" t="s">
        <v>2811</v>
      </c>
      <c r="N350"/>
      <c r="O350" s="559"/>
      <c r="AE350" s="847"/>
    </row>
    <row r="351" spans="1:31" ht="12.75" customHeight="1" x14ac:dyDescent="0.2">
      <c r="A351" s="227">
        <v>351</v>
      </c>
      <c r="B351" s="5988"/>
      <c r="C351" s="1882" t="str">
        <f t="shared" si="49"/>
        <v>Reflejos rápidos (1)</v>
      </c>
      <c r="D351" s="871">
        <f t="shared" si="48"/>
        <v>38</v>
      </c>
      <c r="E351" s="47" t="s">
        <v>2317</v>
      </c>
      <c r="F351" s="1878">
        <v>3</v>
      </c>
      <c r="G351" s="1878">
        <f>COUNTIF(Principal!$C$35:$J$47,Tablas!E351)+COUNTIF(Principal!$C$48:$F$49,Tablas!E351)</f>
        <v>0</v>
      </c>
      <c r="H351" s="1879">
        <f>G351*F351</f>
        <v>0</v>
      </c>
      <c r="I351" s="876"/>
      <c r="J351" s="1883" t="s">
        <v>2811</v>
      </c>
      <c r="N351"/>
      <c r="O351" s="559"/>
    </row>
    <row r="352" spans="1:31" ht="12.75" customHeight="1" x14ac:dyDescent="0.2">
      <c r="A352" s="227">
        <v>352</v>
      </c>
      <c r="B352" s="5988"/>
      <c r="C352" s="1882" t="str">
        <f t="shared" si="49"/>
        <v>Reflejos rápidos (2)</v>
      </c>
      <c r="D352" s="871">
        <f t="shared" si="48"/>
        <v>-3</v>
      </c>
      <c r="E352" s="47" t="str">
        <f>IF(Personalización!$G$34="Sí","Mutación (1)"," &gt; Mutación (1)")</f>
        <v xml:space="preserve"> &gt; Mutación (1)</v>
      </c>
      <c r="F352" s="1878">
        <v>1</v>
      </c>
      <c r="G352" s="1878">
        <f>COUNTIF(Principal!$C$35:$J$47,Tablas!E352)+COUNTIF(Principal!$C$48:$F$49,Tablas!E352)</f>
        <v>0</v>
      </c>
      <c r="H352" s="1879">
        <f>G352*F352</f>
        <v>0</v>
      </c>
      <c r="I352" s="876"/>
      <c r="J352" s="1883" t="s">
        <v>2811</v>
      </c>
      <c r="N352"/>
      <c r="O352" s="559"/>
    </row>
    <row r="353" spans="1:15" ht="12.75" customHeight="1" x14ac:dyDescent="0.2">
      <c r="A353" s="227">
        <v>353</v>
      </c>
      <c r="B353" s="5988"/>
      <c r="C353" s="1882" t="str">
        <f t="shared" si="49"/>
        <v>Reflejos rápidos (3)</v>
      </c>
      <c r="D353" s="871">
        <f t="shared" si="48"/>
        <v>-2</v>
      </c>
      <c r="E353" s="47" t="str">
        <f>IF(Personalización!$G$34="Sí","Mutación (2)"," &gt; Mutación (2)")</f>
        <v xml:space="preserve"> &gt; Mutación (2)</v>
      </c>
      <c r="F353" s="1878">
        <v>2</v>
      </c>
      <c r="G353" s="1878">
        <f>COUNTIF(Principal!$C$35:$J$47,Tablas!E353)+COUNTIF(Principal!$C$48:$F$49,Tablas!E353)</f>
        <v>0</v>
      </c>
      <c r="H353" s="1879">
        <f>G353*F353</f>
        <v>0</v>
      </c>
      <c r="I353" s="876"/>
      <c r="J353" s="1883" t="s">
        <v>2811</v>
      </c>
      <c r="N353"/>
      <c r="O353" s="559"/>
    </row>
    <row r="354" spans="1:15" ht="12.75" customHeight="1" x14ac:dyDescent="0.2">
      <c r="A354" s="227">
        <v>354</v>
      </c>
      <c r="B354" s="5988"/>
      <c r="C354" s="1882" t="str">
        <f t="shared" si="49"/>
        <v>Regeneración (1) básica</v>
      </c>
      <c r="D354" s="871">
        <f t="shared" si="48"/>
        <v>-1</v>
      </c>
      <c r="E354" s="47" t="str">
        <f>IF(Personalización!$G$34="Sí","Mutación (3)"," &gt; Mutación (3)")</f>
        <v xml:space="preserve"> &gt; Mutación (3)</v>
      </c>
      <c r="F354" s="1878">
        <v>3</v>
      </c>
      <c r="G354" s="1878">
        <f>COUNTIF(Principal!$C$35:$J$47,Tablas!E354)+COUNTIF(Principal!$C$48:$F$49,Tablas!E354)</f>
        <v>0</v>
      </c>
      <c r="H354" s="1879">
        <f>G354*F354</f>
        <v>0</v>
      </c>
      <c r="I354" s="876"/>
      <c r="J354" s="1883" t="s">
        <v>2811</v>
      </c>
      <c r="N354"/>
      <c r="O354" s="559"/>
    </row>
    <row r="355" spans="1:15" ht="12.75" customHeight="1" x14ac:dyDescent="0.2">
      <c r="A355" s="227">
        <v>355</v>
      </c>
      <c r="B355" s="5988"/>
      <c r="C355" s="1882" t="str">
        <f t="shared" si="49"/>
        <v>Regeneración (2) avanzada</v>
      </c>
      <c r="D355" s="871">
        <f t="shared" si="48"/>
        <v>-5</v>
      </c>
      <c r="E355" s="47" t="s">
        <v>10024</v>
      </c>
      <c r="F355" s="1878"/>
      <c r="G355" s="1878"/>
      <c r="H355" s="1879"/>
      <c r="I355" s="876"/>
      <c r="J355" s="1883" t="s">
        <v>2811</v>
      </c>
      <c r="N355"/>
    </row>
    <row r="356" spans="1:15" ht="12.75" customHeight="1" x14ac:dyDescent="0.2">
      <c r="A356" s="227">
        <v>356</v>
      </c>
      <c r="B356" s="5988"/>
      <c r="C356" s="1882" t="str">
        <f t="shared" si="49"/>
        <v>Regeneración (3) mayor</v>
      </c>
      <c r="D356" s="871">
        <f t="shared" si="48"/>
        <v>60</v>
      </c>
      <c r="E356" s="47" t="s">
        <v>2409</v>
      </c>
      <c r="F356" s="1878">
        <v>1</v>
      </c>
      <c r="G356" s="1878">
        <f>COUNTIF(Principal!$C$35:$J$47,Tablas!E356)+COUNTIF(Principal!$C$48:$F$49,Tablas!E356)</f>
        <v>0</v>
      </c>
      <c r="H356" s="1879">
        <f t="shared" ref="H356:H377" si="51">G356*F356</f>
        <v>0</v>
      </c>
      <c r="I356" s="876">
        <v>2</v>
      </c>
      <c r="J356" s="1883" t="s">
        <v>2811</v>
      </c>
      <c r="N356"/>
    </row>
    <row r="357" spans="1:15" ht="12.75" customHeight="1" x14ac:dyDescent="0.2">
      <c r="A357" s="227">
        <v>357</v>
      </c>
      <c r="B357" s="5988"/>
      <c r="C357" s="1882" t="str">
        <f t="shared" si="49"/>
        <v>Repetir tirada de características</v>
      </c>
      <c r="D357" s="871">
        <f t="shared" si="48"/>
        <v>61</v>
      </c>
      <c r="E357" s="47" t="s">
        <v>2410</v>
      </c>
      <c r="F357" s="1878">
        <v>2</v>
      </c>
      <c r="G357" s="1878">
        <f>COUNTIF(Principal!$C$35:$J$47,Tablas!E357)+COUNTIF(Principal!$C$48:$F$49,Tablas!E357)</f>
        <v>0</v>
      </c>
      <c r="H357" s="1879">
        <f t="shared" si="51"/>
        <v>0</v>
      </c>
      <c r="I357" s="876">
        <v>2</v>
      </c>
      <c r="J357" s="1883" t="s">
        <v>2811</v>
      </c>
      <c r="N357"/>
    </row>
    <row r="358" spans="1:15" ht="12.75" customHeight="1" x14ac:dyDescent="0.2">
      <c r="A358" s="227">
        <v>358</v>
      </c>
      <c r="B358" s="5988"/>
      <c r="C358" s="1882" t="str">
        <f t="shared" si="49"/>
        <v>Res. física excepcional (1)</v>
      </c>
      <c r="D358" s="871">
        <f t="shared" si="48"/>
        <v>62</v>
      </c>
      <c r="E358" s="47" t="s">
        <v>2411</v>
      </c>
      <c r="F358" s="1878">
        <v>3</v>
      </c>
      <c r="G358" s="1878">
        <f>COUNTIF(Principal!$C$35:$J$47,Tablas!E358)+COUNTIF(Principal!$C$48:$F$49,Tablas!E358)</f>
        <v>0</v>
      </c>
      <c r="H358" s="1879">
        <f t="shared" si="51"/>
        <v>0</v>
      </c>
      <c r="I358" s="876">
        <v>2</v>
      </c>
      <c r="J358" s="1883" t="s">
        <v>2811</v>
      </c>
      <c r="N358"/>
    </row>
    <row r="359" spans="1:15" ht="12.75" customHeight="1" x14ac:dyDescent="0.2">
      <c r="A359" s="227">
        <v>359</v>
      </c>
      <c r="B359" s="5988"/>
      <c r="C359" s="1882" t="str">
        <f t="shared" si="49"/>
        <v>Res. física excepcional (2)</v>
      </c>
      <c r="D359" s="871">
        <f t="shared" si="48"/>
        <v>20</v>
      </c>
      <c r="E359" s="47" t="s">
        <v>2412</v>
      </c>
      <c r="F359" s="1878">
        <v>1</v>
      </c>
      <c r="G359" s="1878">
        <f>COUNTIF(Principal!$C$35:$J$47,Tablas!E359)+COUNTIF(Principal!$C$48:$F$49,Tablas!E359)</f>
        <v>0</v>
      </c>
      <c r="H359" s="1879">
        <f t="shared" si="51"/>
        <v>0</v>
      </c>
      <c r="I359" s="876"/>
      <c r="J359" s="1883" t="s">
        <v>2811</v>
      </c>
      <c r="N359"/>
    </row>
    <row r="360" spans="1:15" ht="12.75" customHeight="1" x14ac:dyDescent="0.2">
      <c r="A360" s="227">
        <v>360</v>
      </c>
      <c r="B360" s="5988"/>
      <c r="C360" s="1882" t="str">
        <f t="shared" si="49"/>
        <v>Res. mágica excepcional (1)</v>
      </c>
      <c r="D360" s="871">
        <f t="shared" si="48"/>
        <v>78</v>
      </c>
      <c r="E360" s="47" t="s">
        <v>2413</v>
      </c>
      <c r="F360" s="1878">
        <v>1</v>
      </c>
      <c r="G360" s="1878">
        <f>COUNTIF(Principal!$C$35:$J$47,Tablas!E360)+COUNTIF(Principal!$C$48:$F$49,Tablas!E360)</f>
        <v>0</v>
      </c>
      <c r="H360" s="1879">
        <f t="shared" si="51"/>
        <v>0</v>
      </c>
      <c r="I360" s="876"/>
      <c r="J360" s="1883" t="s">
        <v>2811</v>
      </c>
      <c r="N360"/>
    </row>
    <row r="361" spans="1:15" ht="12.75" customHeight="1" x14ac:dyDescent="0.2">
      <c r="A361" s="227">
        <v>361</v>
      </c>
      <c r="B361" s="5988"/>
      <c r="C361" s="1882" t="str">
        <f t="shared" si="49"/>
        <v>Res. mágica excepcional (2)</v>
      </c>
      <c r="D361" s="871">
        <f t="shared" si="48"/>
        <v>79</v>
      </c>
      <c r="E361" s="47" t="s">
        <v>2414</v>
      </c>
      <c r="F361" s="1878">
        <v>2</v>
      </c>
      <c r="G361" s="1878">
        <f>COUNTIF(Principal!$C$35:$J$47,Tablas!E361)+COUNTIF(Principal!$C$48:$F$49,Tablas!E361)</f>
        <v>0</v>
      </c>
      <c r="H361" s="1879">
        <f t="shared" si="51"/>
        <v>0</v>
      </c>
      <c r="I361" s="876"/>
      <c r="J361" s="1883" t="s">
        <v>2811</v>
      </c>
      <c r="N361"/>
    </row>
    <row r="362" spans="1:15" ht="12.75" customHeight="1" x14ac:dyDescent="0.2">
      <c r="A362" s="227">
        <v>362</v>
      </c>
      <c r="B362" s="5988"/>
      <c r="C362" s="1882" t="str">
        <f t="shared" si="49"/>
        <v>Res. psi. excepcional (1)</v>
      </c>
      <c r="D362" s="871">
        <f t="shared" si="48"/>
        <v>80</v>
      </c>
      <c r="E362" s="47" t="s">
        <v>2415</v>
      </c>
      <c r="F362" s="1878">
        <v>3</v>
      </c>
      <c r="G362" s="1878">
        <f>COUNTIF(Principal!$C$35:$J$47,Tablas!E362)+COUNTIF(Principal!$C$48:$F$49,Tablas!E362)</f>
        <v>0</v>
      </c>
      <c r="H362" s="1879">
        <f t="shared" si="51"/>
        <v>0</v>
      </c>
      <c r="I362" s="876"/>
      <c r="J362" s="1883" t="s">
        <v>2811</v>
      </c>
      <c r="N362"/>
    </row>
    <row r="363" spans="1:15" ht="12.75" customHeight="1" x14ac:dyDescent="0.2">
      <c r="A363" s="227">
        <v>363</v>
      </c>
      <c r="B363" s="5988"/>
      <c r="C363" s="1882" t="str">
        <f t="shared" si="49"/>
        <v>Res. psi. excepcional (2)</v>
      </c>
      <c r="D363" s="871">
        <f t="shared" si="48"/>
        <v>114</v>
      </c>
      <c r="E363" s="47" t="s">
        <v>2416</v>
      </c>
      <c r="F363" s="1878">
        <v>2</v>
      </c>
      <c r="G363" s="1878">
        <f>COUNTIF(Principal!$C$35:$J$47,Tablas!E363)+COUNTIF(Principal!$C$48:$F$49,Tablas!E363)</f>
        <v>0</v>
      </c>
      <c r="H363" s="1879">
        <f t="shared" si="51"/>
        <v>0</v>
      </c>
      <c r="I363" s="876"/>
      <c r="J363" s="1883" t="s">
        <v>2811</v>
      </c>
      <c r="N363"/>
    </row>
    <row r="364" spans="1:15" ht="12.75" customHeight="1" x14ac:dyDescent="0.2">
      <c r="A364" s="227">
        <v>364</v>
      </c>
      <c r="B364" s="5988"/>
      <c r="C364" s="1882" t="str">
        <f t="shared" si="49"/>
        <v>Seductor</v>
      </c>
      <c r="D364" s="871">
        <f t="shared" si="48"/>
        <v>109</v>
      </c>
      <c r="E364" s="47" t="s">
        <v>2417</v>
      </c>
      <c r="F364" s="1878">
        <v>3</v>
      </c>
      <c r="G364" s="1878">
        <f>COUNTIF(Principal!$C$35:$J$47,Tablas!E364)+COUNTIF(Principal!$C$48:$F$49,Tablas!E364)</f>
        <v>0</v>
      </c>
      <c r="H364" s="1879">
        <f t="shared" si="51"/>
        <v>0</v>
      </c>
      <c r="I364" s="876">
        <v>1</v>
      </c>
      <c r="J364" s="1883" t="s">
        <v>2811</v>
      </c>
      <c r="N364"/>
    </row>
    <row r="365" spans="1:15" ht="12.75" customHeight="1" x14ac:dyDescent="0.2">
      <c r="A365" s="227">
        <v>365</v>
      </c>
      <c r="B365" s="5988"/>
      <c r="C365" s="1882" t="str">
        <f t="shared" si="49"/>
        <v>Sellos magistrales</v>
      </c>
      <c r="D365" s="871">
        <f t="shared" si="48"/>
        <v>111</v>
      </c>
      <c r="E365" s="47" t="s">
        <v>2418</v>
      </c>
      <c r="F365" s="1878">
        <v>3</v>
      </c>
      <c r="G365" s="1878">
        <f>COUNTIF(Principal!$C$35:$J$47,Tablas!E365)+COUNTIF(Principal!$C$48:$F$49,Tablas!E365)</f>
        <v>0</v>
      </c>
      <c r="H365" s="1879">
        <f t="shared" si="51"/>
        <v>0</v>
      </c>
      <c r="I365" s="876">
        <v>1</v>
      </c>
      <c r="J365" s="1883" t="s">
        <v>2811</v>
      </c>
      <c r="N365"/>
    </row>
    <row r="366" spans="1:15" ht="12.75" customHeight="1" x14ac:dyDescent="0.2">
      <c r="A366" s="227">
        <v>366</v>
      </c>
      <c r="B366" s="5988"/>
      <c r="C366" s="1882" t="str">
        <f t="shared" si="49"/>
        <v>Sentido del combate: Ataque</v>
      </c>
      <c r="D366" s="871">
        <f t="shared" si="48"/>
        <v>110</v>
      </c>
      <c r="E366" s="47" t="s">
        <v>2419</v>
      </c>
      <c r="F366" s="1878">
        <v>3</v>
      </c>
      <c r="G366" s="1878">
        <f>COUNTIF(Principal!$C$35:$J$47,Tablas!E366)+COUNTIF(Principal!$C$48:$F$49,Tablas!E366)</f>
        <v>0</v>
      </c>
      <c r="H366" s="1879">
        <f t="shared" si="51"/>
        <v>0</v>
      </c>
      <c r="I366" s="876">
        <v>1</v>
      </c>
      <c r="J366" s="1883" t="s">
        <v>2811</v>
      </c>
      <c r="N366"/>
    </row>
    <row r="367" spans="1:15" ht="12.75" customHeight="1" x14ac:dyDescent="0.2">
      <c r="A367" s="227">
        <v>367</v>
      </c>
      <c r="B367" s="5988"/>
      <c r="C367" s="1882" t="str">
        <f t="shared" si="49"/>
        <v>Sentido del combate: Esquiva</v>
      </c>
      <c r="D367" s="871">
        <f t="shared" si="48"/>
        <v>54</v>
      </c>
      <c r="E367" s="47" t="s">
        <v>2420</v>
      </c>
      <c r="F367" s="1878">
        <v>2</v>
      </c>
      <c r="G367" s="1878">
        <f>COUNTIF(Principal!$C$35:$J$47,Tablas!E367)+COUNTIF(Principal!$C$48:$F$49,Tablas!E367)</f>
        <v>0</v>
      </c>
      <c r="H367" s="1879">
        <f t="shared" si="51"/>
        <v>0</v>
      </c>
      <c r="I367" s="876">
        <v>1</v>
      </c>
      <c r="J367" s="1883" t="s">
        <v>2811</v>
      </c>
      <c r="N367"/>
    </row>
    <row r="368" spans="1:15" ht="12.75" customHeight="1" x14ac:dyDescent="0.2">
      <c r="A368" s="227">
        <v>368</v>
      </c>
      <c r="B368" s="5988"/>
      <c r="C368" s="1882" t="str">
        <f t="shared" si="49"/>
        <v>Sentido del combate: Parada</v>
      </c>
      <c r="D368" s="871">
        <f t="shared" si="48"/>
        <v>130</v>
      </c>
      <c r="E368" s="47" t="s">
        <v>2421</v>
      </c>
      <c r="F368" s="1878">
        <v>1</v>
      </c>
      <c r="G368" s="1878">
        <f>COUNTIF(Principal!$C$35:$J$47,Tablas!E368)+COUNTIF(Principal!$C$48:$F$49,Tablas!E368)</f>
        <v>0</v>
      </c>
      <c r="H368" s="1879">
        <f t="shared" si="51"/>
        <v>0</v>
      </c>
      <c r="I368" s="876">
        <v>1</v>
      </c>
      <c r="J368" s="1883" t="s">
        <v>2811</v>
      </c>
      <c r="N368"/>
    </row>
    <row r="369" spans="1:14" ht="12.75" customHeight="1" x14ac:dyDescent="0.2">
      <c r="A369" s="227">
        <v>369</v>
      </c>
      <c r="B369" s="5988"/>
      <c r="C369" s="1882" t="str">
        <f t="shared" si="49"/>
        <v>Sentido del peligro</v>
      </c>
      <c r="D369" s="871">
        <f t="shared" si="48"/>
        <v>131</v>
      </c>
      <c r="E369" s="47" t="s">
        <v>2422</v>
      </c>
      <c r="F369" s="1878">
        <v>2</v>
      </c>
      <c r="G369" s="1878">
        <f>COUNTIF(Principal!$C$35:$J$47,Tablas!E369)+COUNTIF(Principal!$C$48:$F$49,Tablas!E369)</f>
        <v>0</v>
      </c>
      <c r="H369" s="1879">
        <f t="shared" si="51"/>
        <v>0</v>
      </c>
      <c r="I369" s="876">
        <v>1</v>
      </c>
      <c r="J369" s="1883" t="s">
        <v>2811</v>
      </c>
      <c r="N369"/>
    </row>
    <row r="370" spans="1:14" ht="12.75" customHeight="1" x14ac:dyDescent="0.2">
      <c r="A370" s="227">
        <v>370</v>
      </c>
      <c r="B370" s="5988"/>
      <c r="C370" s="1882" t="str">
        <f t="shared" si="49"/>
        <v>Sentidos agudos</v>
      </c>
      <c r="D370" s="871">
        <f t="shared" si="48"/>
        <v>132</v>
      </c>
      <c r="E370" s="47" t="s">
        <v>2423</v>
      </c>
      <c r="F370" s="1878">
        <v>3</v>
      </c>
      <c r="G370" s="1878">
        <f>COUNTIF(Principal!$C$35:$J$47,Tablas!E370)+COUNTIF(Principal!$C$48:$F$49,Tablas!E370)</f>
        <v>0</v>
      </c>
      <c r="H370" s="1879">
        <f t="shared" si="51"/>
        <v>0</v>
      </c>
      <c r="I370" s="876">
        <v>1</v>
      </c>
      <c r="J370" s="1883" t="s">
        <v>2811</v>
      </c>
      <c r="N370"/>
    </row>
    <row r="371" spans="1:14" ht="12.75" customHeight="1" x14ac:dyDescent="0.2">
      <c r="A371" s="227">
        <v>371</v>
      </c>
      <c r="B371" s="5988"/>
      <c r="C371" s="1882" t="str">
        <f t="shared" si="49"/>
        <v>Sin límite de familiares</v>
      </c>
      <c r="D371" s="871">
        <f t="shared" si="48"/>
        <v>134</v>
      </c>
      <c r="E371" s="47" t="s">
        <v>2424</v>
      </c>
      <c r="F371" s="1878">
        <v>1</v>
      </c>
      <c r="G371" s="1878">
        <f>COUNTIF(Principal!$C$35:$J$47,Tablas!E371)+COUNTIF(Principal!$C$48:$F$49,Tablas!E371)</f>
        <v>0</v>
      </c>
      <c r="H371" s="1879">
        <f t="shared" si="51"/>
        <v>0</v>
      </c>
      <c r="I371" s="876">
        <v>1</v>
      </c>
      <c r="J371" s="1883" t="s">
        <v>2811</v>
      </c>
      <c r="N371"/>
    </row>
    <row r="372" spans="1:14" ht="12.75" customHeight="1" x14ac:dyDescent="0.2">
      <c r="A372" s="227">
        <v>372</v>
      </c>
      <c r="B372" s="5988"/>
      <c r="C372" s="1882" t="str">
        <f t="shared" si="49"/>
        <v>Sueño ligero</v>
      </c>
      <c r="D372" s="871">
        <f t="shared" si="48"/>
        <v>116</v>
      </c>
      <c r="E372" s="47" t="s">
        <v>2425</v>
      </c>
      <c r="F372" s="1878">
        <v>1</v>
      </c>
      <c r="G372" s="1878">
        <f>COUNTIF(Principal!$C$35:$J$47,Tablas!E372)+COUNTIF(Principal!$C$48:$F$49,Tablas!E372)</f>
        <v>0</v>
      </c>
      <c r="H372" s="1879">
        <f t="shared" si="51"/>
        <v>0</v>
      </c>
      <c r="I372" s="876"/>
      <c r="J372" s="1883" t="s">
        <v>2811</v>
      </c>
      <c r="N372"/>
    </row>
    <row r="373" spans="1:14" ht="12.75" customHeight="1" x14ac:dyDescent="0.2">
      <c r="A373" s="227">
        <v>373</v>
      </c>
      <c r="B373" s="5988"/>
      <c r="C373" s="1882" t="str">
        <f t="shared" si="49"/>
        <v>Superviviente</v>
      </c>
      <c r="D373" s="871">
        <f t="shared" si="48"/>
        <v>129</v>
      </c>
      <c r="E373" s="47" t="s">
        <v>2426</v>
      </c>
      <c r="F373" s="1878">
        <v>1</v>
      </c>
      <c r="G373" s="1878">
        <f>COUNTIF(Principal!$C$35:$J$47,Tablas!E373)+COUNTIF(Principal!$C$48:$F$49,Tablas!E373)</f>
        <v>0</v>
      </c>
      <c r="H373" s="1879">
        <f t="shared" si="51"/>
        <v>0</v>
      </c>
      <c r="I373" s="876"/>
      <c r="J373" s="1883" t="s">
        <v>2811</v>
      </c>
      <c r="N373"/>
    </row>
    <row r="374" spans="1:14" ht="12.75" customHeight="1" x14ac:dyDescent="0.2">
      <c r="A374" s="227">
        <v>374</v>
      </c>
      <c r="B374" s="5988"/>
      <c r="C374" s="1882" t="str">
        <f t="shared" si="49"/>
        <v>Sustituir característica por 9</v>
      </c>
      <c r="D374" s="871">
        <f t="shared" si="48"/>
        <v>77</v>
      </c>
      <c r="E374" s="47" t="s">
        <v>2427</v>
      </c>
      <c r="F374" s="1878">
        <v>1</v>
      </c>
      <c r="G374" s="1878">
        <f>COUNTIF(Principal!$C$35:$J$47,Tablas!E374)+COUNTIF(Principal!$C$48:$F$49,Tablas!E374)</f>
        <v>0</v>
      </c>
      <c r="H374" s="1879">
        <f t="shared" si="51"/>
        <v>0</v>
      </c>
      <c r="I374" s="876"/>
      <c r="J374" s="1883" t="s">
        <v>2811</v>
      </c>
      <c r="N374"/>
    </row>
    <row r="375" spans="1:14" ht="12.75" customHeight="1" x14ac:dyDescent="0.2">
      <c r="A375" s="227">
        <v>375</v>
      </c>
      <c r="B375" s="5988"/>
      <c r="C375" s="1882" t="str">
        <f t="shared" si="49"/>
        <v>Tamaño no natural +1</v>
      </c>
      <c r="D375" s="871">
        <f t="shared" si="48"/>
        <v>72</v>
      </c>
      <c r="E375" s="47" t="s">
        <v>2428</v>
      </c>
      <c r="F375" s="1878">
        <v>1</v>
      </c>
      <c r="G375" s="1878">
        <f>COUNTIF(Principal!$C$35:$J$47,Tablas!E375)+COUNTIF(Principal!$C$48:$F$49,Tablas!E375)</f>
        <v>0</v>
      </c>
      <c r="H375" s="1879">
        <f t="shared" si="51"/>
        <v>0</v>
      </c>
      <c r="I375" s="876">
        <v>2</v>
      </c>
      <c r="J375" s="1883" t="s">
        <v>2811</v>
      </c>
      <c r="N375"/>
    </row>
    <row r="376" spans="1:14" ht="12.75" customHeight="1" x14ac:dyDescent="0.2">
      <c r="A376" s="227">
        <v>376</v>
      </c>
      <c r="B376" s="5988"/>
      <c r="C376" s="1882" t="str">
        <f t="shared" si="49"/>
        <v>Tamaño no natural +2</v>
      </c>
      <c r="D376" s="871">
        <f t="shared" si="48"/>
        <v>84</v>
      </c>
      <c r="E376" s="47" t="s">
        <v>2429</v>
      </c>
      <c r="F376" s="1878">
        <v>1</v>
      </c>
      <c r="G376" s="1878">
        <f>COUNTIF(Principal!$C$35:$J$47,Tablas!E376)+COUNTIF(Principal!$C$48:$F$49,Tablas!E376)</f>
        <v>0</v>
      </c>
      <c r="H376" s="1879">
        <f t="shared" si="51"/>
        <v>0</v>
      </c>
      <c r="I376" s="876"/>
      <c r="J376" s="1883" t="s">
        <v>2811</v>
      </c>
      <c r="N376"/>
    </row>
    <row r="377" spans="1:14" ht="12.75" customHeight="1" x14ac:dyDescent="0.2">
      <c r="A377" s="227">
        <v>377</v>
      </c>
      <c r="B377" s="5988"/>
      <c r="C377" s="1885" t="str">
        <f t="shared" si="49"/>
        <v>Tamaño no natural +3</v>
      </c>
      <c r="D377" s="871">
        <f t="shared" si="48"/>
        <v>107</v>
      </c>
      <c r="E377" s="47" t="s">
        <v>2430</v>
      </c>
      <c r="F377" s="1878">
        <v>1</v>
      </c>
      <c r="G377" s="1878">
        <f>COUNTIF(Principal!$C$35:$J$47,Tablas!E377)+COUNTIF(Principal!$C$48:$F$49,Tablas!E377)</f>
        <v>0</v>
      </c>
      <c r="H377" s="1879">
        <f t="shared" si="51"/>
        <v>0</v>
      </c>
      <c r="I377" s="876"/>
      <c r="J377" s="1883" t="s">
        <v>2811</v>
      </c>
      <c r="N377"/>
    </row>
    <row r="378" spans="1:14" ht="12.75" customHeight="1" x14ac:dyDescent="0.2">
      <c r="A378" s="227">
        <v>378</v>
      </c>
      <c r="B378" s="5988"/>
      <c r="C378" s="1885" t="str">
        <f t="shared" si="49"/>
        <v>Tamaño no natural +4</v>
      </c>
      <c r="D378" s="871">
        <f t="shared" si="48"/>
        <v>-7</v>
      </c>
      <c r="E378" s="47" t="s">
        <v>10025</v>
      </c>
      <c r="F378" s="1878"/>
      <c r="G378" s="1878"/>
      <c r="H378" s="1879"/>
      <c r="I378" s="876"/>
      <c r="J378" s="1883" t="s">
        <v>2811</v>
      </c>
      <c r="N378"/>
    </row>
    <row r="379" spans="1:14" ht="12.75" customHeight="1" x14ac:dyDescent="0.2">
      <c r="A379" s="227">
        <v>379</v>
      </c>
      <c r="B379" s="5988"/>
      <c r="C379" s="1885" t="str">
        <f t="shared" si="49"/>
        <v>Tamaño no natural +5</v>
      </c>
      <c r="D379" s="871">
        <f t="shared" si="48"/>
        <v>16</v>
      </c>
      <c r="E379" s="47" t="s">
        <v>2445</v>
      </c>
      <c r="F379" s="1878">
        <v>2</v>
      </c>
      <c r="G379" s="1878">
        <f>COUNTIF(Principal!$C$35:$J$47,Tablas!E379)+COUNTIF(Principal!$C$48:$F$49,Tablas!E379)</f>
        <v>0</v>
      </c>
      <c r="H379" s="1879">
        <f t="shared" ref="H379:H389" si="52">G379*F379</f>
        <v>0</v>
      </c>
      <c r="I379" s="876"/>
      <c r="J379" s="1883" t="s">
        <v>2811</v>
      </c>
      <c r="N379"/>
    </row>
    <row r="380" spans="1:14" ht="12.75" customHeight="1" x14ac:dyDescent="0.2">
      <c r="A380" s="227">
        <v>380</v>
      </c>
      <c r="B380" s="5988"/>
      <c r="C380" s="1885" t="str">
        <f t="shared" si="49"/>
        <v>Tamaño no natural -1</v>
      </c>
      <c r="D380" s="871">
        <f t="shared" si="48"/>
        <v>42</v>
      </c>
      <c r="E380" s="47" t="s">
        <v>2446</v>
      </c>
      <c r="F380" s="1878">
        <v>1</v>
      </c>
      <c r="G380" s="1878">
        <f>COUNTIF(Principal!$C$35:$J$47,Tablas!E380)+COUNTIF(Principal!$C$48:$F$49,Tablas!E380)</f>
        <v>0</v>
      </c>
      <c r="H380" s="1879">
        <f t="shared" si="52"/>
        <v>0</v>
      </c>
      <c r="I380" s="876"/>
      <c r="J380" s="1883" t="s">
        <v>2811</v>
      </c>
      <c r="N380"/>
    </row>
    <row r="381" spans="1:14" ht="12.75" customHeight="1" x14ac:dyDescent="0.2">
      <c r="A381" s="227">
        <v>381</v>
      </c>
      <c r="B381" s="5988"/>
      <c r="C381" s="1885" t="str">
        <f t="shared" si="49"/>
        <v>Tamaño no natural -2</v>
      </c>
      <c r="D381" s="871">
        <f t="shared" si="48"/>
        <v>83</v>
      </c>
      <c r="E381" s="47" t="s">
        <v>2447</v>
      </c>
      <c r="F381" s="1878">
        <v>1</v>
      </c>
      <c r="G381" s="1878">
        <f>COUNTIF(Principal!$C$35:$J$47,Tablas!E381)+COUNTIF(Principal!$C$48:$F$49,Tablas!E381)</f>
        <v>0</v>
      </c>
      <c r="H381" s="1879">
        <f t="shared" si="52"/>
        <v>0</v>
      </c>
      <c r="I381" s="876">
        <v>1</v>
      </c>
      <c r="J381" s="1883" t="s">
        <v>2811</v>
      </c>
      <c r="N381"/>
    </row>
    <row r="382" spans="1:14" ht="12.75" customHeight="1" x14ac:dyDescent="0.2">
      <c r="A382" s="227">
        <v>382</v>
      </c>
      <c r="B382" s="5988"/>
      <c r="C382" s="1885" t="str">
        <f t="shared" si="49"/>
        <v>Tamaño no natural -3</v>
      </c>
      <c r="D382" s="871">
        <f t="shared" si="48"/>
        <v>90</v>
      </c>
      <c r="E382" s="47" t="s">
        <v>2448</v>
      </c>
      <c r="F382" s="1878">
        <v>1</v>
      </c>
      <c r="G382" s="1878">
        <f>COUNTIF(Principal!$C$35:$J$47,Tablas!E382)+COUNTIF(Principal!$C$48:$F$49,Tablas!E382)</f>
        <v>0</v>
      </c>
      <c r="H382" s="1879">
        <f t="shared" si="52"/>
        <v>0</v>
      </c>
      <c r="I382" s="876">
        <v>1</v>
      </c>
      <c r="J382" s="1883" t="s">
        <v>2811</v>
      </c>
      <c r="N382"/>
    </row>
    <row r="383" spans="1:14" ht="12.75" customHeight="1" x14ac:dyDescent="0.2">
      <c r="A383" s="227">
        <v>383</v>
      </c>
      <c r="B383" s="5988"/>
      <c r="C383" s="1885" t="str">
        <f t="shared" si="49"/>
        <v>Tamaño no natural -4</v>
      </c>
      <c r="D383" s="871">
        <f t="shared" si="48"/>
        <v>128</v>
      </c>
      <c r="E383" s="47" t="s">
        <v>2449</v>
      </c>
      <c r="F383" s="1878">
        <v>1</v>
      </c>
      <c r="G383" s="1878">
        <f>COUNTIF(Principal!$C$35:$J$47,Tablas!E383)+COUNTIF(Principal!$C$48:$F$49,Tablas!E383)</f>
        <v>0</v>
      </c>
      <c r="H383" s="1879">
        <f t="shared" si="52"/>
        <v>0</v>
      </c>
      <c r="I383" s="876"/>
      <c r="J383" s="1883" t="s">
        <v>2811</v>
      </c>
      <c r="N383"/>
    </row>
    <row r="384" spans="1:14" ht="12.75" customHeight="1" x14ac:dyDescent="0.2">
      <c r="A384" s="227">
        <v>384</v>
      </c>
      <c r="B384" s="5988"/>
      <c r="C384" s="1885" t="str">
        <f t="shared" si="49"/>
        <v>Tamaño no natural -5</v>
      </c>
      <c r="D384" s="871">
        <f t="shared" si="48"/>
        <v>9</v>
      </c>
      <c r="E384" s="47" t="s">
        <v>2450</v>
      </c>
      <c r="F384" s="1878">
        <v>1</v>
      </c>
      <c r="G384" s="1878">
        <f>COUNTIF(Principal!$C$35:$J$47,Tablas!E384)+COUNTIF(Principal!$C$48:$F$49,Tablas!E384)</f>
        <v>0</v>
      </c>
      <c r="H384" s="1879">
        <f t="shared" si="52"/>
        <v>0</v>
      </c>
      <c r="I384" s="876"/>
      <c r="J384" s="1883" t="s">
        <v>2811</v>
      </c>
      <c r="N384"/>
    </row>
    <row r="385" spans="1:14" ht="12.75" customHeight="1" x14ac:dyDescent="0.2">
      <c r="A385" s="227">
        <v>385</v>
      </c>
      <c r="B385" s="5988"/>
      <c r="C385" s="1885" t="str">
        <f t="shared" si="49"/>
        <v>Técnicas desvinculadas</v>
      </c>
      <c r="D385" s="871">
        <f t="shared" ref="D385:D399" si="53">COUNTIF($E$256:$E$399,"&lt;="&amp;E385)-COUNTIF($E$256:$E$399,"*&gt;*")</f>
        <v>10</v>
      </c>
      <c r="E385" s="47" t="s">
        <v>2451</v>
      </c>
      <c r="F385" s="1878">
        <v>2</v>
      </c>
      <c r="G385" s="1878">
        <f>COUNTIF(Principal!$C$35:$J$47,Tablas!E385)+COUNTIF(Principal!$C$48:$F$49,Tablas!E385)</f>
        <v>0</v>
      </c>
      <c r="H385" s="1879">
        <f t="shared" si="52"/>
        <v>0</v>
      </c>
      <c r="I385" s="876"/>
      <c r="J385" s="1883" t="s">
        <v>2811</v>
      </c>
      <c r="N385"/>
    </row>
    <row r="386" spans="1:14" ht="12.75" customHeight="1" x14ac:dyDescent="0.2">
      <c r="A386" s="227">
        <v>386</v>
      </c>
      <c r="B386" s="5988"/>
      <c r="C386" s="1885" t="str">
        <f t="shared" si="49"/>
        <v>Tocado por el Destino</v>
      </c>
      <c r="D386" s="871">
        <f t="shared" si="53"/>
        <v>89</v>
      </c>
      <c r="E386" s="47" t="s">
        <v>2452</v>
      </c>
      <c r="F386" s="1878">
        <v>1</v>
      </c>
      <c r="G386" s="1878">
        <f>COUNTIF(Principal!$C$35:$J$47,Tablas!E386)+COUNTIF(Principal!$C$48:$F$49,Tablas!E386)</f>
        <v>0</v>
      </c>
      <c r="H386" s="1879">
        <f t="shared" si="52"/>
        <v>0</v>
      </c>
      <c r="I386" s="876">
        <v>1</v>
      </c>
      <c r="J386" s="1883" t="s">
        <v>2811</v>
      </c>
      <c r="N386"/>
    </row>
    <row r="387" spans="1:14" ht="12.75" customHeight="1" x14ac:dyDescent="0.2">
      <c r="A387" s="227">
        <v>387</v>
      </c>
      <c r="B387" s="5988"/>
      <c r="C387" s="1885" t="str">
        <f t="shared" ref="C387:C404" si="54">VLOOKUP(A130,$D$257:$E$404,2,0)</f>
        <v>Uso de armadura (1)</v>
      </c>
      <c r="D387" s="871">
        <f t="shared" si="53"/>
        <v>85</v>
      </c>
      <c r="E387" s="47" t="s">
        <v>2453</v>
      </c>
      <c r="F387" s="1878">
        <v>1</v>
      </c>
      <c r="G387" s="1878">
        <f>COUNTIF(Principal!$C$35:$J$47,Tablas!E387)+COUNTIF(Principal!$C$48:$F$49,Tablas!E387)</f>
        <v>0</v>
      </c>
      <c r="H387" s="1879">
        <f t="shared" si="52"/>
        <v>0</v>
      </c>
      <c r="I387" s="876">
        <v>1</v>
      </c>
      <c r="J387" s="1883" t="s">
        <v>2811</v>
      </c>
      <c r="N387"/>
    </row>
    <row r="388" spans="1:14" ht="12.75" customHeight="1" x14ac:dyDescent="0.2">
      <c r="A388" s="227">
        <v>388</v>
      </c>
      <c r="B388" s="5988"/>
      <c r="C388" s="1885" t="str">
        <f t="shared" si="54"/>
        <v>Uso de armadura (2)</v>
      </c>
      <c r="D388" s="871">
        <f t="shared" si="53"/>
        <v>82</v>
      </c>
      <c r="E388" s="47" t="s">
        <v>2454</v>
      </c>
      <c r="F388" s="1878">
        <v>1</v>
      </c>
      <c r="G388" s="1878">
        <f>COUNTIF(Principal!$C$35:$J$47,Tablas!E388)+COUNTIF(Principal!$C$48:$F$49,Tablas!E388)</f>
        <v>0</v>
      </c>
      <c r="H388" s="1879">
        <f t="shared" si="52"/>
        <v>0</v>
      </c>
      <c r="I388" s="876"/>
      <c r="J388" s="1883" t="s">
        <v>2811</v>
      </c>
      <c r="N388"/>
    </row>
    <row r="389" spans="1:14" ht="12.75" customHeight="1" x14ac:dyDescent="0.2">
      <c r="A389" s="227">
        <v>389</v>
      </c>
      <c r="B389" s="5988"/>
      <c r="C389" s="1885" t="str">
        <f t="shared" si="54"/>
        <v>Uso de armadura (3)</v>
      </c>
      <c r="D389" s="871">
        <f t="shared" si="53"/>
        <v>108</v>
      </c>
      <c r="E389" s="47" t="s">
        <v>2455</v>
      </c>
      <c r="F389" s="1878">
        <v>1</v>
      </c>
      <c r="G389" s="1878">
        <f>COUNTIF(Principal!$C$35:$J$47,Tablas!E389)+COUNTIF(Principal!$C$48:$F$49,Tablas!E389)</f>
        <v>0</v>
      </c>
      <c r="H389" s="1879">
        <f t="shared" si="52"/>
        <v>0</v>
      </c>
      <c r="I389" s="876"/>
      <c r="J389" s="1883" t="s">
        <v>2811</v>
      </c>
      <c r="N389"/>
    </row>
    <row r="390" spans="1:14" ht="12.75" customHeight="1" x14ac:dyDescent="0.2">
      <c r="A390" s="227">
        <v>390</v>
      </c>
      <c r="B390" s="5988"/>
      <c r="C390" s="1885" t="str">
        <f t="shared" si="54"/>
        <v>Ver lo sobrenatural</v>
      </c>
      <c r="D390" s="871">
        <f t="shared" si="53"/>
        <v>-8</v>
      </c>
      <c r="E390" s="47" t="s">
        <v>10026</v>
      </c>
      <c r="F390" s="1878"/>
      <c r="G390" s="1878"/>
      <c r="H390" s="1879"/>
      <c r="I390" s="876"/>
      <c r="J390" s="1883" t="s">
        <v>2811</v>
      </c>
      <c r="N390"/>
    </row>
    <row r="391" spans="1:14" ht="12.75" customHeight="1" x14ac:dyDescent="0.2">
      <c r="A391" s="227">
        <v>391</v>
      </c>
      <c r="B391" s="5988"/>
      <c r="C391" s="1885" t="str">
        <f t="shared" si="54"/>
        <v>Versátil</v>
      </c>
      <c r="D391" s="871">
        <f t="shared" si="53"/>
        <v>64</v>
      </c>
      <c r="E391" s="47" t="s">
        <v>2456</v>
      </c>
      <c r="F391" s="1878">
        <v>1</v>
      </c>
      <c r="G391" s="1878">
        <f>COUNTIF(Principal!$C$35:$J$47,Tablas!E391)+COUNTIF(Principal!$C$48:$F$49,Tablas!E391)</f>
        <v>0</v>
      </c>
      <c r="H391" s="1879">
        <f t="shared" ref="H391:H397" si="55">G391*F391</f>
        <v>0</v>
      </c>
      <c r="I391" s="876"/>
      <c r="J391" s="1883" t="s">
        <v>2811</v>
      </c>
      <c r="N391"/>
    </row>
    <row r="392" spans="1:14" ht="12.75" customHeight="1" x14ac:dyDescent="0.2">
      <c r="A392" s="227">
        <v>392</v>
      </c>
      <c r="B392" s="5988"/>
      <c r="C392" s="1885" t="str">
        <f t="shared" si="54"/>
        <v>Visión nocturna</v>
      </c>
      <c r="D392" s="871">
        <f t="shared" si="53"/>
        <v>69</v>
      </c>
      <c r="E392" s="47" t="s">
        <v>6245</v>
      </c>
      <c r="F392" s="1878">
        <v>1</v>
      </c>
      <c r="G392" s="1878">
        <f>COUNTIF(Principal!$C$35:$J$47,Tablas!E392)+COUNTIF(Principal!$C$48:$F$49,Tablas!E392)</f>
        <v>0</v>
      </c>
      <c r="H392" s="1879">
        <f t="shared" si="55"/>
        <v>0</v>
      </c>
      <c r="I392" s="876"/>
      <c r="J392" s="1883" t="s">
        <v>2811</v>
      </c>
      <c r="N392"/>
    </row>
    <row r="393" spans="1:14" ht="12.75" customHeight="1" x14ac:dyDescent="0.2">
      <c r="A393" s="227">
        <v>393</v>
      </c>
      <c r="B393" s="5988"/>
      <c r="C393" s="1885" t="str">
        <f t="shared" si="54"/>
        <v xml:space="preserve"> &gt; VENTAJAS PERSONALIZADAS</v>
      </c>
      <c r="D393" s="871">
        <f t="shared" si="53"/>
        <v>70</v>
      </c>
      <c r="E393" s="47" t="s">
        <v>2457</v>
      </c>
      <c r="F393" s="1878">
        <v>2</v>
      </c>
      <c r="G393" s="1878">
        <f>COUNTIF(Principal!$C$35:$J$47,Tablas!E393)+COUNTIF(Principal!$C$48:$F$49,Tablas!E393)</f>
        <v>0</v>
      </c>
      <c r="H393" s="1879">
        <f t="shared" si="55"/>
        <v>0</v>
      </c>
      <c r="I393" s="876"/>
      <c r="J393" s="1883" t="s">
        <v>2811</v>
      </c>
      <c r="N393"/>
    </row>
    <row r="394" spans="1:14" ht="12.75" customHeight="1" x14ac:dyDescent="0.2">
      <c r="A394" s="227">
        <v>394</v>
      </c>
      <c r="B394" s="5988"/>
      <c r="C394" s="1885" t="str">
        <f t="shared" si="54"/>
        <v>Ventaja personalizada #1</v>
      </c>
      <c r="D394" s="871">
        <f t="shared" si="53"/>
        <v>71</v>
      </c>
      <c r="E394" s="47" t="s">
        <v>2458</v>
      </c>
      <c r="F394" s="1878">
        <v>3</v>
      </c>
      <c r="G394" s="1878">
        <f>COUNTIF(Principal!$C$35:$J$47,Tablas!E394)+COUNTIF(Principal!$C$48:$F$49,Tablas!E394)</f>
        <v>0</v>
      </c>
      <c r="H394" s="1879">
        <f t="shared" si="55"/>
        <v>0</v>
      </c>
      <c r="I394" s="876"/>
      <c r="J394" s="1883" t="s">
        <v>2811</v>
      </c>
      <c r="N394"/>
    </row>
    <row r="395" spans="1:14" ht="12.75" customHeight="1" x14ac:dyDescent="0.2">
      <c r="A395" s="227">
        <v>395</v>
      </c>
      <c r="B395" s="5988"/>
      <c r="C395" s="1885" t="str">
        <f t="shared" si="54"/>
        <v>Ventaja personalizada #2</v>
      </c>
      <c r="D395" s="871">
        <f t="shared" si="53"/>
        <v>57</v>
      </c>
      <c r="E395" s="47" t="s">
        <v>2459</v>
      </c>
      <c r="F395" s="1878">
        <v>1</v>
      </c>
      <c r="G395" s="1878">
        <f>COUNTIF(Principal!$C$35:$J$47,Tablas!E395)+COUNTIF(Principal!$C$48:$F$49,Tablas!E395)</f>
        <v>0</v>
      </c>
      <c r="H395" s="1879">
        <f t="shared" si="55"/>
        <v>0</v>
      </c>
      <c r="I395" s="876">
        <v>1</v>
      </c>
      <c r="J395" s="1883" t="s">
        <v>2811</v>
      </c>
      <c r="N395"/>
    </row>
    <row r="396" spans="1:14" ht="12.75" customHeight="1" x14ac:dyDescent="0.2">
      <c r="A396" s="227">
        <v>396</v>
      </c>
      <c r="B396" s="5988"/>
      <c r="C396" s="1885" t="str">
        <f t="shared" si="54"/>
        <v>Ventaja personalizada #3</v>
      </c>
      <c r="D396" s="871">
        <f t="shared" si="53"/>
        <v>58</v>
      </c>
      <c r="E396" s="47" t="s">
        <v>2460</v>
      </c>
      <c r="F396" s="1878">
        <v>2</v>
      </c>
      <c r="G396" s="1878">
        <f>COUNTIF(Principal!$C$35:$J$47,Tablas!E396)+COUNTIF(Principal!$C$48:$F$49,Tablas!E396)</f>
        <v>0</v>
      </c>
      <c r="H396" s="1879">
        <f t="shared" si="55"/>
        <v>0</v>
      </c>
      <c r="I396" s="876">
        <v>1</v>
      </c>
      <c r="J396" s="1883" t="s">
        <v>2811</v>
      </c>
      <c r="N396"/>
    </row>
    <row r="397" spans="1:14" ht="12.75" customHeight="1" x14ac:dyDescent="0.2">
      <c r="A397" s="227">
        <v>397</v>
      </c>
      <c r="B397" s="5988"/>
      <c r="C397" s="1885" t="str">
        <f t="shared" si="54"/>
        <v>Ventaja personalizada #4</v>
      </c>
      <c r="D397" s="871">
        <f t="shared" si="53"/>
        <v>59</v>
      </c>
      <c r="E397" s="47" t="s">
        <v>2461</v>
      </c>
      <c r="F397" s="1878">
        <v>3</v>
      </c>
      <c r="G397" s="1878">
        <f>COUNTIF(Principal!$C$35:$J$47,Tablas!E397)+COUNTIF(Principal!$C$48:$F$49,Tablas!E397)</f>
        <v>0</v>
      </c>
      <c r="H397" s="1879">
        <f t="shared" si="55"/>
        <v>0</v>
      </c>
      <c r="I397" s="876">
        <v>1</v>
      </c>
      <c r="J397" s="1883" t="s">
        <v>2811</v>
      </c>
      <c r="N397"/>
    </row>
    <row r="398" spans="1:14" ht="12.75" customHeight="1" x14ac:dyDescent="0.2">
      <c r="A398" s="227">
        <v>398</v>
      </c>
      <c r="B398" s="5988"/>
      <c r="C398" s="1885" t="e">
        <f t="shared" si="54"/>
        <v>#N/A</v>
      </c>
      <c r="D398" s="871">
        <f t="shared" si="53"/>
        <v>-6</v>
      </c>
      <c r="E398" s="47" t="s">
        <v>10027</v>
      </c>
      <c r="F398" s="1878"/>
      <c r="G398" s="1878"/>
      <c r="H398" s="1879"/>
      <c r="I398" s="876"/>
      <c r="J398" s="1883" t="s">
        <v>2811</v>
      </c>
      <c r="N398"/>
    </row>
    <row r="399" spans="1:14" ht="12.75" customHeight="1" x14ac:dyDescent="0.2">
      <c r="A399" s="227">
        <v>399</v>
      </c>
      <c r="B399" s="5988"/>
      <c r="C399" s="1885" t="e">
        <f t="shared" si="54"/>
        <v>#N/A</v>
      </c>
      <c r="D399" s="871">
        <f t="shared" si="53"/>
        <v>18</v>
      </c>
      <c r="E399" s="47" t="s">
        <v>2465</v>
      </c>
      <c r="F399" s="1878">
        <v>1</v>
      </c>
      <c r="G399" s="1878">
        <f>COUNTIF(Principal!$C$35:$J$47,Tablas!E399)+COUNTIF(Principal!$C$48:$F$49,Tablas!E399)</f>
        <v>0</v>
      </c>
      <c r="H399" s="1879">
        <f>G399*F399</f>
        <v>0</v>
      </c>
      <c r="I399" s="876"/>
      <c r="J399" s="1883" t="s">
        <v>2811</v>
      </c>
      <c r="N399"/>
    </row>
    <row r="400" spans="1:14" ht="12.75" customHeight="1" x14ac:dyDescent="0.2">
      <c r="A400" s="227">
        <v>400</v>
      </c>
      <c r="B400" s="5988"/>
      <c r="C400" s="1885" t="e">
        <f t="shared" si="54"/>
        <v>#N/A</v>
      </c>
      <c r="D400" s="871">
        <f>MAX(D256:D399)+1</f>
        <v>136</v>
      </c>
      <c r="E400" s="47" t="s">
        <v>10028</v>
      </c>
      <c r="F400" s="1878"/>
      <c r="G400" s="1878"/>
      <c r="H400" s="1879"/>
      <c r="I400" s="876"/>
      <c r="J400" s="1883" t="s">
        <v>2811</v>
      </c>
      <c r="K400" s="2324"/>
      <c r="N400"/>
    </row>
    <row r="401" spans="1:14" ht="12.75" customHeight="1" x14ac:dyDescent="0.2">
      <c r="A401" s="227">
        <v>401</v>
      </c>
      <c r="B401" s="5988"/>
      <c r="C401" s="1885" t="e">
        <f t="shared" si="54"/>
        <v>#N/A</v>
      </c>
      <c r="D401" s="871">
        <f>IF(LEN(E401)&gt;0,D400+1,MIN($D$256:D400)-1)</f>
        <v>137</v>
      </c>
      <c r="E401" s="47" t="str">
        <f>IF(Personalización!$C30="","Ventaja personalizada #"&amp;A1,Personalización!$C30)</f>
        <v>Ventaja personalizada #1</v>
      </c>
      <c r="F401" s="1878">
        <f>Personalización!G30</f>
        <v>0</v>
      </c>
      <c r="G401" s="1878">
        <f>COUNTIF(Principal!$C$35:$J$47,Tablas!E401)+COUNTIF(Principal!$C$48:$F$49,Tablas!E401)</f>
        <v>0</v>
      </c>
      <c r="H401" s="1879">
        <f>G401*F401</f>
        <v>0</v>
      </c>
      <c r="I401" s="876"/>
      <c r="J401" s="1883" t="s">
        <v>2811</v>
      </c>
      <c r="K401" s="2324"/>
      <c r="N401"/>
    </row>
    <row r="402" spans="1:14" ht="12.75" customHeight="1" x14ac:dyDescent="0.2">
      <c r="A402" s="227">
        <v>402</v>
      </c>
      <c r="B402" s="5988"/>
      <c r="C402" s="1885" t="e">
        <f t="shared" si="54"/>
        <v>#N/A</v>
      </c>
      <c r="D402" s="871">
        <f>IF(LEN(E402)&gt;0,D401+1,MIN($D$256:D401)-1)</f>
        <v>138</v>
      </c>
      <c r="E402" s="47" t="str">
        <f>IF(Personalización!$C31="","Ventaja personalizada #"&amp;A2,Personalización!$C31)</f>
        <v>Ventaja personalizada #2</v>
      </c>
      <c r="F402" s="1878">
        <f>Personalización!G31</f>
        <v>0</v>
      </c>
      <c r="G402" s="1878">
        <f>COUNTIF(Principal!$C$35:$J$47,Tablas!E402)+COUNTIF(Principal!$C$48:$F$49,Tablas!E402)</f>
        <v>0</v>
      </c>
      <c r="H402" s="1879">
        <f>G402*F402</f>
        <v>0</v>
      </c>
      <c r="I402" s="876"/>
      <c r="J402" s="1883" t="s">
        <v>2811</v>
      </c>
      <c r="K402" s="2324"/>
      <c r="N402"/>
    </row>
    <row r="403" spans="1:14" ht="12.75" customHeight="1" x14ac:dyDescent="0.2">
      <c r="A403" s="227">
        <v>403</v>
      </c>
      <c r="B403" s="5988"/>
      <c r="C403" s="1885" t="e">
        <f t="shared" si="54"/>
        <v>#N/A</v>
      </c>
      <c r="D403" s="871">
        <f>IF(LEN(E403)&gt;0,D402+1,MIN($D$256:D402)-1)</f>
        <v>139</v>
      </c>
      <c r="E403" s="47" t="str">
        <f>IF(Personalización!$C32="","Ventaja personalizada #"&amp;A3,Personalización!$C32)</f>
        <v>Ventaja personalizada #3</v>
      </c>
      <c r="F403" s="1878">
        <f>Personalización!G32</f>
        <v>0</v>
      </c>
      <c r="G403" s="1878">
        <f>COUNTIF(Principal!$C$35:$J$47,Tablas!E403)+COUNTIF(Principal!$C$48:$F$49,Tablas!E403)</f>
        <v>0</v>
      </c>
      <c r="H403" s="1879">
        <f>G403*F403</f>
        <v>0</v>
      </c>
      <c r="I403" s="876"/>
      <c r="J403" s="1883" t="s">
        <v>2811</v>
      </c>
      <c r="K403" s="2324"/>
      <c r="N403"/>
    </row>
    <row r="404" spans="1:14" ht="12.75" customHeight="1" x14ac:dyDescent="0.2">
      <c r="A404" s="227">
        <v>404</v>
      </c>
      <c r="B404" s="5988"/>
      <c r="C404" s="1886" t="e">
        <f t="shared" si="54"/>
        <v>#N/A</v>
      </c>
      <c r="D404" s="871">
        <f>IF(LEN(E404)&gt;0,D403+1,MIN($D$256:D403)-1)</f>
        <v>140</v>
      </c>
      <c r="E404" s="47" t="str">
        <f>IF(Personalización!$C33="","Ventaja personalizada #"&amp;A4,Personalización!$C33)</f>
        <v>Ventaja personalizada #4</v>
      </c>
      <c r="F404" s="1878">
        <f>Personalización!G33</f>
        <v>0</v>
      </c>
      <c r="G404" s="1878">
        <f>COUNTIF(Principal!$C$35:$J$47,Tablas!E404)+COUNTIF(Principal!$C$48:$F$49,Tablas!E404)</f>
        <v>0</v>
      </c>
      <c r="H404" s="1879">
        <f>G404*F404</f>
        <v>0</v>
      </c>
      <c r="I404" s="876"/>
      <c r="J404" s="1883" t="s">
        <v>2811</v>
      </c>
      <c r="K404" s="2324"/>
      <c r="N404"/>
    </row>
    <row r="405" spans="1:14" ht="12.75" customHeight="1" x14ac:dyDescent="0.2">
      <c r="A405" s="227">
        <v>405</v>
      </c>
      <c r="B405" s="5988"/>
      <c r="C405" s="1887"/>
      <c r="D405" s="872"/>
      <c r="E405" s="1888" t="s">
        <v>10029</v>
      </c>
      <c r="F405" s="736"/>
      <c r="G405" s="736"/>
      <c r="H405" s="875"/>
      <c r="I405" s="1880"/>
      <c r="J405" s="1881" t="s">
        <v>2268</v>
      </c>
      <c r="N405"/>
    </row>
    <row r="406" spans="1:14" ht="12.75" customHeight="1" x14ac:dyDescent="0.2">
      <c r="A406" s="227">
        <v>406</v>
      </c>
      <c r="B406" s="5988"/>
      <c r="C406" s="1887"/>
      <c r="D406" s="871">
        <f t="shared" ref="D406:D449" si="56">COUNTIF($E$406:$E$449,"&lt;="&amp;E406)-COUNTIF($E$406:$E$449,"*&gt;*")</f>
        <v>39</v>
      </c>
      <c r="E406" s="47" t="s">
        <v>2318</v>
      </c>
      <c r="F406" s="1878">
        <v>1</v>
      </c>
      <c r="G406" s="1878">
        <f>COUNTIF(Principal!$C$35:$J$47,Tablas!E406)+COUNTIF(Principal!$C$48:$F$49,Tablas!E406)</f>
        <v>0</v>
      </c>
      <c r="H406" s="1879">
        <f t="shared" ref="H406:H438" si="57">G406*F406</f>
        <v>0</v>
      </c>
      <c r="I406" s="876">
        <v>1</v>
      </c>
      <c r="J406" s="1883" t="s">
        <v>2268</v>
      </c>
      <c r="N406"/>
    </row>
    <row r="407" spans="1:14" ht="12.75" customHeight="1" x14ac:dyDescent="0.2">
      <c r="A407" s="227">
        <v>407</v>
      </c>
      <c r="B407" s="5988"/>
      <c r="C407" s="1887" t="str">
        <f>E405</f>
        <v xml:space="preserve"> &gt; VENTAJAS: DON</v>
      </c>
      <c r="D407" s="871">
        <f t="shared" si="56"/>
        <v>40</v>
      </c>
      <c r="E407" s="47" t="s">
        <v>2319</v>
      </c>
      <c r="F407" s="1878">
        <v>2</v>
      </c>
      <c r="G407" s="1878">
        <f>COUNTIF(Principal!$C$35:$J$47,Tablas!E407)+COUNTIF(Principal!$C$48:$F$49,Tablas!E407)</f>
        <v>0</v>
      </c>
      <c r="H407" s="1879">
        <f t="shared" si="57"/>
        <v>0</v>
      </c>
      <c r="I407" s="876">
        <v>1</v>
      </c>
      <c r="J407" s="1883" t="s">
        <v>2268</v>
      </c>
      <c r="N407"/>
    </row>
    <row r="408" spans="1:14" ht="12.75" customHeight="1" x14ac:dyDescent="0.2">
      <c r="A408" s="227">
        <v>408</v>
      </c>
      <c r="B408" s="5988"/>
      <c r="C408" s="1885" t="str">
        <f t="shared" ref="C408:C449" si="58">VLOOKUP(A1,$D$406:$E$449,2,0)</f>
        <v>Aprendizaje mágico gradual</v>
      </c>
      <c r="D408" s="871">
        <f t="shared" si="56"/>
        <v>41</v>
      </c>
      <c r="E408" s="47" t="s">
        <v>2320</v>
      </c>
      <c r="F408" s="1878">
        <v>3</v>
      </c>
      <c r="G408" s="1878">
        <f>COUNTIF(Principal!$C$35:$J$47,Tablas!E408)+COUNTIF(Principal!$C$48:$F$49,Tablas!E408)</f>
        <v>0</v>
      </c>
      <c r="H408" s="1879">
        <f t="shared" si="57"/>
        <v>0</v>
      </c>
      <c r="I408" s="876">
        <v>1</v>
      </c>
      <c r="J408" s="1883" t="s">
        <v>2268</v>
      </c>
      <c r="N408"/>
    </row>
    <row r="409" spans="1:14" ht="12.75" customHeight="1" x14ac:dyDescent="0.2">
      <c r="A409" s="227">
        <v>409</v>
      </c>
      <c r="B409" s="5988"/>
      <c r="C409" s="1885" t="str">
        <f t="shared" si="58"/>
        <v>Apto desarrollo de la magia</v>
      </c>
      <c r="D409" s="871">
        <f t="shared" si="56"/>
        <v>2</v>
      </c>
      <c r="E409" s="47" t="s">
        <v>2321</v>
      </c>
      <c r="F409" s="1878">
        <v>1</v>
      </c>
      <c r="G409" s="1878">
        <f>COUNTIF(Principal!$C$35:$J$47,Tablas!E409)+COUNTIF(Principal!$C$48:$F$49,Tablas!E409)</f>
        <v>0</v>
      </c>
      <c r="H409" s="1879">
        <f t="shared" si="57"/>
        <v>0</v>
      </c>
      <c r="I409" s="876">
        <v>1</v>
      </c>
      <c r="J409" s="1883" t="s">
        <v>2268</v>
      </c>
      <c r="N409"/>
    </row>
    <row r="410" spans="1:14" ht="12.75" customHeight="1" x14ac:dyDescent="0.2">
      <c r="A410" s="227">
        <v>410</v>
      </c>
      <c r="B410" s="5988"/>
      <c r="C410" s="1885" t="str">
        <f t="shared" si="58"/>
        <v>Con. natural de Vía: Agua</v>
      </c>
      <c r="D410" s="871">
        <f t="shared" si="56"/>
        <v>10</v>
      </c>
      <c r="E410" s="47" t="s">
        <v>2322</v>
      </c>
      <c r="F410" s="1878">
        <v>1</v>
      </c>
      <c r="G410" s="1878">
        <f>COUNTIF(Principal!$C$35:$J$47,Tablas!E410)+COUNTIF(Principal!$C$48:$F$49,Tablas!E410)</f>
        <v>0</v>
      </c>
      <c r="H410" s="1879">
        <f t="shared" si="57"/>
        <v>0</v>
      </c>
      <c r="I410" s="876">
        <v>1</v>
      </c>
      <c r="J410" s="1883" t="s">
        <v>2268</v>
      </c>
      <c r="K410" s="1338" t="s">
        <v>1699</v>
      </c>
      <c r="N410"/>
    </row>
    <row r="411" spans="1:14" ht="12.75" customHeight="1" x14ac:dyDescent="0.2">
      <c r="A411" s="227">
        <v>411</v>
      </c>
      <c r="B411" s="5988"/>
      <c r="C411" s="1885" t="str">
        <f t="shared" si="58"/>
        <v>Con. natural de Vía: Aire</v>
      </c>
      <c r="D411" s="871">
        <f t="shared" si="56"/>
        <v>12</v>
      </c>
      <c r="E411" s="47" t="s">
        <v>2323</v>
      </c>
      <c r="F411" s="1878">
        <v>1</v>
      </c>
      <c r="G411" s="1878">
        <f>COUNTIF(Principal!$C$35:$J$47,Tablas!E411)+COUNTIF(Principal!$C$48:$F$49,Tablas!E411)</f>
        <v>0</v>
      </c>
      <c r="H411" s="1879">
        <f t="shared" si="57"/>
        <v>0</v>
      </c>
      <c r="I411" s="876">
        <v>1</v>
      </c>
      <c r="J411" s="1883" t="s">
        <v>2268</v>
      </c>
      <c r="K411" s="1339" t="s">
        <v>1700</v>
      </c>
      <c r="N411"/>
    </row>
    <row r="412" spans="1:14" ht="12.75" customHeight="1" x14ac:dyDescent="0.2">
      <c r="A412" s="227">
        <v>412</v>
      </c>
      <c r="B412" s="5988"/>
      <c r="C412" s="1885" t="str">
        <f t="shared" si="58"/>
        <v>Con. natural de Vía: Creación</v>
      </c>
      <c r="D412" s="871">
        <f t="shared" si="56"/>
        <v>8</v>
      </c>
      <c r="E412" s="47" t="s">
        <v>2324</v>
      </c>
      <c r="F412" s="1878">
        <v>1</v>
      </c>
      <c r="G412" s="1878">
        <f>COUNTIF(Principal!$C$35:$J$47,Tablas!E412)+COUNTIF(Principal!$C$48:$F$49,Tablas!E412)</f>
        <v>0</v>
      </c>
      <c r="H412" s="1879">
        <f t="shared" si="57"/>
        <v>0</v>
      </c>
      <c r="I412" s="876">
        <v>1</v>
      </c>
      <c r="J412" s="1883" t="s">
        <v>2268</v>
      </c>
      <c r="K412" s="1339" t="s">
        <v>1610</v>
      </c>
      <c r="N412"/>
    </row>
    <row r="413" spans="1:14" ht="12.75" customHeight="1" x14ac:dyDescent="0.2">
      <c r="A413" s="227">
        <v>413</v>
      </c>
      <c r="B413" s="5988"/>
      <c r="C413" s="1885" t="str">
        <f t="shared" si="58"/>
        <v>Con. natural de Vía: Destruc.</v>
      </c>
      <c r="D413" s="871">
        <f t="shared" si="56"/>
        <v>3</v>
      </c>
      <c r="E413" s="47" t="s">
        <v>2325</v>
      </c>
      <c r="F413" s="1878">
        <v>1</v>
      </c>
      <c r="G413" s="1878">
        <f>COUNTIF(Principal!$C$35:$J$47,Tablas!E413)+COUNTIF(Principal!$C$48:$F$49,Tablas!E413)</f>
        <v>0</v>
      </c>
      <c r="H413" s="1879">
        <f t="shared" si="57"/>
        <v>0</v>
      </c>
      <c r="I413" s="876">
        <v>1</v>
      </c>
      <c r="J413" s="1883" t="s">
        <v>2268</v>
      </c>
      <c r="K413" s="1339" t="s">
        <v>1606</v>
      </c>
      <c r="N413"/>
    </row>
    <row r="414" spans="1:14" ht="12.75" customHeight="1" x14ac:dyDescent="0.2">
      <c r="A414" s="227">
        <v>414</v>
      </c>
      <c r="B414" s="5988"/>
      <c r="C414" s="1885" t="str">
        <f t="shared" si="58"/>
        <v>Con. natural de Vía: Esencia</v>
      </c>
      <c r="D414" s="871">
        <f t="shared" si="56"/>
        <v>4</v>
      </c>
      <c r="E414" s="47" t="s">
        <v>2326</v>
      </c>
      <c r="F414" s="1878">
        <v>1</v>
      </c>
      <c r="G414" s="1878">
        <f>COUNTIF(Principal!$C$35:$J$47,Tablas!E414)+COUNTIF(Principal!$C$48:$F$49,Tablas!E414)</f>
        <v>0</v>
      </c>
      <c r="H414" s="1879">
        <f t="shared" si="57"/>
        <v>0</v>
      </c>
      <c r="I414" s="876">
        <v>1</v>
      </c>
      <c r="J414" s="1883" t="s">
        <v>2268</v>
      </c>
      <c r="K414" s="1339" t="s">
        <v>1603</v>
      </c>
      <c r="N414"/>
    </row>
    <row r="415" spans="1:14" ht="12.75" customHeight="1" x14ac:dyDescent="0.2">
      <c r="A415" s="227">
        <v>415</v>
      </c>
      <c r="B415" s="5988"/>
      <c r="C415" s="1885" t="str">
        <f t="shared" si="58"/>
        <v>Con. natural de Vía: Fuego</v>
      </c>
      <c r="D415" s="871">
        <f t="shared" si="56"/>
        <v>13</v>
      </c>
      <c r="E415" s="47" t="s">
        <v>2327</v>
      </c>
      <c r="F415" s="1878">
        <v>1</v>
      </c>
      <c r="G415" s="1878">
        <f>COUNTIF(Principal!$C$35:$J$47,Tablas!E415)+COUNTIF(Principal!$C$48:$F$49,Tablas!E415)</f>
        <v>0</v>
      </c>
      <c r="H415" s="1879">
        <f t="shared" si="57"/>
        <v>0</v>
      </c>
      <c r="I415" s="876">
        <v>1</v>
      </c>
      <c r="J415" s="1883" t="s">
        <v>2268</v>
      </c>
      <c r="K415" s="1339" t="s">
        <v>1704</v>
      </c>
      <c r="N415"/>
    </row>
    <row r="416" spans="1:14" ht="12.75" customHeight="1" x14ac:dyDescent="0.2">
      <c r="A416" s="227">
        <v>416</v>
      </c>
      <c r="B416" s="5988"/>
      <c r="C416" s="1885" t="str">
        <f t="shared" si="58"/>
        <v>Con. natural de Vía: Ilusión</v>
      </c>
      <c r="D416" s="871">
        <f t="shared" si="56"/>
        <v>5</v>
      </c>
      <c r="E416" s="47" t="s">
        <v>2328</v>
      </c>
      <c r="F416" s="1878">
        <v>1</v>
      </c>
      <c r="G416" s="1878">
        <f>COUNTIF(Principal!$C$35:$J$47,Tablas!E416)+COUNTIF(Principal!$C$48:$F$49,Tablas!E416)</f>
        <v>0</v>
      </c>
      <c r="H416" s="1879">
        <f t="shared" si="57"/>
        <v>0</v>
      </c>
      <c r="I416" s="876">
        <v>1</v>
      </c>
      <c r="J416" s="1883" t="s">
        <v>2268</v>
      </c>
      <c r="K416" s="1339" t="s">
        <v>1706</v>
      </c>
      <c r="N416"/>
    </row>
    <row r="417" spans="1:14" ht="12.75" customHeight="1" x14ac:dyDescent="0.2">
      <c r="A417" s="227">
        <v>417</v>
      </c>
      <c r="B417" s="5988"/>
      <c r="C417" s="1885" t="str">
        <f t="shared" si="58"/>
        <v>Con. natural de Vía: Luz</v>
      </c>
      <c r="D417" s="871">
        <f t="shared" si="56"/>
        <v>6</v>
      </c>
      <c r="E417" s="47" t="s">
        <v>2329</v>
      </c>
      <c r="F417" s="1878">
        <v>1</v>
      </c>
      <c r="G417" s="1878">
        <f>COUNTIF(Principal!$C$35:$J$47,Tablas!E417)+COUNTIF(Principal!$C$48:$F$49,Tablas!E417)</f>
        <v>0</v>
      </c>
      <c r="H417" s="1879">
        <f t="shared" si="57"/>
        <v>0</v>
      </c>
      <c r="I417" s="876">
        <v>1</v>
      </c>
      <c r="J417" s="1883" t="s">
        <v>2268</v>
      </c>
      <c r="K417" s="1339" t="s">
        <v>1707</v>
      </c>
      <c r="N417"/>
    </row>
    <row r="418" spans="1:14" ht="12.75" customHeight="1" x14ac:dyDescent="0.2">
      <c r="A418" s="227">
        <v>418</v>
      </c>
      <c r="B418" s="5988"/>
      <c r="C418" s="1885" t="str">
        <f t="shared" si="58"/>
        <v>Con. natural de Vía: Nigro.</v>
      </c>
      <c r="D418" s="871">
        <f t="shared" si="56"/>
        <v>7</v>
      </c>
      <c r="E418" s="47" t="s">
        <v>2330</v>
      </c>
      <c r="F418" s="1878">
        <v>1</v>
      </c>
      <c r="G418" s="1878">
        <f>COUNTIF(Principal!$C$35:$J$47,Tablas!E418)+COUNTIF(Principal!$C$48:$F$49,Tablas!E418)</f>
        <v>0</v>
      </c>
      <c r="H418" s="1879">
        <f t="shared" si="57"/>
        <v>0</v>
      </c>
      <c r="I418" s="876">
        <v>1</v>
      </c>
      <c r="J418" s="1883" t="s">
        <v>2268</v>
      </c>
      <c r="K418" s="1339" t="s">
        <v>1709</v>
      </c>
      <c r="N418"/>
    </row>
    <row r="419" spans="1:14" ht="12.75" customHeight="1" x14ac:dyDescent="0.2">
      <c r="A419" s="227">
        <v>419</v>
      </c>
      <c r="B419" s="5988"/>
      <c r="C419" s="1885" t="str">
        <f t="shared" si="58"/>
        <v>Con. natural de Vía: Osc.</v>
      </c>
      <c r="D419" s="871">
        <f t="shared" si="56"/>
        <v>9</v>
      </c>
      <c r="E419" s="47" t="s">
        <v>2331</v>
      </c>
      <c r="F419" s="1878">
        <v>1</v>
      </c>
      <c r="G419" s="1878">
        <f>COUNTIF(Principal!$C$35:$J$47,Tablas!E419)+COUNTIF(Principal!$C$48:$F$49,Tablas!E419)</f>
        <v>0</v>
      </c>
      <c r="H419" s="1879">
        <f t="shared" si="57"/>
        <v>0</v>
      </c>
      <c r="I419" s="876">
        <v>1</v>
      </c>
      <c r="J419" s="1883" t="s">
        <v>2268</v>
      </c>
      <c r="K419" s="1339" t="s">
        <v>1711</v>
      </c>
      <c r="N419"/>
    </row>
    <row r="420" spans="1:14" ht="12.75" customHeight="1" x14ac:dyDescent="0.2">
      <c r="A420" s="227">
        <v>420</v>
      </c>
      <c r="B420" s="5988"/>
      <c r="C420" s="1885" t="str">
        <f t="shared" si="58"/>
        <v>Con. natural de Vía: Tierra</v>
      </c>
      <c r="D420" s="871">
        <f t="shared" si="56"/>
        <v>11</v>
      </c>
      <c r="E420" s="47" t="s">
        <v>2332</v>
      </c>
      <c r="F420" s="1878">
        <v>1</v>
      </c>
      <c r="G420" s="1878">
        <f>COUNTIF(Principal!$C$35:$J$47,Tablas!E420)+COUNTIF(Principal!$C$48:$F$49,Tablas!E420)</f>
        <v>0</v>
      </c>
      <c r="H420" s="1879">
        <f t="shared" si="57"/>
        <v>0</v>
      </c>
      <c r="I420" s="876">
        <v>1</v>
      </c>
      <c r="J420" s="1883" t="s">
        <v>2268</v>
      </c>
      <c r="K420" s="1875" t="s">
        <v>1713</v>
      </c>
      <c r="N420"/>
    </row>
    <row r="421" spans="1:14" ht="12.75" customHeight="1" x14ac:dyDescent="0.2">
      <c r="A421" s="227">
        <v>421</v>
      </c>
      <c r="B421" s="5988"/>
      <c r="C421" s="1885" t="str">
        <f t="shared" si="58"/>
        <v>Des. elemental: Agua</v>
      </c>
      <c r="D421" s="871">
        <f t="shared" si="56"/>
        <v>30</v>
      </c>
      <c r="E421" s="47" t="s">
        <v>2333</v>
      </c>
      <c r="F421" s="1878">
        <v>1</v>
      </c>
      <c r="G421" s="1878">
        <f>COUNTIF(Principal!$C$35:$J$47,Tablas!E421)+COUNTIF(Principal!$C$48:$F$49,Tablas!E421)</f>
        <v>0</v>
      </c>
      <c r="H421" s="1879">
        <f t="shared" si="57"/>
        <v>0</v>
      </c>
      <c r="I421" s="876">
        <v>1</v>
      </c>
      <c r="J421" s="1883" t="s">
        <v>2268</v>
      </c>
      <c r="N421"/>
    </row>
    <row r="422" spans="1:14" ht="12.75" customHeight="1" x14ac:dyDescent="0.2">
      <c r="A422" s="227">
        <v>422</v>
      </c>
      <c r="B422" s="5988"/>
      <c r="C422" s="1885" t="str">
        <f t="shared" si="58"/>
        <v>Des. elemental: Aire</v>
      </c>
      <c r="D422" s="871">
        <f t="shared" si="56"/>
        <v>31</v>
      </c>
      <c r="E422" s="47" t="s">
        <v>2334</v>
      </c>
      <c r="F422" s="1878">
        <v>2</v>
      </c>
      <c r="G422" s="1878">
        <f>COUNTIF(Principal!$C$35:$J$47,Tablas!E422)+COUNTIF(Principal!$C$48:$F$49,Tablas!E422)</f>
        <v>0</v>
      </c>
      <c r="H422" s="1879">
        <f t="shared" si="57"/>
        <v>0</v>
      </c>
      <c r="I422" s="876">
        <v>1</v>
      </c>
      <c r="J422" s="1883" t="s">
        <v>2268</v>
      </c>
      <c r="N422"/>
    </row>
    <row r="423" spans="1:14" ht="12.75" customHeight="1" x14ac:dyDescent="0.2">
      <c r="A423" s="227">
        <v>423</v>
      </c>
      <c r="B423" s="5988"/>
      <c r="C423" s="1885" t="str">
        <f t="shared" si="58"/>
        <v>Des. elemental: Creación</v>
      </c>
      <c r="D423" s="871">
        <f t="shared" si="56"/>
        <v>32</v>
      </c>
      <c r="E423" s="47" t="s">
        <v>2335</v>
      </c>
      <c r="F423" s="1878">
        <v>3</v>
      </c>
      <c r="G423" s="1878">
        <f>COUNTIF(Principal!$C$35:$J$47,Tablas!E423)+COUNTIF(Principal!$C$48:$F$49,Tablas!E423)</f>
        <v>0</v>
      </c>
      <c r="H423" s="1879">
        <f t="shared" si="57"/>
        <v>0</v>
      </c>
      <c r="I423" s="876">
        <v>1</v>
      </c>
      <c r="J423" s="1883" t="s">
        <v>2268</v>
      </c>
      <c r="N423"/>
    </row>
    <row r="424" spans="1:14" ht="12.75" customHeight="1" x14ac:dyDescent="0.2">
      <c r="A424" s="227">
        <v>424</v>
      </c>
      <c r="B424" s="5988"/>
      <c r="C424" s="1885" t="str">
        <f t="shared" si="58"/>
        <v>Des. elemental: Destrucción</v>
      </c>
      <c r="D424" s="871">
        <f t="shared" si="56"/>
        <v>38</v>
      </c>
      <c r="E424" s="47" t="s">
        <v>2336</v>
      </c>
      <c r="F424" s="1878">
        <v>1</v>
      </c>
      <c r="G424" s="1878">
        <f>COUNTIF(Principal!$C$35:$J$47,Tablas!E424)+COUNTIF(Principal!$C$48:$F$49,Tablas!E424)</f>
        <v>0</v>
      </c>
      <c r="H424" s="1879">
        <f t="shared" si="57"/>
        <v>0</v>
      </c>
      <c r="I424" s="876"/>
      <c r="J424" s="1883" t="s">
        <v>2268</v>
      </c>
      <c r="N424"/>
    </row>
    <row r="425" spans="1:14" ht="12.75" customHeight="1" x14ac:dyDescent="0.2">
      <c r="A425" s="227">
        <v>425</v>
      </c>
      <c r="B425" s="5988"/>
      <c r="C425" s="1885" t="str">
        <f t="shared" si="58"/>
        <v>Des. elemental: Esencia</v>
      </c>
      <c r="D425" s="871">
        <f t="shared" si="56"/>
        <v>29</v>
      </c>
      <c r="E425" s="47" t="s">
        <v>2337</v>
      </c>
      <c r="F425" s="1878">
        <v>1</v>
      </c>
      <c r="G425" s="1878">
        <f>COUNTIF(Principal!$C$35:$J$47,Tablas!E425)+COUNTIF(Principal!$C$48:$F$49,Tablas!E425)</f>
        <v>0</v>
      </c>
      <c r="H425" s="1879">
        <f t="shared" si="57"/>
        <v>0</v>
      </c>
      <c r="I425" s="876"/>
      <c r="J425" s="1883" t="s">
        <v>2268</v>
      </c>
      <c r="N425"/>
    </row>
    <row r="426" spans="1:14" ht="12.75" customHeight="1" x14ac:dyDescent="0.2">
      <c r="A426" s="227">
        <v>426</v>
      </c>
      <c r="B426" s="5988"/>
      <c r="C426" s="1885" t="str">
        <f t="shared" si="58"/>
        <v>Des. elemental: Fuego</v>
      </c>
      <c r="D426" s="871">
        <f t="shared" si="56"/>
        <v>28</v>
      </c>
      <c r="E426" s="47" t="s">
        <v>2338</v>
      </c>
      <c r="F426" s="1878">
        <v>1</v>
      </c>
      <c r="G426" s="1878">
        <f>COUNTIF(Principal!$C$35:$J$47,Tablas!E426)+COUNTIF(Principal!$C$48:$F$49,Tablas!E426)</f>
        <v>0</v>
      </c>
      <c r="H426" s="1879">
        <f t="shared" si="57"/>
        <v>0</v>
      </c>
      <c r="I426" s="876"/>
      <c r="J426" s="1883" t="s">
        <v>2268</v>
      </c>
      <c r="N426"/>
    </row>
    <row r="427" spans="1:14" ht="12.75" customHeight="1" x14ac:dyDescent="0.2">
      <c r="A427" s="227">
        <v>427</v>
      </c>
      <c r="B427" s="5988"/>
      <c r="C427" s="1885" t="str">
        <f t="shared" si="58"/>
        <v>Des. elemental: Ilusión</v>
      </c>
      <c r="D427" s="871">
        <f t="shared" si="56"/>
        <v>21</v>
      </c>
      <c r="E427" s="47" t="s">
        <v>2339</v>
      </c>
      <c r="F427" s="1878">
        <v>1</v>
      </c>
      <c r="G427" s="1878">
        <f>COUNTIF(Principal!$C$35:$J$47,Tablas!E427)+COUNTIF(Principal!$C$48:$F$49,Tablas!E427)</f>
        <v>0</v>
      </c>
      <c r="H427" s="1879">
        <f t="shared" si="57"/>
        <v>0</v>
      </c>
      <c r="I427" s="876">
        <v>1</v>
      </c>
      <c r="J427" s="1883" t="s">
        <v>2268</v>
      </c>
      <c r="N427"/>
    </row>
    <row r="428" spans="1:14" ht="12.75" customHeight="1" x14ac:dyDescent="0.2">
      <c r="A428" s="227">
        <v>428</v>
      </c>
      <c r="B428" s="5988"/>
      <c r="C428" s="1885" t="str">
        <f t="shared" si="58"/>
        <v>Des. elemental: Luz</v>
      </c>
      <c r="D428" s="871">
        <f t="shared" si="56"/>
        <v>23</v>
      </c>
      <c r="E428" s="47" t="s">
        <v>2340</v>
      </c>
      <c r="F428" s="1878">
        <v>1</v>
      </c>
      <c r="G428" s="1878">
        <f>COUNTIF(Principal!$C$35:$J$47,Tablas!E428)+COUNTIF(Principal!$C$48:$F$49,Tablas!E428)</f>
        <v>0</v>
      </c>
      <c r="H428" s="1879">
        <f t="shared" si="57"/>
        <v>0</v>
      </c>
      <c r="I428" s="876">
        <v>1</v>
      </c>
      <c r="J428" s="1883" t="s">
        <v>2268</v>
      </c>
      <c r="N428"/>
    </row>
    <row r="429" spans="1:14" ht="12.75" customHeight="1" x14ac:dyDescent="0.2">
      <c r="A429" s="227">
        <v>429</v>
      </c>
      <c r="B429" s="5988"/>
      <c r="C429" s="1885" t="str">
        <f t="shared" si="58"/>
        <v>Des. elemental: Nigromancia</v>
      </c>
      <c r="D429" s="871">
        <f t="shared" si="56"/>
        <v>19</v>
      </c>
      <c r="E429" s="47" t="s">
        <v>2341</v>
      </c>
      <c r="F429" s="1878">
        <v>1</v>
      </c>
      <c r="G429" s="1878">
        <f>COUNTIF(Principal!$C$35:$J$47,Tablas!E429)+COUNTIF(Principal!$C$48:$F$49,Tablas!E429)</f>
        <v>0</v>
      </c>
      <c r="H429" s="1879">
        <f t="shared" si="57"/>
        <v>0</v>
      </c>
      <c r="I429" s="876">
        <v>1</v>
      </c>
      <c r="J429" s="1883" t="s">
        <v>2268</v>
      </c>
      <c r="N429"/>
    </row>
    <row r="430" spans="1:14" ht="12.75" customHeight="1" x14ac:dyDescent="0.2">
      <c r="A430" s="227">
        <v>430</v>
      </c>
      <c r="B430" s="5988"/>
      <c r="C430" s="1885" t="str">
        <f t="shared" si="58"/>
        <v>Des. elemental: Oscuridad</v>
      </c>
      <c r="D430" s="871">
        <f t="shared" si="56"/>
        <v>14</v>
      </c>
      <c r="E430" s="47" t="s">
        <v>2342</v>
      </c>
      <c r="F430" s="1878">
        <v>1</v>
      </c>
      <c r="G430" s="1878">
        <f>COUNTIF(Principal!$C$35:$J$47,Tablas!E430)+COUNTIF(Principal!$C$48:$F$49,Tablas!E430)</f>
        <v>0</v>
      </c>
      <c r="H430" s="1879">
        <f t="shared" si="57"/>
        <v>0</v>
      </c>
      <c r="I430" s="876">
        <v>1</v>
      </c>
      <c r="J430" s="1883" t="s">
        <v>2268</v>
      </c>
      <c r="N430"/>
    </row>
    <row r="431" spans="1:14" ht="12.75" customHeight="1" x14ac:dyDescent="0.2">
      <c r="A431" s="227">
        <v>431</v>
      </c>
      <c r="B431" s="5988"/>
      <c r="C431" s="1885" t="str">
        <f t="shared" si="58"/>
        <v>Des. elemental: Tierra</v>
      </c>
      <c r="D431" s="871">
        <f t="shared" si="56"/>
        <v>15</v>
      </c>
      <c r="E431" s="47" t="s">
        <v>2343</v>
      </c>
      <c r="F431" s="1878">
        <v>1</v>
      </c>
      <c r="G431" s="1878">
        <f>COUNTIF(Principal!$C$35:$J$47,Tablas!E431)+COUNTIF(Principal!$C$48:$F$49,Tablas!E431)</f>
        <v>0</v>
      </c>
      <c r="H431" s="1879">
        <f t="shared" si="57"/>
        <v>0</v>
      </c>
      <c r="I431" s="876">
        <v>1</v>
      </c>
      <c r="J431" s="1883" t="s">
        <v>2268</v>
      </c>
      <c r="N431"/>
    </row>
    <row r="432" spans="1:14" ht="12.75" customHeight="1" x14ac:dyDescent="0.2">
      <c r="A432" s="227">
        <v>432</v>
      </c>
      <c r="B432" s="5988"/>
      <c r="C432" s="1885" t="str">
        <f t="shared" si="58"/>
        <v>Desequilibrio sephirótico</v>
      </c>
      <c r="D432" s="871">
        <f t="shared" si="56"/>
        <v>24</v>
      </c>
      <c r="E432" s="47" t="s">
        <v>2344</v>
      </c>
      <c r="F432" s="1878">
        <v>1</v>
      </c>
      <c r="G432" s="1878">
        <f>COUNTIF(Principal!$C$35:$J$47,Tablas!E432)+COUNTIF(Principal!$C$48:$F$49,Tablas!E432)</f>
        <v>0</v>
      </c>
      <c r="H432" s="1879">
        <f t="shared" si="57"/>
        <v>0</v>
      </c>
      <c r="I432" s="876">
        <v>1</v>
      </c>
      <c r="J432" s="1883" t="s">
        <v>2268</v>
      </c>
      <c r="N432"/>
    </row>
    <row r="433" spans="1:14" ht="12.75" customHeight="1" x14ac:dyDescent="0.2">
      <c r="A433" s="227">
        <v>433</v>
      </c>
      <c r="B433" s="5988"/>
      <c r="C433" s="1885" t="str">
        <f t="shared" si="58"/>
        <v>Dicción mágica</v>
      </c>
      <c r="D433" s="871">
        <f t="shared" si="56"/>
        <v>16</v>
      </c>
      <c r="E433" s="47" t="s">
        <v>2345</v>
      </c>
      <c r="F433" s="1878">
        <v>1</v>
      </c>
      <c r="G433" s="1878">
        <f>COUNTIF(Principal!$C$35:$J$47,Tablas!E433)+COUNTIF(Principal!$C$48:$F$49,Tablas!E433)</f>
        <v>0</v>
      </c>
      <c r="H433" s="1879">
        <f t="shared" si="57"/>
        <v>0</v>
      </c>
      <c r="I433" s="876">
        <v>1</v>
      </c>
      <c r="J433" s="1883" t="s">
        <v>2268</v>
      </c>
      <c r="N433"/>
    </row>
    <row r="434" spans="1:14" ht="12.75" customHeight="1" x14ac:dyDescent="0.2">
      <c r="A434" s="227">
        <v>434</v>
      </c>
      <c r="B434" s="5988"/>
      <c r="C434" s="1885" t="str">
        <f t="shared" si="58"/>
        <v>Hechicero nato</v>
      </c>
      <c r="D434" s="871">
        <f t="shared" si="56"/>
        <v>17</v>
      </c>
      <c r="E434" s="47" t="s">
        <v>2346</v>
      </c>
      <c r="F434" s="1878">
        <v>1</v>
      </c>
      <c r="G434" s="1878">
        <f>COUNTIF(Principal!$C$35:$J$47,Tablas!E434)+COUNTIF(Principal!$C$48:$F$49,Tablas!E434)</f>
        <v>0</v>
      </c>
      <c r="H434" s="1879">
        <f t="shared" si="57"/>
        <v>0</v>
      </c>
      <c r="I434" s="876">
        <v>1</v>
      </c>
      <c r="J434" s="1883" t="s">
        <v>2268</v>
      </c>
      <c r="N434"/>
    </row>
    <row r="435" spans="1:14" ht="12.75" customHeight="1" x14ac:dyDescent="0.2">
      <c r="A435" s="227">
        <v>435</v>
      </c>
      <c r="B435" s="5988"/>
      <c r="C435" s="1885" t="str">
        <f t="shared" si="58"/>
        <v>Inutilidad oral</v>
      </c>
      <c r="D435" s="871">
        <f t="shared" si="56"/>
        <v>18</v>
      </c>
      <c r="E435" s="47" t="s">
        <v>2347</v>
      </c>
      <c r="F435" s="1878">
        <v>1</v>
      </c>
      <c r="G435" s="1878">
        <f>COUNTIF(Principal!$C$35:$J$47,Tablas!E435)+COUNTIF(Principal!$C$48:$F$49,Tablas!E435)</f>
        <v>0</v>
      </c>
      <c r="H435" s="1879">
        <f t="shared" si="57"/>
        <v>0</v>
      </c>
      <c r="I435" s="876">
        <v>1</v>
      </c>
      <c r="J435" s="1883" t="s">
        <v>2268</v>
      </c>
      <c r="N435"/>
    </row>
    <row r="436" spans="1:14" ht="12.75" customHeight="1" x14ac:dyDescent="0.2">
      <c r="A436" s="227">
        <v>436</v>
      </c>
      <c r="B436" s="5988"/>
      <c r="C436" s="1885" t="str">
        <f t="shared" si="58"/>
        <v>Inutilidad somática</v>
      </c>
      <c r="D436" s="871">
        <f t="shared" si="56"/>
        <v>20</v>
      </c>
      <c r="E436" s="47" t="s">
        <v>2348</v>
      </c>
      <c r="F436" s="1878">
        <v>1</v>
      </c>
      <c r="G436" s="1878">
        <f>COUNTIF(Principal!$C$35:$J$47,Tablas!E436)+COUNTIF(Principal!$C$48:$F$49,Tablas!E436)</f>
        <v>0</v>
      </c>
      <c r="H436" s="1879">
        <f t="shared" si="57"/>
        <v>0</v>
      </c>
      <c r="I436" s="876">
        <v>1</v>
      </c>
      <c r="J436" s="1883" t="s">
        <v>2268</v>
      </c>
      <c r="N436"/>
    </row>
    <row r="437" spans="1:14" ht="12.75" customHeight="1" x14ac:dyDescent="0.2">
      <c r="A437" s="227">
        <v>437</v>
      </c>
      <c r="B437" s="5988"/>
      <c r="C437" s="1885" t="str">
        <f t="shared" si="58"/>
        <v>Magia innata mejorada (1)</v>
      </c>
      <c r="D437" s="871">
        <f t="shared" si="56"/>
        <v>22</v>
      </c>
      <c r="E437" s="47" t="s">
        <v>2349</v>
      </c>
      <c r="F437" s="1878">
        <v>1</v>
      </c>
      <c r="G437" s="1878">
        <f>COUNTIF(Principal!$C$35:$J$47,Tablas!E437)+COUNTIF(Principal!$C$48:$F$49,Tablas!E437)</f>
        <v>0</v>
      </c>
      <c r="H437" s="1879">
        <f t="shared" si="57"/>
        <v>0</v>
      </c>
      <c r="I437" s="876">
        <v>1</v>
      </c>
      <c r="J437" s="1883" t="s">
        <v>2268</v>
      </c>
      <c r="N437"/>
    </row>
    <row r="438" spans="1:14" ht="12.75" customHeight="1" x14ac:dyDescent="0.2">
      <c r="A438" s="227">
        <v>438</v>
      </c>
      <c r="B438" s="5988"/>
      <c r="C438" s="1885" t="str">
        <f t="shared" si="58"/>
        <v>Magia innata mejorada (2)</v>
      </c>
      <c r="D438" s="871">
        <f t="shared" si="56"/>
        <v>25</v>
      </c>
      <c r="E438" s="47" t="s">
        <v>2350</v>
      </c>
      <c r="F438" s="1878">
        <v>2</v>
      </c>
      <c r="G438" s="1878">
        <f>COUNTIF(Principal!$C$35:$J$47,Tablas!E438)+COUNTIF(Principal!$C$48:$F$49,Tablas!E438)</f>
        <v>0</v>
      </c>
      <c r="H438" s="1879">
        <f t="shared" si="57"/>
        <v>0</v>
      </c>
      <c r="I438" s="876">
        <v>1</v>
      </c>
      <c r="J438" s="1883" t="s">
        <v>2268</v>
      </c>
      <c r="N438"/>
    </row>
    <row r="439" spans="1:14" ht="12.75" customHeight="1" x14ac:dyDescent="0.2">
      <c r="A439" s="227">
        <v>439</v>
      </c>
      <c r="B439" s="5988"/>
      <c r="C439" s="1885" t="str">
        <f t="shared" si="58"/>
        <v>Magia innata mejorada (3)</v>
      </c>
      <c r="D439" s="871">
        <f t="shared" si="56"/>
        <v>0</v>
      </c>
      <c r="E439" s="47" t="s">
        <v>10030</v>
      </c>
      <c r="F439" s="1878"/>
      <c r="G439" s="1878"/>
      <c r="H439" s="1879"/>
      <c r="I439" s="876"/>
      <c r="J439" s="1883" t="s">
        <v>2268</v>
      </c>
      <c r="N439"/>
    </row>
    <row r="440" spans="1:14" ht="12.75" customHeight="1" x14ac:dyDescent="0.2">
      <c r="A440" s="227">
        <v>440</v>
      </c>
      <c r="B440" s="5988"/>
      <c r="C440" s="1885" t="str">
        <f t="shared" si="58"/>
        <v>Magia opuesta</v>
      </c>
      <c r="D440" s="871">
        <f t="shared" si="56"/>
        <v>33</v>
      </c>
      <c r="E440" s="47" t="s">
        <v>2431</v>
      </c>
      <c r="F440" s="1878">
        <v>1</v>
      </c>
      <c r="G440" s="1878">
        <f>COUNTIF(Principal!$C$35:$J$47,Tablas!E440)+COUNTIF(Principal!$C$48:$F$49,Tablas!E440)</f>
        <v>0</v>
      </c>
      <c r="H440" s="1879">
        <f t="shared" ref="H440:H445" si="59">G440*F440</f>
        <v>0</v>
      </c>
      <c r="I440" s="876">
        <v>1</v>
      </c>
      <c r="J440" s="1883" t="s">
        <v>2268</v>
      </c>
      <c r="N440"/>
    </row>
    <row r="441" spans="1:14" ht="12.75" customHeight="1" x14ac:dyDescent="0.2">
      <c r="A441" s="227">
        <v>441</v>
      </c>
      <c r="B441" s="5988"/>
      <c r="C441" s="1885" t="str">
        <f t="shared" si="58"/>
        <v>Naturaleza mágica (1)</v>
      </c>
      <c r="D441" s="871">
        <f t="shared" si="56"/>
        <v>34</v>
      </c>
      <c r="E441" s="47" t="s">
        <v>2432</v>
      </c>
      <c r="F441" s="1878">
        <v>1</v>
      </c>
      <c r="G441" s="1878">
        <f>COUNTIF(Principal!$C$35:$J$47,Tablas!E441)+COUNTIF(Principal!$C$48:$F$49,Tablas!E441)</f>
        <v>0</v>
      </c>
      <c r="H441" s="1879">
        <f t="shared" si="59"/>
        <v>0</v>
      </c>
      <c r="I441" s="876">
        <v>1</v>
      </c>
      <c r="J441" s="1883" t="s">
        <v>2268</v>
      </c>
      <c r="N441"/>
    </row>
    <row r="442" spans="1:14" ht="12.75" customHeight="1" x14ac:dyDescent="0.2">
      <c r="A442" s="227">
        <v>442</v>
      </c>
      <c r="B442" s="5988"/>
      <c r="C442" s="1885" t="str">
        <f t="shared" si="58"/>
        <v>Naturaleza mágica (2)</v>
      </c>
      <c r="D442" s="871">
        <f t="shared" si="56"/>
        <v>35</v>
      </c>
      <c r="E442" s="47" t="s">
        <v>2433</v>
      </c>
      <c r="F442" s="1878">
        <v>2</v>
      </c>
      <c r="G442" s="1878">
        <f>COUNTIF(Principal!$C$35:$J$47,Tablas!E442)+COUNTIF(Principal!$C$48:$F$49,Tablas!E442)</f>
        <v>0</v>
      </c>
      <c r="H442" s="1879">
        <f t="shared" si="59"/>
        <v>0</v>
      </c>
      <c r="I442" s="876">
        <v>1</v>
      </c>
      <c r="J442" s="1883" t="s">
        <v>2268</v>
      </c>
      <c r="N442"/>
    </row>
    <row r="443" spans="1:14" ht="12.75" customHeight="1" x14ac:dyDescent="0.2">
      <c r="A443" s="227">
        <v>443</v>
      </c>
      <c r="B443" s="5988"/>
      <c r="C443" s="1885" t="str">
        <f t="shared" si="58"/>
        <v>Naturaleza mágica (3)</v>
      </c>
      <c r="D443" s="871">
        <f t="shared" si="56"/>
        <v>36</v>
      </c>
      <c r="E443" s="47" t="s">
        <v>2434</v>
      </c>
      <c r="F443" s="1878">
        <v>3</v>
      </c>
      <c r="G443" s="1878">
        <f>COUNTIF(Principal!$C$35:$J$47,Tablas!E443)+COUNTIF(Principal!$C$48:$F$49,Tablas!E443)</f>
        <v>0</v>
      </c>
      <c r="H443" s="1879">
        <f t="shared" si="59"/>
        <v>0</v>
      </c>
      <c r="I443" s="876">
        <v>1</v>
      </c>
      <c r="J443" s="1883" t="s">
        <v>2268</v>
      </c>
      <c r="N443"/>
    </row>
    <row r="444" spans="1:14" ht="12.75" customHeight="1" x14ac:dyDescent="0.2">
      <c r="A444" s="227">
        <v>444</v>
      </c>
      <c r="B444" s="5988"/>
      <c r="C444" s="1885" t="str">
        <f t="shared" si="58"/>
        <v>Poder natural</v>
      </c>
      <c r="D444" s="871">
        <f t="shared" si="56"/>
        <v>37</v>
      </c>
      <c r="E444" s="47" t="s">
        <v>2435</v>
      </c>
      <c r="F444" s="1878">
        <v>1</v>
      </c>
      <c r="G444" s="1878">
        <f>COUNTIF(Principal!$C$35:$J$47,Tablas!E444)+COUNTIF(Principal!$C$48:$F$49,Tablas!E444)</f>
        <v>0</v>
      </c>
      <c r="H444" s="1879">
        <f t="shared" si="59"/>
        <v>0</v>
      </c>
      <c r="I444" s="876"/>
      <c r="J444" s="1883" t="s">
        <v>2268</v>
      </c>
      <c r="N444"/>
    </row>
    <row r="445" spans="1:14" ht="12.75" customHeight="1" x14ac:dyDescent="0.2">
      <c r="A445" s="227">
        <v>445</v>
      </c>
      <c r="B445" s="5988"/>
      <c r="C445" s="1885" t="str">
        <f t="shared" si="58"/>
        <v>Potencial enfrentado</v>
      </c>
      <c r="D445" s="871">
        <f t="shared" si="56"/>
        <v>26</v>
      </c>
      <c r="E445" s="47" t="s">
        <v>2436</v>
      </c>
      <c r="F445" s="1878">
        <v>1</v>
      </c>
      <c r="G445" s="1878">
        <f>COUNTIF(Principal!$C$35:$J$47,Tablas!E445)+COUNTIF(Principal!$C$48:$F$49,Tablas!E445)</f>
        <v>0</v>
      </c>
      <c r="H445" s="1879">
        <f t="shared" si="59"/>
        <v>0</v>
      </c>
      <c r="I445" s="876"/>
      <c r="J445" s="1883" t="s">
        <v>2268</v>
      </c>
      <c r="N445"/>
    </row>
    <row r="446" spans="1:14" ht="12.75" customHeight="1" x14ac:dyDescent="0.2">
      <c r="A446" s="227">
        <v>446</v>
      </c>
      <c r="B446" s="5988"/>
      <c r="C446" s="1885" t="str">
        <f t="shared" si="58"/>
        <v>Rec. superior de magia (1)</v>
      </c>
      <c r="D446" s="871">
        <f t="shared" si="56"/>
        <v>-1</v>
      </c>
      <c r="E446" s="47" t="s">
        <v>10031</v>
      </c>
      <c r="F446" s="1878"/>
      <c r="G446" s="1878"/>
      <c r="H446" s="1879"/>
      <c r="I446" s="876"/>
      <c r="J446" s="1883" t="s">
        <v>2268</v>
      </c>
      <c r="N446"/>
    </row>
    <row r="447" spans="1:14" ht="12.75" customHeight="1" x14ac:dyDescent="0.2">
      <c r="A447" s="227">
        <v>447</v>
      </c>
      <c r="B447" s="5988"/>
      <c r="C447" s="1885" t="str">
        <f t="shared" si="58"/>
        <v>Rec. superior de magia (2)</v>
      </c>
      <c r="D447" s="871">
        <f t="shared" si="56"/>
        <v>42</v>
      </c>
      <c r="E447" s="47" t="s">
        <v>2462</v>
      </c>
      <c r="F447" s="1878">
        <v>1</v>
      </c>
      <c r="G447" s="1878">
        <f>COUNTIF(Principal!$C$35:$J$47,Tablas!E447)+COUNTIF(Principal!$C$48:$F$49,Tablas!E447)</f>
        <v>0</v>
      </c>
      <c r="H447" s="1879">
        <f>G447*F447</f>
        <v>0</v>
      </c>
      <c r="I447" s="876"/>
      <c r="J447" s="1883" t="s">
        <v>2268</v>
      </c>
      <c r="N447"/>
    </row>
    <row r="448" spans="1:14" ht="12.75" customHeight="1" x14ac:dyDescent="0.2">
      <c r="A448" s="227">
        <v>448</v>
      </c>
      <c r="B448" s="5988"/>
      <c r="C448" s="1885" t="str">
        <f t="shared" si="58"/>
        <v>Rec. superior de magia (3)</v>
      </c>
      <c r="D448" s="871">
        <f t="shared" si="56"/>
        <v>27</v>
      </c>
      <c r="E448" s="47" t="s">
        <v>2463</v>
      </c>
      <c r="F448" s="1878">
        <v>1</v>
      </c>
      <c r="G448" s="1878">
        <f>COUNTIF(Principal!$C$35:$J$47,Tablas!E448)+COUNTIF(Principal!$C$48:$F$49,Tablas!E448)</f>
        <v>0</v>
      </c>
      <c r="H448" s="1879">
        <f>G448*F448</f>
        <v>0</v>
      </c>
      <c r="I448" s="876"/>
      <c r="J448" s="1883" t="s">
        <v>2268</v>
      </c>
      <c r="N448"/>
    </row>
    <row r="449" spans="1:14" ht="12.75" customHeight="1" x14ac:dyDescent="0.2">
      <c r="A449" s="227">
        <v>449</v>
      </c>
      <c r="B449" s="5988"/>
      <c r="C449" s="1886" t="str">
        <f t="shared" si="58"/>
        <v>Versatilidad metamágica</v>
      </c>
      <c r="D449" s="1889">
        <f t="shared" si="56"/>
        <v>1</v>
      </c>
      <c r="E449" s="1890" t="s">
        <v>2464</v>
      </c>
      <c r="F449" s="873">
        <v>2</v>
      </c>
      <c r="G449" s="873">
        <f>COUNTIF(Principal!$C$35:$J$47,Tablas!E449)+COUNTIF(Principal!$C$48:$F$49,Tablas!E449)</f>
        <v>0</v>
      </c>
      <c r="H449" s="1891">
        <f>G449*F449</f>
        <v>0</v>
      </c>
      <c r="I449" s="1892">
        <v>1</v>
      </c>
      <c r="J449" s="1893" t="s">
        <v>2268</v>
      </c>
      <c r="N449"/>
    </row>
    <row r="450" spans="1:14" ht="12.75" customHeight="1" x14ac:dyDescent="0.2">
      <c r="A450" s="227">
        <v>450</v>
      </c>
      <c r="B450" s="5988"/>
      <c r="C450" s="1887" t="str">
        <f>E450</f>
        <v xml:space="preserve"> &gt; VENTAJAS: PSIQUICOS</v>
      </c>
      <c r="D450" s="871">
        <f t="shared" ref="D450:D474" si="60">COUNTIF($E$451:$E$474,"&lt;="&amp;E450)-COUNTIF($E$451:$E$474,"*&gt;*")</f>
        <v>0</v>
      </c>
      <c r="E450" s="47" t="s">
        <v>10032</v>
      </c>
      <c r="F450" s="1878"/>
      <c r="G450" s="1878"/>
      <c r="H450" s="1879"/>
      <c r="I450" s="876"/>
      <c r="J450" s="1883" t="s">
        <v>6583</v>
      </c>
      <c r="N450"/>
    </row>
    <row r="451" spans="1:14" ht="12.75" customHeight="1" x14ac:dyDescent="0.2">
      <c r="A451" s="227">
        <v>451</v>
      </c>
      <c r="B451" s="5988"/>
      <c r="C451" s="1887" t="str">
        <f t="shared" ref="C451:C473" si="61">VLOOKUP(A1,$D$450:$E$474,2,0)</f>
        <v>Ambivalencia psíquica</v>
      </c>
      <c r="D451" s="871">
        <f t="shared" si="60"/>
        <v>3</v>
      </c>
      <c r="E451" s="47" t="s">
        <v>2351</v>
      </c>
      <c r="F451" s="1878">
        <v>2</v>
      </c>
      <c r="G451" s="1878">
        <f>COUNTIF(Principal!$C$35:$J$47,Tablas!E451)+COUNTIF(Principal!$C$48:$F$49,Tablas!E451)</f>
        <v>0</v>
      </c>
      <c r="H451" s="1879">
        <f t="shared" ref="H451:H471" si="62">G451*F451</f>
        <v>0</v>
      </c>
      <c r="I451" s="876">
        <v>1</v>
      </c>
      <c r="J451" s="1883" t="s">
        <v>6583</v>
      </c>
      <c r="N451"/>
    </row>
    <row r="452" spans="1:14" ht="12.75" customHeight="1" x14ac:dyDescent="0.2">
      <c r="A452" s="227">
        <v>452</v>
      </c>
      <c r="B452" s="5988"/>
      <c r="C452" s="1887" t="str">
        <f t="shared" si="61"/>
        <v>Calibre</v>
      </c>
      <c r="D452" s="871">
        <f t="shared" si="60"/>
        <v>2</v>
      </c>
      <c r="E452" s="47" t="s">
        <v>2352</v>
      </c>
      <c r="F452" s="1878">
        <v>1</v>
      </c>
      <c r="G452" s="1878">
        <f>COUNTIF(Principal!$C$35:$J$47,Tablas!E452)+COUNTIF(Principal!$C$48:$F$49,Tablas!E452)</f>
        <v>0</v>
      </c>
      <c r="H452" s="1879">
        <f t="shared" si="62"/>
        <v>0</v>
      </c>
      <c r="I452" s="876">
        <v>1</v>
      </c>
      <c r="J452" s="1883" t="s">
        <v>6583</v>
      </c>
      <c r="N452"/>
    </row>
    <row r="453" spans="1:14" ht="12.75" customHeight="1" x14ac:dyDescent="0.2">
      <c r="A453" s="227">
        <v>453</v>
      </c>
      <c r="B453" s="5988"/>
      <c r="C453" s="1887" t="str">
        <f t="shared" si="61"/>
        <v>Concentración extrema</v>
      </c>
      <c r="D453" s="871">
        <f t="shared" si="60"/>
        <v>18</v>
      </c>
      <c r="E453" s="47" t="s">
        <v>1765</v>
      </c>
      <c r="F453" s="1878">
        <v>2</v>
      </c>
      <c r="G453" s="1878">
        <f>COUNTIF(Principal!$C$35:$J$47,Tablas!E453)+COUNTIF(Principal!$C$48:$F$49,Tablas!E453)</f>
        <v>0</v>
      </c>
      <c r="H453" s="1879">
        <f t="shared" si="62"/>
        <v>0</v>
      </c>
      <c r="I453" s="876"/>
      <c r="J453" s="1883" t="s">
        <v>6583</v>
      </c>
      <c r="N453"/>
    </row>
    <row r="454" spans="1:14" ht="12.75" customHeight="1" x14ac:dyDescent="0.2">
      <c r="A454" s="227">
        <v>454</v>
      </c>
      <c r="B454" s="5988"/>
      <c r="C454" s="1887" t="str">
        <f t="shared" si="61"/>
        <v>Concentración pasiva</v>
      </c>
      <c r="D454" s="871">
        <f t="shared" si="60"/>
        <v>23</v>
      </c>
      <c r="E454" s="47" t="s">
        <v>2353</v>
      </c>
      <c r="F454" s="1878">
        <v>2</v>
      </c>
      <c r="G454" s="1878">
        <f>COUNTIF(Principal!$C$35:$J$47,Tablas!E454)+COUNTIF(Principal!$C$48:$F$49,Tablas!E454)</f>
        <v>0</v>
      </c>
      <c r="H454" s="1879">
        <f t="shared" si="62"/>
        <v>0</v>
      </c>
      <c r="I454" s="876"/>
      <c r="J454" s="1883" t="s">
        <v>6583</v>
      </c>
      <c r="N454"/>
    </row>
    <row r="455" spans="1:14" ht="12.75" customHeight="1" x14ac:dyDescent="0.2">
      <c r="A455" s="227">
        <v>455</v>
      </c>
      <c r="B455" s="5988"/>
      <c r="C455" s="1887" t="str">
        <f t="shared" si="61"/>
        <v>Des. psí: Electromagnetismo</v>
      </c>
      <c r="D455" s="871">
        <f t="shared" si="60"/>
        <v>20</v>
      </c>
      <c r="E455" s="47" t="s">
        <v>2354</v>
      </c>
      <c r="F455" s="1878">
        <v>1</v>
      </c>
      <c r="G455" s="1878">
        <f>COUNTIF(Principal!$C$35:$J$47,Tablas!E455)+COUNTIF(Principal!$C$48:$F$49,Tablas!E455)</f>
        <v>0</v>
      </c>
      <c r="H455" s="1879">
        <f t="shared" si="62"/>
        <v>0</v>
      </c>
      <c r="I455" s="876"/>
      <c r="J455" s="1883" t="s">
        <v>6583</v>
      </c>
      <c r="N455"/>
    </row>
    <row r="456" spans="1:14" ht="12.75" customHeight="1" x14ac:dyDescent="0.2">
      <c r="A456" s="227">
        <v>456</v>
      </c>
      <c r="B456" s="5988"/>
      <c r="C456" s="1887" t="str">
        <f t="shared" si="61"/>
        <v>Des. psí: Hipersensibilidad</v>
      </c>
      <c r="D456" s="871">
        <f t="shared" si="60"/>
        <v>21</v>
      </c>
      <c r="E456" s="47" t="s">
        <v>2355</v>
      </c>
      <c r="F456" s="1878">
        <v>2</v>
      </c>
      <c r="G456" s="1878">
        <f>COUNTIF(Principal!$C$35:$J$47,Tablas!E456)+COUNTIF(Principal!$C$48:$F$49,Tablas!E456)</f>
        <v>0</v>
      </c>
      <c r="H456" s="1879">
        <f t="shared" si="62"/>
        <v>0</v>
      </c>
      <c r="I456" s="876"/>
      <c r="J456" s="1883" t="s">
        <v>6583</v>
      </c>
      <c r="N456"/>
    </row>
    <row r="457" spans="1:14" ht="12.75" customHeight="1" x14ac:dyDescent="0.2">
      <c r="A457" s="227">
        <v>457</v>
      </c>
      <c r="B457" s="5988"/>
      <c r="C457" s="1887" t="str">
        <f t="shared" si="61"/>
        <v>Des. psíquico: Causalidad</v>
      </c>
      <c r="D457" s="871">
        <f t="shared" si="60"/>
        <v>22</v>
      </c>
      <c r="E457" s="47" t="s">
        <v>2356</v>
      </c>
      <c r="F457" s="1878">
        <v>3</v>
      </c>
      <c r="G457" s="1878">
        <f>COUNTIF(Principal!$C$35:$J$47,Tablas!E457)+COUNTIF(Principal!$C$48:$F$49,Tablas!E457)</f>
        <v>0</v>
      </c>
      <c r="H457" s="1879">
        <f t="shared" si="62"/>
        <v>0</v>
      </c>
      <c r="I457" s="876"/>
      <c r="J457" s="1883" t="s">
        <v>6583</v>
      </c>
      <c r="N457"/>
    </row>
    <row r="458" spans="1:14" ht="12.75" customHeight="1" x14ac:dyDescent="0.2">
      <c r="A458" s="227">
        <v>458</v>
      </c>
      <c r="B458" s="5988"/>
      <c r="C458" s="1887" t="str">
        <f t="shared" si="61"/>
        <v>Des. psíquico: Crioquinesis</v>
      </c>
      <c r="D458" s="871">
        <f t="shared" si="60"/>
        <v>12</v>
      </c>
      <c r="E458" s="47" t="s">
        <v>2357</v>
      </c>
      <c r="F458" s="1878">
        <v>2</v>
      </c>
      <c r="G458" s="1878">
        <f>COUNTIF(Principal!$C$35:$J$47,Tablas!E458)+COUNTIF(Principal!$C$48:$F$49,Tablas!E458)</f>
        <v>0</v>
      </c>
      <c r="H458" s="1879">
        <f t="shared" si="62"/>
        <v>0</v>
      </c>
      <c r="I458" s="876">
        <v>1</v>
      </c>
      <c r="J458" s="1883" t="s">
        <v>6583</v>
      </c>
      <c r="N458"/>
    </row>
    <row r="459" spans="1:14" ht="12.75" customHeight="1" x14ac:dyDescent="0.2">
      <c r="A459" s="227">
        <v>459</v>
      </c>
      <c r="B459" s="5988"/>
      <c r="C459" s="1887" t="str">
        <f t="shared" si="61"/>
        <v>Des. psíquico: Energía</v>
      </c>
      <c r="D459" s="871">
        <f t="shared" si="60"/>
        <v>8</v>
      </c>
      <c r="E459" s="47" t="s">
        <v>2358</v>
      </c>
      <c r="F459" s="1878">
        <v>2</v>
      </c>
      <c r="G459" s="1878">
        <f>COUNTIF(Principal!$C$35:$J$47,Tablas!E459)+COUNTIF(Principal!$C$48:$F$49,Tablas!E459)</f>
        <v>0</v>
      </c>
      <c r="H459" s="1879">
        <f t="shared" si="62"/>
        <v>0</v>
      </c>
      <c r="I459" s="876">
        <v>1</v>
      </c>
      <c r="J459" s="1883" t="s">
        <v>6583</v>
      </c>
      <c r="N459"/>
    </row>
    <row r="460" spans="1:14" ht="12.75" customHeight="1" x14ac:dyDescent="0.2">
      <c r="A460" s="227">
        <v>460</v>
      </c>
      <c r="B460" s="5988"/>
      <c r="C460" s="1887" t="str">
        <f t="shared" si="61"/>
        <v>Des. psíquico: Inc. Físico</v>
      </c>
      <c r="D460" s="871">
        <f t="shared" si="60"/>
        <v>16</v>
      </c>
      <c r="E460" s="47" t="s">
        <v>2359</v>
      </c>
      <c r="F460" s="1878">
        <v>2</v>
      </c>
      <c r="G460" s="1878">
        <f>COUNTIF(Principal!$C$35:$J$47,Tablas!E460)+COUNTIF(Principal!$C$48:$F$49,Tablas!E460)</f>
        <v>0</v>
      </c>
      <c r="H460" s="1879">
        <f t="shared" si="62"/>
        <v>0</v>
      </c>
      <c r="I460" s="876">
        <v>1</v>
      </c>
      <c r="J460" s="1883" t="s">
        <v>6583</v>
      </c>
      <c r="N460"/>
    </row>
    <row r="461" spans="1:14" ht="12.75" customHeight="1" x14ac:dyDescent="0.2">
      <c r="A461" s="227">
        <v>461</v>
      </c>
      <c r="B461" s="5988"/>
      <c r="C461" s="1887" t="str">
        <f t="shared" si="61"/>
        <v>Des. psíquico: Luz</v>
      </c>
      <c r="D461" s="871">
        <f t="shared" si="60"/>
        <v>15</v>
      </c>
      <c r="E461" s="47" t="s">
        <v>2360</v>
      </c>
      <c r="F461" s="1878">
        <v>2</v>
      </c>
      <c r="G461" s="1878">
        <f>COUNTIF(Principal!$C$35:$J$47,Tablas!E461)+COUNTIF(Principal!$C$48:$F$49,Tablas!E461)</f>
        <v>0</v>
      </c>
      <c r="H461" s="1879">
        <f t="shared" si="62"/>
        <v>0</v>
      </c>
      <c r="I461" s="876">
        <v>1</v>
      </c>
      <c r="J461" s="1883" t="s">
        <v>6583</v>
      </c>
      <c r="N461"/>
    </row>
    <row r="462" spans="1:14" ht="12.75" customHeight="1" x14ac:dyDescent="0.2">
      <c r="A462" s="227">
        <v>462</v>
      </c>
      <c r="B462" s="5988"/>
      <c r="C462" s="1887" t="str">
        <f t="shared" si="61"/>
        <v>Des. psíquico: Piroquinesis</v>
      </c>
      <c r="D462" s="871">
        <f t="shared" si="60"/>
        <v>9</v>
      </c>
      <c r="E462" s="47" t="s">
        <v>2361</v>
      </c>
      <c r="F462" s="1878">
        <v>2</v>
      </c>
      <c r="G462" s="1878">
        <f>COUNTIF(Principal!$C$35:$J$47,Tablas!E462)+COUNTIF(Principal!$C$48:$F$49,Tablas!E462)</f>
        <v>0</v>
      </c>
      <c r="H462" s="1879">
        <f t="shared" si="62"/>
        <v>0</v>
      </c>
      <c r="I462" s="876">
        <v>1</v>
      </c>
      <c r="J462" s="1883" t="s">
        <v>6583</v>
      </c>
      <c r="N462"/>
    </row>
    <row r="463" spans="1:14" ht="12.75" customHeight="1" x14ac:dyDescent="0.2">
      <c r="A463" s="227">
        <v>463</v>
      </c>
      <c r="B463" s="5988"/>
      <c r="C463" s="1887" t="str">
        <f t="shared" si="61"/>
        <v>Des. psíquico: Sentiente</v>
      </c>
      <c r="D463" s="871">
        <f t="shared" si="60"/>
        <v>10</v>
      </c>
      <c r="E463" s="47" t="s">
        <v>2362</v>
      </c>
      <c r="F463" s="1878">
        <v>2</v>
      </c>
      <c r="G463" s="1878">
        <f>COUNTIF(Principal!$C$35:$J$47,Tablas!E463)+COUNTIF(Principal!$C$48:$F$49,Tablas!E463)</f>
        <v>0</v>
      </c>
      <c r="H463" s="1879">
        <f t="shared" si="62"/>
        <v>0</v>
      </c>
      <c r="I463" s="876">
        <v>1</v>
      </c>
      <c r="J463" s="1883" t="s">
        <v>6583</v>
      </c>
      <c r="N463"/>
    </row>
    <row r="464" spans="1:14" ht="12.75" customHeight="1" x14ac:dyDescent="0.2">
      <c r="A464" s="227">
        <v>464</v>
      </c>
      <c r="B464" s="5988"/>
      <c r="C464" s="1887" t="str">
        <f t="shared" si="61"/>
        <v>Des. psíquico: Telemetría</v>
      </c>
      <c r="D464" s="871">
        <f t="shared" si="60"/>
        <v>13</v>
      </c>
      <c r="E464" s="47" t="s">
        <v>2363</v>
      </c>
      <c r="F464" s="1878">
        <v>2</v>
      </c>
      <c r="G464" s="1878">
        <f>COUNTIF(Principal!$C$35:$J$47,Tablas!E464)+COUNTIF(Principal!$C$48:$F$49,Tablas!E464)</f>
        <v>0</v>
      </c>
      <c r="H464" s="1879">
        <f t="shared" si="62"/>
        <v>0</v>
      </c>
      <c r="I464" s="876">
        <v>1</v>
      </c>
      <c r="J464" s="1883" t="s">
        <v>6583</v>
      </c>
      <c r="N464"/>
    </row>
    <row r="465" spans="1:14" ht="12.75" customHeight="1" x14ac:dyDescent="0.2">
      <c r="A465" s="227">
        <v>465</v>
      </c>
      <c r="B465" s="5988"/>
      <c r="C465" s="1887" t="str">
        <f t="shared" si="61"/>
        <v>Des. psíquico: Telepatía</v>
      </c>
      <c r="D465" s="871">
        <f t="shared" si="60"/>
        <v>14</v>
      </c>
      <c r="E465" s="47" t="s">
        <v>2364</v>
      </c>
      <c r="F465" s="1878">
        <v>2</v>
      </c>
      <c r="G465" s="1878">
        <f>COUNTIF(Principal!$C$35:$J$47,Tablas!E465)+COUNTIF(Principal!$C$48:$F$49,Tablas!E465)</f>
        <v>0</v>
      </c>
      <c r="H465" s="1879">
        <f t="shared" si="62"/>
        <v>0</v>
      </c>
      <c r="I465" s="876">
        <v>1</v>
      </c>
      <c r="J465" s="1883" t="s">
        <v>6583</v>
      </c>
      <c r="N465"/>
    </row>
    <row r="466" spans="1:14" ht="12.75" customHeight="1" x14ac:dyDescent="0.2">
      <c r="A466" s="227">
        <v>466</v>
      </c>
      <c r="B466" s="5988"/>
      <c r="C466" s="1887" t="str">
        <f t="shared" si="61"/>
        <v>Des. psíquico: Telequinesis</v>
      </c>
      <c r="D466" s="871">
        <f t="shared" si="60"/>
        <v>7</v>
      </c>
      <c r="E466" s="47" t="s">
        <v>2365</v>
      </c>
      <c r="F466" s="1878">
        <v>2</v>
      </c>
      <c r="G466" s="1878">
        <f>COUNTIF(Principal!$C$35:$J$47,Tablas!E466)+COUNTIF(Principal!$C$48:$F$49,Tablas!E466)</f>
        <v>0</v>
      </c>
      <c r="H466" s="1879">
        <f t="shared" si="62"/>
        <v>0</v>
      </c>
      <c r="I466" s="876">
        <v>1</v>
      </c>
      <c r="J466" s="1883" t="s">
        <v>6583</v>
      </c>
      <c r="N466"/>
    </row>
    <row r="467" spans="1:14" ht="12.75" customHeight="1" x14ac:dyDescent="0.2">
      <c r="A467" s="227">
        <v>467</v>
      </c>
      <c r="B467" s="5988"/>
      <c r="C467" s="1887" t="str">
        <f t="shared" si="61"/>
        <v>Des. psíquico: Teletransporte</v>
      </c>
      <c r="D467" s="871">
        <f t="shared" si="60"/>
        <v>5</v>
      </c>
      <c r="E467" s="47" t="s">
        <v>2366</v>
      </c>
      <c r="F467" s="1878">
        <v>2</v>
      </c>
      <c r="G467" s="1878">
        <f>COUNTIF(Principal!$C$35:$J$47,Tablas!E467)+COUNTIF(Principal!$C$48:$F$49,Tablas!E467)</f>
        <v>0</v>
      </c>
      <c r="H467" s="1879">
        <f t="shared" si="62"/>
        <v>0</v>
      </c>
      <c r="I467" s="876">
        <v>1</v>
      </c>
      <c r="J467" s="1883" t="s">
        <v>6583</v>
      </c>
      <c r="N467"/>
    </row>
    <row r="468" spans="1:14" ht="12.75" customHeight="1" x14ac:dyDescent="0.2">
      <c r="A468" s="227">
        <v>468</v>
      </c>
      <c r="B468" s="5988"/>
      <c r="C468" s="1887" t="str">
        <f t="shared" si="61"/>
        <v>Mantenimiento añadido</v>
      </c>
      <c r="D468" s="871">
        <f t="shared" si="60"/>
        <v>17</v>
      </c>
      <c r="E468" s="47" t="s">
        <v>2367</v>
      </c>
      <c r="F468" s="1878">
        <v>2</v>
      </c>
      <c r="G468" s="1878">
        <f>COUNTIF(Principal!$C$35:$J$47,Tablas!E468)+COUNTIF(Principal!$C$48:$F$49,Tablas!E468)</f>
        <v>0</v>
      </c>
      <c r="H468" s="1879">
        <f t="shared" si="62"/>
        <v>0</v>
      </c>
      <c r="I468" s="876">
        <v>1</v>
      </c>
      <c r="J468" s="1883" t="s">
        <v>6583</v>
      </c>
      <c r="N468"/>
    </row>
    <row r="469" spans="1:14" ht="12.75" customHeight="1" x14ac:dyDescent="0.2">
      <c r="A469" s="227">
        <v>469</v>
      </c>
      <c r="B469" s="5988"/>
      <c r="C469" s="1887" t="str">
        <f t="shared" si="61"/>
        <v>Mod. psíquico incrementado</v>
      </c>
      <c r="D469" s="871">
        <f t="shared" si="60"/>
        <v>11</v>
      </c>
      <c r="E469" s="47" t="s">
        <v>2368</v>
      </c>
      <c r="F469" s="1878">
        <v>2</v>
      </c>
      <c r="G469" s="1878">
        <f>COUNTIF(Principal!$C$35:$J$47,Tablas!E469)+COUNTIF(Principal!$C$48:$F$49,Tablas!E469)</f>
        <v>0</v>
      </c>
      <c r="H469" s="1879">
        <f t="shared" si="62"/>
        <v>0</v>
      </c>
      <c r="I469" s="876">
        <v>1</v>
      </c>
      <c r="J469" s="1883" t="s">
        <v>6583</v>
      </c>
      <c r="N469"/>
    </row>
    <row r="470" spans="1:14" ht="12.75" customHeight="1" x14ac:dyDescent="0.2">
      <c r="A470" s="227">
        <v>470</v>
      </c>
      <c r="B470" s="5988"/>
      <c r="C470" s="1887" t="str">
        <f t="shared" si="61"/>
        <v>Recuperación de CVs (1)</v>
      </c>
      <c r="D470" s="871">
        <f t="shared" si="60"/>
        <v>6</v>
      </c>
      <c r="E470" s="47" t="s">
        <v>2369</v>
      </c>
      <c r="F470" s="1878">
        <v>2</v>
      </c>
      <c r="G470" s="1878">
        <f>COUNTIF(Principal!$C$35:$J$47,Tablas!E470)+COUNTIF(Principal!$C$48:$F$49,Tablas!E470)</f>
        <v>0</v>
      </c>
      <c r="H470" s="1879">
        <f t="shared" si="62"/>
        <v>0</v>
      </c>
      <c r="I470" s="876">
        <v>1</v>
      </c>
      <c r="J470" s="1883" t="s">
        <v>6583</v>
      </c>
      <c r="N470"/>
    </row>
    <row r="471" spans="1:14" ht="12.75" customHeight="1" x14ac:dyDescent="0.2">
      <c r="A471" s="227">
        <v>471</v>
      </c>
      <c r="B471" s="5988"/>
      <c r="C471" s="1887" t="str">
        <f t="shared" si="61"/>
        <v>Recuperación de CVs (2)</v>
      </c>
      <c r="D471" s="871">
        <f t="shared" si="60"/>
        <v>4</v>
      </c>
      <c r="E471" s="47" t="s">
        <v>2370</v>
      </c>
      <c r="F471" s="1878">
        <v>2</v>
      </c>
      <c r="G471" s="1878">
        <f>COUNTIF(Principal!$C$35:$J$47,Tablas!E471)+COUNTIF(Principal!$C$48:$F$49,Tablas!E471)</f>
        <v>0</v>
      </c>
      <c r="H471" s="1879">
        <f t="shared" si="62"/>
        <v>0</v>
      </c>
      <c r="I471" s="876"/>
      <c r="J471" s="1883" t="s">
        <v>6583</v>
      </c>
      <c r="N471"/>
    </row>
    <row r="472" spans="1:14" ht="12.75" customHeight="1" x14ac:dyDescent="0.2">
      <c r="A472" s="227">
        <v>472</v>
      </c>
      <c r="B472" s="5988"/>
      <c r="C472" s="1887" t="str">
        <f t="shared" si="61"/>
        <v>Recuperación de CVs (3)</v>
      </c>
      <c r="D472" s="871">
        <f t="shared" si="60"/>
        <v>0</v>
      </c>
      <c r="E472" s="47" t="s">
        <v>10033</v>
      </c>
      <c r="F472" s="1878"/>
      <c r="G472" s="1878"/>
      <c r="H472" s="1879"/>
      <c r="I472" s="876"/>
      <c r="J472" s="1883" t="s">
        <v>6583</v>
      </c>
      <c r="N472"/>
    </row>
    <row r="473" spans="1:14" ht="12.75" customHeight="1" x14ac:dyDescent="0.2">
      <c r="A473" s="227">
        <v>473</v>
      </c>
      <c r="B473" s="5988"/>
      <c r="C473" s="1887" t="str">
        <f t="shared" si="61"/>
        <v>Res. a la fatiga psíquica</v>
      </c>
      <c r="D473" s="871">
        <f t="shared" si="60"/>
        <v>1</v>
      </c>
      <c r="E473" s="47" t="s">
        <v>2437</v>
      </c>
      <c r="F473" s="1878">
        <v>1</v>
      </c>
      <c r="G473" s="1878">
        <f>COUNTIF(Principal!$C$35:$J$47,Tablas!E473)+COUNTIF(Principal!$C$48:$F$49,Tablas!E473)</f>
        <v>0</v>
      </c>
      <c r="H473" s="1879">
        <f>G473*F473</f>
        <v>0</v>
      </c>
      <c r="I473" s="876"/>
      <c r="J473" s="1883" t="s">
        <v>6583</v>
      </c>
      <c r="N473"/>
    </row>
    <row r="474" spans="1:14" ht="12.75" customHeight="1" x14ac:dyDescent="0.2">
      <c r="A474" s="227">
        <v>474</v>
      </c>
      <c r="B474" s="5988"/>
      <c r="C474" s="1894"/>
      <c r="D474" s="1889">
        <f t="shared" si="60"/>
        <v>19</v>
      </c>
      <c r="E474" s="1890" t="s">
        <v>2438</v>
      </c>
      <c r="F474" s="873">
        <v>1</v>
      </c>
      <c r="G474" s="873">
        <f>COUNTIF(Principal!$C$35:$J$47,Tablas!E474)+COUNTIF(Principal!$C$48:$F$49,Tablas!E474)</f>
        <v>0</v>
      </c>
      <c r="H474" s="1891">
        <f>G474*F474</f>
        <v>0</v>
      </c>
      <c r="I474" s="1892"/>
      <c r="J474" s="1893" t="s">
        <v>6583</v>
      </c>
      <c r="N474"/>
    </row>
    <row r="475" spans="1:14" ht="12.75" customHeight="1" x14ac:dyDescent="0.2">
      <c r="A475" s="227">
        <v>475</v>
      </c>
      <c r="B475" s="5988"/>
      <c r="C475" s="1887" t="str">
        <f t="shared" ref="C475:C497" si="63">VLOOKUP(A1,$D$475:$E$497,2,0)</f>
        <v xml:space="preserve"> &gt; VENTAJAS TRASFONDO</v>
      </c>
      <c r="D475" s="871">
        <f t="shared" ref="D475:D497" si="64">COUNTIF($E$475:$E$497,"&lt;="&amp;E475)</f>
        <v>1</v>
      </c>
      <c r="E475" s="47" t="s">
        <v>10034</v>
      </c>
      <c r="F475" s="1895"/>
      <c r="G475" s="1878"/>
      <c r="H475" s="86"/>
      <c r="I475" s="874"/>
      <c r="J475" s="1883" t="s">
        <v>6584</v>
      </c>
      <c r="N475"/>
    </row>
    <row r="476" spans="1:14" ht="12.75" customHeight="1" x14ac:dyDescent="0.2">
      <c r="A476" s="227">
        <v>476</v>
      </c>
      <c r="B476" s="5988"/>
      <c r="C476" s="1887" t="str">
        <f t="shared" si="63"/>
        <v>Aliado poderoso (1)</v>
      </c>
      <c r="D476" s="871">
        <f t="shared" si="64"/>
        <v>17</v>
      </c>
      <c r="E476" s="47" t="s">
        <v>2467</v>
      </c>
      <c r="F476" s="1884">
        <v>1</v>
      </c>
      <c r="G476" s="1878">
        <f>COUNTIF(Principal!$C$35:$J$47,Tablas!E476)+COUNTIF(Principal!$C$48:$F$49,Tablas!E476)</f>
        <v>0</v>
      </c>
      <c r="H476" s="86">
        <f t="shared" ref="H476:H497" si="65">G476*F476</f>
        <v>0</v>
      </c>
      <c r="I476" s="874"/>
      <c r="J476" s="1883" t="s">
        <v>6584</v>
      </c>
      <c r="N476"/>
    </row>
    <row r="477" spans="1:14" ht="12.75" customHeight="1" x14ac:dyDescent="0.2">
      <c r="A477" s="227">
        <v>477</v>
      </c>
      <c r="B477" s="5988"/>
      <c r="C477" s="1887" t="str">
        <f t="shared" si="63"/>
        <v>Aliado poderoso (2)</v>
      </c>
      <c r="D477" s="871">
        <f t="shared" si="64"/>
        <v>18</v>
      </c>
      <c r="E477" s="47" t="s">
        <v>2468</v>
      </c>
      <c r="F477" s="1884">
        <v>2</v>
      </c>
      <c r="G477" s="1878">
        <f>COUNTIF(Principal!$C$35:$J$47,Tablas!E477)+COUNTIF(Principal!$C$48:$F$49,Tablas!E477)</f>
        <v>0</v>
      </c>
      <c r="H477" s="86">
        <f t="shared" si="65"/>
        <v>0</v>
      </c>
      <c r="I477" s="874"/>
      <c r="J477" s="1883" t="s">
        <v>6584</v>
      </c>
      <c r="N477"/>
    </row>
    <row r="478" spans="1:14" ht="12.75" customHeight="1" x14ac:dyDescent="0.2">
      <c r="A478" s="227">
        <v>478</v>
      </c>
      <c r="B478" s="5988"/>
      <c r="C478" s="1887" t="str">
        <f t="shared" si="63"/>
        <v>Aliado poderoso (3)</v>
      </c>
      <c r="D478" s="871">
        <f t="shared" si="64"/>
        <v>16</v>
      </c>
      <c r="E478" s="47" t="s">
        <v>2469</v>
      </c>
      <c r="F478" s="1884">
        <v>3</v>
      </c>
      <c r="G478" s="1878">
        <f>COUNTIF(Principal!$C$35:$J$47,Tablas!E478)+COUNTIF(Principal!$C$48:$F$49,Tablas!E478)</f>
        <v>0</v>
      </c>
      <c r="H478" s="86">
        <f t="shared" si="65"/>
        <v>0</v>
      </c>
      <c r="I478" s="874"/>
      <c r="J478" s="1883" t="s">
        <v>6584</v>
      </c>
      <c r="N478"/>
    </row>
    <row r="479" spans="1:14" ht="12.75" customHeight="1" x14ac:dyDescent="0.2">
      <c r="A479" s="227">
        <v>479</v>
      </c>
      <c r="B479" s="5988"/>
      <c r="C479" s="1887" t="str">
        <f t="shared" si="63"/>
        <v>Artefacto (1)</v>
      </c>
      <c r="D479" s="871">
        <f t="shared" si="64"/>
        <v>11</v>
      </c>
      <c r="E479" s="47" t="s">
        <v>2470</v>
      </c>
      <c r="F479" s="1878">
        <v>1</v>
      </c>
      <c r="G479" s="1878">
        <f>COUNTIF(Principal!$C$35:$J$47,Tablas!E479)+COUNTIF(Principal!$C$48:$F$49,Tablas!E479)</f>
        <v>0</v>
      </c>
      <c r="H479" s="86">
        <f t="shared" si="65"/>
        <v>0</v>
      </c>
      <c r="I479" s="874"/>
      <c r="J479" s="1883" t="s">
        <v>6584</v>
      </c>
      <c r="N479"/>
    </row>
    <row r="480" spans="1:14" ht="12.75" customHeight="1" x14ac:dyDescent="0.2">
      <c r="A480" s="227">
        <v>480</v>
      </c>
      <c r="B480" s="5988"/>
      <c r="C480" s="1887" t="str">
        <f t="shared" si="63"/>
        <v>Artefacto (2)</v>
      </c>
      <c r="D480" s="871">
        <f t="shared" si="64"/>
        <v>12</v>
      </c>
      <c r="E480" s="47" t="s">
        <v>2471</v>
      </c>
      <c r="F480" s="1878">
        <v>2</v>
      </c>
      <c r="G480" s="1878">
        <f>COUNTIF(Principal!$C$35:$J$47,Tablas!E480)+COUNTIF(Principal!$C$48:$F$49,Tablas!E480)</f>
        <v>0</v>
      </c>
      <c r="H480" s="86">
        <f t="shared" si="65"/>
        <v>0</v>
      </c>
      <c r="I480" s="874"/>
      <c r="J480" s="1883" t="s">
        <v>6584</v>
      </c>
      <c r="N480"/>
    </row>
    <row r="481" spans="1:14" ht="12.75" customHeight="1" x14ac:dyDescent="0.2">
      <c r="A481" s="227">
        <v>481</v>
      </c>
      <c r="B481" s="5988"/>
      <c r="C481" s="1887" t="str">
        <f t="shared" si="63"/>
        <v>Artefacto (3)</v>
      </c>
      <c r="D481" s="871">
        <f t="shared" si="64"/>
        <v>13</v>
      </c>
      <c r="E481" s="47" t="s">
        <v>2472</v>
      </c>
      <c r="F481" s="1878">
        <v>3</v>
      </c>
      <c r="G481" s="1878">
        <f>COUNTIF(Principal!$C$35:$J$47,Tablas!E481)+COUNTIF(Principal!$C$48:$F$49,Tablas!E481)</f>
        <v>0</v>
      </c>
      <c r="H481" s="86">
        <f t="shared" si="65"/>
        <v>0</v>
      </c>
      <c r="I481" s="874"/>
      <c r="J481" s="1883" t="s">
        <v>6584</v>
      </c>
      <c r="N481"/>
    </row>
    <row r="482" spans="1:14" ht="12.75" customHeight="1" x14ac:dyDescent="0.2">
      <c r="A482" s="227">
        <v>482</v>
      </c>
      <c r="B482" s="5988"/>
      <c r="C482" s="1887" t="str">
        <f t="shared" si="63"/>
        <v>Contactos (1)</v>
      </c>
      <c r="D482" s="871">
        <f t="shared" si="64"/>
        <v>5</v>
      </c>
      <c r="E482" s="47" t="s">
        <v>2473</v>
      </c>
      <c r="F482" s="1878">
        <v>1</v>
      </c>
      <c r="G482" s="1878">
        <f>COUNTIF(Principal!$C$35:$J$47,Tablas!E482)+COUNTIF(Principal!$C$48:$F$49,Tablas!E482)</f>
        <v>0</v>
      </c>
      <c r="H482" s="86">
        <f t="shared" si="65"/>
        <v>0</v>
      </c>
      <c r="I482" s="874"/>
      <c r="J482" s="1883" t="s">
        <v>6584</v>
      </c>
      <c r="N482"/>
    </row>
    <row r="483" spans="1:14" ht="12.75" customHeight="1" x14ac:dyDescent="0.2">
      <c r="A483" s="227">
        <v>483</v>
      </c>
      <c r="B483" s="5988"/>
      <c r="C483" s="1887" t="str">
        <f t="shared" si="63"/>
        <v>Contactos (2)</v>
      </c>
      <c r="D483" s="871">
        <f t="shared" si="64"/>
        <v>6</v>
      </c>
      <c r="E483" s="47" t="s">
        <v>2474</v>
      </c>
      <c r="F483" s="1878">
        <v>2</v>
      </c>
      <c r="G483" s="1878">
        <f>COUNTIF(Principal!$C$35:$J$47,Tablas!E483)+COUNTIF(Principal!$C$48:$F$49,Tablas!E483)</f>
        <v>0</v>
      </c>
      <c r="H483" s="86">
        <f t="shared" si="65"/>
        <v>0</v>
      </c>
      <c r="I483" s="874"/>
      <c r="J483" s="1883" t="s">
        <v>6584</v>
      </c>
      <c r="N483"/>
    </row>
    <row r="484" spans="1:14" ht="12.75" customHeight="1" x14ac:dyDescent="0.2">
      <c r="A484" s="227">
        <v>484</v>
      </c>
      <c r="B484" s="5988"/>
      <c r="C484" s="1887" t="str">
        <f t="shared" si="63"/>
        <v>Contactos (3)</v>
      </c>
      <c r="D484" s="871">
        <f t="shared" si="64"/>
        <v>7</v>
      </c>
      <c r="E484" s="47" t="s">
        <v>2475</v>
      </c>
      <c r="F484" s="1878">
        <v>3</v>
      </c>
      <c r="G484" s="1878">
        <f>COUNTIF(Principal!$C$35:$J$47,Tablas!E484)+COUNTIF(Principal!$C$48:$F$49,Tablas!E484)</f>
        <v>0</v>
      </c>
      <c r="H484" s="86">
        <f t="shared" si="65"/>
        <v>0</v>
      </c>
      <c r="I484" s="874"/>
      <c r="J484" s="1883" t="s">
        <v>6584</v>
      </c>
      <c r="N484"/>
    </row>
    <row r="485" spans="1:14" ht="12.75" customHeight="1" x14ac:dyDescent="0.2">
      <c r="A485" s="227">
        <v>485</v>
      </c>
      <c r="B485" s="5988"/>
      <c r="C485" s="1887" t="str">
        <f t="shared" si="63"/>
        <v>Curtido (1)</v>
      </c>
      <c r="D485" s="871">
        <f t="shared" si="64"/>
        <v>14</v>
      </c>
      <c r="E485" s="47" t="s">
        <v>2476</v>
      </c>
      <c r="F485" s="1878">
        <v>1</v>
      </c>
      <c r="G485" s="1878">
        <f>COUNTIF(Principal!$C$35:$J$47,Tablas!E485)+COUNTIF(Principal!$C$48:$F$49,Tablas!E485)</f>
        <v>0</v>
      </c>
      <c r="H485" s="86">
        <f t="shared" si="65"/>
        <v>0</v>
      </c>
      <c r="I485" s="874"/>
      <c r="J485" s="1883" t="s">
        <v>6584</v>
      </c>
      <c r="N485"/>
    </row>
    <row r="486" spans="1:14" ht="12.75" customHeight="1" x14ac:dyDescent="0.2">
      <c r="A486" s="227">
        <v>486</v>
      </c>
      <c r="B486" s="5988"/>
      <c r="C486" s="1887" t="str">
        <f t="shared" si="63"/>
        <v>Curtido (2)</v>
      </c>
      <c r="D486" s="871">
        <f t="shared" si="64"/>
        <v>15</v>
      </c>
      <c r="E486" s="47" t="s">
        <v>2477</v>
      </c>
      <c r="F486" s="1878">
        <v>2</v>
      </c>
      <c r="G486" s="1878">
        <f>COUNTIF(Principal!$C$35:$J$47,Tablas!E486)+COUNTIF(Principal!$C$48:$F$49,Tablas!E486)</f>
        <v>0</v>
      </c>
      <c r="H486" s="86">
        <f t="shared" si="65"/>
        <v>0</v>
      </c>
      <c r="I486" s="874"/>
      <c r="J486" s="1883" t="s">
        <v>6584</v>
      </c>
      <c r="N486"/>
    </row>
    <row r="487" spans="1:14" ht="12.75" customHeight="1" x14ac:dyDescent="0.2">
      <c r="A487" s="227">
        <v>487</v>
      </c>
      <c r="B487" s="5988"/>
      <c r="C487" s="1887" t="str">
        <f t="shared" si="63"/>
        <v>Curtido (3)</v>
      </c>
      <c r="D487" s="871">
        <f t="shared" si="64"/>
        <v>21</v>
      </c>
      <c r="E487" s="47" t="s">
        <v>2478</v>
      </c>
      <c r="F487" s="1878">
        <v>1</v>
      </c>
      <c r="G487" s="1878">
        <f>COUNTIF(Principal!$C$35:$J$47,Tablas!E487)+COUNTIF(Principal!$C$48:$F$49,Tablas!E487)</f>
        <v>0</v>
      </c>
      <c r="H487" s="86">
        <f t="shared" si="65"/>
        <v>0</v>
      </c>
      <c r="I487" s="874"/>
      <c r="J487" s="1883" t="s">
        <v>6584</v>
      </c>
      <c r="N487"/>
    </row>
    <row r="488" spans="1:14" ht="12.75" customHeight="1" x14ac:dyDescent="0.2">
      <c r="A488" s="227">
        <v>488</v>
      </c>
      <c r="B488" s="5988"/>
      <c r="C488" s="1887" t="str">
        <f t="shared" si="63"/>
        <v>Fama (1)</v>
      </c>
      <c r="D488" s="871">
        <f t="shared" si="64"/>
        <v>23</v>
      </c>
      <c r="E488" s="47" t="s">
        <v>2479</v>
      </c>
      <c r="F488" s="1878">
        <v>2</v>
      </c>
      <c r="G488" s="1878">
        <f>COUNTIF(Principal!$C$35:$J$47,Tablas!E488)+COUNTIF(Principal!$C$48:$F$49,Tablas!E488)</f>
        <v>0</v>
      </c>
      <c r="H488" s="86">
        <f t="shared" si="65"/>
        <v>0</v>
      </c>
      <c r="I488" s="874"/>
      <c r="J488" s="1883" t="s">
        <v>6584</v>
      </c>
      <c r="N488"/>
    </row>
    <row r="489" spans="1:14" ht="12.75" customHeight="1" x14ac:dyDescent="0.2">
      <c r="A489" s="227">
        <v>489</v>
      </c>
      <c r="B489" s="5988"/>
      <c r="C489" s="1887" t="str">
        <f t="shared" si="63"/>
        <v>Fama (2)</v>
      </c>
      <c r="D489" s="871">
        <f t="shared" si="64"/>
        <v>19</v>
      </c>
      <c r="E489" s="47" t="s">
        <v>2480</v>
      </c>
      <c r="F489" s="1878">
        <v>1</v>
      </c>
      <c r="G489" s="1878">
        <f>COUNTIF(Principal!$C$35:$J$47,Tablas!E489)+COUNTIF(Principal!$C$48:$F$49,Tablas!E489)</f>
        <v>0</v>
      </c>
      <c r="H489" s="86">
        <f t="shared" si="65"/>
        <v>0</v>
      </c>
      <c r="I489" s="874"/>
      <c r="J489" s="1883" t="s">
        <v>6584</v>
      </c>
      <c r="N489"/>
    </row>
    <row r="490" spans="1:14" ht="12.75" customHeight="1" x14ac:dyDescent="0.2">
      <c r="A490" s="227">
        <v>490</v>
      </c>
      <c r="B490" s="5988"/>
      <c r="C490" s="1887" t="str">
        <f t="shared" si="63"/>
        <v>Fondos iniciales (10 000 mo)</v>
      </c>
      <c r="D490" s="871">
        <f t="shared" si="64"/>
        <v>20</v>
      </c>
      <c r="E490" s="47" t="s">
        <v>2481</v>
      </c>
      <c r="F490" s="1878">
        <v>2</v>
      </c>
      <c r="G490" s="1878">
        <f>COUNTIF(Principal!$C$35:$J$47,Tablas!E490)+COUNTIF(Principal!$C$48:$F$49,Tablas!E490)</f>
        <v>0</v>
      </c>
      <c r="H490" s="86">
        <f t="shared" si="65"/>
        <v>0</v>
      </c>
      <c r="I490" s="874"/>
      <c r="J490" s="1883" t="s">
        <v>6584</v>
      </c>
      <c r="N490"/>
    </row>
    <row r="491" spans="1:14" ht="12.75" customHeight="1" x14ac:dyDescent="0.2">
      <c r="A491" s="227">
        <v>491</v>
      </c>
      <c r="B491" s="5988"/>
      <c r="C491" s="1887" t="str">
        <f t="shared" si="63"/>
        <v>Fondos iniciales (2 000 mo)</v>
      </c>
      <c r="D491" s="871">
        <f t="shared" si="64"/>
        <v>8</v>
      </c>
      <c r="E491" s="47" t="s">
        <v>2482</v>
      </c>
      <c r="F491" s="1878">
        <v>1</v>
      </c>
      <c r="G491" s="1878">
        <f>COUNTIF(Principal!$C$35:$J$47,Tablas!E491)+COUNTIF(Principal!$C$48:$F$49,Tablas!E491)</f>
        <v>0</v>
      </c>
      <c r="H491" s="86">
        <f t="shared" si="65"/>
        <v>0</v>
      </c>
      <c r="I491" s="874"/>
      <c r="J491" s="1883" t="s">
        <v>6584</v>
      </c>
      <c r="N491"/>
    </row>
    <row r="492" spans="1:14" ht="12.75" customHeight="1" x14ac:dyDescent="0.2">
      <c r="A492" s="227">
        <v>492</v>
      </c>
      <c r="B492" s="5988"/>
      <c r="C492" s="1887" t="str">
        <f t="shared" si="63"/>
        <v>Fondos iniciales (5 000 mo)</v>
      </c>
      <c r="D492" s="871">
        <f t="shared" si="64"/>
        <v>9</v>
      </c>
      <c r="E492" s="47" t="s">
        <v>2483</v>
      </c>
      <c r="F492" s="1878">
        <v>2</v>
      </c>
      <c r="G492" s="1878">
        <f>COUNTIF(Principal!$C$35:$J$47,Tablas!E492)+COUNTIF(Principal!$C$48:$F$49,Tablas!E492)</f>
        <v>0</v>
      </c>
      <c r="H492" s="86">
        <f t="shared" si="65"/>
        <v>0</v>
      </c>
      <c r="I492" s="874"/>
      <c r="J492" s="1883" t="s">
        <v>6584</v>
      </c>
      <c r="N492"/>
    </row>
    <row r="493" spans="1:14" ht="12.75" customHeight="1" x14ac:dyDescent="0.2">
      <c r="A493" s="227">
        <v>493</v>
      </c>
      <c r="B493" s="5988"/>
      <c r="C493" s="1887" t="str">
        <f t="shared" si="63"/>
        <v>Posición social (1)</v>
      </c>
      <c r="D493" s="871">
        <f t="shared" si="64"/>
        <v>10</v>
      </c>
      <c r="E493" s="47" t="s">
        <v>2484</v>
      </c>
      <c r="F493" s="1878">
        <v>3</v>
      </c>
      <c r="G493" s="1878">
        <f>COUNTIF(Principal!$C$35:$J$47,Tablas!E493)+COUNTIF(Principal!$C$48:$F$49,Tablas!E493)</f>
        <v>0</v>
      </c>
      <c r="H493" s="86">
        <f t="shared" si="65"/>
        <v>0</v>
      </c>
      <c r="I493" s="874"/>
      <c r="J493" s="1883" t="s">
        <v>6584</v>
      </c>
      <c r="N493"/>
    </row>
    <row r="494" spans="1:14" ht="12.75" customHeight="1" x14ac:dyDescent="0.2">
      <c r="A494" s="227">
        <v>494</v>
      </c>
      <c r="B494" s="5988"/>
      <c r="C494" s="1887" t="str">
        <f t="shared" si="63"/>
        <v>Posición social (2)</v>
      </c>
      <c r="D494" s="871">
        <f t="shared" si="64"/>
        <v>2</v>
      </c>
      <c r="E494" s="47" t="s">
        <v>2485</v>
      </c>
      <c r="F494" s="1878">
        <v>1</v>
      </c>
      <c r="G494" s="1878">
        <f>COUNTIF(Principal!$C$35:$J$47,Tablas!E494)+COUNTIF(Principal!$C$48:$F$49,Tablas!E494)</f>
        <v>0</v>
      </c>
      <c r="H494" s="86">
        <f t="shared" si="65"/>
        <v>0</v>
      </c>
      <c r="I494" s="874"/>
      <c r="J494" s="1883" t="s">
        <v>6584</v>
      </c>
      <c r="N494"/>
    </row>
    <row r="495" spans="1:14" ht="12.75" customHeight="1" x14ac:dyDescent="0.2">
      <c r="A495" s="227">
        <v>495</v>
      </c>
      <c r="B495" s="5988"/>
      <c r="C495" s="1887" t="str">
        <f t="shared" si="63"/>
        <v>Raices culturales</v>
      </c>
      <c r="D495" s="871">
        <f t="shared" si="64"/>
        <v>3</v>
      </c>
      <c r="E495" s="47" t="s">
        <v>2486</v>
      </c>
      <c r="F495" s="1878">
        <v>2</v>
      </c>
      <c r="G495" s="1878">
        <f>COUNTIF(Principal!$C$35:$J$47,Tablas!E495)+COUNTIF(Principal!$C$48:$F$49,Tablas!E495)</f>
        <v>0</v>
      </c>
      <c r="H495" s="86">
        <f t="shared" si="65"/>
        <v>0</v>
      </c>
      <c r="I495" s="874"/>
      <c r="J495" s="1883" t="s">
        <v>6584</v>
      </c>
      <c r="N495"/>
    </row>
    <row r="496" spans="1:14" ht="12.75" customHeight="1" x14ac:dyDescent="0.2">
      <c r="A496" s="227">
        <v>496</v>
      </c>
      <c r="B496" s="5988"/>
      <c r="C496" s="1887" t="str">
        <f t="shared" si="63"/>
        <v>Sangre Antigua</v>
      </c>
      <c r="D496" s="871">
        <f t="shared" si="64"/>
        <v>4</v>
      </c>
      <c r="E496" s="47" t="s">
        <v>2487</v>
      </c>
      <c r="F496" s="1878">
        <v>3</v>
      </c>
      <c r="G496" s="1878">
        <f>COUNTIF(Principal!$C$35:$J$47,Tablas!E496)+COUNTIF(Principal!$C$48:$F$49,Tablas!E496)</f>
        <v>0</v>
      </c>
      <c r="H496" s="86">
        <f t="shared" si="65"/>
        <v>0</v>
      </c>
      <c r="I496" s="874"/>
      <c r="J496" s="1883" t="s">
        <v>6584</v>
      </c>
      <c r="N496"/>
    </row>
    <row r="497" spans="1:14" ht="12.75" customHeight="1" x14ac:dyDescent="0.2">
      <c r="A497" s="227">
        <v>497</v>
      </c>
      <c r="B497" s="5988"/>
      <c r="C497" s="1894" t="str">
        <f t="shared" si="63"/>
        <v>Santo</v>
      </c>
      <c r="D497" s="1889">
        <f t="shared" si="64"/>
        <v>22</v>
      </c>
      <c r="E497" s="1890" t="s">
        <v>2488</v>
      </c>
      <c r="F497" s="873">
        <v>2</v>
      </c>
      <c r="G497" s="873">
        <f>COUNTIF(Principal!$C$35:$J$47,Tablas!E497)+COUNTIF(Principal!$C$48:$F$49,Tablas!E497)</f>
        <v>0</v>
      </c>
      <c r="H497" s="1896">
        <f t="shared" si="65"/>
        <v>0</v>
      </c>
      <c r="I497" s="1897"/>
      <c r="J497" s="1893" t="s">
        <v>6584</v>
      </c>
      <c r="N497"/>
    </row>
    <row r="498" spans="1:14" ht="12.75" customHeight="1" x14ac:dyDescent="0.2">
      <c r="A498" s="227">
        <v>498</v>
      </c>
      <c r="B498" s="5988"/>
      <c r="C498" s="1920" t="str">
        <f>"Tablas!"&amp;ADDRESS(ROW(C499),COLUMN(C499))&amp;":"&amp;ADDRESS(ROW(C499)+MAX(D498:D569),COLUMN(C499))</f>
        <v>Tablas!$C$499:$C$555</v>
      </c>
      <c r="D498" s="871">
        <f t="shared" ref="D498:D542" si="66">COUNTIF($E$498:$E$542,"&lt;="&amp;E498)-COUNTIF($E$498:$E$542,"*&gt;*")</f>
        <v>0</v>
      </c>
      <c r="E498" s="47" t="s">
        <v>10035</v>
      </c>
      <c r="F498" s="1878"/>
      <c r="G498" s="1878"/>
      <c r="H498" s="1879"/>
      <c r="I498" s="874"/>
      <c r="J498" s="1883" t="s">
        <v>2811</v>
      </c>
      <c r="N498"/>
    </row>
    <row r="499" spans="1:14" ht="12.75" customHeight="1" x14ac:dyDescent="0.2">
      <c r="A499" s="227">
        <v>499</v>
      </c>
      <c r="B499" s="5988"/>
      <c r="C499" s="1887" t="str">
        <f>E498</f>
        <v xml:space="preserve"> &gt; DESVENTAJAS COMUNES</v>
      </c>
      <c r="D499" s="871">
        <f t="shared" si="66"/>
        <v>1</v>
      </c>
      <c r="E499" s="877" t="s">
        <v>7167</v>
      </c>
      <c r="F499" s="1878">
        <v>-1</v>
      </c>
      <c r="G499" s="1878">
        <f>COUNTIF(Principal!$C$51:$F$53,Tablas!E499)</f>
        <v>0</v>
      </c>
      <c r="H499" s="1879">
        <f t="shared" ref="H499:H533" si="67">G499*F499</f>
        <v>0</v>
      </c>
      <c r="I499" s="876">
        <v>1</v>
      </c>
      <c r="J499" s="1883" t="s">
        <v>2811</v>
      </c>
      <c r="N499"/>
    </row>
    <row r="500" spans="1:14" ht="12.75" customHeight="1" x14ac:dyDescent="0.2">
      <c r="A500" s="227">
        <v>500</v>
      </c>
      <c r="B500" s="5988"/>
      <c r="C500" s="1887" t="str">
        <f t="shared" ref="C500:C531" si="68">VLOOKUP(A1,$D$498:$E$569,2,0)</f>
        <v>-2 a característica: AGI</v>
      </c>
      <c r="D500" s="871">
        <f t="shared" si="66"/>
        <v>2</v>
      </c>
      <c r="E500" s="877" t="s">
        <v>7168</v>
      </c>
      <c r="F500" s="1878">
        <v>-1</v>
      </c>
      <c r="G500" s="1878">
        <f>COUNTIF(Principal!$C$51:$F$53,Tablas!E500)</f>
        <v>0</v>
      </c>
      <c r="H500" s="1879">
        <f t="shared" si="67"/>
        <v>0</v>
      </c>
      <c r="I500" s="876">
        <v>1</v>
      </c>
      <c r="J500" s="1883" t="s">
        <v>2811</v>
      </c>
      <c r="N500"/>
    </row>
    <row r="501" spans="1:14" ht="12.75" customHeight="1" x14ac:dyDescent="0.2">
      <c r="A501" s="227">
        <v>501</v>
      </c>
      <c r="B501" s="5988"/>
      <c r="C501" s="1887" t="str">
        <f t="shared" si="68"/>
        <v>-2 a característica: CON</v>
      </c>
      <c r="D501" s="871">
        <f t="shared" si="66"/>
        <v>3</v>
      </c>
      <c r="E501" s="877" t="s">
        <v>7169</v>
      </c>
      <c r="F501" s="1878">
        <v>-1</v>
      </c>
      <c r="G501" s="1878">
        <f>COUNTIF(Principal!$C$51:$F$53,Tablas!E501)</f>
        <v>0</v>
      </c>
      <c r="H501" s="1879">
        <f t="shared" si="67"/>
        <v>0</v>
      </c>
      <c r="I501" s="876">
        <v>1</v>
      </c>
      <c r="J501" s="1883" t="s">
        <v>2811</v>
      </c>
      <c r="N501"/>
    </row>
    <row r="502" spans="1:14" ht="12.75" customHeight="1" x14ac:dyDescent="0.2">
      <c r="A502" s="227">
        <v>502</v>
      </c>
      <c r="B502" s="5988"/>
      <c r="C502" s="1887" t="str">
        <f t="shared" si="68"/>
        <v>-2 a característica: DES</v>
      </c>
      <c r="D502" s="871">
        <f t="shared" si="66"/>
        <v>4</v>
      </c>
      <c r="E502" s="877" t="s">
        <v>7170</v>
      </c>
      <c r="F502" s="1878">
        <v>-1</v>
      </c>
      <c r="G502" s="1878">
        <f>COUNTIF(Principal!$C$51:$F$53,Tablas!E502)</f>
        <v>0</v>
      </c>
      <c r="H502" s="1879">
        <f t="shared" si="67"/>
        <v>0</v>
      </c>
      <c r="I502" s="876">
        <v>1</v>
      </c>
      <c r="J502" s="1883" t="s">
        <v>2811</v>
      </c>
      <c r="N502"/>
    </row>
    <row r="503" spans="1:14" ht="12.75" customHeight="1" x14ac:dyDescent="0.2">
      <c r="A503" s="227">
        <v>503</v>
      </c>
      <c r="B503" s="5988"/>
      <c r="C503" s="1887" t="str">
        <f t="shared" si="68"/>
        <v>-2 a característica: FUE</v>
      </c>
      <c r="D503" s="871">
        <f t="shared" si="66"/>
        <v>5</v>
      </c>
      <c r="E503" s="877" t="s">
        <v>7171</v>
      </c>
      <c r="F503" s="1878">
        <v>-1</v>
      </c>
      <c r="G503" s="1878">
        <f>COUNTIF(Principal!$C$51:$F$53,Tablas!E503)</f>
        <v>0</v>
      </c>
      <c r="H503" s="1879">
        <f t="shared" si="67"/>
        <v>0</v>
      </c>
      <c r="I503" s="876">
        <v>1</v>
      </c>
      <c r="J503" s="1883" t="s">
        <v>2811</v>
      </c>
      <c r="N503"/>
    </row>
    <row r="504" spans="1:14" ht="12.75" customHeight="1" x14ac:dyDescent="0.2">
      <c r="A504" s="227">
        <v>504</v>
      </c>
      <c r="B504" s="5988"/>
      <c r="C504" s="1887" t="str">
        <f t="shared" si="68"/>
        <v>-2 a característica: INT</v>
      </c>
      <c r="D504" s="871">
        <f t="shared" si="66"/>
        <v>6</v>
      </c>
      <c r="E504" s="877" t="s">
        <v>7172</v>
      </c>
      <c r="F504" s="1878">
        <v>-1</v>
      </c>
      <c r="G504" s="1878">
        <f>COUNTIF(Principal!$C$51:$F$53,Tablas!E504)</f>
        <v>0</v>
      </c>
      <c r="H504" s="1879">
        <f t="shared" si="67"/>
        <v>0</v>
      </c>
      <c r="I504" s="876">
        <v>1</v>
      </c>
      <c r="J504" s="1883" t="s">
        <v>2811</v>
      </c>
      <c r="N504"/>
    </row>
    <row r="505" spans="1:14" ht="12.75" customHeight="1" x14ac:dyDescent="0.2">
      <c r="A505" s="227">
        <v>505</v>
      </c>
      <c r="B505" s="5988"/>
      <c r="C505" s="1887" t="str">
        <f t="shared" si="68"/>
        <v>-2 a característica: PER</v>
      </c>
      <c r="D505" s="871">
        <f t="shared" si="66"/>
        <v>7</v>
      </c>
      <c r="E505" s="877" t="s">
        <v>7173</v>
      </c>
      <c r="F505" s="1878">
        <v>-1</v>
      </c>
      <c r="G505" s="1878">
        <f>COUNTIF(Principal!$C$51:$F$53,Tablas!E505)</f>
        <v>0</v>
      </c>
      <c r="H505" s="1879">
        <f t="shared" si="67"/>
        <v>0</v>
      </c>
      <c r="I505" s="876">
        <v>1</v>
      </c>
      <c r="J505" s="1883" t="s">
        <v>2811</v>
      </c>
      <c r="N505"/>
    </row>
    <row r="506" spans="1:14" ht="12.75" customHeight="1" x14ac:dyDescent="0.2">
      <c r="A506" s="227">
        <v>506</v>
      </c>
      <c r="B506" s="5988"/>
      <c r="C506" s="1887" t="str">
        <f t="shared" si="68"/>
        <v>-2 a característica: POD</v>
      </c>
      <c r="D506" s="871">
        <f t="shared" si="66"/>
        <v>8</v>
      </c>
      <c r="E506" s="877" t="s">
        <v>7174</v>
      </c>
      <c r="F506" s="1878">
        <v>-1</v>
      </c>
      <c r="G506" s="1878">
        <f>COUNTIF(Principal!$C$51:$F$53,Tablas!E506)</f>
        <v>0</v>
      </c>
      <c r="H506" s="1879">
        <f t="shared" si="67"/>
        <v>0</v>
      </c>
      <c r="I506" s="876">
        <v>1</v>
      </c>
      <c r="J506" s="1883" t="s">
        <v>2811</v>
      </c>
      <c r="N506"/>
    </row>
    <row r="507" spans="1:14" ht="12.75" customHeight="1" x14ac:dyDescent="0.2">
      <c r="A507" s="227">
        <v>507</v>
      </c>
      <c r="B507" s="5988"/>
      <c r="C507" s="1887" t="str">
        <f t="shared" si="68"/>
        <v>-2 a característica: VOL</v>
      </c>
      <c r="D507" s="871">
        <f t="shared" si="66"/>
        <v>31</v>
      </c>
      <c r="E507" s="47" t="s">
        <v>2371</v>
      </c>
      <c r="F507" s="1878">
        <v>-1</v>
      </c>
      <c r="G507" s="1878">
        <f>COUNTIF(Principal!$C$51:$F$53,Tablas!E507)</f>
        <v>0</v>
      </c>
      <c r="H507" s="1879">
        <f t="shared" si="67"/>
        <v>0</v>
      </c>
      <c r="I507" s="876">
        <v>2</v>
      </c>
      <c r="J507" s="1883" t="s">
        <v>2811</v>
      </c>
      <c r="N507"/>
    </row>
    <row r="508" spans="1:14" ht="12.75" customHeight="1" x14ac:dyDescent="0.2">
      <c r="A508" s="227">
        <v>508</v>
      </c>
      <c r="B508" s="5988"/>
      <c r="C508" s="1887" t="str">
        <f t="shared" si="68"/>
        <v>Adicción o vicio grave</v>
      </c>
      <c r="D508" s="871">
        <f t="shared" si="66"/>
        <v>36</v>
      </c>
      <c r="E508" s="47" t="s">
        <v>1914</v>
      </c>
      <c r="F508" s="1878">
        <v>-1</v>
      </c>
      <c r="G508" s="1878">
        <f>COUNTIF(Principal!$C$51:$F$53,Tablas!E508)</f>
        <v>0</v>
      </c>
      <c r="H508" s="1879">
        <f t="shared" si="67"/>
        <v>0</v>
      </c>
      <c r="I508" s="876">
        <v>1</v>
      </c>
      <c r="J508" s="1883" t="s">
        <v>2811</v>
      </c>
      <c r="N508"/>
    </row>
    <row r="509" spans="1:14" ht="12.75" customHeight="1" x14ac:dyDescent="0.2">
      <c r="A509" s="227">
        <v>509</v>
      </c>
      <c r="B509" s="5988"/>
      <c r="C509" s="1887" t="str">
        <f t="shared" si="68"/>
        <v>Alergia grave</v>
      </c>
      <c r="D509" s="871">
        <f t="shared" si="66"/>
        <v>42</v>
      </c>
      <c r="E509" s="47" t="s">
        <v>2372</v>
      </c>
      <c r="F509" s="1878">
        <v>-1</v>
      </c>
      <c r="G509" s="1878">
        <f>COUNTIF(Principal!$C$51:$F$53,Tablas!E509)</f>
        <v>0</v>
      </c>
      <c r="H509" s="1879">
        <f t="shared" si="67"/>
        <v>0</v>
      </c>
      <c r="I509" s="876">
        <v>1</v>
      </c>
      <c r="J509" s="1883" t="s">
        <v>2811</v>
      </c>
      <c r="N509"/>
    </row>
    <row r="510" spans="1:14" ht="12.75" customHeight="1" x14ac:dyDescent="0.2">
      <c r="A510" s="227">
        <v>510</v>
      </c>
      <c r="B510" s="5988"/>
      <c r="C510" s="1887" t="str">
        <f t="shared" si="68"/>
        <v>Aprendizaje lento (1)</v>
      </c>
      <c r="D510" s="871">
        <f t="shared" si="66"/>
        <v>24</v>
      </c>
      <c r="E510" s="47" t="s">
        <v>2373</v>
      </c>
      <c r="F510" s="1878">
        <v>-1</v>
      </c>
      <c r="G510" s="1878">
        <f>COUNTIF(Principal!$C$51:$F$53,Tablas!E510)</f>
        <v>0</v>
      </c>
      <c r="H510" s="1879">
        <f t="shared" si="67"/>
        <v>0</v>
      </c>
      <c r="I510" s="876"/>
      <c r="J510" s="1883" t="s">
        <v>2811</v>
      </c>
      <c r="N510"/>
    </row>
    <row r="511" spans="1:14" ht="12.75" customHeight="1" x14ac:dyDescent="0.2">
      <c r="A511" s="227">
        <v>511</v>
      </c>
      <c r="B511" s="5988"/>
      <c r="C511" s="1887" t="str">
        <f t="shared" si="68"/>
        <v>Aprendizaje lento (2)</v>
      </c>
      <c r="D511" s="871">
        <f t="shared" si="66"/>
        <v>41</v>
      </c>
      <c r="E511" s="47" t="s">
        <v>2374</v>
      </c>
      <c r="F511" s="1878">
        <v>-1</v>
      </c>
      <c r="G511" s="1878">
        <f>COUNTIF(Principal!$C$51:$F$53,Tablas!E511)</f>
        <v>0</v>
      </c>
      <c r="H511" s="1879">
        <f t="shared" si="67"/>
        <v>0</v>
      </c>
      <c r="I511" s="876">
        <v>1</v>
      </c>
      <c r="J511" s="1883" t="s">
        <v>2811</v>
      </c>
      <c r="N511"/>
    </row>
    <row r="512" spans="1:14" ht="12.75" customHeight="1" x14ac:dyDescent="0.2">
      <c r="A512" s="227">
        <v>512</v>
      </c>
      <c r="B512" s="5988"/>
      <c r="C512" s="1887" t="str">
        <f t="shared" si="68"/>
        <v>Arma exclusiva</v>
      </c>
      <c r="D512" s="871">
        <f t="shared" si="66"/>
        <v>40</v>
      </c>
      <c r="E512" s="47" t="s">
        <v>2375</v>
      </c>
      <c r="F512" s="1878">
        <v>-1</v>
      </c>
      <c r="G512" s="1878">
        <f>COUNTIF(Principal!$C$51:$F$53,Tablas!E512)</f>
        <v>0</v>
      </c>
      <c r="H512" s="1879">
        <f t="shared" si="67"/>
        <v>0</v>
      </c>
      <c r="I512" s="876"/>
      <c r="J512" s="1883" t="s">
        <v>2811</v>
      </c>
      <c r="N512"/>
    </row>
    <row r="513" spans="1:14" ht="12.75" customHeight="1" x14ac:dyDescent="0.2">
      <c r="A513" s="227">
        <v>513</v>
      </c>
      <c r="B513" s="5988"/>
      <c r="C513" s="1887" t="str">
        <f t="shared" si="68"/>
        <v>Aspecto desagradable</v>
      </c>
      <c r="D513" s="871">
        <f t="shared" si="66"/>
        <v>23</v>
      </c>
      <c r="E513" s="47" t="s">
        <v>2376</v>
      </c>
      <c r="F513" s="1878">
        <v>-1</v>
      </c>
      <c r="G513" s="1878">
        <f>COUNTIF(Principal!$C$51:$F$53,Tablas!E513)</f>
        <v>0</v>
      </c>
      <c r="H513" s="1879">
        <f t="shared" si="67"/>
        <v>0</v>
      </c>
      <c r="I513" s="876"/>
      <c r="J513" s="1883" t="s">
        <v>2811</v>
      </c>
      <c r="N513"/>
    </row>
    <row r="514" spans="1:14" ht="12.75" customHeight="1" x14ac:dyDescent="0.2">
      <c r="A514" s="227">
        <v>514</v>
      </c>
      <c r="B514" s="5988"/>
      <c r="C514" s="1887" t="str">
        <f t="shared" si="68"/>
        <v>Ciego</v>
      </c>
      <c r="D514" s="871">
        <f t="shared" si="66"/>
        <v>17</v>
      </c>
      <c r="E514" s="47" t="s">
        <v>2377</v>
      </c>
      <c r="F514" s="1878">
        <v>-1</v>
      </c>
      <c r="G514" s="1878">
        <f>COUNTIF(Principal!$C$51:$F$53,Tablas!E514)</f>
        <v>0</v>
      </c>
      <c r="H514" s="1879">
        <f t="shared" si="67"/>
        <v>0</v>
      </c>
      <c r="I514" s="876">
        <v>1</v>
      </c>
      <c r="J514" s="1883" t="s">
        <v>2811</v>
      </c>
      <c r="N514"/>
    </row>
    <row r="515" spans="1:14" ht="12.75" customHeight="1" x14ac:dyDescent="0.2">
      <c r="A515" s="227">
        <v>515</v>
      </c>
      <c r="B515" s="5988"/>
      <c r="C515" s="1887" t="str">
        <f t="shared" si="68"/>
        <v>Cobardía</v>
      </c>
      <c r="D515" s="871">
        <f t="shared" si="66"/>
        <v>14</v>
      </c>
      <c r="E515" s="47" t="s">
        <v>2378</v>
      </c>
      <c r="F515" s="1878">
        <v>-1</v>
      </c>
      <c r="G515" s="1878">
        <f>COUNTIF(Principal!$C$51:$F$53,Tablas!E515)</f>
        <v>0</v>
      </c>
      <c r="H515" s="1879">
        <f t="shared" si="67"/>
        <v>0</v>
      </c>
      <c r="I515" s="876"/>
      <c r="J515" s="1883" t="s">
        <v>2811</v>
      </c>
      <c r="N515"/>
    </row>
    <row r="516" spans="1:14" ht="12.75" customHeight="1" x14ac:dyDescent="0.2">
      <c r="A516" s="227">
        <v>516</v>
      </c>
      <c r="B516" s="5988"/>
      <c r="C516" s="1887" t="str">
        <f t="shared" si="68"/>
        <v>Debilidad física</v>
      </c>
      <c r="D516" s="871">
        <f t="shared" si="66"/>
        <v>27</v>
      </c>
      <c r="E516" s="47" t="s">
        <v>2379</v>
      </c>
      <c r="F516" s="1878">
        <v>-1</v>
      </c>
      <c r="G516" s="1878">
        <f>COUNTIF(Principal!$C$51:$F$53,Tablas!E516)</f>
        <v>0</v>
      </c>
      <c r="H516" s="1879">
        <f t="shared" si="67"/>
        <v>0</v>
      </c>
      <c r="I516" s="876"/>
      <c r="J516" s="1883" t="s">
        <v>2811</v>
      </c>
      <c r="N516"/>
    </row>
    <row r="517" spans="1:14" ht="12.75" customHeight="1" x14ac:dyDescent="0.2">
      <c r="A517" s="227">
        <v>517</v>
      </c>
      <c r="B517" s="5988"/>
      <c r="C517" s="1887" t="str">
        <f t="shared" si="68"/>
        <v>Desafortunado</v>
      </c>
      <c r="D517" s="871">
        <f t="shared" si="66"/>
        <v>21</v>
      </c>
      <c r="E517" s="47" t="s">
        <v>2380</v>
      </c>
      <c r="F517" s="1878">
        <v>-2</v>
      </c>
      <c r="G517" s="1878">
        <f>COUNTIF(Principal!$C$51:$F$53,Tablas!E517)</f>
        <v>0</v>
      </c>
      <c r="H517" s="1879">
        <f t="shared" si="67"/>
        <v>0</v>
      </c>
      <c r="I517" s="876"/>
      <c r="J517" s="1883" t="s">
        <v>2811</v>
      </c>
      <c r="N517"/>
    </row>
    <row r="518" spans="1:14" ht="12.75" customHeight="1" x14ac:dyDescent="0.2">
      <c r="A518" s="227">
        <v>518</v>
      </c>
      <c r="B518" s="5988"/>
      <c r="C518" s="1887" t="str">
        <f t="shared" si="68"/>
        <v>Destino aciago</v>
      </c>
      <c r="D518" s="871">
        <f t="shared" si="66"/>
        <v>10</v>
      </c>
      <c r="E518" s="47" t="s">
        <v>2381</v>
      </c>
      <c r="F518" s="1878">
        <v>-1</v>
      </c>
      <c r="G518" s="1878">
        <f>COUNTIF(Principal!$C$51:$F$53,Tablas!E518)</f>
        <v>0</v>
      </c>
      <c r="H518" s="1879">
        <f t="shared" si="67"/>
        <v>0</v>
      </c>
      <c r="I518" s="876"/>
      <c r="J518" s="1883" t="s">
        <v>2811</v>
      </c>
      <c r="N518"/>
    </row>
    <row r="519" spans="1:14" ht="12.75" customHeight="1" x14ac:dyDescent="0.2">
      <c r="A519" s="227">
        <v>519</v>
      </c>
      <c r="B519" s="5988"/>
      <c r="C519" s="1887" t="str">
        <f t="shared" si="68"/>
        <v>Endeble</v>
      </c>
      <c r="D519" s="871">
        <f t="shared" si="66"/>
        <v>39</v>
      </c>
      <c r="E519" s="47" t="s">
        <v>2382</v>
      </c>
      <c r="F519" s="1878">
        <v>-1</v>
      </c>
      <c r="G519" s="1878">
        <f>COUNTIF(Principal!$C$51:$F$53,Tablas!E519)</f>
        <v>0</v>
      </c>
      <c r="H519" s="1879">
        <f t="shared" si="67"/>
        <v>0</v>
      </c>
      <c r="I519" s="876"/>
      <c r="J519" s="1883" t="s">
        <v>2811</v>
      </c>
      <c r="N519"/>
    </row>
    <row r="520" spans="1:14" ht="12.75" customHeight="1" x14ac:dyDescent="0.2">
      <c r="A520" s="227">
        <v>520</v>
      </c>
      <c r="B520" s="5988"/>
      <c r="C520" s="1887" t="str">
        <f t="shared" si="68"/>
        <v>Enfermedad grave</v>
      </c>
      <c r="D520" s="871">
        <f t="shared" si="66"/>
        <v>25</v>
      </c>
      <c r="E520" s="47" t="s">
        <v>2383</v>
      </c>
      <c r="F520" s="1878">
        <v>-1</v>
      </c>
      <c r="G520" s="1878">
        <f>COUNTIF(Principal!$C$51:$F$53,Tablas!E520)</f>
        <v>0</v>
      </c>
      <c r="H520" s="1879">
        <f t="shared" si="67"/>
        <v>0</v>
      </c>
      <c r="I520" s="876"/>
      <c r="J520" s="1883" t="s">
        <v>2811</v>
      </c>
      <c r="N520"/>
    </row>
    <row r="521" spans="1:14" ht="12.75" customHeight="1" x14ac:dyDescent="0.2">
      <c r="A521" s="227">
        <v>521</v>
      </c>
      <c r="B521" s="5988"/>
      <c r="C521" s="1887" t="str">
        <f t="shared" si="68"/>
        <v>Exhausto</v>
      </c>
      <c r="D521" s="871">
        <f t="shared" si="66"/>
        <v>28</v>
      </c>
      <c r="E521" s="47" t="s">
        <v>2384</v>
      </c>
      <c r="F521" s="1878">
        <v>-1</v>
      </c>
      <c r="G521" s="1878">
        <f>COUNTIF(Principal!$C$51:$F$53,Tablas!E521)</f>
        <v>0</v>
      </c>
      <c r="H521" s="1879">
        <f t="shared" si="67"/>
        <v>0</v>
      </c>
      <c r="I521" s="876"/>
      <c r="J521" s="1883" t="s">
        <v>2811</v>
      </c>
      <c r="N521"/>
    </row>
    <row r="522" spans="1:14" ht="12.75" customHeight="1" x14ac:dyDescent="0.2">
      <c r="A522" s="227">
        <v>522</v>
      </c>
      <c r="B522" s="5988"/>
      <c r="C522" s="1887" t="str">
        <f t="shared" si="68"/>
        <v>Extremidad atrofiada</v>
      </c>
      <c r="D522" s="871">
        <f t="shared" si="66"/>
        <v>18</v>
      </c>
      <c r="E522" s="47" t="s">
        <v>2385</v>
      </c>
      <c r="F522" s="1878">
        <v>-1</v>
      </c>
      <c r="G522" s="1878">
        <f>COUNTIF(Principal!$C$51:$F$53,Tablas!E522)</f>
        <v>0</v>
      </c>
      <c r="H522" s="1879">
        <f t="shared" si="67"/>
        <v>0</v>
      </c>
      <c r="I522" s="876"/>
      <c r="J522" s="1883" t="s">
        <v>2811</v>
      </c>
      <c r="N522"/>
    </row>
    <row r="523" spans="1:14" ht="12.75" customHeight="1" x14ac:dyDescent="0.2">
      <c r="A523" s="227">
        <v>523</v>
      </c>
      <c r="B523" s="5988"/>
      <c r="C523" s="1887" t="str">
        <f t="shared" si="68"/>
        <v>Fácil posesión</v>
      </c>
      <c r="D523" s="871">
        <f t="shared" si="66"/>
        <v>32</v>
      </c>
      <c r="E523" s="47" t="s">
        <v>2386</v>
      </c>
      <c r="F523" s="1878">
        <v>-1</v>
      </c>
      <c r="G523" s="1878">
        <f>COUNTIF(Principal!$C$51:$F$53,Tablas!E523)</f>
        <v>0</v>
      </c>
      <c r="H523" s="1879">
        <f t="shared" si="67"/>
        <v>0</v>
      </c>
      <c r="I523" s="876"/>
      <c r="J523" s="1883" t="s">
        <v>2811</v>
      </c>
      <c r="N523"/>
    </row>
    <row r="524" spans="1:14" ht="12.75" customHeight="1" x14ac:dyDescent="0.2">
      <c r="A524" s="227">
        <v>524</v>
      </c>
      <c r="B524" s="5988"/>
      <c r="C524" s="1887" t="str">
        <f t="shared" si="68"/>
        <v>Fobia grave</v>
      </c>
      <c r="D524" s="871">
        <f t="shared" si="66"/>
        <v>15</v>
      </c>
      <c r="E524" s="47" t="s">
        <v>2387</v>
      </c>
      <c r="F524" s="1878">
        <v>-2</v>
      </c>
      <c r="G524" s="1878">
        <f>COUNTIF(Principal!$C$51:$F$53,Tablas!E524)</f>
        <v>0</v>
      </c>
      <c r="H524" s="1879">
        <f t="shared" si="67"/>
        <v>0</v>
      </c>
      <c r="I524" s="876"/>
      <c r="J524" s="1883" t="s">
        <v>2811</v>
      </c>
      <c r="N524"/>
    </row>
    <row r="525" spans="1:14" ht="12.75" customHeight="1" x14ac:dyDescent="0.2">
      <c r="A525" s="227">
        <v>525</v>
      </c>
      <c r="B525" s="5988"/>
      <c r="C525" s="1887" t="str">
        <f t="shared" si="68"/>
        <v>Insufrible</v>
      </c>
      <c r="D525" s="871">
        <f t="shared" si="66"/>
        <v>38</v>
      </c>
      <c r="E525" s="47" t="s">
        <v>2388</v>
      </c>
      <c r="F525" s="1878">
        <v>-1</v>
      </c>
      <c r="G525" s="1878">
        <f>COUNTIF(Principal!$C$51:$F$53,Tablas!E525)</f>
        <v>0</v>
      </c>
      <c r="H525" s="1879">
        <f t="shared" si="67"/>
        <v>0</v>
      </c>
      <c r="I525" s="876"/>
      <c r="J525" s="1883" t="s">
        <v>2811</v>
      </c>
      <c r="N525"/>
    </row>
    <row r="526" spans="1:14" ht="12.75" customHeight="1" x14ac:dyDescent="0.2">
      <c r="A526" s="227">
        <v>526</v>
      </c>
      <c r="B526" s="5988"/>
      <c r="C526" s="1887" t="str">
        <f t="shared" si="68"/>
        <v>Lenta curación</v>
      </c>
      <c r="D526" s="871">
        <f t="shared" si="66"/>
        <v>13</v>
      </c>
      <c r="E526" s="47" t="s">
        <v>2389</v>
      </c>
      <c r="F526" s="1878">
        <v>-1</v>
      </c>
      <c r="G526" s="1878">
        <f>COUNTIF(Principal!$C$51:$F$53,Tablas!E526)</f>
        <v>0</v>
      </c>
      <c r="H526" s="1879">
        <f t="shared" si="67"/>
        <v>0</v>
      </c>
      <c r="I526" s="876">
        <v>1</v>
      </c>
      <c r="J526" s="1883" t="s">
        <v>2811</v>
      </c>
      <c r="N526"/>
    </row>
    <row r="527" spans="1:14" ht="12.75" customHeight="1" x14ac:dyDescent="0.2">
      <c r="A527" s="227">
        <v>527</v>
      </c>
      <c r="B527" s="5988"/>
      <c r="C527" s="1887" t="str">
        <f t="shared" si="68"/>
        <v>Mala suerte</v>
      </c>
      <c r="D527" s="871">
        <f t="shared" si="66"/>
        <v>34</v>
      </c>
      <c r="E527" s="47" t="s">
        <v>2390</v>
      </c>
      <c r="F527" s="1878">
        <v>-1</v>
      </c>
      <c r="G527" s="1878">
        <f>COUNTIF(Principal!$C$51:$F$53,Tablas!E527)</f>
        <v>0</v>
      </c>
      <c r="H527" s="1879">
        <f t="shared" si="67"/>
        <v>0</v>
      </c>
      <c r="I527" s="876">
        <v>1</v>
      </c>
      <c r="J527" s="1883" t="s">
        <v>2811</v>
      </c>
      <c r="N527"/>
    </row>
    <row r="528" spans="1:14" ht="12.75" customHeight="1" x14ac:dyDescent="0.2">
      <c r="A528" s="227">
        <v>528</v>
      </c>
      <c r="B528" s="5988"/>
      <c r="C528" s="1887" t="str">
        <f t="shared" si="68"/>
        <v>Maldito (1)</v>
      </c>
      <c r="D528" s="871">
        <f t="shared" si="66"/>
        <v>35</v>
      </c>
      <c r="E528" s="47" t="s">
        <v>2391</v>
      </c>
      <c r="F528" s="1878">
        <v>-2</v>
      </c>
      <c r="G528" s="1878">
        <f>COUNTIF(Principal!$C$51:$F$53,Tablas!E528)</f>
        <v>0</v>
      </c>
      <c r="H528" s="1879">
        <f t="shared" si="67"/>
        <v>0</v>
      </c>
      <c r="I528" s="876">
        <v>1</v>
      </c>
      <c r="J528" s="1883" t="s">
        <v>2811</v>
      </c>
      <c r="N528"/>
    </row>
    <row r="529" spans="1:14" ht="12.75" customHeight="1" x14ac:dyDescent="0.2">
      <c r="A529" s="227">
        <v>529</v>
      </c>
      <c r="B529" s="5988"/>
      <c r="C529" s="1887" t="str">
        <f t="shared" si="68"/>
        <v>Maldito (2)</v>
      </c>
      <c r="D529" s="871">
        <f t="shared" si="66"/>
        <v>9</v>
      </c>
      <c r="E529" s="47" t="s">
        <v>2392</v>
      </c>
      <c r="F529" s="1878">
        <v>-1</v>
      </c>
      <c r="G529" s="1878">
        <f>COUNTIF(Principal!$C$51:$F$53,Tablas!E529)</f>
        <v>0</v>
      </c>
      <c r="H529" s="1879">
        <f t="shared" si="67"/>
        <v>0</v>
      </c>
      <c r="I529" s="876"/>
      <c r="J529" s="1883" t="s">
        <v>2811</v>
      </c>
      <c r="N529"/>
    </row>
    <row r="530" spans="1:14" ht="12.75" customHeight="1" x14ac:dyDescent="0.2">
      <c r="A530" s="227">
        <v>530</v>
      </c>
      <c r="B530" s="5988"/>
      <c r="C530" s="1887" t="str">
        <f t="shared" si="68"/>
        <v>Miopía</v>
      </c>
      <c r="D530" s="871">
        <f t="shared" si="66"/>
        <v>11</v>
      </c>
      <c r="E530" s="47" t="s">
        <v>2393</v>
      </c>
      <c r="F530" s="1878">
        <v>-1</v>
      </c>
      <c r="G530" s="1878">
        <f>COUNTIF(Principal!$C$51:$F$53,Tablas!E530)</f>
        <v>0</v>
      </c>
      <c r="H530" s="1879">
        <f t="shared" si="67"/>
        <v>0</v>
      </c>
      <c r="I530" s="876"/>
      <c r="J530" s="1883" t="s">
        <v>2811</v>
      </c>
      <c r="N530"/>
    </row>
    <row r="531" spans="1:14" ht="12.75" customHeight="1" x14ac:dyDescent="0.2">
      <c r="A531" s="227">
        <v>531</v>
      </c>
      <c r="B531" s="5988"/>
      <c r="C531" s="1887" t="str">
        <f t="shared" si="68"/>
        <v>Mudo</v>
      </c>
      <c r="D531" s="871">
        <f t="shared" si="66"/>
        <v>12</v>
      </c>
      <c r="E531" s="47" t="s">
        <v>2394</v>
      </c>
      <c r="F531" s="1878">
        <v>-2</v>
      </c>
      <c r="G531" s="1878">
        <f>COUNTIF(Principal!$C$51:$F$53,Tablas!E531)</f>
        <v>0</v>
      </c>
      <c r="H531" s="1879">
        <f t="shared" si="67"/>
        <v>0</v>
      </c>
      <c r="I531" s="876"/>
      <c r="J531" s="1883" t="s">
        <v>2811</v>
      </c>
      <c r="N531"/>
    </row>
    <row r="532" spans="1:14" ht="12.75" customHeight="1" x14ac:dyDescent="0.2">
      <c r="A532" s="227">
        <v>532</v>
      </c>
      <c r="B532" s="5988"/>
      <c r="C532" s="1887" t="str">
        <f t="shared" ref="C532:C563" si="69">VLOOKUP(A33,$D$498:$E$569,2,0)</f>
        <v>Patoso</v>
      </c>
      <c r="D532" s="871">
        <f t="shared" si="66"/>
        <v>43</v>
      </c>
      <c r="E532" s="47" t="s">
        <v>2395</v>
      </c>
      <c r="F532" s="1878">
        <v>-1</v>
      </c>
      <c r="G532" s="1878">
        <f>COUNTIF(Principal!$C$51:$F$53,Tablas!E532)</f>
        <v>0</v>
      </c>
      <c r="H532" s="1879">
        <f t="shared" si="67"/>
        <v>0</v>
      </c>
      <c r="I532" s="876">
        <v>1</v>
      </c>
      <c r="J532" s="1883" t="s">
        <v>2811</v>
      </c>
      <c r="N532"/>
    </row>
    <row r="533" spans="1:14" ht="12.75" customHeight="1" x14ac:dyDescent="0.2">
      <c r="A533" s="227">
        <v>533</v>
      </c>
      <c r="B533" s="5988"/>
      <c r="C533" s="1887" t="str">
        <f t="shared" si="69"/>
        <v>Reacción lenta (1)</v>
      </c>
      <c r="D533" s="871">
        <f t="shared" si="66"/>
        <v>22</v>
      </c>
      <c r="E533" s="47" t="s">
        <v>2396</v>
      </c>
      <c r="F533" s="1878">
        <v>-1</v>
      </c>
      <c r="G533" s="1878">
        <f>COUNTIF(Principal!$C$51:$F$53,Tablas!E533)</f>
        <v>0</v>
      </c>
      <c r="H533" s="1879">
        <f t="shared" si="67"/>
        <v>0</v>
      </c>
      <c r="I533" s="876">
        <v>1</v>
      </c>
      <c r="J533" s="1883" t="s">
        <v>2811</v>
      </c>
      <c r="N533"/>
    </row>
    <row r="534" spans="1:14" ht="12.75" customHeight="1" x14ac:dyDescent="0.2">
      <c r="A534" s="227">
        <v>534</v>
      </c>
      <c r="B534" s="5988"/>
      <c r="C534" s="1887" t="str">
        <f t="shared" si="69"/>
        <v>Reacción lenta (2)</v>
      </c>
      <c r="D534" s="871">
        <f t="shared" si="66"/>
        <v>-1</v>
      </c>
      <c r="E534" s="47" t="s">
        <v>10036</v>
      </c>
      <c r="F534" s="1878"/>
      <c r="G534" s="1878"/>
      <c r="H534" s="1879"/>
      <c r="I534" s="876"/>
      <c r="J534" s="1883" t="s">
        <v>2811</v>
      </c>
      <c r="N534"/>
    </row>
    <row r="535" spans="1:14" ht="12.75" customHeight="1" x14ac:dyDescent="0.2">
      <c r="A535" s="227">
        <v>535</v>
      </c>
      <c r="B535" s="5988"/>
      <c r="C535" s="1887" t="str">
        <f t="shared" si="69"/>
        <v>Salud enfermiza</v>
      </c>
      <c r="D535" s="871">
        <f t="shared" si="66"/>
        <v>20</v>
      </c>
      <c r="E535" s="47" t="s">
        <v>2439</v>
      </c>
      <c r="F535" s="1878">
        <v>-1</v>
      </c>
      <c r="G535" s="1878">
        <f>COUNTIF(Principal!$C$51:$F$53,Tablas!E535)</f>
        <v>0</v>
      </c>
      <c r="H535" s="1879">
        <f t="shared" ref="H535:H542" si="70">G535*F535</f>
        <v>0</v>
      </c>
      <c r="I535" s="876"/>
      <c r="J535" s="1883" t="s">
        <v>2811</v>
      </c>
      <c r="N535"/>
    </row>
    <row r="536" spans="1:14" ht="12.75" customHeight="1" x14ac:dyDescent="0.2">
      <c r="A536" s="227">
        <v>536</v>
      </c>
      <c r="B536" s="5988"/>
      <c r="C536" s="1887" t="str">
        <f t="shared" si="69"/>
        <v>Sin bonificador natural</v>
      </c>
      <c r="D536" s="871">
        <f t="shared" si="66"/>
        <v>16</v>
      </c>
      <c r="E536" s="47" t="s">
        <v>2440</v>
      </c>
      <c r="F536" s="1878">
        <v>-1</v>
      </c>
      <c r="G536" s="1878">
        <f>COUNTIF(Principal!$C$51:$F$53,Tablas!E536)</f>
        <v>0</v>
      </c>
      <c r="H536" s="1879">
        <f t="shared" si="70"/>
        <v>0</v>
      </c>
      <c r="I536" s="876"/>
      <c r="J536" s="1883" t="s">
        <v>2811</v>
      </c>
      <c r="N536"/>
    </row>
    <row r="537" spans="1:14" ht="12.75" customHeight="1" x14ac:dyDescent="0.2">
      <c r="A537" s="227">
        <v>537</v>
      </c>
      <c r="B537" s="5988"/>
      <c r="C537" s="1887" t="str">
        <f t="shared" si="69"/>
        <v>Sordo</v>
      </c>
      <c r="D537" s="871">
        <f t="shared" si="66"/>
        <v>33</v>
      </c>
      <c r="E537" s="47" t="s">
        <v>2441</v>
      </c>
      <c r="F537" s="1878">
        <v>-1</v>
      </c>
      <c r="G537" s="1878">
        <f>COUNTIF(Principal!$C$51:$F$53,Tablas!E537)</f>
        <v>0</v>
      </c>
      <c r="H537" s="1879">
        <f t="shared" si="70"/>
        <v>0</v>
      </c>
      <c r="I537" s="876"/>
      <c r="J537" s="1883" t="s">
        <v>2811</v>
      </c>
      <c r="N537"/>
    </row>
    <row r="538" spans="1:14" ht="12.75" customHeight="1" x14ac:dyDescent="0.2">
      <c r="A538" s="227">
        <v>538</v>
      </c>
      <c r="B538" s="5988"/>
      <c r="C538" s="1887" t="str">
        <f t="shared" si="69"/>
        <v>Sueño profundo</v>
      </c>
      <c r="D538" s="871">
        <f t="shared" si="66"/>
        <v>37</v>
      </c>
      <c r="E538" s="47" t="s">
        <v>2442</v>
      </c>
      <c r="F538" s="1878">
        <v>-1</v>
      </c>
      <c r="G538" s="1878">
        <f>COUNTIF(Principal!$C$51:$F$53,Tablas!E538)</f>
        <v>0</v>
      </c>
      <c r="H538" s="1879">
        <f t="shared" si="70"/>
        <v>0</v>
      </c>
      <c r="I538" s="876">
        <v>1</v>
      </c>
      <c r="J538" s="1883" t="s">
        <v>2811</v>
      </c>
      <c r="N538"/>
    </row>
    <row r="539" spans="1:14" ht="12.75" customHeight="1" x14ac:dyDescent="0.2">
      <c r="A539" s="227">
        <v>539</v>
      </c>
      <c r="B539" s="5988"/>
      <c r="C539" s="1887" t="str">
        <f t="shared" si="69"/>
        <v>Vulnerable a frío o calor</v>
      </c>
      <c r="D539" s="871">
        <f t="shared" si="66"/>
        <v>26</v>
      </c>
      <c r="E539" s="47" t="s">
        <v>2443</v>
      </c>
      <c r="F539" s="1878">
        <v>-1</v>
      </c>
      <c r="G539" s="1878">
        <f>COUNTIF(Principal!$C$51:$F$53,Tablas!E539)</f>
        <v>0</v>
      </c>
      <c r="H539" s="1879">
        <f t="shared" si="70"/>
        <v>0</v>
      </c>
      <c r="I539" s="876"/>
      <c r="J539" s="1883" t="s">
        <v>2811</v>
      </c>
      <c r="N539"/>
    </row>
    <row r="540" spans="1:14" ht="12.75" customHeight="1" x14ac:dyDescent="0.2">
      <c r="A540" s="227">
        <v>540</v>
      </c>
      <c r="B540" s="5988"/>
      <c r="C540" s="1887" t="str">
        <f t="shared" si="69"/>
        <v>Vulnerable a la magia</v>
      </c>
      <c r="D540" s="871">
        <f t="shared" si="66"/>
        <v>29</v>
      </c>
      <c r="E540" s="47" t="s">
        <v>2490</v>
      </c>
      <c r="F540" s="1878">
        <v>-1</v>
      </c>
      <c r="G540" s="1878">
        <f>COUNTIF(Principal!$C$51:$F$53,Tablas!E540)</f>
        <v>0</v>
      </c>
      <c r="H540" s="86">
        <f t="shared" si="70"/>
        <v>0</v>
      </c>
      <c r="I540" s="874"/>
      <c r="J540" s="1883" t="s">
        <v>2811</v>
      </c>
      <c r="N540"/>
    </row>
    <row r="541" spans="1:14" ht="12.75" customHeight="1" x14ac:dyDescent="0.2">
      <c r="A541" s="227">
        <v>541</v>
      </c>
      <c r="B541" s="5988"/>
      <c r="C541" s="1887" t="str">
        <f t="shared" si="69"/>
        <v>Vulnerable a los venenos</v>
      </c>
      <c r="D541" s="871">
        <f t="shared" si="66"/>
        <v>30</v>
      </c>
      <c r="E541" s="47" t="s">
        <v>2491</v>
      </c>
      <c r="F541" s="1878">
        <v>-2</v>
      </c>
      <c r="G541" s="1878">
        <f>COUNTIF(Principal!$C$51:$F$53,Tablas!E541)</f>
        <v>0</v>
      </c>
      <c r="H541" s="86">
        <f t="shared" si="70"/>
        <v>0</v>
      </c>
      <c r="I541" s="874"/>
      <c r="J541" s="1883" t="s">
        <v>2811</v>
      </c>
      <c r="N541"/>
    </row>
    <row r="542" spans="1:14" ht="12.75" customHeight="1" x14ac:dyDescent="0.2">
      <c r="A542" s="227">
        <v>542</v>
      </c>
      <c r="B542" s="5988"/>
      <c r="C542" s="1887" t="str">
        <f t="shared" si="69"/>
        <v>Vulnerable al dolor</v>
      </c>
      <c r="D542" s="1889">
        <f t="shared" si="66"/>
        <v>19</v>
      </c>
      <c r="E542" s="1890" t="s">
        <v>2444</v>
      </c>
      <c r="F542" s="873">
        <v>-2</v>
      </c>
      <c r="G542" s="873">
        <f>COUNTIF(Principal!$C$51:$F$53,Tablas!E542)</f>
        <v>0</v>
      </c>
      <c r="H542" s="1891">
        <f t="shared" si="70"/>
        <v>0</v>
      </c>
      <c r="I542" s="1892"/>
      <c r="J542" s="1893" t="s">
        <v>2811</v>
      </c>
      <c r="N542"/>
    </row>
    <row r="543" spans="1:14" ht="12.75" customHeight="1" x14ac:dyDescent="0.2">
      <c r="A543" s="227">
        <v>543</v>
      </c>
      <c r="B543" s="5988"/>
      <c r="C543" s="1887" t="str">
        <f t="shared" si="69"/>
        <v xml:space="preserve"> &gt; DESVENTAJAS TRASFONDO</v>
      </c>
      <c r="D543" s="871">
        <f>IF(Don,COUNTIF($E$543:$E$551,"&lt;="&amp;E543)+MAX($D$498:$D$542),MIN($D$498:D542)-1)</f>
        <v>-2</v>
      </c>
      <c r="E543" s="47" t="s">
        <v>10037</v>
      </c>
      <c r="F543" s="1878"/>
      <c r="G543" s="1878"/>
      <c r="H543" s="1879"/>
      <c r="I543" s="1906"/>
      <c r="J543" s="1901" t="s">
        <v>2268</v>
      </c>
      <c r="N543"/>
    </row>
    <row r="544" spans="1:14" ht="12.75" customHeight="1" x14ac:dyDescent="0.2">
      <c r="A544" s="227">
        <v>544</v>
      </c>
      <c r="B544" s="5988"/>
      <c r="C544" s="1887" t="str">
        <f t="shared" si="69"/>
        <v>Código de conducta</v>
      </c>
      <c r="D544" s="871">
        <f>IF(Don,COUNTIF($E$543:$E$551,"&lt;="&amp;E544)+MAX($D$498:$D$542),MIN($D$498:D543)-1)</f>
        <v>-3</v>
      </c>
      <c r="E544" s="47" t="s">
        <v>2397</v>
      </c>
      <c r="F544" s="1878">
        <v>-1</v>
      </c>
      <c r="G544" s="1878">
        <f>COUNTIF(Principal!$C$51:$F$53,Tablas!E544)</f>
        <v>0</v>
      </c>
      <c r="H544" s="1879">
        <f t="shared" ref="H544:H551" si="71">G544*F544</f>
        <v>0</v>
      </c>
      <c r="I544" s="1907"/>
      <c r="J544" s="1901" t="s">
        <v>2268</v>
      </c>
      <c r="N544"/>
    </row>
    <row r="545" spans="1:14" ht="12.75" customHeight="1" x14ac:dyDescent="0.2">
      <c r="A545" s="227">
        <v>545</v>
      </c>
      <c r="B545" s="5988"/>
      <c r="C545" s="1887" t="str">
        <f t="shared" si="69"/>
        <v>Deudas</v>
      </c>
      <c r="D545" s="871">
        <f>IF(Don,COUNTIF($E$543:$E$551,"&lt;="&amp;E545)+MAX($D$498:$D$542),MIN($D$498:D544)-1)</f>
        <v>-4</v>
      </c>
      <c r="E545" s="47" t="s">
        <v>2398</v>
      </c>
      <c r="F545" s="1878">
        <v>-1</v>
      </c>
      <c r="G545" s="1878">
        <f>COUNTIF(Principal!$C$51:$F$53,Tablas!E545)</f>
        <v>0</v>
      </c>
      <c r="H545" s="1879">
        <f t="shared" si="71"/>
        <v>0</v>
      </c>
      <c r="I545" s="1907"/>
      <c r="J545" s="1901" t="s">
        <v>2268</v>
      </c>
      <c r="N545"/>
    </row>
    <row r="546" spans="1:14" ht="12.75" customHeight="1" x14ac:dyDescent="0.2">
      <c r="A546" s="227">
        <v>546</v>
      </c>
      <c r="B546" s="5988"/>
      <c r="C546" s="1887" t="str">
        <f t="shared" si="69"/>
        <v>Enemigo poderoso (1)</v>
      </c>
      <c r="D546" s="871">
        <f>IF(Don,COUNTIF($E$543:$E$551,"&lt;="&amp;E546)+MAX($D$498:$D$542),MIN($D$498:D545)-1)</f>
        <v>-5</v>
      </c>
      <c r="E546" s="47" t="s">
        <v>2399</v>
      </c>
      <c r="F546" s="1878">
        <v>-1</v>
      </c>
      <c r="G546" s="1878">
        <f>COUNTIF(Principal!$C$51:$F$53,Tablas!E546)</f>
        <v>0</v>
      </c>
      <c r="H546" s="1879">
        <f t="shared" si="71"/>
        <v>0</v>
      </c>
      <c r="I546" s="1907"/>
      <c r="J546" s="1901" t="s">
        <v>2268</v>
      </c>
      <c r="N546"/>
    </row>
    <row r="547" spans="1:14" ht="12.75" customHeight="1" x14ac:dyDescent="0.2">
      <c r="A547" s="227">
        <v>547</v>
      </c>
      <c r="B547" s="5988"/>
      <c r="C547" s="1887" t="str">
        <f t="shared" si="69"/>
        <v>Enemigo poderoso (2)</v>
      </c>
      <c r="D547" s="871">
        <f>IF(Don,COUNTIF($E$543:$E$551,"&lt;="&amp;E547)+MAX($D$498:$D$542),MIN($D$498:D546)-1)</f>
        <v>-6</v>
      </c>
      <c r="E547" s="47" t="s">
        <v>2400</v>
      </c>
      <c r="F547" s="1878">
        <v>-1</v>
      </c>
      <c r="G547" s="1878">
        <f>COUNTIF(Principal!$C$51:$F$53,Tablas!E547)</f>
        <v>0</v>
      </c>
      <c r="H547" s="1879">
        <f t="shared" si="71"/>
        <v>0</v>
      </c>
      <c r="I547" s="1907"/>
      <c r="J547" s="1901" t="s">
        <v>2268</v>
      </c>
      <c r="N547"/>
    </row>
    <row r="548" spans="1:14" ht="12.75" customHeight="1" x14ac:dyDescent="0.2">
      <c r="A548" s="227">
        <v>548</v>
      </c>
      <c r="B548" s="5988"/>
      <c r="C548" s="1887" t="str">
        <f t="shared" si="69"/>
        <v>Novato</v>
      </c>
      <c r="D548" s="871">
        <f>IF(Don,COUNTIF($E$543:$E$551,"&lt;="&amp;E548)+MAX($D$498:$D$542),MIN($D$498:D547)-1)</f>
        <v>-7</v>
      </c>
      <c r="E548" s="47" t="s">
        <v>2401</v>
      </c>
      <c r="F548" s="1878">
        <v>-1</v>
      </c>
      <c r="G548" s="1878">
        <f>COUNTIF(Principal!$C$51:$F$53,Tablas!E548)</f>
        <v>0</v>
      </c>
      <c r="H548" s="1879">
        <f t="shared" si="71"/>
        <v>0</v>
      </c>
      <c r="I548" s="1907">
        <v>1</v>
      </c>
      <c r="J548" s="1901" t="s">
        <v>2268</v>
      </c>
      <c r="N548"/>
    </row>
    <row r="549" spans="1:14" ht="12.75" customHeight="1" x14ac:dyDescent="0.2">
      <c r="A549" s="227">
        <v>549</v>
      </c>
      <c r="B549" s="5988"/>
      <c r="C549" s="1887" t="str">
        <f t="shared" si="69"/>
        <v>Paria</v>
      </c>
      <c r="D549" s="871">
        <f>IF(Don,COUNTIF($E$543:$E$551,"&lt;="&amp;E549)+MAX($D$498:$D$542),MIN($D$498:D548)-1)</f>
        <v>-8</v>
      </c>
      <c r="E549" s="47" t="s">
        <v>2402</v>
      </c>
      <c r="F549" s="1878">
        <v>-2</v>
      </c>
      <c r="G549" s="1878">
        <f>COUNTIF(Principal!$C$51:$F$53,Tablas!E549)</f>
        <v>0</v>
      </c>
      <c r="H549" s="1879">
        <f t="shared" si="71"/>
        <v>0</v>
      </c>
      <c r="I549" s="1907">
        <v>1</v>
      </c>
      <c r="J549" s="1901" t="s">
        <v>2268</v>
      </c>
      <c r="N549"/>
    </row>
    <row r="550" spans="1:14" ht="12.75" customHeight="1" x14ac:dyDescent="0.2">
      <c r="A550" s="227">
        <v>550</v>
      </c>
      <c r="B550" s="5988"/>
      <c r="C550" s="1887" t="str">
        <f t="shared" si="69"/>
        <v>Secreto inconfesable</v>
      </c>
      <c r="D550" s="871">
        <f>IF(Don,COUNTIF($E$543:$E$551,"&lt;="&amp;E550)+MAX($D$498:$D$542),MIN($D$498:D549)-1)</f>
        <v>-9</v>
      </c>
      <c r="E550" s="47" t="s">
        <v>2403</v>
      </c>
      <c r="F550" s="1878">
        <v>-1</v>
      </c>
      <c r="G550" s="1878">
        <f>COUNTIF(Principal!$C$51:$F$53,Tablas!E550)</f>
        <v>0</v>
      </c>
      <c r="H550" s="1879">
        <f t="shared" si="71"/>
        <v>0</v>
      </c>
      <c r="I550" s="1907">
        <v>2</v>
      </c>
      <c r="J550" s="1901" t="s">
        <v>2268</v>
      </c>
      <c r="N550"/>
    </row>
    <row r="551" spans="1:14" ht="12.75" customHeight="1" x14ac:dyDescent="0.2">
      <c r="A551" s="227">
        <v>551</v>
      </c>
      <c r="B551" s="5988"/>
      <c r="C551" s="1887" t="str">
        <f t="shared" si="69"/>
        <v xml:space="preserve"> &gt; DESVENTAJAS PERSONALIZADAS</v>
      </c>
      <c r="D551" s="1889">
        <f>IF(Don,COUNTIF($E$543:$E$551,"&lt;="&amp;E551)+MAX($D$498:$D$542),MIN($D$498:D550)-1)</f>
        <v>-10</v>
      </c>
      <c r="E551" s="47" t="s">
        <v>2404</v>
      </c>
      <c r="F551" s="1878">
        <v>-2</v>
      </c>
      <c r="G551" s="1878">
        <f>COUNTIF(Principal!$C$51:$F$53,Tablas!E551)</f>
        <v>0</v>
      </c>
      <c r="H551" s="1879">
        <f t="shared" si="71"/>
        <v>0</v>
      </c>
      <c r="I551" s="1908"/>
      <c r="J551" s="1901" t="s">
        <v>2268</v>
      </c>
      <c r="N551"/>
    </row>
    <row r="552" spans="1:14" ht="12.75" customHeight="1" x14ac:dyDescent="0.2">
      <c r="A552" s="227">
        <v>552</v>
      </c>
      <c r="B552" s="5988"/>
      <c r="C552" s="1887" t="str">
        <f t="shared" si="69"/>
        <v>Desventaja Personalizada #1</v>
      </c>
      <c r="D552" s="871">
        <f>IF(Psíquico,COUNTIF($E$552:$E$556,"&lt;="&amp;E552)+MAX($D$498:$D$551),MIN($D$498:D551)-1)</f>
        <v>-11</v>
      </c>
      <c r="E552" s="1888" t="s">
        <v>10038</v>
      </c>
      <c r="F552" s="736"/>
      <c r="G552" s="736"/>
      <c r="H552" s="875"/>
      <c r="I552" s="1906"/>
      <c r="J552" s="1913" t="s">
        <v>6583</v>
      </c>
      <c r="N552"/>
    </row>
    <row r="553" spans="1:14" ht="12.75" customHeight="1" x14ac:dyDescent="0.2">
      <c r="A553" s="227">
        <v>553</v>
      </c>
      <c r="B553" s="5988"/>
      <c r="C553" s="1887" t="str">
        <f t="shared" si="69"/>
        <v>Desventaja Personalizada #2</v>
      </c>
      <c r="D553" s="871">
        <f>IF(Psíquico,COUNTIF($E$552:$E$556,"&lt;="&amp;E553)+MAX($D$498:$D$551),MIN($D$498:D552)-1)</f>
        <v>-12</v>
      </c>
      <c r="E553" s="47" t="s">
        <v>2405</v>
      </c>
      <c r="F553" s="1878">
        <v>-1</v>
      </c>
      <c r="G553" s="1878">
        <f>COUNTIF(Principal!$C$51:$F$53,Tablas!E553)</f>
        <v>0</v>
      </c>
      <c r="H553" s="1879">
        <f>G553*F553</f>
        <v>0</v>
      </c>
      <c r="I553" s="1907">
        <v>1</v>
      </c>
      <c r="J553" s="1914" t="s">
        <v>6583</v>
      </c>
      <c r="N553"/>
    </row>
    <row r="554" spans="1:14" ht="12.75" customHeight="1" x14ac:dyDescent="0.2">
      <c r="A554" s="227">
        <v>554</v>
      </c>
      <c r="B554" s="5988"/>
      <c r="C554" s="1887" t="str">
        <f t="shared" si="69"/>
        <v>Desventaja Personalizada #3</v>
      </c>
      <c r="D554" s="871">
        <f>IF(Psíquico,COUNTIF($E$552:$E$556,"&lt;="&amp;E554)+MAX($D$498:$D$551),MIN($D$498:D553)-1)</f>
        <v>-13</v>
      </c>
      <c r="E554" s="47" t="s">
        <v>2406</v>
      </c>
      <c r="F554" s="1878">
        <v>-1</v>
      </c>
      <c r="G554" s="1878">
        <f>COUNTIF(Principal!$C$51:$F$53,Tablas!E554)</f>
        <v>0</v>
      </c>
      <c r="H554" s="1879">
        <f>G554*F554</f>
        <v>0</v>
      </c>
      <c r="I554" s="1907"/>
      <c r="J554" s="1914" t="s">
        <v>6583</v>
      </c>
      <c r="N554"/>
    </row>
    <row r="555" spans="1:14" ht="12.75" customHeight="1" x14ac:dyDescent="0.2">
      <c r="A555" s="227">
        <v>555</v>
      </c>
      <c r="B555" s="5988"/>
      <c r="C555" s="1887" t="str">
        <f t="shared" si="69"/>
        <v>Desventaja Personalizada #4</v>
      </c>
      <c r="D555" s="871">
        <f>IF(Psíquico,COUNTIF($E$552:$E$556,"&lt;="&amp;E555)+MAX($D$498:$D$551),MIN($D$498:D554)-1)</f>
        <v>-14</v>
      </c>
      <c r="E555" s="47" t="s">
        <v>2407</v>
      </c>
      <c r="F555" s="1878">
        <v>-1</v>
      </c>
      <c r="G555" s="1878">
        <f>COUNTIF(Principal!$C$51:$F$53,Tablas!E555)</f>
        <v>0</v>
      </c>
      <c r="H555" s="1879">
        <f>G555*F555</f>
        <v>0</v>
      </c>
      <c r="I555" s="1907"/>
      <c r="J555" s="1914" t="s">
        <v>6583</v>
      </c>
      <c r="N555"/>
    </row>
    <row r="556" spans="1:14" ht="12.75" customHeight="1" x14ac:dyDescent="0.2">
      <c r="A556" s="227">
        <v>556</v>
      </c>
      <c r="B556" s="5988"/>
      <c r="C556" s="1887" t="e">
        <f t="shared" si="69"/>
        <v>#N/A</v>
      </c>
      <c r="D556" s="1889">
        <f>IF(Psíquico,COUNTIF($E$552:$E$556,"&lt;="&amp;E556)+MAX($D$498:$D$551),MIN($D$498:D555)-1)</f>
        <v>-15</v>
      </c>
      <c r="E556" s="47" t="s">
        <v>2408</v>
      </c>
      <c r="F556" s="1878">
        <v>-2</v>
      </c>
      <c r="G556" s="1878">
        <f>COUNTIF(Principal!$C$51:$F$53,Tablas!E556)</f>
        <v>0</v>
      </c>
      <c r="H556" s="1879">
        <f>G556*F556</f>
        <v>0</v>
      </c>
      <c r="I556" s="1908"/>
      <c r="J556" s="1915" t="s">
        <v>6583</v>
      </c>
      <c r="N556"/>
    </row>
    <row r="557" spans="1:14" ht="12.75" customHeight="1" x14ac:dyDescent="0.2">
      <c r="A557" s="227">
        <v>557</v>
      </c>
      <c r="B557" s="5988"/>
      <c r="C557" s="1887" t="e">
        <f t="shared" si="69"/>
        <v>#N/A</v>
      </c>
      <c r="D557" s="871">
        <f t="shared" ref="D557:D564" si="72">COUNTIF($E$557:$E$564,"&lt;="&amp;E557)+MAX($D$498:$D$556)</f>
        <v>44</v>
      </c>
      <c r="E557" s="1888" t="s">
        <v>10039</v>
      </c>
      <c r="F557" s="738"/>
      <c r="G557" s="736"/>
      <c r="H557" s="1898"/>
      <c r="I557" s="1909"/>
      <c r="J557" s="1916" t="s">
        <v>6584</v>
      </c>
      <c r="N557"/>
    </row>
    <row r="558" spans="1:14" ht="12.75" customHeight="1" x14ac:dyDescent="0.2">
      <c r="A558" s="227">
        <v>558</v>
      </c>
      <c r="B558" s="5988"/>
      <c r="C558" s="1887" t="e">
        <f t="shared" si="69"/>
        <v>#N/A</v>
      </c>
      <c r="D558" s="871">
        <f t="shared" si="72"/>
        <v>49</v>
      </c>
      <c r="E558" s="47" t="s">
        <v>2489</v>
      </c>
      <c r="F558" s="1878">
        <v>-1</v>
      </c>
      <c r="G558" s="1878">
        <f>COUNTIF(Principal!$C$51:$F$53,Tablas!E558)</f>
        <v>0</v>
      </c>
      <c r="H558" s="86">
        <f t="shared" ref="H558:H564" si="73">G558*F558</f>
        <v>0</v>
      </c>
      <c r="I558" s="1910"/>
      <c r="J558" s="1915" t="s">
        <v>6584</v>
      </c>
      <c r="N558"/>
    </row>
    <row r="559" spans="1:14" ht="12.75" customHeight="1" x14ac:dyDescent="0.2">
      <c r="A559" s="227">
        <v>559</v>
      </c>
      <c r="B559" s="5988"/>
      <c r="C559" s="1887" t="e">
        <f t="shared" si="69"/>
        <v>#N/A</v>
      </c>
      <c r="D559" s="871">
        <f t="shared" si="72"/>
        <v>50</v>
      </c>
      <c r="E559" s="47" t="s">
        <v>2492</v>
      </c>
      <c r="F559" s="1878">
        <v>-1</v>
      </c>
      <c r="G559" s="1878">
        <f>COUNTIF(Principal!$C$51:$F$53,Tablas!E559)</f>
        <v>0</v>
      </c>
      <c r="H559" s="86">
        <f t="shared" si="73"/>
        <v>0</v>
      </c>
      <c r="I559" s="1910"/>
      <c r="J559" s="1915" t="s">
        <v>6584</v>
      </c>
      <c r="N559"/>
    </row>
    <row r="560" spans="1:14" ht="12.75" customHeight="1" x14ac:dyDescent="0.2">
      <c r="A560" s="227">
        <v>560</v>
      </c>
      <c r="B560" s="5988"/>
      <c r="C560" s="1887" t="e">
        <f t="shared" si="69"/>
        <v>#N/A</v>
      </c>
      <c r="D560" s="871">
        <f t="shared" si="72"/>
        <v>47</v>
      </c>
      <c r="E560" s="47" t="s">
        <v>2493</v>
      </c>
      <c r="F560" s="1878">
        <v>-1</v>
      </c>
      <c r="G560" s="1878">
        <f>COUNTIF(Principal!$C$51:$F$53,Tablas!E560)</f>
        <v>0</v>
      </c>
      <c r="H560" s="86">
        <f t="shared" si="73"/>
        <v>0</v>
      </c>
      <c r="I560" s="1911"/>
      <c r="J560" s="1915" t="s">
        <v>6584</v>
      </c>
      <c r="N560"/>
    </row>
    <row r="561" spans="1:73" ht="12.75" customHeight="1" x14ac:dyDescent="0.2">
      <c r="A561" s="227">
        <v>561</v>
      </c>
      <c r="B561" s="5988"/>
      <c r="C561" s="1887" t="e">
        <f t="shared" si="69"/>
        <v>#N/A</v>
      </c>
      <c r="D561" s="871">
        <f t="shared" si="72"/>
        <v>48</v>
      </c>
      <c r="E561" s="47" t="s">
        <v>2494</v>
      </c>
      <c r="F561" s="1878">
        <v>-2</v>
      </c>
      <c r="G561" s="1878">
        <f>COUNTIF(Principal!$C$51:$F$53,Tablas!E561)</f>
        <v>0</v>
      </c>
      <c r="H561" s="86">
        <f t="shared" si="73"/>
        <v>0</v>
      </c>
      <c r="I561" s="1911"/>
      <c r="J561" s="1915" t="s">
        <v>6584</v>
      </c>
      <c r="N561"/>
    </row>
    <row r="562" spans="1:73" ht="12.75" customHeight="1" x14ac:dyDescent="0.2">
      <c r="A562" s="227">
        <v>562</v>
      </c>
      <c r="B562" s="5988"/>
      <c r="C562" s="1887" t="e">
        <f t="shared" si="69"/>
        <v>#N/A</v>
      </c>
      <c r="D562" s="871">
        <f t="shared" si="72"/>
        <v>46</v>
      </c>
      <c r="E562" s="47" t="s">
        <v>2495</v>
      </c>
      <c r="F562" s="1878">
        <v>-1</v>
      </c>
      <c r="G562" s="1878">
        <f>COUNTIF(Principal!$C$51:$F$53,Tablas!E562)</f>
        <v>0</v>
      </c>
      <c r="H562" s="86">
        <f t="shared" si="73"/>
        <v>0</v>
      </c>
      <c r="I562" s="1911"/>
      <c r="J562" s="1915" t="s">
        <v>6584</v>
      </c>
      <c r="N562"/>
    </row>
    <row r="563" spans="1:73" ht="12.75" customHeight="1" x14ac:dyDescent="0.2">
      <c r="A563" s="227">
        <v>563</v>
      </c>
      <c r="B563" s="5988"/>
      <c r="C563" s="1887" t="e">
        <f t="shared" si="69"/>
        <v>#N/A</v>
      </c>
      <c r="D563" s="871">
        <f t="shared" si="72"/>
        <v>45</v>
      </c>
      <c r="E563" s="47" t="s">
        <v>2496</v>
      </c>
      <c r="F563" s="1878">
        <v>-1</v>
      </c>
      <c r="G563" s="1878">
        <f>COUNTIF(Principal!$C$51:$F$53,Tablas!E563)</f>
        <v>0</v>
      </c>
      <c r="H563" s="86">
        <f t="shared" si="73"/>
        <v>0</v>
      </c>
      <c r="I563" s="1911"/>
      <c r="J563" s="1915" t="s">
        <v>6584</v>
      </c>
      <c r="N563"/>
    </row>
    <row r="564" spans="1:73" ht="12.75" customHeight="1" x14ac:dyDescent="0.2">
      <c r="A564" s="227">
        <v>564</v>
      </c>
      <c r="B564" s="5988"/>
      <c r="C564" s="1887" t="e">
        <f t="shared" ref="C564:C569" si="74">VLOOKUP(A65,$D$498:$E$569,2,0)</f>
        <v>#N/A</v>
      </c>
      <c r="D564" s="871">
        <f t="shared" si="72"/>
        <v>51</v>
      </c>
      <c r="E564" s="47" t="s">
        <v>2497</v>
      </c>
      <c r="F564" s="1878">
        <v>-1</v>
      </c>
      <c r="G564" s="1878">
        <f>COUNTIF(Principal!$C$51:$F$53,Tablas!E564)</f>
        <v>0</v>
      </c>
      <c r="H564" s="86">
        <f t="shared" si="73"/>
        <v>0</v>
      </c>
      <c r="I564" s="1912"/>
      <c r="J564" s="1915" t="s">
        <v>6584</v>
      </c>
      <c r="K564" s="2324"/>
      <c r="N564"/>
    </row>
    <row r="565" spans="1:73" ht="12.75" customHeight="1" x14ac:dyDescent="0.2">
      <c r="A565" s="227">
        <v>565</v>
      </c>
      <c r="B565" s="5988"/>
      <c r="C565" s="1887" t="e">
        <f t="shared" si="74"/>
        <v>#N/A</v>
      </c>
      <c r="D565" s="1918">
        <f>MAX($D$498:$D$564)+1</f>
        <v>52</v>
      </c>
      <c r="E565" s="1880" t="s">
        <v>10040</v>
      </c>
      <c r="F565" s="1899"/>
      <c r="G565" s="1900"/>
      <c r="H565" s="1899"/>
      <c r="I565" s="1900"/>
      <c r="J565" s="1916" t="s">
        <v>2811</v>
      </c>
      <c r="K565" s="2324"/>
      <c r="N565"/>
    </row>
    <row r="566" spans="1:73" ht="12.75" customHeight="1" x14ac:dyDescent="0.2">
      <c r="A566" s="227">
        <v>566</v>
      </c>
      <c r="B566" s="5988"/>
      <c r="C566" s="1887" t="e">
        <f t="shared" si="74"/>
        <v>#N/A</v>
      </c>
      <c r="D566" s="871">
        <f>IF(LEN(E566)&gt;0,D565+1,MIN($D$498:D565)-1)</f>
        <v>53</v>
      </c>
      <c r="E566" s="1872" t="str">
        <f>IF(OR(Personalización!$C30="",Personalización!$G30&gt;0),"Desventaja Personalizada #"&amp;A1,Personalización!$C30)</f>
        <v>Desventaja Personalizada #1</v>
      </c>
      <c r="F566" s="86">
        <f>IF(Personalización!G30&lt;=0,Personalización!G30,0)</f>
        <v>0</v>
      </c>
      <c r="G566" s="1878">
        <f>COUNTIF(Principal!$C$51:$F$53,Tablas!E566)</f>
        <v>0</v>
      </c>
      <c r="H566" s="86">
        <f>G566*F566</f>
        <v>0</v>
      </c>
      <c r="I566" s="894"/>
      <c r="J566" s="1915" t="s">
        <v>2811</v>
      </c>
      <c r="K566" s="2324"/>
      <c r="N566"/>
    </row>
    <row r="567" spans="1:73" ht="12.75" customHeight="1" x14ac:dyDescent="0.2">
      <c r="A567" s="227">
        <v>567</v>
      </c>
      <c r="B567" s="5988"/>
      <c r="C567" s="1887" t="e">
        <f t="shared" si="74"/>
        <v>#N/A</v>
      </c>
      <c r="D567" s="264">
        <f>IF(LEN(E567)&gt;0,D566+1,MIN($D$498:D566)-1)</f>
        <v>54</v>
      </c>
      <c r="E567" s="1872" t="str">
        <f>IF(OR(Personalización!$C31="",Personalización!$G31&gt;0),"Desventaja Personalizada #"&amp;A2,Personalización!$C31)</f>
        <v>Desventaja Personalizada #2</v>
      </c>
      <c r="F567" s="86">
        <f>IF(Personalización!G31&lt;=0,Personalización!G31,0)</f>
        <v>0</v>
      </c>
      <c r="G567" s="894">
        <f>COUNTIF(Principal!$C$51:$F$53,Tablas!E567)</f>
        <v>0</v>
      </c>
      <c r="H567" s="86">
        <f>G567*F567</f>
        <v>0</v>
      </c>
      <c r="I567" s="894"/>
      <c r="J567" s="1915" t="s">
        <v>2811</v>
      </c>
      <c r="K567" s="2324"/>
      <c r="N567"/>
    </row>
    <row r="568" spans="1:73" ht="12.75" customHeight="1" x14ac:dyDescent="0.2">
      <c r="A568" s="227">
        <v>568</v>
      </c>
      <c r="B568" s="5988"/>
      <c r="C568" s="1887" t="e">
        <f t="shared" si="74"/>
        <v>#N/A</v>
      </c>
      <c r="D568" s="264">
        <f>IF(LEN(E568)&gt;0,D567+1,MIN($D$498:D567)-1)</f>
        <v>55</v>
      </c>
      <c r="E568" s="1872" t="str">
        <f>IF(OR(Personalización!$C32="",Personalización!$G32&gt;0),"Desventaja Personalizada #"&amp;A3,Personalización!$C32)</f>
        <v>Desventaja Personalizada #3</v>
      </c>
      <c r="F568" s="86">
        <f>IF(Personalización!G32&lt;=0,Personalización!G32,0)</f>
        <v>0</v>
      </c>
      <c r="G568" s="894">
        <f>COUNTIF(Principal!$C$51:$F$53,Tablas!E568)</f>
        <v>0</v>
      </c>
      <c r="H568" s="86">
        <f>G568*F568</f>
        <v>0</v>
      </c>
      <c r="I568" s="894"/>
      <c r="J568" s="1915" t="s">
        <v>2811</v>
      </c>
      <c r="K568" s="2324"/>
      <c r="N568"/>
    </row>
    <row r="569" spans="1:73" ht="12.75" customHeight="1" thickBot="1" x14ac:dyDescent="0.25">
      <c r="A569" s="227">
        <v>569</v>
      </c>
      <c r="B569" s="5988"/>
      <c r="C569" s="1902" t="e">
        <f t="shared" si="74"/>
        <v>#N/A</v>
      </c>
      <c r="D569" s="1919">
        <f>IF(LEN(E569)&gt;0,D568+1,MIN($D$498:D568)-1)</f>
        <v>56</v>
      </c>
      <c r="E569" s="1903" t="str">
        <f>IF(OR(Personalización!$C33="",Personalización!$G33&gt;0),"Desventaja Personalizada #"&amp;A4,Personalización!$C33)</f>
        <v>Desventaja Personalizada #4</v>
      </c>
      <c r="F569" s="1904">
        <f>IF(Personalización!G33&lt;=0,Personalización!G33,0)</f>
        <v>0</v>
      </c>
      <c r="G569" s="1905">
        <f>COUNTIF(Principal!$C$51:$F$53,Tablas!E569)</f>
        <v>0</v>
      </c>
      <c r="H569" s="1904">
        <f>G569*F569</f>
        <v>0</v>
      </c>
      <c r="I569" s="1905"/>
      <c r="J569" s="1917" t="s">
        <v>2811</v>
      </c>
      <c r="K569" s="2324"/>
      <c r="N569"/>
    </row>
    <row r="570" spans="1:73" ht="12.75" customHeight="1" x14ac:dyDescent="0.2">
      <c r="A570" s="227">
        <v>570</v>
      </c>
      <c r="B570" s="5988"/>
      <c r="N570"/>
    </row>
    <row r="571" spans="1:73" ht="12.75" customHeight="1" x14ac:dyDescent="0.2">
      <c r="A571" s="227">
        <v>571</v>
      </c>
      <c r="B571" s="5988"/>
      <c r="H571"/>
      <c r="I571" s="559"/>
      <c r="N571"/>
      <c r="O571" s="559"/>
    </row>
    <row r="572" spans="1:73" ht="12.75" customHeight="1" x14ac:dyDescent="0.2">
      <c r="A572" s="227">
        <v>572</v>
      </c>
      <c r="B572" s="5988"/>
      <c r="C572" s="6003" t="s">
        <v>7321</v>
      </c>
      <c r="D572" s="6003"/>
      <c r="E572" s="6003"/>
      <c r="F572" s="6003"/>
      <c r="G572" s="6003"/>
      <c r="H572" s="6003"/>
      <c r="I572" s="6003"/>
      <c r="J572" s="6003"/>
      <c r="K572" s="6003"/>
      <c r="L572" s="6003"/>
      <c r="M572" s="6003"/>
      <c r="N572" s="6003"/>
      <c r="O572" s="6003"/>
      <c r="P572" s="6003"/>
      <c r="Q572" s="6003"/>
      <c r="R572" s="6003"/>
      <c r="S572" s="6003"/>
      <c r="T572" s="6003"/>
      <c r="U572" s="6003"/>
      <c r="V572" s="6003"/>
      <c r="W572" s="6003"/>
      <c r="X572" s="6003"/>
      <c r="Y572" s="6003"/>
      <c r="Z572" s="6003"/>
      <c r="AA572" s="6003"/>
      <c r="AB572" s="6003"/>
      <c r="AC572" s="6003"/>
      <c r="AD572" s="6003"/>
      <c r="AE572" s="6003"/>
      <c r="AF572" s="6003"/>
      <c r="AG572" s="6003"/>
      <c r="AH572" s="6003"/>
      <c r="AI572" s="6003"/>
      <c r="AJ572" s="6003"/>
      <c r="AK572" s="6003"/>
      <c r="AL572" s="6003"/>
      <c r="AM572" s="6003"/>
      <c r="AN572" s="6003"/>
      <c r="AO572" s="6003"/>
      <c r="AP572" s="6003"/>
      <c r="AQ572" s="6003"/>
      <c r="AR572" s="6003"/>
      <c r="AS572" s="6003"/>
      <c r="AT572" s="6003"/>
      <c r="AU572" s="6003"/>
      <c r="AV572" s="6003"/>
      <c r="AW572" s="6003"/>
      <c r="AX572" s="6003"/>
      <c r="AY572" s="6003"/>
      <c r="AZ572" s="6003"/>
      <c r="BA572" s="6003"/>
      <c r="BB572" s="6003"/>
      <c r="BC572" s="6003"/>
      <c r="BD572" s="6003"/>
      <c r="BE572" s="6003"/>
      <c r="BF572" s="6003"/>
      <c r="BG572" s="6003"/>
      <c r="BH572" s="6003"/>
      <c r="BI572" s="6003"/>
      <c r="BJ572" s="6003"/>
      <c r="BK572" s="6003"/>
      <c r="BL572" s="6003"/>
      <c r="BM572" s="6003"/>
      <c r="BN572" s="6003"/>
      <c r="BO572" s="6003"/>
      <c r="BP572" s="6003"/>
      <c r="BQ572" s="6003"/>
      <c r="BR572" s="6003"/>
      <c r="BS572" s="6003"/>
      <c r="BT572" s="6003"/>
      <c r="BU572" s="6003"/>
    </row>
    <row r="573" spans="1:73" ht="12.75" customHeight="1" x14ac:dyDescent="0.2">
      <c r="A573" s="227">
        <v>573</v>
      </c>
      <c r="B573" s="5988"/>
      <c r="C573" s="6003"/>
      <c r="D573" s="6003"/>
      <c r="E573" s="6003"/>
      <c r="F573" s="6003"/>
      <c r="G573" s="6003"/>
      <c r="H573" s="6003"/>
      <c r="I573" s="6003"/>
      <c r="J573" s="6003"/>
      <c r="K573" s="6003"/>
      <c r="L573" s="6003"/>
      <c r="M573" s="6003"/>
      <c r="N573" s="6003"/>
      <c r="O573" s="6003"/>
      <c r="P573" s="6003"/>
      <c r="Q573" s="6003"/>
      <c r="R573" s="6003"/>
      <c r="S573" s="6003"/>
      <c r="T573" s="6003"/>
      <c r="U573" s="6003"/>
      <c r="V573" s="6003"/>
      <c r="W573" s="6003"/>
      <c r="X573" s="6003"/>
      <c r="Y573" s="6003"/>
      <c r="Z573" s="6003"/>
      <c r="AA573" s="6003"/>
      <c r="AB573" s="6003"/>
      <c r="AC573" s="6003"/>
      <c r="AD573" s="6003"/>
      <c r="AE573" s="6003"/>
      <c r="AF573" s="6003"/>
      <c r="AG573" s="6003"/>
      <c r="AH573" s="6003"/>
      <c r="AI573" s="6003"/>
      <c r="AJ573" s="6003"/>
      <c r="AK573" s="6003"/>
      <c r="AL573" s="6003"/>
      <c r="AM573" s="6003"/>
      <c r="AN573" s="6003"/>
      <c r="AO573" s="6003"/>
      <c r="AP573" s="6003"/>
      <c r="AQ573" s="6003"/>
      <c r="AR573" s="6003"/>
      <c r="AS573" s="6003"/>
      <c r="AT573" s="6003"/>
      <c r="AU573" s="6003"/>
      <c r="AV573" s="6003"/>
      <c r="AW573" s="6003"/>
      <c r="AX573" s="6003"/>
      <c r="AY573" s="6003"/>
      <c r="AZ573" s="6003"/>
      <c r="BA573" s="6003"/>
      <c r="BB573" s="6003"/>
      <c r="BC573" s="6003"/>
      <c r="BD573" s="6003"/>
      <c r="BE573" s="6003"/>
      <c r="BF573" s="6003"/>
      <c r="BG573" s="6003"/>
      <c r="BH573" s="6003"/>
      <c r="BI573" s="6003"/>
      <c r="BJ573" s="6003"/>
      <c r="BK573" s="6003"/>
      <c r="BL573" s="6003"/>
      <c r="BM573" s="6003"/>
      <c r="BN573" s="6003"/>
      <c r="BO573" s="6003"/>
      <c r="BP573" s="6003"/>
      <c r="BQ573" s="6003"/>
      <c r="BR573" s="6003"/>
      <c r="BS573" s="6003"/>
      <c r="BT573" s="6003"/>
      <c r="BU573" s="6003"/>
    </row>
    <row r="574" spans="1:73" ht="12.75" customHeight="1" x14ac:dyDescent="0.2">
      <c r="A574" s="227">
        <v>574</v>
      </c>
      <c r="B574" s="5988"/>
      <c r="C574" s="6003"/>
      <c r="D574" s="6003"/>
      <c r="E574" s="6003"/>
      <c r="F574" s="6003"/>
      <c r="G574" s="6003"/>
      <c r="H574" s="6003"/>
      <c r="I574" s="6003"/>
      <c r="J574" s="6003"/>
      <c r="K574" s="6003"/>
      <c r="L574" s="6003"/>
      <c r="M574" s="6003"/>
      <c r="N574" s="6003"/>
      <c r="O574" s="6003"/>
      <c r="P574" s="6003"/>
      <c r="Q574" s="6003"/>
      <c r="R574" s="6003"/>
      <c r="S574" s="6003"/>
      <c r="T574" s="6003"/>
      <c r="U574" s="6003"/>
      <c r="V574" s="6003"/>
      <c r="W574" s="6003"/>
      <c r="X574" s="6003"/>
      <c r="Y574" s="6003"/>
      <c r="Z574" s="6003"/>
      <c r="AA574" s="6003"/>
      <c r="AB574" s="6003"/>
      <c r="AC574" s="6003"/>
      <c r="AD574" s="6003"/>
      <c r="AE574" s="6003"/>
      <c r="AF574" s="6003"/>
      <c r="AG574" s="6003"/>
      <c r="AH574" s="6003"/>
      <c r="AI574" s="6003"/>
      <c r="AJ574" s="6003"/>
      <c r="AK574" s="6003"/>
      <c r="AL574" s="6003"/>
      <c r="AM574" s="6003"/>
      <c r="AN574" s="6003"/>
      <c r="AO574" s="6003"/>
      <c r="AP574" s="6003"/>
      <c r="AQ574" s="6003"/>
      <c r="AR574" s="6003"/>
      <c r="AS574" s="6003"/>
      <c r="AT574" s="6003"/>
      <c r="AU574" s="6003"/>
      <c r="AV574" s="6003"/>
      <c r="AW574" s="6003"/>
      <c r="AX574" s="6003"/>
      <c r="AY574" s="6003"/>
      <c r="AZ574" s="6003"/>
      <c r="BA574" s="6003"/>
      <c r="BB574" s="6003"/>
      <c r="BC574" s="6003"/>
      <c r="BD574" s="6003"/>
      <c r="BE574" s="6003"/>
      <c r="BF574" s="6003"/>
      <c r="BG574" s="6003"/>
      <c r="BH574" s="6003"/>
      <c r="BI574" s="6003"/>
      <c r="BJ574" s="6003"/>
      <c r="BK574" s="6003"/>
      <c r="BL574" s="6003"/>
      <c r="BM574" s="6003"/>
      <c r="BN574" s="6003"/>
      <c r="BO574" s="6003"/>
      <c r="BP574" s="6003"/>
      <c r="BQ574" s="6003"/>
      <c r="BR574" s="6003"/>
      <c r="BS574" s="6003"/>
      <c r="BT574" s="6003"/>
      <c r="BU574" s="6003"/>
    </row>
    <row r="575" spans="1:73" ht="12.75" customHeight="1" thickBot="1" x14ac:dyDescent="0.25">
      <c r="A575" s="227">
        <v>575</v>
      </c>
      <c r="B575" s="5988"/>
      <c r="H575"/>
      <c r="I575" s="559"/>
      <c r="N575"/>
      <c r="O575" s="559"/>
      <c r="AL575"/>
    </row>
    <row r="576" spans="1:73" ht="12.75" customHeight="1" thickBot="1" x14ac:dyDescent="0.25">
      <c r="A576" s="227">
        <v>576</v>
      </c>
      <c r="B576" s="5988"/>
      <c r="C576" s="6219" t="s">
        <v>1154</v>
      </c>
      <c r="D576" s="6220"/>
      <c r="E576" s="6220"/>
      <c r="F576" s="6220"/>
      <c r="G576" s="6220"/>
      <c r="H576" s="6220"/>
      <c r="I576" s="6220"/>
      <c r="J576" s="6220"/>
      <c r="K576" s="6220"/>
      <c r="L576" s="6220"/>
      <c r="M576" s="6220"/>
      <c r="N576" s="6220"/>
      <c r="O576" s="6220"/>
      <c r="P576" s="6220"/>
      <c r="Q576" s="6220"/>
      <c r="R576" s="6221"/>
      <c r="T576" s="6113" t="s">
        <v>1206</v>
      </c>
      <c r="U576" s="6113"/>
      <c r="X576" s="6033" t="s">
        <v>2525</v>
      </c>
      <c r="Y576" s="6034"/>
      <c r="Z576" s="6034"/>
      <c r="AA576" s="6035"/>
      <c r="AC576" s="6200" t="s">
        <v>1148</v>
      </c>
      <c r="AG576" s="6033" t="s">
        <v>8602</v>
      </c>
      <c r="AH576" s="6034"/>
      <c r="AI576" s="6034"/>
      <c r="AJ576" s="6034"/>
      <c r="AK576" s="6035"/>
      <c r="AL576"/>
    </row>
    <row r="577" spans="1:38" ht="12.75" customHeight="1" thickBot="1" x14ac:dyDescent="0.25">
      <c r="A577" s="227">
        <v>577</v>
      </c>
      <c r="B577" s="5988"/>
      <c r="C577" s="6222"/>
      <c r="D577" s="6223"/>
      <c r="E577" s="6223"/>
      <c r="F577" s="6223"/>
      <c r="G577" s="6223"/>
      <c r="H577" s="6223"/>
      <c r="I577" s="6223"/>
      <c r="J577" s="6223"/>
      <c r="K577" s="6223"/>
      <c r="L577" s="6223"/>
      <c r="M577" s="6223"/>
      <c r="N577" s="6223"/>
      <c r="O577" s="6223"/>
      <c r="P577" s="6223"/>
      <c r="Q577" s="6223"/>
      <c r="R577" s="6224"/>
      <c r="T577" s="173" t="s">
        <v>2101</v>
      </c>
      <c r="U577" s="175" t="s">
        <v>1207</v>
      </c>
      <c r="X577" s="6036"/>
      <c r="Y577" s="4931"/>
      <c r="Z577" s="4931"/>
      <c r="AA577" s="6037"/>
      <c r="AC577" s="6200"/>
      <c r="AE577" s="1395" t="s">
        <v>2101</v>
      </c>
      <c r="AF577" s="1390"/>
      <c r="AG577" s="6036"/>
      <c r="AH577" s="4931"/>
      <c r="AI577" s="4931"/>
      <c r="AJ577" s="4931"/>
      <c r="AK577" s="6037"/>
      <c r="AL577"/>
    </row>
    <row r="578" spans="1:38" ht="12.75" customHeight="1" thickBot="1" x14ac:dyDescent="0.25">
      <c r="A578" s="227">
        <v>578</v>
      </c>
      <c r="B578" s="5988"/>
      <c r="C578" s="716"/>
      <c r="D578" s="172">
        <v>1</v>
      </c>
      <c r="E578" s="172">
        <v>2</v>
      </c>
      <c r="F578" s="172">
        <v>3</v>
      </c>
      <c r="G578" s="172">
        <v>4</v>
      </c>
      <c r="H578" s="172">
        <v>5</v>
      </c>
      <c r="I578" s="597">
        <v>6</v>
      </c>
      <c r="J578" s="172">
        <v>7</v>
      </c>
      <c r="K578" s="172">
        <v>8</v>
      </c>
      <c r="L578" s="172">
        <v>9</v>
      </c>
      <c r="M578" s="1130">
        <v>10</v>
      </c>
      <c r="N578" s="1130">
        <v>11</v>
      </c>
      <c r="O578" s="748">
        <v>12</v>
      </c>
      <c r="P578" s="1130">
        <v>13</v>
      </c>
      <c r="Q578" s="1130">
        <v>14</v>
      </c>
      <c r="R578" s="1139">
        <v>15</v>
      </c>
      <c r="T578" s="250" t="s">
        <v>1208</v>
      </c>
      <c r="U578" s="193">
        <v>0</v>
      </c>
      <c r="X578" s="928" t="s">
        <v>2526</v>
      </c>
      <c r="Y578" s="598" t="s">
        <v>1490</v>
      </c>
      <c r="Z578" s="612" t="s">
        <v>1549</v>
      </c>
      <c r="AA578" s="618" t="s">
        <v>2252</v>
      </c>
      <c r="AC578" s="1244" t="s">
        <v>1972</v>
      </c>
      <c r="AE578" s="1244" t="s">
        <v>8671</v>
      </c>
      <c r="AF578" s="1390"/>
      <c r="AG578" s="928" t="s">
        <v>8592</v>
      </c>
      <c r="AH578" s="612" t="s">
        <v>8603</v>
      </c>
      <c r="AI578" s="612" t="s">
        <v>8606</v>
      </c>
      <c r="AJ578" s="612" t="s">
        <v>8604</v>
      </c>
      <c r="AK578" s="618" t="s">
        <v>8605</v>
      </c>
      <c r="AL578"/>
    </row>
    <row r="579" spans="1:38" ht="12.75" customHeight="1" thickBot="1" x14ac:dyDescent="0.25">
      <c r="A579" s="227">
        <v>579</v>
      </c>
      <c r="B579" s="5988"/>
      <c r="C579" s="716"/>
      <c r="D579" s="172" t="s">
        <v>1548</v>
      </c>
      <c r="E579" s="172" t="s">
        <v>1834</v>
      </c>
      <c r="F579" s="172" t="s">
        <v>1400</v>
      </c>
      <c r="G579" s="172" t="s">
        <v>1155</v>
      </c>
      <c r="H579" s="172" t="s">
        <v>1964</v>
      </c>
      <c r="I579" s="597" t="s">
        <v>2102</v>
      </c>
      <c r="J579" s="172" t="s">
        <v>1328</v>
      </c>
      <c r="K579" s="172" t="s">
        <v>1370</v>
      </c>
      <c r="L579" s="172" t="s">
        <v>1551</v>
      </c>
      <c r="M579" s="172" t="s">
        <v>1498</v>
      </c>
      <c r="N579" s="172" t="s">
        <v>1552</v>
      </c>
      <c r="O579" s="597" t="s">
        <v>1553</v>
      </c>
      <c r="P579" s="172" t="s">
        <v>1554</v>
      </c>
      <c r="Q579" s="172" t="s">
        <v>1555</v>
      </c>
      <c r="R579" s="715" t="s">
        <v>1556</v>
      </c>
      <c r="T579" s="252" t="s">
        <v>1209</v>
      </c>
      <c r="U579" s="50">
        <v>-60</v>
      </c>
      <c r="X579" s="932" t="s">
        <v>2527</v>
      </c>
      <c r="Y579" s="47">
        <v>10</v>
      </c>
      <c r="Z579" s="78" t="s">
        <v>2528</v>
      </c>
      <c r="AA579" s="561"/>
      <c r="AC579" s="1244" t="s">
        <v>1149</v>
      </c>
      <c r="AE579" s="1244" t="s">
        <v>8672</v>
      </c>
      <c r="AG579" s="564" t="s">
        <v>1598</v>
      </c>
      <c r="AH579" s="226" t="s">
        <v>1728</v>
      </c>
      <c r="AI579" s="226">
        <v>40</v>
      </c>
      <c r="AJ579" s="226">
        <v>2</v>
      </c>
      <c r="AK579" s="837">
        <v>0</v>
      </c>
      <c r="AL579"/>
    </row>
    <row r="580" spans="1:38" ht="12.75" customHeight="1" thickBot="1" x14ac:dyDescent="0.25">
      <c r="A580" s="227">
        <v>580</v>
      </c>
      <c r="B580" s="5988"/>
      <c r="C580" s="1140"/>
      <c r="D580" s="230" t="s">
        <v>1156</v>
      </c>
      <c r="E580" s="203">
        <v>0</v>
      </c>
      <c r="F580" s="203">
        <v>0</v>
      </c>
      <c r="G580" s="203">
        <v>0</v>
      </c>
      <c r="H580" s="203">
        <v>0</v>
      </c>
      <c r="I580" s="231">
        <v>0</v>
      </c>
      <c r="J580" s="203" t="s">
        <v>1456</v>
      </c>
      <c r="K580" s="203" t="s">
        <v>1456</v>
      </c>
      <c r="L580" s="203">
        <v>0</v>
      </c>
      <c r="M580" s="203">
        <v>0</v>
      </c>
      <c r="N580" s="203">
        <v>0</v>
      </c>
      <c r="O580" s="231">
        <v>0</v>
      </c>
      <c r="P580" s="203">
        <v>0</v>
      </c>
      <c r="Q580" s="203">
        <v>0</v>
      </c>
      <c r="R580" s="1141">
        <v>0</v>
      </c>
      <c r="T580" s="252" t="s">
        <v>1210</v>
      </c>
      <c r="U580" s="50">
        <v>-40</v>
      </c>
      <c r="X580" s="932" t="s">
        <v>2529</v>
      </c>
      <c r="Y580" s="47">
        <v>15</v>
      </c>
      <c r="Z580" s="78" t="s">
        <v>2530</v>
      </c>
      <c r="AA580" s="561"/>
      <c r="AC580" s="107" t="s">
        <v>1150</v>
      </c>
      <c r="AG580" s="564" t="s">
        <v>8593</v>
      </c>
      <c r="AH580" s="226" t="s">
        <v>1731</v>
      </c>
      <c r="AI580" s="226">
        <v>60</v>
      </c>
      <c r="AJ580" s="226">
        <v>2</v>
      </c>
      <c r="AK580" s="837">
        <v>1</v>
      </c>
      <c r="AL580"/>
    </row>
    <row r="581" spans="1:38" ht="12.75" customHeight="1" thickBot="1" x14ac:dyDescent="0.25">
      <c r="A581" s="227">
        <v>581</v>
      </c>
      <c r="B581" s="5988"/>
      <c r="C581" s="489"/>
      <c r="D581" s="80" t="s">
        <v>1157</v>
      </c>
      <c r="E581" s="77">
        <v>0</v>
      </c>
      <c r="F581" s="77">
        <v>-5</v>
      </c>
      <c r="G581" s="77">
        <v>0</v>
      </c>
      <c r="H581" s="77">
        <v>10</v>
      </c>
      <c r="I581" s="589">
        <v>25</v>
      </c>
      <c r="J581" s="77" t="s">
        <v>1151</v>
      </c>
      <c r="K581" s="77" t="s">
        <v>1149</v>
      </c>
      <c r="L581" s="77">
        <v>1</v>
      </c>
      <c r="M581" s="77">
        <v>1</v>
      </c>
      <c r="N581" s="77">
        <v>1</v>
      </c>
      <c r="O581" s="589">
        <v>1</v>
      </c>
      <c r="P581" s="77">
        <v>2</v>
      </c>
      <c r="Q581" s="77">
        <v>2</v>
      </c>
      <c r="R581" s="1142">
        <v>0</v>
      </c>
      <c r="T581" s="253" t="s">
        <v>1211</v>
      </c>
      <c r="U581" s="182">
        <v>-20</v>
      </c>
      <c r="X581" s="932" t="s">
        <v>2531</v>
      </c>
      <c r="Y581" s="47">
        <v>20</v>
      </c>
      <c r="Z581" s="78" t="s">
        <v>2532</v>
      </c>
      <c r="AA581" s="561"/>
      <c r="AG581" s="564" t="s">
        <v>8617</v>
      </c>
      <c r="AH581" s="226" t="s">
        <v>6242</v>
      </c>
      <c r="AI581" s="226">
        <v>80</v>
      </c>
      <c r="AJ581" s="226">
        <v>3</v>
      </c>
      <c r="AK581" s="837">
        <v>1</v>
      </c>
      <c r="AL581"/>
    </row>
    <row r="582" spans="1:38" ht="12.75" customHeight="1" thickBot="1" x14ac:dyDescent="0.25">
      <c r="A582" s="227">
        <v>582</v>
      </c>
      <c r="B582" s="5988"/>
      <c r="C582" s="489"/>
      <c r="D582" s="80" t="s">
        <v>1158</v>
      </c>
      <c r="E582" s="77">
        <v>0</v>
      </c>
      <c r="F582" s="77">
        <v>0</v>
      </c>
      <c r="G582" s="77">
        <v>0</v>
      </c>
      <c r="H582" s="77">
        <v>12</v>
      </c>
      <c r="I582" s="589">
        <v>25</v>
      </c>
      <c r="J582" s="77" t="s">
        <v>1151</v>
      </c>
      <c r="K582" s="77" t="s">
        <v>1149</v>
      </c>
      <c r="L582" s="77">
        <v>1</v>
      </c>
      <c r="M582" s="77">
        <v>0</v>
      </c>
      <c r="N582" s="77">
        <v>2</v>
      </c>
      <c r="O582" s="589">
        <v>1</v>
      </c>
      <c r="P582" s="77">
        <v>2</v>
      </c>
      <c r="Q582" s="77">
        <v>1</v>
      </c>
      <c r="R582" s="1142">
        <v>0</v>
      </c>
      <c r="X582" s="932" t="s">
        <v>2533</v>
      </c>
      <c r="Y582" s="47">
        <v>50</v>
      </c>
      <c r="Z582" s="78" t="s">
        <v>2534</v>
      </c>
      <c r="AA582" s="561"/>
      <c r="AC582" s="1245" t="s">
        <v>1328</v>
      </c>
      <c r="AG582" s="564" t="s">
        <v>8594</v>
      </c>
      <c r="AH582" s="226" t="s">
        <v>1735</v>
      </c>
      <c r="AI582" s="226">
        <v>100</v>
      </c>
      <c r="AJ582" s="226">
        <v>3</v>
      </c>
      <c r="AK582" s="837">
        <v>2</v>
      </c>
      <c r="AL582"/>
    </row>
    <row r="583" spans="1:38" ht="12.75" customHeight="1" thickBot="1" x14ac:dyDescent="0.25">
      <c r="A583" s="227">
        <v>583</v>
      </c>
      <c r="B583" s="5988"/>
      <c r="C583" s="489"/>
      <c r="D583" s="80" t="s">
        <v>1159</v>
      </c>
      <c r="E583" s="77">
        <v>0</v>
      </c>
      <c r="F583" s="77">
        <v>-5</v>
      </c>
      <c r="G583" s="77">
        <v>0</v>
      </c>
      <c r="H583" s="77">
        <v>10</v>
      </c>
      <c r="I583" s="589">
        <v>25</v>
      </c>
      <c r="J583" s="77" t="s">
        <v>1153</v>
      </c>
      <c r="K583" s="77" t="s">
        <v>1149</v>
      </c>
      <c r="L583" s="77">
        <v>1</v>
      </c>
      <c r="M583" s="77">
        <v>0</v>
      </c>
      <c r="N583" s="77">
        <v>2</v>
      </c>
      <c r="O583" s="589">
        <v>1</v>
      </c>
      <c r="P583" s="77">
        <v>2</v>
      </c>
      <c r="Q583" s="77">
        <v>2</v>
      </c>
      <c r="R583" s="1142">
        <v>0</v>
      </c>
      <c r="X583" s="933" t="s">
        <v>2535</v>
      </c>
      <c r="Y583" s="47">
        <v>50</v>
      </c>
      <c r="Z583" s="78" t="s">
        <v>2536</v>
      </c>
      <c r="AA583" s="561"/>
      <c r="AC583" s="1246" t="s">
        <v>1151</v>
      </c>
      <c r="AG583" s="564" t="s">
        <v>8595</v>
      </c>
      <c r="AH583" s="226" t="s">
        <v>6243</v>
      </c>
      <c r="AI583" s="226">
        <v>140</v>
      </c>
      <c r="AJ583" s="226">
        <v>4</v>
      </c>
      <c r="AK583" s="837">
        <v>3</v>
      </c>
      <c r="AL583"/>
    </row>
    <row r="584" spans="1:38" ht="12.75" customHeight="1" thickBot="1" x14ac:dyDescent="0.25">
      <c r="A584" s="227">
        <v>584</v>
      </c>
      <c r="B584" s="5988"/>
      <c r="C584" s="489"/>
      <c r="D584" s="80" t="s">
        <v>1160</v>
      </c>
      <c r="E584" s="77">
        <v>10</v>
      </c>
      <c r="F584" s="77">
        <v>-10</v>
      </c>
      <c r="G584" s="77">
        <v>0</v>
      </c>
      <c r="H584" s="77">
        <v>11</v>
      </c>
      <c r="I584" s="589">
        <v>25</v>
      </c>
      <c r="J584" s="77" t="s">
        <v>1151</v>
      </c>
      <c r="K584" s="77" t="s">
        <v>1149</v>
      </c>
      <c r="L584" s="77">
        <v>2</v>
      </c>
      <c r="M584" s="77">
        <v>1</v>
      </c>
      <c r="N584" s="77">
        <v>2</v>
      </c>
      <c r="O584" s="589">
        <v>0</v>
      </c>
      <c r="P584" s="77">
        <v>2</v>
      </c>
      <c r="Q584" s="77">
        <v>2</v>
      </c>
      <c r="R584" s="1142">
        <v>0</v>
      </c>
      <c r="T584" s="6133" t="s">
        <v>7096</v>
      </c>
      <c r="U584" s="6134"/>
      <c r="V584" s="6135"/>
      <c r="X584" s="934" t="s">
        <v>2537</v>
      </c>
      <c r="Y584" s="611">
        <v>50</v>
      </c>
      <c r="Z584" s="929" t="s">
        <v>2538</v>
      </c>
      <c r="AA584" s="563"/>
      <c r="AC584" s="1244" t="s">
        <v>1152</v>
      </c>
      <c r="AG584" s="564" t="s">
        <v>8596</v>
      </c>
      <c r="AH584" s="226" t="s">
        <v>1738</v>
      </c>
      <c r="AI584" s="226">
        <v>180</v>
      </c>
      <c r="AJ584" s="226">
        <v>4</v>
      </c>
      <c r="AK584" s="837">
        <v>4</v>
      </c>
      <c r="AL584"/>
    </row>
    <row r="585" spans="1:38" ht="12.75" customHeight="1" x14ac:dyDescent="0.2">
      <c r="A585" s="227">
        <v>585</v>
      </c>
      <c r="B585" s="5988"/>
      <c r="C585" s="489"/>
      <c r="D585" s="80" t="s">
        <v>1161</v>
      </c>
      <c r="E585" s="77">
        <v>10</v>
      </c>
      <c r="F585" s="77">
        <v>-10</v>
      </c>
      <c r="G585" s="77">
        <v>0</v>
      </c>
      <c r="H585" s="77">
        <v>10</v>
      </c>
      <c r="I585" s="589">
        <v>25</v>
      </c>
      <c r="J585" s="77" t="s">
        <v>1151</v>
      </c>
      <c r="K585" s="77" t="s">
        <v>1149</v>
      </c>
      <c r="L585" s="77">
        <v>2</v>
      </c>
      <c r="M585" s="77">
        <v>1</v>
      </c>
      <c r="N585" s="77">
        <v>2</v>
      </c>
      <c r="O585" s="589">
        <v>1</v>
      </c>
      <c r="P585" s="77">
        <v>2</v>
      </c>
      <c r="Q585" s="77">
        <v>2</v>
      </c>
      <c r="R585" s="1142">
        <v>0</v>
      </c>
      <c r="T585" s="6214" t="s">
        <v>1527</v>
      </c>
      <c r="U585" s="6215"/>
      <c r="V585" s="846" t="s">
        <v>2252</v>
      </c>
      <c r="X585" s="6183" t="str">
        <f>X584</f>
        <v>Tabla de armas arquetípicas</v>
      </c>
      <c r="Y585" s="6184"/>
      <c r="Z585" s="6184"/>
      <c r="AA585" s="6185"/>
      <c r="AC585" s="1244" t="s">
        <v>1153</v>
      </c>
      <c r="AG585" s="564" t="s">
        <v>8597</v>
      </c>
      <c r="AH585" s="226" t="s">
        <v>1740</v>
      </c>
      <c r="AI585" s="226">
        <v>240</v>
      </c>
      <c r="AJ585" s="226">
        <v>5</v>
      </c>
      <c r="AK585" s="837">
        <v>5</v>
      </c>
      <c r="AL585"/>
    </row>
    <row r="586" spans="1:38" ht="12.75" customHeight="1" thickBot="1" x14ac:dyDescent="0.25">
      <c r="A586" s="227">
        <v>586</v>
      </c>
      <c r="B586" s="5988"/>
      <c r="C586" s="489"/>
      <c r="D586" s="80" t="s">
        <v>1162</v>
      </c>
      <c r="E586" s="77">
        <v>10</v>
      </c>
      <c r="F586" s="77">
        <v>0</v>
      </c>
      <c r="G586" s="77">
        <v>1</v>
      </c>
      <c r="H586" s="77">
        <v>12</v>
      </c>
      <c r="I586" s="589">
        <v>25</v>
      </c>
      <c r="J586" s="77" t="s">
        <v>1153</v>
      </c>
      <c r="K586" s="77" t="s">
        <v>1149</v>
      </c>
      <c r="L586" s="77">
        <v>1</v>
      </c>
      <c r="M586" s="77">
        <v>0</v>
      </c>
      <c r="N586" s="77">
        <v>2</v>
      </c>
      <c r="O586" s="589">
        <v>1</v>
      </c>
      <c r="P586" s="77">
        <v>2</v>
      </c>
      <c r="Q586" s="77">
        <v>1</v>
      </c>
      <c r="R586" s="1142">
        <v>0</v>
      </c>
      <c r="T586" s="6119" t="s">
        <v>1637</v>
      </c>
      <c r="U586" s="6120"/>
      <c r="V586" s="848">
        <f>IF($P$256&gt;0,MIN(COUNTIF(Personalización!$V$85:$X$88,Tablas!$T586),2),0)</f>
        <v>0</v>
      </c>
      <c r="X586" s="891"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8">
        <f>COUNTIF(PDs!$Y$43:$AA$48,Tablas!X586)</f>
        <v>0</v>
      </c>
      <c r="AC586" s="107" t="s">
        <v>1560</v>
      </c>
      <c r="AG586" s="1172" t="s">
        <v>8598</v>
      </c>
      <c r="AH586" s="1060" t="s">
        <v>1683</v>
      </c>
      <c r="AI586" s="1060">
        <v>280</v>
      </c>
      <c r="AJ586" s="1060">
        <v>6</v>
      </c>
      <c r="AK586" s="1376">
        <v>6</v>
      </c>
      <c r="AL586"/>
    </row>
    <row r="587" spans="1:38" ht="12.75" customHeight="1" thickBot="1" x14ac:dyDescent="0.25">
      <c r="A587" s="227">
        <v>587</v>
      </c>
      <c r="B587" s="5988"/>
      <c r="C587" s="489"/>
      <c r="D587" s="80" t="s">
        <v>1163</v>
      </c>
      <c r="E587" s="77">
        <v>20</v>
      </c>
      <c r="F587" s="77">
        <v>-10</v>
      </c>
      <c r="G587" s="77">
        <v>0</v>
      </c>
      <c r="H587" s="77">
        <v>12</v>
      </c>
      <c r="I587" s="589">
        <v>25</v>
      </c>
      <c r="J587" s="77" t="s">
        <v>1151</v>
      </c>
      <c r="K587" s="77" t="s">
        <v>1149</v>
      </c>
      <c r="L587" s="77">
        <v>3</v>
      </c>
      <c r="M587" s="77">
        <v>1</v>
      </c>
      <c r="N587" s="77">
        <v>1</v>
      </c>
      <c r="O587" s="589">
        <v>0</v>
      </c>
      <c r="P587" s="77">
        <v>2</v>
      </c>
      <c r="Q587" s="77">
        <v>2</v>
      </c>
      <c r="R587" s="1142">
        <v>0</v>
      </c>
      <c r="T587" s="6119" t="s">
        <v>1640</v>
      </c>
      <c r="U587" s="6120"/>
      <c r="V587" s="848">
        <f>IF($P$256&gt;0,MIN(COUNTIF(Personalización!$V$85:$X$88,Tablas!$T587),2),0)</f>
        <v>0</v>
      </c>
      <c r="X587" s="891"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8">
        <f>COUNTIF(PDs!$Y$43:$AA$48,Tablas!X587)</f>
        <v>0</v>
      </c>
      <c r="AL587"/>
    </row>
    <row r="588" spans="1:38" ht="12.75" customHeight="1" thickBot="1" x14ac:dyDescent="0.25">
      <c r="A588" s="227">
        <v>588</v>
      </c>
      <c r="B588" s="5988"/>
      <c r="C588" s="489"/>
      <c r="D588" s="80" t="s">
        <v>1164</v>
      </c>
      <c r="E588" s="77">
        <v>25</v>
      </c>
      <c r="F588" s="77">
        <v>-10</v>
      </c>
      <c r="G588" s="77">
        <v>0</v>
      </c>
      <c r="H588" s="77">
        <v>12</v>
      </c>
      <c r="I588" s="589">
        <v>25</v>
      </c>
      <c r="J588" s="77" t="s">
        <v>1151</v>
      </c>
      <c r="K588" s="77" t="s">
        <v>1149</v>
      </c>
      <c r="L588" s="77">
        <v>3</v>
      </c>
      <c r="M588" s="77">
        <v>2</v>
      </c>
      <c r="N588" s="77">
        <v>3</v>
      </c>
      <c r="O588" s="589">
        <v>1</v>
      </c>
      <c r="P588" s="77">
        <v>0</v>
      </c>
      <c r="Q588" s="77">
        <v>1</v>
      </c>
      <c r="R588" s="1142">
        <v>0</v>
      </c>
      <c r="T588" s="6119" t="s">
        <v>2134</v>
      </c>
      <c r="U588" s="6120"/>
      <c r="V588" s="848">
        <f>IF($P$256&gt;0,MIN(COUNTIF(Personalización!$V$85:$X$88,Tablas!$T588),1),0)</f>
        <v>0</v>
      </c>
      <c r="X588" s="891"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8">
        <f>COUNTIF(PDs!$Y$43:$AA$48,Tablas!X588)</f>
        <v>0</v>
      </c>
      <c r="AC588" s="6208" t="s">
        <v>8518</v>
      </c>
      <c r="AD588" s="6209"/>
      <c r="AE588" s="6209"/>
      <c r="AF588" s="6210"/>
    </row>
    <row r="589" spans="1:38" ht="12.75" customHeight="1" thickBot="1" x14ac:dyDescent="0.25">
      <c r="A589" s="227">
        <v>589</v>
      </c>
      <c r="B589" s="5988"/>
      <c r="C589" s="489"/>
      <c r="D589" s="80" t="s">
        <v>1165</v>
      </c>
      <c r="E589" s="77">
        <v>30</v>
      </c>
      <c r="F589" s="77">
        <v>-15</v>
      </c>
      <c r="G589" s="77">
        <v>1</v>
      </c>
      <c r="H589" s="77">
        <v>15</v>
      </c>
      <c r="I589" s="589">
        <v>30</v>
      </c>
      <c r="J589" s="77" t="s">
        <v>1153</v>
      </c>
      <c r="K589" s="77" t="s">
        <v>1149</v>
      </c>
      <c r="L589" s="77">
        <v>4</v>
      </c>
      <c r="M589" s="77">
        <v>2</v>
      </c>
      <c r="N589" s="77">
        <v>1</v>
      </c>
      <c r="O589" s="589">
        <v>2</v>
      </c>
      <c r="P589" s="77">
        <v>0</v>
      </c>
      <c r="Q589" s="77">
        <v>1</v>
      </c>
      <c r="R589" s="1142">
        <v>0</v>
      </c>
      <c r="T589" s="6119" t="s">
        <v>7097</v>
      </c>
      <c r="U589" s="6120"/>
      <c r="V589" s="848">
        <f>IF($P$256&gt;0,MIN(COUNTIF(Personalización!$V$85:$X$88,Tablas!$T589),1),0)</f>
        <v>0</v>
      </c>
      <c r="X589" s="891"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8">
        <f>COUNTIF(PDs!$Y$43:$AA$48,Tablas!X589)</f>
        <v>0</v>
      </c>
      <c r="AC589" s="1214" t="s">
        <v>1415</v>
      </c>
      <c r="AD589" s="1214" t="s">
        <v>1575</v>
      </c>
      <c r="AE589" s="1214" t="s">
        <v>8519</v>
      </c>
      <c r="AF589" s="1327" t="s">
        <v>8520</v>
      </c>
    </row>
    <row r="590" spans="1:38" ht="12.75" customHeight="1" x14ac:dyDescent="0.2">
      <c r="A590" s="227">
        <v>590</v>
      </c>
      <c r="B590" s="5988"/>
      <c r="C590" s="489"/>
      <c r="D590" s="80" t="s">
        <v>1166</v>
      </c>
      <c r="E590" s="77">
        <v>60</v>
      </c>
      <c r="F590" s="77">
        <v>-20</v>
      </c>
      <c r="G590" s="77">
        <v>2</v>
      </c>
      <c r="H590" s="77">
        <v>15</v>
      </c>
      <c r="I590" s="589">
        <v>30</v>
      </c>
      <c r="J590" s="77" t="s">
        <v>1151</v>
      </c>
      <c r="K590" s="77" t="s">
        <v>1149</v>
      </c>
      <c r="L590" s="77">
        <v>4</v>
      </c>
      <c r="M590" s="77">
        <v>3</v>
      </c>
      <c r="N590" s="77">
        <v>1</v>
      </c>
      <c r="O590" s="589">
        <v>2</v>
      </c>
      <c r="P590" s="77">
        <v>0</v>
      </c>
      <c r="Q590" s="77">
        <v>1</v>
      </c>
      <c r="R590" s="1142">
        <v>0</v>
      </c>
      <c r="T590" s="6119" t="s">
        <v>7098</v>
      </c>
      <c r="U590" s="6120"/>
      <c r="V590" s="848">
        <f>IF($P$256&gt;0,MIN(COUNTIF(Personalización!$V$85:$X$88,Tablas!$T590),1),0)</f>
        <v>0</v>
      </c>
      <c r="X590" s="891" t="s">
        <v>2539</v>
      </c>
      <c r="Y590" s="226"/>
      <c r="Z590" s="226" t="s">
        <v>8647</v>
      </c>
      <c r="AA590" s="878">
        <f>COUNTIF(PDs!$Y$43:$AA$48,Tablas!X590)</f>
        <v>0</v>
      </c>
      <c r="AC590" s="1328" t="s">
        <v>8526</v>
      </c>
      <c r="AD590" s="758">
        <v>0</v>
      </c>
      <c r="AE590" s="758">
        <v>0</v>
      </c>
      <c r="AF590" s="1265">
        <v>0</v>
      </c>
    </row>
    <row r="591" spans="1:38" ht="12.75" customHeight="1" x14ac:dyDescent="0.2">
      <c r="A591" s="227">
        <v>591</v>
      </c>
      <c r="B591" s="5988"/>
      <c r="C591" s="489"/>
      <c r="D591" s="80" t="s">
        <v>1167</v>
      </c>
      <c r="E591" s="77">
        <v>0</v>
      </c>
      <c r="F591" s="77">
        <v>0</v>
      </c>
      <c r="G591" s="77">
        <v>0</v>
      </c>
      <c r="H591" s="77">
        <v>0</v>
      </c>
      <c r="I591" s="589">
        <v>0</v>
      </c>
      <c r="J591" s="77" t="s">
        <v>1456</v>
      </c>
      <c r="K591" s="77" t="s">
        <v>1456</v>
      </c>
      <c r="L591" s="77">
        <v>0</v>
      </c>
      <c r="M591" s="77">
        <v>0</v>
      </c>
      <c r="N591" s="77">
        <v>0</v>
      </c>
      <c r="O591" s="589">
        <v>0</v>
      </c>
      <c r="P591" s="77">
        <v>0</v>
      </c>
      <c r="Q591" s="77">
        <v>0</v>
      </c>
      <c r="R591" s="1142">
        <v>0</v>
      </c>
      <c r="T591" s="6119" t="s">
        <v>7099</v>
      </c>
      <c r="U591" s="6120"/>
      <c r="V591" s="848">
        <f>IF($P$256&gt;0,MIN(COUNTIF(Personalización!$V$85:$X$88,Tablas!$T591),2),0)</f>
        <v>0</v>
      </c>
      <c r="X591" s="891" t="s">
        <v>2540</v>
      </c>
      <c r="Y591" s="226"/>
      <c r="Z591" s="226" t="s">
        <v>8664</v>
      </c>
      <c r="AA591" s="878">
        <f>COUNTIF(PDs!$Y$43:$AA$48,Tablas!X591)</f>
        <v>0</v>
      </c>
      <c r="AC591" s="1328" t="s">
        <v>8522</v>
      </c>
      <c r="AD591" s="758">
        <v>10</v>
      </c>
      <c r="AE591" s="758">
        <v>-10</v>
      </c>
      <c r="AF591" s="1265">
        <v>0</v>
      </c>
    </row>
    <row r="592" spans="1:38" ht="12.75" customHeight="1" x14ac:dyDescent="0.2">
      <c r="A592" s="227">
        <v>592</v>
      </c>
      <c r="B592" s="5988"/>
      <c r="C592" s="489"/>
      <c r="D592" s="80" t="s">
        <v>1168</v>
      </c>
      <c r="E592" s="77">
        <v>20</v>
      </c>
      <c r="F592" s="77">
        <v>-10</v>
      </c>
      <c r="G592" s="77">
        <v>0</v>
      </c>
      <c r="H592" s="77">
        <v>13</v>
      </c>
      <c r="I592" s="589">
        <v>25</v>
      </c>
      <c r="J592" s="77" t="s">
        <v>1152</v>
      </c>
      <c r="K592" s="77" t="s">
        <v>1150</v>
      </c>
      <c r="L592" s="77">
        <v>2</v>
      </c>
      <c r="M592" s="77">
        <v>2</v>
      </c>
      <c r="N592" s="77">
        <v>2</v>
      </c>
      <c r="O592" s="589">
        <v>2</v>
      </c>
      <c r="P592" s="77">
        <v>2</v>
      </c>
      <c r="Q592" s="77">
        <v>2</v>
      </c>
      <c r="R592" s="1142">
        <v>0</v>
      </c>
      <c r="T592" s="6119" t="s">
        <v>7100</v>
      </c>
      <c r="U592" s="6120"/>
      <c r="V592" s="848">
        <f>IF($P$256&gt;0,MIN(COUNTIF(Personalización!$V$85:$X$88,Tablas!$T592),1),0)</f>
        <v>0</v>
      </c>
      <c r="X592" s="891" t="s">
        <v>2541</v>
      </c>
      <c r="Y592" s="226"/>
      <c r="Z592" s="226" t="s">
        <v>2542</v>
      </c>
      <c r="AA592" s="878">
        <f>COUNTIF(PDs!$Y$43:$AA$48,Tablas!X592)</f>
        <v>0</v>
      </c>
      <c r="AC592" s="1328" t="s">
        <v>8523</v>
      </c>
      <c r="AD592" s="758">
        <v>10</v>
      </c>
      <c r="AE592" s="758">
        <v>0</v>
      </c>
      <c r="AF592" s="1265">
        <v>-5</v>
      </c>
    </row>
    <row r="593" spans="1:39" ht="12.75" customHeight="1" x14ac:dyDescent="0.2">
      <c r="A593" s="227">
        <v>593</v>
      </c>
      <c r="B593" s="5988"/>
      <c r="C593" s="489"/>
      <c r="D593" s="80" t="s">
        <v>1169</v>
      </c>
      <c r="E593" s="77">
        <v>25</v>
      </c>
      <c r="F593" s="77">
        <v>-10</v>
      </c>
      <c r="G593" s="77">
        <v>1</v>
      </c>
      <c r="H593" s="77">
        <v>14</v>
      </c>
      <c r="I593" s="589">
        <v>25</v>
      </c>
      <c r="J593" s="77" t="s">
        <v>1152</v>
      </c>
      <c r="K593" s="77" t="s">
        <v>1150</v>
      </c>
      <c r="L593" s="77">
        <v>3</v>
      </c>
      <c r="M593" s="77">
        <v>1</v>
      </c>
      <c r="N593" s="77">
        <v>2</v>
      </c>
      <c r="O593" s="589">
        <v>2</v>
      </c>
      <c r="P593" s="77">
        <v>1</v>
      </c>
      <c r="Q593" s="77">
        <v>2</v>
      </c>
      <c r="R593" s="1142">
        <v>0</v>
      </c>
      <c r="T593" s="6119" t="s">
        <v>7101</v>
      </c>
      <c r="U593" s="6120"/>
      <c r="V593" s="848">
        <f>IF($P$256&gt;0,MIN(COUNTIF(Personalización!$V$85:$X$88,Tablas!$T593),1),0)</f>
        <v>0</v>
      </c>
      <c r="X593" s="891" t="s">
        <v>2543</v>
      </c>
      <c r="Y593" s="226"/>
      <c r="Z593" s="226" t="s">
        <v>2544</v>
      </c>
      <c r="AA593" s="878">
        <f>COUNTIF(PDs!$Y$43:$AA$48,Tablas!X593)</f>
        <v>0</v>
      </c>
      <c r="AC593" s="1328" t="s">
        <v>8521</v>
      </c>
      <c r="AD593" s="758">
        <v>20</v>
      </c>
      <c r="AE593" s="758">
        <v>-20</v>
      </c>
      <c r="AF593" s="1265">
        <v>0</v>
      </c>
    </row>
    <row r="594" spans="1:39" ht="12.75" customHeight="1" thickBot="1" x14ac:dyDescent="0.25">
      <c r="A594" s="227">
        <v>594</v>
      </c>
      <c r="B594" s="5988"/>
      <c r="C594" s="489"/>
      <c r="D594" s="80" t="s">
        <v>1170</v>
      </c>
      <c r="E594" s="77">
        <v>30</v>
      </c>
      <c r="F594" s="77">
        <v>-15</v>
      </c>
      <c r="G594" s="77">
        <v>0</v>
      </c>
      <c r="H594" s="77">
        <v>13</v>
      </c>
      <c r="I594" s="589">
        <v>25</v>
      </c>
      <c r="J594" s="77" t="s">
        <v>1151</v>
      </c>
      <c r="K594" s="77" t="s">
        <v>1150</v>
      </c>
      <c r="L594" s="77">
        <v>4</v>
      </c>
      <c r="M594" s="77">
        <v>3</v>
      </c>
      <c r="N594" s="77">
        <v>3</v>
      </c>
      <c r="O594" s="589">
        <v>2</v>
      </c>
      <c r="P594" s="77">
        <v>0</v>
      </c>
      <c r="Q594" s="77">
        <v>2</v>
      </c>
      <c r="R594" s="1142">
        <v>0</v>
      </c>
      <c r="T594" s="6186" t="s">
        <v>7102</v>
      </c>
      <c r="U594" s="6187"/>
      <c r="V594" s="851">
        <f>IF($P$256&gt;0,MIN(COUNTIF(Personalización!$V$85:$X$88,Tablas!$T594),1),0)</f>
        <v>0</v>
      </c>
      <c r="X594" s="891" t="s">
        <v>2545</v>
      </c>
      <c r="Y594" s="226"/>
      <c r="Z594" s="226" t="s">
        <v>8417</v>
      </c>
      <c r="AA594" s="878">
        <f>COUNTIF(PDs!$Y$43:$AA$48,Tablas!X594)</f>
        <v>0</v>
      </c>
      <c r="AC594" s="1329" t="s">
        <v>8524</v>
      </c>
      <c r="AD594" s="1235">
        <v>20</v>
      </c>
      <c r="AE594" s="1235">
        <v>0</v>
      </c>
      <c r="AF594" s="1270">
        <v>-10</v>
      </c>
    </row>
    <row r="595" spans="1:39" ht="12.75" customHeight="1" thickBot="1" x14ac:dyDescent="0.25">
      <c r="A595" s="227">
        <v>595</v>
      </c>
      <c r="B595" s="5988"/>
      <c r="C595" s="489"/>
      <c r="D595" s="80" t="s">
        <v>1152</v>
      </c>
      <c r="E595" s="77">
        <v>40</v>
      </c>
      <c r="F595" s="77">
        <v>-15</v>
      </c>
      <c r="G595" s="77">
        <v>1</v>
      </c>
      <c r="H595" s="77">
        <v>16</v>
      </c>
      <c r="I595" s="589">
        <v>30</v>
      </c>
      <c r="J595" s="77" t="s">
        <v>1152</v>
      </c>
      <c r="K595" s="77" t="s">
        <v>1150</v>
      </c>
      <c r="L595" s="77">
        <v>4</v>
      </c>
      <c r="M595" s="77">
        <v>5</v>
      </c>
      <c r="N595" s="77">
        <v>4</v>
      </c>
      <c r="O595" s="589">
        <v>1</v>
      </c>
      <c r="P595" s="77">
        <v>0</v>
      </c>
      <c r="Q595" s="77">
        <v>1</v>
      </c>
      <c r="R595" s="1142">
        <v>0</v>
      </c>
      <c r="U595" s="847"/>
      <c r="X595" s="891" t="s">
        <v>2546</v>
      </c>
      <c r="Y595" s="226"/>
      <c r="Z595" s="226" t="s">
        <v>2547</v>
      </c>
      <c r="AA595" s="878">
        <f>COUNTIF(PDs!$Y$43:$AA$48,Tablas!X595)</f>
        <v>0</v>
      </c>
    </row>
    <row r="596" spans="1:39" ht="12.75" customHeight="1" thickBot="1" x14ac:dyDescent="0.25">
      <c r="A596" s="227">
        <v>596</v>
      </c>
      <c r="B596" s="5988"/>
      <c r="C596" s="489"/>
      <c r="D596" s="80" t="s">
        <v>1171</v>
      </c>
      <c r="E596" s="77">
        <v>50</v>
      </c>
      <c r="F596" s="77">
        <v>-20</v>
      </c>
      <c r="G596" s="77">
        <v>2</v>
      </c>
      <c r="H596" s="77">
        <v>15</v>
      </c>
      <c r="I596" s="589">
        <v>30</v>
      </c>
      <c r="J596" s="77" t="s">
        <v>1153</v>
      </c>
      <c r="K596" s="77" t="s">
        <v>1150</v>
      </c>
      <c r="L596" s="77">
        <v>4</v>
      </c>
      <c r="M596" s="77">
        <v>3</v>
      </c>
      <c r="N596" s="77">
        <v>2</v>
      </c>
      <c r="O596" s="589">
        <v>3</v>
      </c>
      <c r="P596" s="77">
        <v>2</v>
      </c>
      <c r="Q596" s="77">
        <v>2</v>
      </c>
      <c r="R596" s="1142">
        <v>0</v>
      </c>
      <c r="T596" s="6133" t="s">
        <v>7104</v>
      </c>
      <c r="U596" s="6134"/>
      <c r="V596" s="6135"/>
      <c r="X596" s="891" t="s">
        <v>2062</v>
      </c>
      <c r="Y596" s="226"/>
      <c r="Z596" s="226" t="s">
        <v>2548</v>
      </c>
      <c r="AA596" s="878">
        <f>COUNTIF(PDs!$Y$43:$AA$48,Tablas!X596)</f>
        <v>0</v>
      </c>
      <c r="AC596" s="6202" t="s">
        <v>1182</v>
      </c>
      <c r="AE596" s="6207" t="s">
        <v>1193</v>
      </c>
      <c r="AF596" s="6207"/>
      <c r="AG596" s="6207"/>
      <c r="AH596" s="6207"/>
      <c r="AI596" s="6207"/>
      <c r="AJ596" s="6207"/>
      <c r="AK596" s="6207"/>
    </row>
    <row r="597" spans="1:39" ht="12.75" customHeight="1" thickBot="1" x14ac:dyDescent="0.25">
      <c r="A597" s="227">
        <v>597</v>
      </c>
      <c r="B597" s="5988"/>
      <c r="C597" s="489"/>
      <c r="D597" s="80" t="s">
        <v>1172</v>
      </c>
      <c r="E597" s="77">
        <v>70</v>
      </c>
      <c r="F597" s="77">
        <v>-20</v>
      </c>
      <c r="G597" s="77">
        <v>3</v>
      </c>
      <c r="H597" s="77">
        <v>16</v>
      </c>
      <c r="I597" s="589">
        <v>35</v>
      </c>
      <c r="J597" s="77" t="s">
        <v>1153</v>
      </c>
      <c r="K597" s="77" t="s">
        <v>1150</v>
      </c>
      <c r="L597" s="77">
        <v>4</v>
      </c>
      <c r="M597" s="77">
        <v>4</v>
      </c>
      <c r="N597" s="77">
        <v>4</v>
      </c>
      <c r="O597" s="589">
        <v>2</v>
      </c>
      <c r="P597" s="77">
        <v>0</v>
      </c>
      <c r="Q597" s="77">
        <v>1</v>
      </c>
      <c r="R597" s="1142">
        <v>1</v>
      </c>
      <c r="T597" s="6149" t="s">
        <v>6433</v>
      </c>
      <c r="U597" s="6150"/>
      <c r="V597" s="848">
        <f>COUNTIF(Combate!$AB$55:$AG$64,$E$1027)*COUNTIF(Personalización!$AD$86:$AF$88,Tablas!$T597)</f>
        <v>0</v>
      </c>
      <c r="X597" s="891" t="s">
        <v>2549</v>
      </c>
      <c r="Y597" s="226"/>
      <c r="Z597" s="226" t="s">
        <v>2550</v>
      </c>
      <c r="AA597" s="878">
        <f>COUNTIF(PDs!$Y$43:$AA$48,Tablas!X597)</f>
        <v>0</v>
      </c>
      <c r="AC597" s="6203"/>
      <c r="AE597" s="1247" t="s">
        <v>1194</v>
      </c>
      <c r="AF597" s="1248" t="s">
        <v>1195</v>
      </c>
      <c r="AG597" s="1248" t="s">
        <v>1196</v>
      </c>
      <c r="AH597" s="1248" t="s">
        <v>1197</v>
      </c>
      <c r="AI597" s="1248" t="s">
        <v>1198</v>
      </c>
      <c r="AJ597" s="1248" t="s">
        <v>1199</v>
      </c>
      <c r="AK597" s="614" t="s">
        <v>1200</v>
      </c>
    </row>
    <row r="598" spans="1:39" ht="12.75" customHeight="1" x14ac:dyDescent="0.2">
      <c r="A598" s="227">
        <v>598</v>
      </c>
      <c r="B598" s="5988"/>
      <c r="C598" s="489"/>
      <c r="D598" s="80" t="s">
        <v>1929</v>
      </c>
      <c r="E598" s="77">
        <v>80</v>
      </c>
      <c r="F598" s="77">
        <v>-25</v>
      </c>
      <c r="G598" s="77">
        <v>3</v>
      </c>
      <c r="H598" s="77">
        <v>17</v>
      </c>
      <c r="I598" s="589">
        <v>35</v>
      </c>
      <c r="J598" s="77" t="s">
        <v>1153</v>
      </c>
      <c r="K598" s="77" t="s">
        <v>1150</v>
      </c>
      <c r="L598" s="77">
        <v>4</v>
      </c>
      <c r="M598" s="77">
        <v>4</v>
      </c>
      <c r="N598" s="77">
        <v>4</v>
      </c>
      <c r="O598" s="589">
        <v>3</v>
      </c>
      <c r="P598" s="77">
        <v>0</v>
      </c>
      <c r="Q598" s="77">
        <v>3</v>
      </c>
      <c r="R598" s="1142">
        <v>1</v>
      </c>
      <c r="T598" s="6149" t="s">
        <v>7106</v>
      </c>
      <c r="U598" s="6150"/>
      <c r="V598" s="848">
        <f>COUNTIF(Combate!$AB$55:$AG$64,$E$1027)*COUNTIF(Personalización!$AD$86:$AF$88,Tablas!$T598)</f>
        <v>0</v>
      </c>
      <c r="X598" s="891" t="s">
        <v>2551</v>
      </c>
      <c r="Y598" s="226"/>
      <c r="Z598" s="226" t="s">
        <v>2552</v>
      </c>
      <c r="AA598" s="878">
        <f>COUNTIF(PDs!$Y$43:$AA$48,Tablas!X598)</f>
        <v>0</v>
      </c>
      <c r="AC598" s="707">
        <v>-10</v>
      </c>
      <c r="AE598" s="1251" t="s">
        <v>1577</v>
      </c>
      <c r="AF598" s="609">
        <v>1</v>
      </c>
      <c r="AG598" s="609">
        <v>1</v>
      </c>
      <c r="AH598" s="609">
        <v>0</v>
      </c>
      <c r="AI598" s="609">
        <v>1</v>
      </c>
      <c r="AJ598" s="609">
        <v>0</v>
      </c>
      <c r="AK598" s="615">
        <v>0</v>
      </c>
    </row>
    <row r="599" spans="1:39" ht="12.75" customHeight="1" x14ac:dyDescent="0.2">
      <c r="A599" s="227">
        <v>599</v>
      </c>
      <c r="B599" s="5988"/>
      <c r="C599" s="489"/>
      <c r="D599" s="80" t="s">
        <v>1173</v>
      </c>
      <c r="E599" s="77">
        <v>90</v>
      </c>
      <c r="F599" s="77">
        <v>-35</v>
      </c>
      <c r="G599" s="77">
        <v>4</v>
      </c>
      <c r="H599" s="77">
        <v>17</v>
      </c>
      <c r="I599" s="589">
        <v>40</v>
      </c>
      <c r="J599" s="77" t="s">
        <v>1153</v>
      </c>
      <c r="K599" s="77" t="s">
        <v>1150</v>
      </c>
      <c r="L599" s="77">
        <v>5</v>
      </c>
      <c r="M599" s="77">
        <v>4</v>
      </c>
      <c r="N599" s="77">
        <v>5</v>
      </c>
      <c r="O599" s="589">
        <v>3</v>
      </c>
      <c r="P599" s="77">
        <v>0</v>
      </c>
      <c r="Q599" s="77">
        <v>3</v>
      </c>
      <c r="R599" s="1142">
        <v>1</v>
      </c>
      <c r="T599" s="6149" t="s">
        <v>134</v>
      </c>
      <c r="U599" s="6150"/>
      <c r="V599" s="848">
        <f>COUNTIF(Combate!$AB$55:$AG$64,$E$1027)*COUNTIF(Personalización!$AD$86:$AF$88,Tablas!$T599)</f>
        <v>0</v>
      </c>
      <c r="X599" s="891" t="s">
        <v>2553</v>
      </c>
      <c r="Y599" s="226"/>
      <c r="Z599" s="226" t="s">
        <v>9965</v>
      </c>
      <c r="AA599" s="878">
        <f>COUNTIF(PDs!$Y$43:$AA$48,Tablas!X599)</f>
        <v>0</v>
      </c>
      <c r="AC599" s="707">
        <v>-5</v>
      </c>
      <c r="AE599" s="602" t="s">
        <v>1968</v>
      </c>
      <c r="AF599" s="47">
        <v>9</v>
      </c>
      <c r="AG599" s="47">
        <v>23</v>
      </c>
      <c r="AH599" s="47">
        <v>2</v>
      </c>
      <c r="AI599" s="47">
        <v>1.5</v>
      </c>
      <c r="AJ599" s="47">
        <v>6</v>
      </c>
      <c r="AK599" s="135">
        <v>3</v>
      </c>
    </row>
    <row r="600" spans="1:39" ht="12.75" customHeight="1" thickBot="1" x14ac:dyDescent="0.25">
      <c r="A600" s="227">
        <v>600</v>
      </c>
      <c r="B600" s="5988"/>
      <c r="C600" s="489"/>
      <c r="D600" s="80" t="s">
        <v>1153</v>
      </c>
      <c r="E600" s="77">
        <v>100</v>
      </c>
      <c r="F600" s="77">
        <v>-50</v>
      </c>
      <c r="G600" s="77">
        <v>4</v>
      </c>
      <c r="H600" s="77">
        <v>18</v>
      </c>
      <c r="I600" s="589">
        <v>45</v>
      </c>
      <c r="J600" s="77" t="s">
        <v>1153</v>
      </c>
      <c r="K600" s="77" t="s">
        <v>1150</v>
      </c>
      <c r="L600" s="77">
        <v>5</v>
      </c>
      <c r="M600" s="77">
        <v>5</v>
      </c>
      <c r="N600" s="77">
        <v>5</v>
      </c>
      <c r="O600" s="589">
        <v>4</v>
      </c>
      <c r="P600" s="77">
        <v>0</v>
      </c>
      <c r="Q600" s="77">
        <v>4</v>
      </c>
      <c r="R600" s="1142">
        <v>2</v>
      </c>
      <c r="T600" s="6149" t="s">
        <v>7109</v>
      </c>
      <c r="U600" s="6150"/>
      <c r="V600" s="848">
        <f>COUNTIF(Combate!$AB$55:$AG$64,$E$1027)*COUNTIF(Personalización!$AD$86:$AF$88,Tablas!$T600)</f>
        <v>0</v>
      </c>
      <c r="X600" s="891" t="s">
        <v>2554</v>
      </c>
      <c r="Y600" s="226"/>
      <c r="Z600" s="226" t="s">
        <v>2555</v>
      </c>
      <c r="AA600" s="878">
        <f>COUNTIF(PDs!$Y$43:$AA$48,Tablas!X600)</f>
        <v>0</v>
      </c>
      <c r="AC600" s="707">
        <v>0</v>
      </c>
      <c r="AE600" s="1218" t="s">
        <v>1201</v>
      </c>
      <c r="AF600" s="605">
        <v>23</v>
      </c>
      <c r="AG600" s="605">
        <v>29</v>
      </c>
      <c r="AH600" s="605">
        <v>5</v>
      </c>
      <c r="AI600" s="605">
        <v>2</v>
      </c>
      <c r="AJ600" s="605">
        <v>16</v>
      </c>
      <c r="AK600" s="610">
        <v>8</v>
      </c>
    </row>
    <row r="601" spans="1:39" ht="12.75" customHeight="1" thickBot="1" x14ac:dyDescent="0.25">
      <c r="A601" s="227">
        <v>601</v>
      </c>
      <c r="B601" s="5988"/>
      <c r="C601" s="489"/>
      <c r="D601" s="80" t="s">
        <v>1174</v>
      </c>
      <c r="E601" s="77">
        <v>120</v>
      </c>
      <c r="F601" s="77">
        <v>-60</v>
      </c>
      <c r="G601" s="77">
        <v>5</v>
      </c>
      <c r="H601" s="77">
        <v>19</v>
      </c>
      <c r="I601" s="589">
        <v>45</v>
      </c>
      <c r="J601" s="77" t="s">
        <v>1153</v>
      </c>
      <c r="K601" s="77" t="s">
        <v>1150</v>
      </c>
      <c r="L601" s="77">
        <v>6</v>
      </c>
      <c r="M601" s="77">
        <v>6</v>
      </c>
      <c r="N601" s="77">
        <v>6</v>
      </c>
      <c r="O601" s="589">
        <v>4</v>
      </c>
      <c r="P601" s="77">
        <v>0</v>
      </c>
      <c r="Q601" s="77">
        <v>4</v>
      </c>
      <c r="R601" s="1142">
        <v>2</v>
      </c>
      <c r="T601" s="6149" t="s">
        <v>7111</v>
      </c>
      <c r="U601" s="6150"/>
      <c r="V601" s="848">
        <f>COUNTIF(Combate!$AB$55:$AG$64,$E$1027)*COUNTIF(Personalización!$AD$86:$AF$88,Tablas!$T601)</f>
        <v>0</v>
      </c>
      <c r="X601" s="892" t="s">
        <v>2556</v>
      </c>
      <c r="Y601" s="893"/>
      <c r="Z601" s="893" t="s">
        <v>10141</v>
      </c>
      <c r="AA601" s="1043">
        <f>COUNTIF(PDs!$Y$43:$AA$48,Tablas!X601)</f>
        <v>0</v>
      </c>
      <c r="AC601" s="707">
        <v>5</v>
      </c>
    </row>
    <row r="602" spans="1:39" ht="12.75" customHeight="1" thickBot="1" x14ac:dyDescent="0.25">
      <c r="A602" s="227">
        <v>602</v>
      </c>
      <c r="B602" s="5988"/>
      <c r="C602" s="489"/>
      <c r="D602" s="80" t="s">
        <v>1175</v>
      </c>
      <c r="E602" s="77">
        <v>150</v>
      </c>
      <c r="F602" s="77">
        <v>-70</v>
      </c>
      <c r="G602" s="77">
        <v>6</v>
      </c>
      <c r="H602" s="77">
        <v>20</v>
      </c>
      <c r="I602" s="589">
        <v>50</v>
      </c>
      <c r="J602" s="77" t="s">
        <v>1153</v>
      </c>
      <c r="K602" s="77" t="s">
        <v>1150</v>
      </c>
      <c r="L602" s="77">
        <v>7</v>
      </c>
      <c r="M602" s="77">
        <v>7</v>
      </c>
      <c r="N602" s="77">
        <v>7</v>
      </c>
      <c r="O602" s="589">
        <v>4</v>
      </c>
      <c r="P602" s="77">
        <v>0</v>
      </c>
      <c r="Q602" s="77">
        <v>4</v>
      </c>
      <c r="R602" s="1142">
        <v>2</v>
      </c>
      <c r="T602" s="6136" t="s">
        <v>7113</v>
      </c>
      <c r="U602" s="6137"/>
      <c r="V602" s="851">
        <f>COUNTIF(Combate!$AB$55:$AG$64,$E$1027)*COUNTIF(Personalización!$AD$86:$AF$88,Tablas!$T602)</f>
        <v>0</v>
      </c>
      <c r="X602" s="6183" t="str">
        <f>X582</f>
        <v>Tabla de tipología</v>
      </c>
      <c r="Y602" s="6184"/>
      <c r="Z602" s="6184"/>
      <c r="AA602" s="6185"/>
      <c r="AC602" s="707">
        <v>10</v>
      </c>
    </row>
    <row r="603" spans="1:39" ht="12.75" customHeight="1" thickBot="1" x14ac:dyDescent="0.25">
      <c r="A603" s="227">
        <v>603</v>
      </c>
      <c r="B603" s="5988"/>
      <c r="C603" s="489"/>
      <c r="D603" s="80" t="s">
        <v>1176</v>
      </c>
      <c r="E603" s="77">
        <v>0</v>
      </c>
      <c r="F603" s="77">
        <v>0</v>
      </c>
      <c r="G603" s="77">
        <v>0</v>
      </c>
      <c r="H603" s="77">
        <v>0</v>
      </c>
      <c r="I603" s="589">
        <v>0</v>
      </c>
      <c r="J603" s="77" t="s">
        <v>1456</v>
      </c>
      <c r="K603" s="77" t="s">
        <v>1456</v>
      </c>
      <c r="L603" s="77">
        <v>0</v>
      </c>
      <c r="M603" s="77">
        <v>0</v>
      </c>
      <c r="N603" s="77">
        <v>0</v>
      </c>
      <c r="O603" s="589">
        <v>0</v>
      </c>
      <c r="P603" s="77">
        <v>0</v>
      </c>
      <c r="Q603" s="77">
        <v>0</v>
      </c>
      <c r="R603" s="1142">
        <v>0</v>
      </c>
      <c r="X603" s="891" t="s">
        <v>1456</v>
      </c>
      <c r="Y603" s="226"/>
      <c r="Z603" s="226"/>
      <c r="AA603" s="878"/>
      <c r="AC603" s="707">
        <v>15</v>
      </c>
    </row>
    <row r="604" spans="1:39" ht="12.75" customHeight="1" x14ac:dyDescent="0.2">
      <c r="A604" s="227">
        <v>604</v>
      </c>
      <c r="B604" s="5988"/>
      <c r="C604" s="489"/>
      <c r="D604" s="80" t="s">
        <v>1177</v>
      </c>
      <c r="E604" s="77">
        <v>25</v>
      </c>
      <c r="F604" s="77">
        <v>-10</v>
      </c>
      <c r="G604" s="77">
        <v>0</v>
      </c>
      <c r="H604" s="77">
        <v>13</v>
      </c>
      <c r="I604" s="589">
        <v>25</v>
      </c>
      <c r="J604" s="77" t="s">
        <v>1151</v>
      </c>
      <c r="K604" s="77" t="s">
        <v>1149</v>
      </c>
      <c r="L604" s="77">
        <v>3</v>
      </c>
      <c r="M604" s="77">
        <v>1</v>
      </c>
      <c r="N604" s="77">
        <v>1</v>
      </c>
      <c r="O604" s="589">
        <v>2</v>
      </c>
      <c r="P604" s="77">
        <v>0</v>
      </c>
      <c r="Q604" s="77">
        <v>1</v>
      </c>
      <c r="R604" s="1142">
        <v>0</v>
      </c>
      <c r="T604" s="6133" t="s">
        <v>7103</v>
      </c>
      <c r="U604" s="6135"/>
      <c r="X604" s="891" t="s">
        <v>2112</v>
      </c>
      <c r="Y604" s="226"/>
      <c r="Z604" s="226" t="s">
        <v>8279</v>
      </c>
      <c r="AA604" s="878">
        <f>COUNTIF(PDs!$Y$43:$AA$48,Tablas!X604)</f>
        <v>0</v>
      </c>
      <c r="AC604" s="707">
        <v>20</v>
      </c>
    </row>
    <row r="605" spans="1:39" ht="12.75" customHeight="1" x14ac:dyDescent="0.2">
      <c r="A605" s="227">
        <v>605</v>
      </c>
      <c r="B605" s="5988"/>
      <c r="C605" s="489"/>
      <c r="D605" s="80" t="s">
        <v>1178</v>
      </c>
      <c r="E605" s="77">
        <v>30</v>
      </c>
      <c r="F605" s="77">
        <v>-10</v>
      </c>
      <c r="G605" s="77">
        <v>0</v>
      </c>
      <c r="H605" s="77">
        <v>14</v>
      </c>
      <c r="I605" s="589">
        <v>25</v>
      </c>
      <c r="J605" s="77" t="s">
        <v>1153</v>
      </c>
      <c r="K605" s="77" t="s">
        <v>1150</v>
      </c>
      <c r="L605" s="77">
        <v>3</v>
      </c>
      <c r="M605" s="77">
        <v>2</v>
      </c>
      <c r="N605" s="77">
        <v>2</v>
      </c>
      <c r="O605" s="589">
        <v>2</v>
      </c>
      <c r="P605" s="77">
        <v>0</v>
      </c>
      <c r="Q605" s="77">
        <v>1</v>
      </c>
      <c r="R605" s="1142">
        <v>0</v>
      </c>
      <c r="T605" s="852" t="s">
        <v>7097</v>
      </c>
      <c r="U605" s="848">
        <f>COUNTIF(Combate!$AB$55:$AG$64,$E$1018)*COUNTIF(Personalización!$AH$85:$AJ$87,Tablas!$T605)</f>
        <v>0</v>
      </c>
      <c r="X605" s="891" t="s">
        <v>2123</v>
      </c>
      <c r="Y605" s="226"/>
      <c r="Z605" s="226" t="s">
        <v>10160</v>
      </c>
      <c r="AA605" s="878">
        <f>COUNTIF(PDs!$Y$43:$AA$48,Tablas!X605)</f>
        <v>0</v>
      </c>
      <c r="AC605" s="707">
        <v>25</v>
      </c>
    </row>
    <row r="606" spans="1:39" ht="12.75" customHeight="1" x14ac:dyDescent="0.2">
      <c r="A606" s="227">
        <v>606</v>
      </c>
      <c r="B606" s="5988"/>
      <c r="C606" s="489"/>
      <c r="D606" s="80" t="s">
        <v>1179</v>
      </c>
      <c r="E606" s="77">
        <v>30</v>
      </c>
      <c r="F606" s="77">
        <v>-10</v>
      </c>
      <c r="G606" s="77">
        <v>1</v>
      </c>
      <c r="H606" s="77">
        <v>15</v>
      </c>
      <c r="I606" s="589">
        <v>30</v>
      </c>
      <c r="J606" s="77" t="s">
        <v>1153</v>
      </c>
      <c r="K606" s="77" t="s">
        <v>1150</v>
      </c>
      <c r="L606" s="77">
        <v>3</v>
      </c>
      <c r="M606" s="77">
        <v>2</v>
      </c>
      <c r="N606" s="77">
        <v>3</v>
      </c>
      <c r="O606" s="589">
        <v>2</v>
      </c>
      <c r="P606" s="77">
        <v>2</v>
      </c>
      <c r="Q606" s="77">
        <v>2</v>
      </c>
      <c r="R606" s="1142">
        <v>0</v>
      </c>
      <c r="T606" s="849" t="s">
        <v>7105</v>
      </c>
      <c r="U606" s="848">
        <f>COUNTIF(Combate!$AB$55:$AG$64,$E$1018)*COUNTIF(Personalización!$AH$85:$AJ$87,Tablas!$T606)</f>
        <v>0</v>
      </c>
      <c r="X606" s="891" t="s">
        <v>2120</v>
      </c>
      <c r="Y606" s="226"/>
      <c r="Z606" s="226" t="s">
        <v>8280</v>
      </c>
      <c r="AA606" s="878">
        <f>COUNTIF(PDs!$Y$43:$AA$48,Tablas!X606)</f>
        <v>0</v>
      </c>
      <c r="AC606" s="707">
        <v>30</v>
      </c>
    </row>
    <row r="607" spans="1:39" ht="12.75" customHeight="1" x14ac:dyDescent="0.2">
      <c r="A607" s="227">
        <v>607</v>
      </c>
      <c r="B607" s="5988"/>
      <c r="C607" s="489"/>
      <c r="D607" s="80" t="s">
        <v>1180</v>
      </c>
      <c r="E607" s="77">
        <v>35</v>
      </c>
      <c r="F607" s="77">
        <v>-15</v>
      </c>
      <c r="G607" s="77">
        <v>1</v>
      </c>
      <c r="H607" s="77">
        <v>14</v>
      </c>
      <c r="I607" s="589">
        <v>25</v>
      </c>
      <c r="J607" s="77" t="s">
        <v>1151</v>
      </c>
      <c r="K607" s="77" t="s">
        <v>1150</v>
      </c>
      <c r="L607" s="77">
        <v>4</v>
      </c>
      <c r="M607" s="77">
        <v>2</v>
      </c>
      <c r="N607" s="77">
        <v>3</v>
      </c>
      <c r="O607" s="589">
        <v>1</v>
      </c>
      <c r="P607" s="77">
        <v>0</v>
      </c>
      <c r="Q607" s="77">
        <v>1</v>
      </c>
      <c r="R607" s="1142">
        <v>0</v>
      </c>
      <c r="T607" s="849" t="s">
        <v>7107</v>
      </c>
      <c r="U607" s="848">
        <f>COUNTIF(Combate!$AB$55:$AG$64,$E$1018)*COUNTIF(Personalización!$AH$85:$AJ$87,Tablas!$T607)</f>
        <v>0</v>
      </c>
      <c r="X607" s="891" t="s">
        <v>2169</v>
      </c>
      <c r="Y607" s="226"/>
      <c r="Z607" s="226" t="s">
        <v>8281</v>
      </c>
      <c r="AA607" s="878">
        <f>COUNTIF(PDs!$Y$43:$AA$48,Tablas!X607)</f>
        <v>0</v>
      </c>
      <c r="AC607" s="707">
        <v>35</v>
      </c>
      <c r="AE607" s="6036" t="s">
        <v>7259</v>
      </c>
      <c r="AF607" s="4931"/>
      <c r="AG607" s="4931"/>
      <c r="AH607" s="4931"/>
      <c r="AI607" s="4931"/>
      <c r="AJ607" s="4931"/>
      <c r="AK607" s="4931"/>
      <c r="AL607" s="4931"/>
      <c r="AM607" s="4931"/>
    </row>
    <row r="608" spans="1:39" ht="12.75" customHeight="1" thickBot="1" x14ac:dyDescent="0.25">
      <c r="A608" s="227">
        <v>608</v>
      </c>
      <c r="B608" s="5988"/>
      <c r="C608" s="489"/>
      <c r="D608" s="80" t="s">
        <v>10263</v>
      </c>
      <c r="E608" s="2665">
        <v>0</v>
      </c>
      <c r="F608" s="2665">
        <v>0</v>
      </c>
      <c r="G608" s="2665">
        <v>0</v>
      </c>
      <c r="H608" s="2665">
        <v>0</v>
      </c>
      <c r="I608" s="589">
        <v>0</v>
      </c>
      <c r="J608" s="2665" t="s">
        <v>1456</v>
      </c>
      <c r="K608" s="2665" t="s">
        <v>1456</v>
      </c>
      <c r="L608" s="2665">
        <v>0</v>
      </c>
      <c r="M608" s="2665">
        <v>0</v>
      </c>
      <c r="N608" s="2665">
        <v>0</v>
      </c>
      <c r="O608" s="589">
        <v>0</v>
      </c>
      <c r="P608" s="2665">
        <v>0</v>
      </c>
      <c r="Q608" s="2665">
        <v>0</v>
      </c>
      <c r="R608" s="1142">
        <v>0</v>
      </c>
      <c r="T608" s="849" t="s">
        <v>7108</v>
      </c>
      <c r="U608" s="848">
        <f>COUNTIF(Combate!$AB$55:$AG$64,$E$1018)*COUNTIF(Personalización!$AH$85:$AJ$87,Tablas!$T608)</f>
        <v>0</v>
      </c>
      <c r="X608" s="891" t="s">
        <v>2125</v>
      </c>
      <c r="Y608" s="226"/>
      <c r="Z608" s="226" t="s">
        <v>10158</v>
      </c>
      <c r="AA608" s="878">
        <f>COUNTIF(PDs!$Y$43:$AA$48,Tablas!X608)</f>
        <v>0</v>
      </c>
      <c r="AC608" s="707">
        <v>40</v>
      </c>
      <c r="AE608" s="6036"/>
      <c r="AF608" s="4931"/>
      <c r="AG608" s="4931"/>
      <c r="AH608" s="4931"/>
      <c r="AI608" s="4931"/>
      <c r="AJ608" s="4931"/>
      <c r="AK608" s="4931"/>
      <c r="AL608" s="4931"/>
      <c r="AM608" s="4931"/>
    </row>
    <row r="609" spans="1:39" ht="12.75" customHeight="1" x14ac:dyDescent="0.2">
      <c r="A609" s="227">
        <v>609</v>
      </c>
      <c r="B609" s="5988"/>
      <c r="C609" s="489"/>
      <c r="D609" s="80" t="s">
        <v>10264</v>
      </c>
      <c r="E609" s="2665">
        <v>0</v>
      </c>
      <c r="F609" s="2665">
        <v>0</v>
      </c>
      <c r="G609" s="2665">
        <v>0</v>
      </c>
      <c r="H609" s="2665">
        <v>0</v>
      </c>
      <c r="I609" s="589">
        <v>0</v>
      </c>
      <c r="J609" s="2665" t="s">
        <v>1153</v>
      </c>
      <c r="K609" s="2665" t="s">
        <v>1972</v>
      </c>
      <c r="L609" s="2665">
        <v>1</v>
      </c>
      <c r="M609" s="2665">
        <v>1</v>
      </c>
      <c r="N609" s="2665">
        <v>1</v>
      </c>
      <c r="O609" s="589">
        <v>1</v>
      </c>
      <c r="P609" s="2665">
        <v>1</v>
      </c>
      <c r="Q609" s="2665">
        <v>1</v>
      </c>
      <c r="R609" s="1142">
        <v>2</v>
      </c>
      <c r="T609" s="849" t="s">
        <v>7110</v>
      </c>
      <c r="U609" s="848">
        <f>COUNTIF(Combate!$AB$55:$AG$64,$E$1018)*COUNTIF(Personalización!$AH$85:$AJ$87,Tablas!$T609)</f>
        <v>0</v>
      </c>
      <c r="X609" s="891" t="s">
        <v>2145</v>
      </c>
      <c r="Y609" s="226"/>
      <c r="Z609" s="226" t="s">
        <v>8282</v>
      </c>
      <c r="AA609" s="878">
        <f>COUNTIF(PDs!$Y$43:$AA$48,Tablas!X609)</f>
        <v>0</v>
      </c>
      <c r="AC609" s="707">
        <v>45</v>
      </c>
      <c r="AE609" s="6052" t="s">
        <v>8286</v>
      </c>
      <c r="AF609" s="6053"/>
      <c r="AG609" s="1037" t="str">
        <f>Arma_Desarrollada&amp;", "</f>
        <v xml:space="preserve">Arpón, </v>
      </c>
      <c r="AH609" s="1036"/>
      <c r="AI609" s="1036"/>
      <c r="AJ609" s="1036"/>
      <c r="AK609" s="1249"/>
      <c r="AL609" s="1249"/>
      <c r="AM609" s="1250"/>
    </row>
    <row r="610" spans="1:39" ht="12.75" customHeight="1" thickBot="1" x14ac:dyDescent="0.25">
      <c r="A610" s="227">
        <v>610</v>
      </c>
      <c r="B610" s="5988"/>
      <c r="C610" s="489"/>
      <c r="D610" s="80" t="s">
        <v>10265</v>
      </c>
      <c r="E610" s="2665">
        <v>0</v>
      </c>
      <c r="F610" s="2665">
        <v>0</v>
      </c>
      <c r="G610" s="2665">
        <v>0</v>
      </c>
      <c r="H610" s="2665">
        <v>0</v>
      </c>
      <c r="I610" s="589">
        <v>0</v>
      </c>
      <c r="J610" s="2665" t="s">
        <v>1153</v>
      </c>
      <c r="K610" s="2665" t="s">
        <v>1972</v>
      </c>
      <c r="L610" s="2665">
        <v>2</v>
      </c>
      <c r="M610" s="2665">
        <v>2</v>
      </c>
      <c r="N610" s="2665">
        <v>2</v>
      </c>
      <c r="O610" s="589">
        <v>2</v>
      </c>
      <c r="P610" s="2665">
        <v>2</v>
      </c>
      <c r="Q610" s="2665">
        <v>2</v>
      </c>
      <c r="R610" s="1142">
        <v>5</v>
      </c>
      <c r="T610" s="850" t="s">
        <v>7112</v>
      </c>
      <c r="U610" s="851">
        <f>COUNTIF(Combate!$AB$55:$AG$64,$E$1018)*COUNTIF(Personalización!$AH$85:$AJ$87,Tablas!$T610)</f>
        <v>0</v>
      </c>
      <c r="X610" s="891" t="s">
        <v>2113</v>
      </c>
      <c r="Y610" s="226"/>
      <c r="Z610" s="226" t="s">
        <v>10159</v>
      </c>
      <c r="AA610" s="878">
        <f>COUNTIF(PDs!$Y$43:$AA$48,Tablas!X610)</f>
        <v>0</v>
      </c>
      <c r="AC610" s="708">
        <v>50</v>
      </c>
      <c r="AE610" s="6054" t="s">
        <v>8290</v>
      </c>
      <c r="AF610" s="6055"/>
      <c r="AG610" s="1037" t="str">
        <f>IF(AH610="","",AH610&amp;", ")&amp;IF(AI610="","",AI610&amp;", ")&amp;IF(AJ610="","",AJ610&amp;", ")&amp;IF(AK610="","",AK610&amp;", ")&amp;IF(AL610="","",AL610&amp;", ")&amp;IF(AM610="","",AM610&amp;", ")</f>
        <v/>
      </c>
      <c r="AH610" s="1036" t="str">
        <f>IF(ISNUMBER(SEARCH("Uso de arma",INDEX(PDs!$V43:$V$48,Tablas!A1))),INDEX(PDs!$Y$43:$Y$48,Tablas!A1),"")</f>
        <v/>
      </c>
      <c r="AI610" s="1036" t="str">
        <f>IF(ISNUMBER(SEARCH("Uso de arma",INDEX(PDs!$V43:$V$48,Tablas!B1))),INDEX(PDs!$Y$43:$Y$48,Tablas!B1),"")</f>
        <v/>
      </c>
      <c r="AJ610" s="1036" t="str">
        <f>IF(ISNUMBER(SEARCH("Uso de arma",INDEX(PDs!$V43:$V$48,Tablas!C1))),INDEX(PDs!$Y$43:$Y$48,Tablas!C1),"")</f>
        <v/>
      </c>
      <c r="AK610" s="1249" t="str">
        <f>IF(ISNUMBER(SEARCH("Uso de arma",INDEX(PDs!$V43:$V$48,Tablas!D1))),INDEX(PDs!$Y$43:$Y$48,Tablas!D1),"")</f>
        <v/>
      </c>
      <c r="AL610" s="1249" t="str">
        <f>IF(ISNUMBER(SEARCH("Uso de arma",INDEX(PDs!$V43:$V$48,Tablas!E1))),INDEX(PDs!$Y$43:$Y$48,Tablas!E1),"")</f>
        <v/>
      </c>
      <c r="AM610" s="1250" t="str">
        <f>IF(ISNUMBER(SEARCH("Uso de arma",INDEX(PDs!$V43:$V$48,Tablas!F1))),INDEX(PDs!$Y$43:$Y$48,Tablas!F1),"")</f>
        <v/>
      </c>
    </row>
    <row r="611" spans="1:39" ht="12.75" customHeight="1" x14ac:dyDescent="0.2">
      <c r="A611" s="227">
        <v>611</v>
      </c>
      <c r="B611" s="5988"/>
      <c r="C611" s="489"/>
      <c r="D611" s="80" t="s">
        <v>10266</v>
      </c>
      <c r="E611" s="2665">
        <v>0</v>
      </c>
      <c r="F611" s="2665">
        <v>0</v>
      </c>
      <c r="G611" s="2665">
        <v>0</v>
      </c>
      <c r="H611" s="2665">
        <v>0</v>
      </c>
      <c r="I611" s="589">
        <v>0</v>
      </c>
      <c r="J611" s="2665" t="s">
        <v>1153</v>
      </c>
      <c r="K611" s="2665" t="s">
        <v>1972</v>
      </c>
      <c r="L611" s="2665">
        <v>4</v>
      </c>
      <c r="M611" s="2665">
        <v>4</v>
      </c>
      <c r="N611" s="2665">
        <v>4</v>
      </c>
      <c r="O611" s="589">
        <v>4</v>
      </c>
      <c r="P611" s="2665">
        <v>4</v>
      </c>
      <c r="Q611" s="2665">
        <v>4</v>
      </c>
      <c r="R611" s="1142">
        <v>8</v>
      </c>
      <c r="X611" s="891" t="s">
        <v>2141</v>
      </c>
      <c r="Y611" s="226"/>
      <c r="Z611" s="226" t="s">
        <v>8283</v>
      </c>
      <c r="AA611" s="878">
        <f>COUNTIF(PDs!$Y$43:$AA$48,Tablas!X611)</f>
        <v>0</v>
      </c>
      <c r="AC611" s="227"/>
      <c r="AE611" s="6054" t="s">
        <v>8287</v>
      </c>
      <c r="AF611" s="6055"/>
      <c r="AG611" s="1037" t="str">
        <f>IF(AH611="","",AH611&amp;", ")&amp;IF(AI611="","",AI611&amp;", ")&amp;IF(AJ611="","",AJ611&amp;", ")&amp;IF(AK611="","",AK611&amp;", ")&amp;IF(AL611="","",AL611&amp;", ")&amp;IF(AM611="","",AM611&amp;", ")</f>
        <v/>
      </c>
      <c r="AH611" s="1036" t="str">
        <f>IF(ISNUMBER(SEARCH("profesión",INDEX(Compra_TablasArmas,Tablas!A1,18))),VLOOKUP(INDEX(Compra_TablasArmas,Tablas!A1,21),Tabla_ArmasArquetípicas,3,FALSE),"")</f>
        <v/>
      </c>
      <c r="AI611" s="1036" t="str">
        <f>IF(ISNUMBER(SEARCH("profesión",INDEX(Compra_TablasArmas,Tablas!B1,18))),VLOOKUP(INDEX(Compra_TablasArmas,Tablas!B1,21),Tabla_ArmasArquetípicas,3,FALSE),"")</f>
        <v/>
      </c>
      <c r="AJ611" s="1036" t="str">
        <f>IF(ISNUMBER(SEARCH("profesión",INDEX(Compra_TablasArmas,Tablas!C1,18))),VLOOKUP(INDEX(Compra_TablasArmas,Tablas!C1,21),Tabla_ArmasArquetípicas,3,FALSE),"")</f>
        <v/>
      </c>
      <c r="AK611" s="1249" t="str">
        <f>IF(ISNUMBER(SEARCH("profesión",INDEX(Compra_TablasArmas,Tablas!D1,18))),VLOOKUP(INDEX(Compra_TablasArmas,Tablas!D1,21),Tabla_ArmasArquetípicas,3,FALSE),"")</f>
        <v/>
      </c>
      <c r="AL611" s="1249" t="str">
        <f>IF(ISNUMBER(SEARCH("profesión",INDEX(Compra_TablasArmas,Tablas!E1,18))),VLOOKUP(INDEX(Compra_TablasArmas,Tablas!E1,21),Tabla_ArmasArquetípicas,3,FALSE),"")</f>
        <v/>
      </c>
      <c r="AM611" s="1250" t="str">
        <f>IF(ISNUMBER(SEARCH("profesión",INDEX(Compra_TablasArmas,Tablas!F1,18))),VLOOKUP(INDEX(Compra_TablasArmas,Tablas!F1,21),Tabla_ArmasArquetípicas,3,FALSE),"")</f>
        <v/>
      </c>
    </row>
    <row r="612" spans="1:39" ht="12.75" customHeight="1" x14ac:dyDescent="0.2">
      <c r="A612" s="227">
        <v>612</v>
      </c>
      <c r="B612" s="5988"/>
      <c r="C612" s="489"/>
      <c r="D612" s="80" t="s">
        <v>10267</v>
      </c>
      <c r="E612" s="2665">
        <v>0</v>
      </c>
      <c r="F612" s="2665">
        <v>0</v>
      </c>
      <c r="G612" s="2665">
        <v>0</v>
      </c>
      <c r="H612" s="2665">
        <v>0</v>
      </c>
      <c r="I612" s="589">
        <v>0</v>
      </c>
      <c r="J612" s="2665" t="s">
        <v>1153</v>
      </c>
      <c r="K612" s="2665" t="s">
        <v>1972</v>
      </c>
      <c r="L612" s="2665">
        <v>6</v>
      </c>
      <c r="M612" s="2665">
        <v>6</v>
      </c>
      <c r="N612" s="2665">
        <v>6</v>
      </c>
      <c r="O612" s="589">
        <v>6</v>
      </c>
      <c r="P612" s="2665">
        <v>6</v>
      </c>
      <c r="Q612" s="2665">
        <v>6</v>
      </c>
      <c r="R612" s="1142">
        <v>12</v>
      </c>
      <c r="X612" s="891" t="s">
        <v>2116</v>
      </c>
      <c r="Y612" s="226"/>
      <c r="Z612" s="226" t="s">
        <v>8284</v>
      </c>
      <c r="AA612" s="878">
        <f>COUNTIF(PDs!$Y$43:$AA$48,Tablas!X612)</f>
        <v>0</v>
      </c>
      <c r="AC612" s="227"/>
      <c r="AE612" s="6054" t="s">
        <v>8288</v>
      </c>
      <c r="AF612" s="6055"/>
      <c r="AG612" s="1037" t="str">
        <f>IF(AH612="","",AH612&amp;", ")&amp;IF(AI612="","",AI612&amp;", ")&amp;IF(AJ612="","",AJ612&amp;", ")&amp;IF(AK612="","",AK612&amp;", ")&amp;IF(AL612="","",AL612&amp;", ")&amp;IF(AM612="","",AM612&amp;", ")</f>
        <v/>
      </c>
      <c r="AH612" s="1036" t="str">
        <f>IF(INDEX(PDs!$E$78:$E$80,Tablas!A1)="","",VLOOKUP(INDEX(PDs!$E$78:$E$80,Tablas!A1),Tabla_AM_Armas,5,FALSE))</f>
        <v/>
      </c>
      <c r="AI612" s="1036" t="str">
        <f>IF(INDEX(PDs!$E$78:$E$80,Tablas!B1)="","",VLOOKUP(INDEX(PDs!$E$78:$E$80,Tablas!B1),Tabla_AM_Armas,5,FALSE))</f>
        <v/>
      </c>
      <c r="AJ612" s="1036" t="str">
        <f>IF(INDEX(PDs!$E$78:$E$80,Tablas!C1)="","",VLOOKUP(INDEX(PDs!$E$78:$E$80,Tablas!C1),Tabla_AM_Armas,5,FALSE))</f>
        <v/>
      </c>
      <c r="AK612" s="1249"/>
      <c r="AL612" s="1249"/>
      <c r="AM612" s="1250"/>
    </row>
    <row r="613" spans="1:39" ht="12.75" customHeight="1" x14ac:dyDescent="0.2">
      <c r="A613" s="227">
        <v>613</v>
      </c>
      <c r="B613" s="5988"/>
      <c r="C613" s="489"/>
      <c r="D613" s="80" t="s">
        <v>10268</v>
      </c>
      <c r="E613" s="2665">
        <v>0</v>
      </c>
      <c r="F613" s="2665">
        <v>0</v>
      </c>
      <c r="G613" s="2665">
        <v>0</v>
      </c>
      <c r="H613" s="2665">
        <v>0</v>
      </c>
      <c r="I613" s="589">
        <v>0</v>
      </c>
      <c r="J613" s="2665" t="s">
        <v>1153</v>
      </c>
      <c r="K613" s="2665" t="s">
        <v>1972</v>
      </c>
      <c r="L613" s="2665">
        <v>2</v>
      </c>
      <c r="M613" s="2665">
        <v>2</v>
      </c>
      <c r="N613" s="2665">
        <v>2</v>
      </c>
      <c r="O613" s="589">
        <v>2</v>
      </c>
      <c r="P613" s="2665">
        <v>2</v>
      </c>
      <c r="Q613" s="2665">
        <v>2</v>
      </c>
      <c r="R613" s="1142">
        <v>0</v>
      </c>
      <c r="X613" s="891" t="s">
        <v>2197</v>
      </c>
      <c r="Y613" s="226"/>
      <c r="Z613" s="226" t="s">
        <v>8583</v>
      </c>
      <c r="AA613" s="878">
        <f>COUNTIF(PDs!$Y$43:$AA$48,Tablas!X613)</f>
        <v>0</v>
      </c>
      <c r="AE613" s="6054" t="s">
        <v>8289</v>
      </c>
      <c r="AF613" s="6055"/>
      <c r="AG613" s="1038" t="str">
        <f>IF(AH613="","",AH613&amp;", ")&amp;IF(AI613="","",AI613&amp;", ")&amp;IF(AJ613="","",AJ613&amp;", ")&amp;IF(AK613="","",AK613&amp;", ")&amp;IF(AL613="","",AL613&amp;", ")&amp;IF(AM613="","",AM613&amp;", ")</f>
        <v/>
      </c>
      <c r="AH613" s="1036" t="str">
        <f>IF(ISNUMBER(SEARCH("tipología",INDEX(Compra_TablasArmas,Tablas!A1,18))),VLOOKUP(INDEX(Compra_TablasArmas,Tablas!A1,21),Tabla_Tipologías,3,FALSE),"")</f>
        <v/>
      </c>
      <c r="AI613" s="1036" t="str">
        <f>IF(ISNUMBER(SEARCH("tipología",INDEX(Compra_TablasArmas,Tablas!B1,18))),VLOOKUP(INDEX(Compra_TablasArmas,Tablas!B1,21),Tabla_Tipologías,3,FALSE),"")</f>
        <v/>
      </c>
      <c r="AJ613" s="1036" t="str">
        <f>IF(ISNUMBER(SEARCH("tipología",INDEX(Compra_TablasArmas,Tablas!C1,18))),VLOOKUP(INDEX(Compra_TablasArmas,Tablas!C1,21),Tabla_Tipologías,3,FALSE),"")</f>
        <v/>
      </c>
      <c r="AK613" s="1249" t="str">
        <f>IF(ISNUMBER(SEARCH("tipología",INDEX(Compra_TablasArmas,Tablas!D1,18))),VLOOKUP(INDEX(Compra_TablasArmas,Tablas!D1,21),Tabla_Tipologías,3,FALSE),"")</f>
        <v/>
      </c>
      <c r="AL613" s="1249" t="str">
        <f>IF(ISNUMBER(SEARCH("tipología",INDEX(Compra_TablasArmas,Tablas!E1,18))),VLOOKUP(INDEX(Compra_TablasArmas,Tablas!E1,21),Tabla_Tipologías,3,FALSE),"")</f>
        <v/>
      </c>
      <c r="AM613" s="1250" t="str">
        <f>IF(ISNUMBER(SEARCH("tipología",INDEX(Compra_TablasArmas,Tablas!F1,18))),VLOOKUP(INDEX(Compra_TablasArmas,Tablas!F1,21),Tabla_Tipologías,3,FALSE),"")</f>
        <v/>
      </c>
    </row>
    <row r="614" spans="1:39" ht="12.75" customHeight="1" thickBot="1" x14ac:dyDescent="0.25">
      <c r="A614" s="227">
        <v>614</v>
      </c>
      <c r="B614" s="5988"/>
      <c r="C614" s="489"/>
      <c r="D614" s="80" t="s">
        <v>10269</v>
      </c>
      <c r="E614" s="2665">
        <v>0</v>
      </c>
      <c r="F614" s="2665">
        <v>0</v>
      </c>
      <c r="G614" s="2665">
        <v>0</v>
      </c>
      <c r="H614" s="2665">
        <v>0</v>
      </c>
      <c r="I614" s="589">
        <v>0</v>
      </c>
      <c r="J614" s="2665" t="s">
        <v>1153</v>
      </c>
      <c r="K614" s="2665" t="s">
        <v>1972</v>
      </c>
      <c r="L614" s="2665">
        <v>4</v>
      </c>
      <c r="M614" s="2665">
        <v>4</v>
      </c>
      <c r="N614" s="2665">
        <v>4</v>
      </c>
      <c r="O614" s="589">
        <v>4</v>
      </c>
      <c r="P614" s="2665">
        <v>4</v>
      </c>
      <c r="Q614" s="2665">
        <v>4</v>
      </c>
      <c r="R614" s="1142">
        <v>0</v>
      </c>
      <c r="X614" s="892" t="s">
        <v>1580</v>
      </c>
      <c r="Y614" s="893"/>
      <c r="Z614" s="893" t="s">
        <v>8285</v>
      </c>
      <c r="AA614" s="1043">
        <f>COUNTIF(PDs!$Y$43:$AA$48,Tablas!X614)</f>
        <v>0</v>
      </c>
      <c r="AE614" s="6198" t="s">
        <v>3183</v>
      </c>
      <c r="AF614" s="6211"/>
      <c r="AG614" s="1039" t="str">
        <f>SUBSTITUTE(AG609&amp;AG610&amp;AG611&amp;AG612&amp;AG613," y",", ")</f>
        <v xml:space="preserve">Arpón, </v>
      </c>
      <c r="AH614" s="1040"/>
      <c r="AI614" s="1040"/>
      <c r="AJ614" s="1040"/>
      <c r="AK614" s="1252"/>
      <c r="AL614" s="1252"/>
      <c r="AM614" s="1253"/>
    </row>
    <row r="615" spans="1:39" ht="12.75" customHeight="1" x14ac:dyDescent="0.2">
      <c r="A615" s="227">
        <v>615</v>
      </c>
      <c r="B615" s="5988"/>
      <c r="C615" s="489"/>
      <c r="D615" s="80" t="s">
        <v>10270</v>
      </c>
      <c r="E615" s="2665">
        <v>0</v>
      </c>
      <c r="F615" s="2665">
        <v>0</v>
      </c>
      <c r="G615" s="2665">
        <v>0</v>
      </c>
      <c r="H615" s="2665">
        <v>0</v>
      </c>
      <c r="I615" s="589">
        <v>0</v>
      </c>
      <c r="J615" s="2665" t="s">
        <v>1153</v>
      </c>
      <c r="K615" s="2665" t="s">
        <v>1972</v>
      </c>
      <c r="L615" s="2665">
        <v>6</v>
      </c>
      <c r="M615" s="2665">
        <v>6</v>
      </c>
      <c r="N615" s="2665">
        <v>6</v>
      </c>
      <c r="O615" s="589">
        <v>6</v>
      </c>
      <c r="P615" s="2665">
        <v>6</v>
      </c>
      <c r="Q615" s="2665">
        <v>6</v>
      </c>
      <c r="R615" s="1142">
        <v>0</v>
      </c>
    </row>
    <row r="616" spans="1:39" ht="12.75" customHeight="1" thickBot="1" x14ac:dyDescent="0.25">
      <c r="A616" s="227">
        <v>616</v>
      </c>
      <c r="B616" s="5988"/>
      <c r="C616" s="489"/>
      <c r="D616" s="80" t="s">
        <v>10271</v>
      </c>
      <c r="E616" s="2665">
        <v>0</v>
      </c>
      <c r="F616" s="2665">
        <v>0</v>
      </c>
      <c r="G616" s="2665">
        <v>0</v>
      </c>
      <c r="H616" s="2665">
        <v>0</v>
      </c>
      <c r="I616" s="589">
        <v>0</v>
      </c>
      <c r="J616" s="2665" t="s">
        <v>1153</v>
      </c>
      <c r="K616" s="2665" t="s">
        <v>1972</v>
      </c>
      <c r="L616" s="2665">
        <v>8</v>
      </c>
      <c r="M616" s="2665">
        <v>8</v>
      </c>
      <c r="N616" s="2665">
        <v>8</v>
      </c>
      <c r="O616" s="589">
        <v>8</v>
      </c>
      <c r="P616" s="2665">
        <v>8</v>
      </c>
      <c r="Q616" s="2665">
        <v>8</v>
      </c>
      <c r="R616" s="1142">
        <v>0</v>
      </c>
    </row>
    <row r="617" spans="1:39" ht="12.75" customHeight="1" x14ac:dyDescent="0.2">
      <c r="A617" s="227">
        <v>617</v>
      </c>
      <c r="B617" s="5988"/>
      <c r="C617" s="489"/>
      <c r="D617" s="80" t="s">
        <v>10275</v>
      </c>
      <c r="E617" s="2665">
        <v>0</v>
      </c>
      <c r="F617" s="2665">
        <v>0</v>
      </c>
      <c r="G617" s="2665">
        <v>0</v>
      </c>
      <c r="H617" s="2665">
        <v>0</v>
      </c>
      <c r="I617" s="589">
        <v>0</v>
      </c>
      <c r="J617" s="2665" t="s">
        <v>1153</v>
      </c>
      <c r="K617" s="2665" t="s">
        <v>1972</v>
      </c>
      <c r="L617" s="2665">
        <v>6</v>
      </c>
      <c r="M617" s="2665">
        <v>6</v>
      </c>
      <c r="N617" s="2665">
        <v>6</v>
      </c>
      <c r="O617" s="589">
        <v>6</v>
      </c>
      <c r="P617" s="2665">
        <v>6</v>
      </c>
      <c r="Q617" s="2665">
        <v>6</v>
      </c>
      <c r="R617" s="1142">
        <v>0</v>
      </c>
      <c r="U617" s="6058" t="s">
        <v>1183</v>
      </c>
      <c r="V617" s="6058"/>
      <c r="W617" s="6058"/>
      <c r="X617" s="6058"/>
      <c r="Y617" s="6058"/>
      <c r="Z617" s="6058"/>
      <c r="AA617" s="6058"/>
      <c r="AB617" s="6058"/>
      <c r="AC617" s="6058"/>
      <c r="AD617" s="6058"/>
      <c r="AE617" s="6058"/>
      <c r="AF617" s="6058"/>
      <c r="AG617" s="6058"/>
      <c r="AH617" s="6058"/>
      <c r="AI617" s="6058"/>
    </row>
    <row r="618" spans="1:39" ht="12.75" customHeight="1" thickBot="1" x14ac:dyDescent="0.25">
      <c r="A618" s="227">
        <v>618</v>
      </c>
      <c r="B618" s="5988"/>
      <c r="C618" s="489"/>
      <c r="D618" s="80" t="s">
        <v>10272</v>
      </c>
      <c r="E618" s="2665">
        <v>0</v>
      </c>
      <c r="F618" s="2665">
        <v>0</v>
      </c>
      <c r="G618" s="2665">
        <v>0</v>
      </c>
      <c r="H618" s="2665">
        <v>0</v>
      </c>
      <c r="I618" s="589">
        <v>0</v>
      </c>
      <c r="J618" s="2665" t="s">
        <v>1153</v>
      </c>
      <c r="K618" s="2665" t="s">
        <v>1972</v>
      </c>
      <c r="L618" s="2665">
        <v>8</v>
      </c>
      <c r="M618" s="2665">
        <v>8</v>
      </c>
      <c r="N618" s="2665">
        <v>8</v>
      </c>
      <c r="O618" s="589">
        <v>8</v>
      </c>
      <c r="P618" s="2665">
        <v>8</v>
      </c>
      <c r="Q618" s="2665">
        <v>8</v>
      </c>
      <c r="R618" s="1142">
        <v>0</v>
      </c>
      <c r="U618" s="200"/>
      <c r="V618" s="201" t="s">
        <v>1548</v>
      </c>
      <c r="W618" s="201" t="s">
        <v>1834</v>
      </c>
      <c r="X618" s="201" t="s">
        <v>1184</v>
      </c>
      <c r="Y618" s="201" t="s">
        <v>1964</v>
      </c>
      <c r="Z618" s="201" t="s">
        <v>2102</v>
      </c>
      <c r="AA618" s="201" t="s">
        <v>1328</v>
      </c>
      <c r="AB618" s="201" t="s">
        <v>1370</v>
      </c>
      <c r="AC618" s="201" t="s">
        <v>1551</v>
      </c>
      <c r="AD618" s="201" t="s">
        <v>1498</v>
      </c>
      <c r="AE618" s="201" t="s">
        <v>1552</v>
      </c>
      <c r="AF618" s="201" t="s">
        <v>1553</v>
      </c>
      <c r="AG618" s="201" t="s">
        <v>1554</v>
      </c>
      <c r="AH618" s="201" t="s">
        <v>1555</v>
      </c>
      <c r="AI618" s="202" t="s">
        <v>1556</v>
      </c>
    </row>
    <row r="619" spans="1:39" ht="12.75" customHeight="1" x14ac:dyDescent="0.2">
      <c r="A619" s="227">
        <v>619</v>
      </c>
      <c r="B619" s="5988"/>
      <c r="C619" s="489"/>
      <c r="D619" s="80" t="s">
        <v>10273</v>
      </c>
      <c r="E619" s="2665">
        <v>0</v>
      </c>
      <c r="F619" s="2665">
        <v>0</v>
      </c>
      <c r="G619" s="2665">
        <v>0</v>
      </c>
      <c r="H619" s="2665">
        <v>0</v>
      </c>
      <c r="I619" s="589">
        <v>0</v>
      </c>
      <c r="J619" s="2665" t="s">
        <v>1153</v>
      </c>
      <c r="K619" s="2665" t="s">
        <v>1972</v>
      </c>
      <c r="L619" s="2665">
        <v>10</v>
      </c>
      <c r="M619" s="2665">
        <v>10</v>
      </c>
      <c r="N619" s="2665">
        <v>10</v>
      </c>
      <c r="O619" s="589">
        <v>10</v>
      </c>
      <c r="P619" s="2665">
        <v>10</v>
      </c>
      <c r="Q619" s="2665">
        <v>10</v>
      </c>
      <c r="R619" s="1142">
        <v>0</v>
      </c>
      <c r="U619" s="88"/>
      <c r="V619" s="80" t="s">
        <v>1185</v>
      </c>
      <c r="W619" s="77">
        <v>0</v>
      </c>
      <c r="X619" s="77">
        <v>0</v>
      </c>
      <c r="Y619" s="77">
        <v>0</v>
      </c>
      <c r="Z619" s="77">
        <v>0</v>
      </c>
      <c r="AA619" s="77" t="s">
        <v>1456</v>
      </c>
      <c r="AB619" s="77" t="s">
        <v>1456</v>
      </c>
      <c r="AC619" s="77">
        <v>0</v>
      </c>
      <c r="AD619" s="77">
        <v>0</v>
      </c>
      <c r="AE619" s="77">
        <v>0</v>
      </c>
      <c r="AF619" s="77">
        <v>0</v>
      </c>
      <c r="AG619" s="77">
        <v>0</v>
      </c>
      <c r="AH619" s="77">
        <v>0</v>
      </c>
      <c r="AI619" s="232">
        <v>0</v>
      </c>
    </row>
    <row r="620" spans="1:39" ht="12.75" customHeight="1" x14ac:dyDescent="0.2">
      <c r="A620" s="227">
        <v>620</v>
      </c>
      <c r="B620" s="5988"/>
      <c r="C620" s="489"/>
      <c r="D620" s="80" t="s">
        <v>10274</v>
      </c>
      <c r="E620" s="2665">
        <v>0</v>
      </c>
      <c r="F620" s="2665">
        <v>0</v>
      </c>
      <c r="G620" s="2665">
        <v>0</v>
      </c>
      <c r="H620" s="2665">
        <v>0</v>
      </c>
      <c r="I620" s="589">
        <v>0</v>
      </c>
      <c r="J620" s="2665" t="s">
        <v>1153</v>
      </c>
      <c r="K620" s="2665" t="s">
        <v>1972</v>
      </c>
      <c r="L620" s="2665">
        <v>12</v>
      </c>
      <c r="M620" s="2665">
        <v>12</v>
      </c>
      <c r="N620" s="2665">
        <v>12</v>
      </c>
      <c r="O620" s="589">
        <v>12</v>
      </c>
      <c r="P620" s="2665">
        <v>12</v>
      </c>
      <c r="Q620" s="2665">
        <v>12</v>
      </c>
      <c r="R620" s="1142">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20">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5988"/>
      <c r="C621" s="489"/>
      <c r="D621" s="80" t="s">
        <v>10276</v>
      </c>
      <c r="E621" s="2665">
        <v>0</v>
      </c>
      <c r="F621" s="2665">
        <v>0</v>
      </c>
      <c r="G621" s="2665">
        <v>0</v>
      </c>
      <c r="H621" s="2665">
        <v>0</v>
      </c>
      <c r="I621" s="589">
        <v>0</v>
      </c>
      <c r="J621" s="2665" t="s">
        <v>1153</v>
      </c>
      <c r="K621" s="2665" t="s">
        <v>1972</v>
      </c>
      <c r="L621" s="2665">
        <v>2</v>
      </c>
      <c r="M621" s="2665">
        <v>2</v>
      </c>
      <c r="N621" s="2665">
        <v>2</v>
      </c>
      <c r="O621" s="589">
        <v>2</v>
      </c>
      <c r="P621" s="2665">
        <v>2</v>
      </c>
      <c r="Q621" s="2665">
        <v>2</v>
      </c>
      <c r="R621" s="1142">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5988"/>
      <c r="C622" s="489"/>
      <c r="D622" s="80" t="s">
        <v>10277</v>
      </c>
      <c r="E622" s="2665">
        <v>0</v>
      </c>
      <c r="F622" s="2665">
        <v>0</v>
      </c>
      <c r="G622" s="2665">
        <v>0</v>
      </c>
      <c r="H622" s="2665">
        <v>0</v>
      </c>
      <c r="I622" s="589">
        <v>0</v>
      </c>
      <c r="J622" s="2665" t="s">
        <v>1153</v>
      </c>
      <c r="K622" s="2665" t="s">
        <v>1972</v>
      </c>
      <c r="L622" s="2665">
        <v>4</v>
      </c>
      <c r="M622" s="2665">
        <v>4</v>
      </c>
      <c r="N622" s="2665">
        <v>4</v>
      </c>
      <c r="O622" s="589">
        <v>4</v>
      </c>
      <c r="P622" s="2665">
        <v>4</v>
      </c>
      <c r="Q622" s="2665">
        <v>4</v>
      </c>
      <c r="R622" s="1142">
        <v>0</v>
      </c>
      <c r="U622" s="88"/>
      <c r="V622" s="80" t="s">
        <v>1186</v>
      </c>
      <c r="W622" s="77">
        <v>0</v>
      </c>
      <c r="X622" s="77">
        <v>0</v>
      </c>
      <c r="Y622" s="77">
        <v>8</v>
      </c>
      <c r="Z622" s="77">
        <v>15</v>
      </c>
      <c r="AA622" s="77" t="s">
        <v>1560</v>
      </c>
      <c r="AB622" s="77" t="s">
        <v>1150</v>
      </c>
      <c r="AC622" s="77">
        <v>2</v>
      </c>
      <c r="AD622" s="77">
        <v>2</v>
      </c>
      <c r="AE622" s="77">
        <v>1</v>
      </c>
      <c r="AF622" s="77">
        <v>1</v>
      </c>
      <c r="AG622" s="77">
        <v>1</v>
      </c>
      <c r="AH622" s="77">
        <v>1</v>
      </c>
      <c r="AI622" s="232">
        <v>0</v>
      </c>
    </row>
    <row r="623" spans="1:39" ht="12.75" customHeight="1" x14ac:dyDescent="0.2">
      <c r="A623" s="227">
        <v>623</v>
      </c>
      <c r="B623" s="5988"/>
      <c r="C623" s="489"/>
      <c r="D623" s="80" t="s">
        <v>10278</v>
      </c>
      <c r="E623" s="2665">
        <v>0</v>
      </c>
      <c r="F623" s="2665">
        <v>0</v>
      </c>
      <c r="G623" s="2665">
        <v>0</v>
      </c>
      <c r="H623" s="2665">
        <v>0</v>
      </c>
      <c r="I623" s="589">
        <v>0</v>
      </c>
      <c r="J623" s="2665" t="s">
        <v>1153</v>
      </c>
      <c r="K623" s="2665" t="s">
        <v>1972</v>
      </c>
      <c r="L623" s="2665">
        <v>6</v>
      </c>
      <c r="M623" s="2665">
        <v>6</v>
      </c>
      <c r="N623" s="2665">
        <v>6</v>
      </c>
      <c r="O623" s="589">
        <v>6</v>
      </c>
      <c r="P623" s="2665">
        <v>6</v>
      </c>
      <c r="Q623" s="2665">
        <v>6</v>
      </c>
      <c r="R623" s="1142">
        <v>0</v>
      </c>
      <c r="U623" s="88"/>
      <c r="V623" s="80" t="s">
        <v>1187</v>
      </c>
      <c r="W623" s="77">
        <v>0</v>
      </c>
      <c r="X623" s="77">
        <v>0</v>
      </c>
      <c r="Y623" s="77">
        <v>10</v>
      </c>
      <c r="Z623" s="77">
        <v>15</v>
      </c>
      <c r="AA623" s="77" t="s">
        <v>1560</v>
      </c>
      <c r="AB623" s="77" t="s">
        <v>1149</v>
      </c>
      <c r="AC623" s="77">
        <v>1</v>
      </c>
      <c r="AD623" s="77">
        <v>0</v>
      </c>
      <c r="AE623" s="77">
        <v>2</v>
      </c>
      <c r="AF623" s="77">
        <v>1</v>
      </c>
      <c r="AG623" s="77">
        <v>3</v>
      </c>
      <c r="AH623" s="77">
        <v>1</v>
      </c>
      <c r="AI623" s="232">
        <v>0</v>
      </c>
    </row>
    <row r="624" spans="1:39" ht="12.75" customHeight="1" x14ac:dyDescent="0.2">
      <c r="A624" s="227">
        <v>624</v>
      </c>
      <c r="B624" s="5988"/>
      <c r="C624" s="489"/>
      <c r="D624" s="80" t="s">
        <v>10279</v>
      </c>
      <c r="E624" s="2665">
        <v>0</v>
      </c>
      <c r="F624" s="2665">
        <v>0</v>
      </c>
      <c r="G624" s="2665">
        <v>0</v>
      </c>
      <c r="H624" s="2665">
        <v>0</v>
      </c>
      <c r="I624" s="589">
        <v>0</v>
      </c>
      <c r="J624" s="2665" t="s">
        <v>1153</v>
      </c>
      <c r="K624" s="2665" t="s">
        <v>1972</v>
      </c>
      <c r="L624" s="2665">
        <v>8</v>
      </c>
      <c r="M624" s="2665">
        <v>8</v>
      </c>
      <c r="N624" s="2665">
        <v>8</v>
      </c>
      <c r="O624" s="589">
        <v>8</v>
      </c>
      <c r="P624" s="2665">
        <v>8</v>
      </c>
      <c r="Q624" s="2665">
        <v>8</v>
      </c>
      <c r="R624" s="1142">
        <v>0</v>
      </c>
      <c r="U624" s="88"/>
      <c r="V624" s="80" t="s">
        <v>1188</v>
      </c>
      <c r="W624" s="77">
        <v>0</v>
      </c>
      <c r="X624" s="77">
        <v>-10</v>
      </c>
      <c r="Y624" s="77">
        <v>13</v>
      </c>
      <c r="Z624" s="77">
        <v>20</v>
      </c>
      <c r="AA624" s="77" t="s">
        <v>1560</v>
      </c>
      <c r="AB624" s="77" t="s">
        <v>1149</v>
      </c>
      <c r="AC624" s="77">
        <v>4</v>
      </c>
      <c r="AD624" s="77">
        <v>2</v>
      </c>
      <c r="AE624" s="77">
        <v>1</v>
      </c>
      <c r="AF624" s="77">
        <v>2</v>
      </c>
      <c r="AG624" s="77">
        <v>0</v>
      </c>
      <c r="AH624" s="77">
        <v>1</v>
      </c>
      <c r="AI624" s="232">
        <v>0</v>
      </c>
    </row>
    <row r="625" spans="1:73" ht="12.75" customHeight="1" x14ac:dyDescent="0.2">
      <c r="A625" s="227">
        <v>625</v>
      </c>
      <c r="B625" s="5988"/>
      <c r="C625" s="489"/>
      <c r="D625" s="80" t="s">
        <v>10280</v>
      </c>
      <c r="E625" s="2665">
        <v>0</v>
      </c>
      <c r="F625" s="2665">
        <v>0</v>
      </c>
      <c r="G625" s="2665">
        <v>0</v>
      </c>
      <c r="H625" s="2665">
        <v>0</v>
      </c>
      <c r="I625" s="589">
        <v>0</v>
      </c>
      <c r="J625" s="2665" t="s">
        <v>1153</v>
      </c>
      <c r="K625" s="2665" t="s">
        <v>1149</v>
      </c>
      <c r="L625" s="2665">
        <v>4</v>
      </c>
      <c r="M625" s="2665">
        <v>4</v>
      </c>
      <c r="N625" s="2665">
        <v>4</v>
      </c>
      <c r="O625" s="589">
        <v>4</v>
      </c>
      <c r="P625" s="2665">
        <v>4</v>
      </c>
      <c r="Q625" s="2665">
        <v>4</v>
      </c>
      <c r="R625" s="1142">
        <v>4</v>
      </c>
      <c r="U625" s="88"/>
      <c r="V625" s="80" t="s">
        <v>1189</v>
      </c>
      <c r="W625" s="77">
        <v>0</v>
      </c>
      <c r="X625" s="77">
        <v>0</v>
      </c>
      <c r="Y625" s="77">
        <v>12</v>
      </c>
      <c r="Z625" s="77">
        <v>15</v>
      </c>
      <c r="AA625" s="77" t="s">
        <v>1560</v>
      </c>
      <c r="AB625" s="77" t="s">
        <v>1150</v>
      </c>
      <c r="AC625" s="77">
        <v>4</v>
      </c>
      <c r="AD625" s="77">
        <v>4</v>
      </c>
      <c r="AE625" s="77">
        <v>3</v>
      </c>
      <c r="AF625" s="77">
        <v>2</v>
      </c>
      <c r="AG625" s="77">
        <v>0</v>
      </c>
      <c r="AH625" s="77">
        <v>3</v>
      </c>
      <c r="AI625" s="232">
        <v>0</v>
      </c>
    </row>
    <row r="626" spans="1:73" ht="12.75" customHeight="1" x14ac:dyDescent="0.2">
      <c r="A626" s="227">
        <v>626</v>
      </c>
      <c r="B626" s="5988"/>
      <c r="C626" s="489"/>
      <c r="D626" s="80" t="s">
        <v>10281</v>
      </c>
      <c r="E626" s="2665">
        <v>0</v>
      </c>
      <c r="F626" s="2665">
        <v>0</v>
      </c>
      <c r="G626" s="2665">
        <v>0</v>
      </c>
      <c r="H626" s="2665">
        <v>0</v>
      </c>
      <c r="I626" s="589">
        <v>0</v>
      </c>
      <c r="J626" s="2665" t="s">
        <v>1153</v>
      </c>
      <c r="K626" s="2665" t="s">
        <v>1972</v>
      </c>
      <c r="L626" s="2665">
        <v>0</v>
      </c>
      <c r="M626" s="2665">
        <v>0</v>
      </c>
      <c r="N626" s="2665">
        <v>0</v>
      </c>
      <c r="O626" s="589">
        <v>0</v>
      </c>
      <c r="P626" s="2665">
        <v>0</v>
      </c>
      <c r="Q626" s="2665">
        <v>0</v>
      </c>
      <c r="R626" s="1142">
        <v>4</v>
      </c>
      <c r="U626" s="88"/>
      <c r="V626" s="80" t="s">
        <v>1190</v>
      </c>
      <c r="W626" s="77">
        <v>0</v>
      </c>
      <c r="X626" s="77">
        <v>0</v>
      </c>
      <c r="Y626" s="77">
        <v>12</v>
      </c>
      <c r="Z626" s="77">
        <v>15</v>
      </c>
      <c r="AA626" s="77" t="s">
        <v>1560</v>
      </c>
      <c r="AB626" s="77" t="s">
        <v>1150</v>
      </c>
      <c r="AC626" s="77">
        <v>3</v>
      </c>
      <c r="AD626" s="77">
        <v>3</v>
      </c>
      <c r="AE626" s="77">
        <v>3</v>
      </c>
      <c r="AF626" s="77">
        <v>1</v>
      </c>
      <c r="AG626" s="77">
        <v>1</v>
      </c>
      <c r="AH626" s="77">
        <v>2</v>
      </c>
      <c r="AI626" s="232">
        <v>0</v>
      </c>
      <c r="AJ626" s="2855"/>
      <c r="AK626" s="2855"/>
      <c r="AL626" s="2855"/>
      <c r="AM626" s="2855"/>
      <c r="AN626" s="2855"/>
      <c r="AO626" s="2855"/>
    </row>
    <row r="627" spans="1:73" ht="12.75" customHeight="1" x14ac:dyDescent="0.2">
      <c r="A627" s="227">
        <v>627</v>
      </c>
      <c r="B627" s="5988"/>
      <c r="C627" s="489"/>
      <c r="D627" s="80" t="s">
        <v>10282</v>
      </c>
      <c r="E627" s="2665">
        <v>0</v>
      </c>
      <c r="F627" s="2665">
        <v>0</v>
      </c>
      <c r="G627" s="2665">
        <v>0</v>
      </c>
      <c r="H627" s="2665">
        <v>0</v>
      </c>
      <c r="I627" s="589">
        <v>0</v>
      </c>
      <c r="J627" s="2665" t="s">
        <v>1153</v>
      </c>
      <c r="K627" s="2665" t="s">
        <v>1972</v>
      </c>
      <c r="L627" s="2665">
        <v>0</v>
      </c>
      <c r="M627" s="2665">
        <v>0</v>
      </c>
      <c r="N627" s="2665">
        <v>0</v>
      </c>
      <c r="O627" s="589">
        <v>0</v>
      </c>
      <c r="P627" s="2665">
        <v>0</v>
      </c>
      <c r="Q627" s="2665">
        <v>0</v>
      </c>
      <c r="R627" s="1142">
        <v>6</v>
      </c>
      <c r="U627" s="88"/>
      <c r="V627" s="80" t="s">
        <v>1191</v>
      </c>
      <c r="W627" s="77">
        <v>5</v>
      </c>
      <c r="X627" s="77">
        <v>-20</v>
      </c>
      <c r="Y627" s="77">
        <v>16</v>
      </c>
      <c r="Z627" s="77">
        <v>25</v>
      </c>
      <c r="AA627" s="77" t="s">
        <v>1560</v>
      </c>
      <c r="AB627" s="77" t="s">
        <v>1150</v>
      </c>
      <c r="AC627" s="77">
        <v>5</v>
      </c>
      <c r="AD627" s="77">
        <v>4</v>
      </c>
      <c r="AE627" s="77">
        <v>5</v>
      </c>
      <c r="AF627" s="77">
        <v>3</v>
      </c>
      <c r="AG627" s="77">
        <v>0</v>
      </c>
      <c r="AH627" s="77">
        <v>3</v>
      </c>
      <c r="AI627" s="232">
        <v>1</v>
      </c>
      <c r="AJ627" s="2855"/>
      <c r="AK627" s="2855"/>
      <c r="AL627" s="2855"/>
      <c r="AM627" s="2855"/>
      <c r="AN627" s="2855"/>
      <c r="AO627" s="2855"/>
    </row>
    <row r="628" spans="1:73" ht="12.75" customHeight="1" thickBot="1" x14ac:dyDescent="0.25">
      <c r="A628" s="227">
        <v>628</v>
      </c>
      <c r="B628" s="5988"/>
      <c r="C628" s="489"/>
      <c r="D628" s="80" t="s">
        <v>10283</v>
      </c>
      <c r="E628" s="2665">
        <v>0</v>
      </c>
      <c r="F628" s="2665">
        <v>0</v>
      </c>
      <c r="G628" s="2665">
        <v>0</v>
      </c>
      <c r="H628" s="2665">
        <v>0</v>
      </c>
      <c r="I628" s="589">
        <v>0</v>
      </c>
      <c r="J628" s="2665" t="s">
        <v>1153</v>
      </c>
      <c r="K628" s="2665" t="s">
        <v>1972</v>
      </c>
      <c r="L628" s="2665">
        <v>0</v>
      </c>
      <c r="M628" s="2665">
        <v>0</v>
      </c>
      <c r="N628" s="2665">
        <v>0</v>
      </c>
      <c r="O628" s="589">
        <v>0</v>
      </c>
      <c r="P628" s="2665">
        <v>0</v>
      </c>
      <c r="Q628" s="2665">
        <v>0</v>
      </c>
      <c r="R628" s="1142">
        <v>8</v>
      </c>
      <c r="U628" s="189"/>
      <c r="V628" s="247" t="s">
        <v>1192</v>
      </c>
      <c r="W628" s="197">
        <v>10</v>
      </c>
      <c r="X628" s="197">
        <v>-30</v>
      </c>
      <c r="Y628" s="197">
        <v>16</v>
      </c>
      <c r="Z628" s="197">
        <v>25</v>
      </c>
      <c r="AA628" s="197" t="s">
        <v>1560</v>
      </c>
      <c r="AB628" s="197" t="s">
        <v>1150</v>
      </c>
      <c r="AC628" s="197">
        <v>5</v>
      </c>
      <c r="AD628" s="197">
        <v>5</v>
      </c>
      <c r="AE628" s="197">
        <v>5</v>
      </c>
      <c r="AF628" s="197">
        <v>4</v>
      </c>
      <c r="AG628" s="197">
        <v>0</v>
      </c>
      <c r="AH628" s="197">
        <v>4</v>
      </c>
      <c r="AI628" s="233">
        <v>2</v>
      </c>
      <c r="AJ628" s="2855"/>
      <c r="AK628" s="2855"/>
      <c r="AL628" s="2855"/>
      <c r="AM628" s="2855"/>
      <c r="AN628" s="2855"/>
      <c r="AO628" s="2855"/>
    </row>
    <row r="629" spans="1:73" ht="12.75" customHeight="1" x14ac:dyDescent="0.2">
      <c r="A629" s="227">
        <v>629</v>
      </c>
      <c r="B629" s="5988"/>
      <c r="C629" s="489"/>
      <c r="D629" s="80" t="s">
        <v>10284</v>
      </c>
      <c r="E629" s="2665">
        <v>0</v>
      </c>
      <c r="F629" s="2665">
        <v>0</v>
      </c>
      <c r="G629" s="2665">
        <v>0</v>
      </c>
      <c r="H629" s="2665">
        <v>0</v>
      </c>
      <c r="I629" s="589">
        <v>0</v>
      </c>
      <c r="J629" s="2665" t="s">
        <v>1153</v>
      </c>
      <c r="K629" s="2665" t="s">
        <v>1972</v>
      </c>
      <c r="L629" s="2665">
        <v>0</v>
      </c>
      <c r="M629" s="2665">
        <v>0</v>
      </c>
      <c r="N629" s="2665">
        <v>0</v>
      </c>
      <c r="O629" s="589">
        <v>0</v>
      </c>
      <c r="P629" s="2665">
        <v>0</v>
      </c>
      <c r="Q629" s="2665">
        <v>0</v>
      </c>
      <c r="R629" s="1142">
        <v>10</v>
      </c>
      <c r="Y629" s="2855"/>
      <c r="Z629" s="2855"/>
      <c r="AA629" s="2855"/>
      <c r="AB629" s="2855"/>
      <c r="AC629" s="2855"/>
      <c r="AD629" s="2855"/>
      <c r="AE629" s="2855"/>
      <c r="AF629" s="2855"/>
      <c r="AG629" s="2855"/>
      <c r="AH629" s="2855"/>
      <c r="AI629" s="2855"/>
      <c r="AJ629" s="2855"/>
      <c r="AK629" s="2855"/>
      <c r="AL629" s="2855"/>
      <c r="AM629" s="2855"/>
      <c r="AN629" s="2855"/>
      <c r="AO629" s="2855"/>
    </row>
    <row r="630" spans="1:73" ht="12.75" customHeight="1" x14ac:dyDescent="0.2">
      <c r="A630" s="227">
        <v>630</v>
      </c>
      <c r="B630" s="5988"/>
      <c r="C630" s="489"/>
      <c r="D630" s="80" t="s">
        <v>1181</v>
      </c>
      <c r="E630" s="77">
        <v>0</v>
      </c>
      <c r="F630" s="77">
        <v>0</v>
      </c>
      <c r="G630" s="77">
        <v>0</v>
      </c>
      <c r="H630" s="77">
        <v>0</v>
      </c>
      <c r="I630" s="589">
        <v>0</v>
      </c>
      <c r="J630" s="77" t="s">
        <v>1456</v>
      </c>
      <c r="K630" s="77" t="s">
        <v>1456</v>
      </c>
      <c r="L630" s="77">
        <v>0</v>
      </c>
      <c r="M630" s="77">
        <v>0</v>
      </c>
      <c r="N630" s="77">
        <v>0</v>
      </c>
      <c r="O630" s="589">
        <v>0</v>
      </c>
      <c r="P630" s="77">
        <v>0</v>
      </c>
      <c r="Q630" s="77">
        <v>0</v>
      </c>
      <c r="R630" s="1142">
        <v>0</v>
      </c>
    </row>
    <row r="631" spans="1:73" ht="12.75" customHeight="1" x14ac:dyDescent="0.2">
      <c r="A631" s="227">
        <v>631</v>
      </c>
      <c r="B631" s="5988"/>
      <c r="C631" s="489"/>
      <c r="D631" s="80" t="str">
        <f>IF(Personalización!Y31=0,"Armadura #1",Personalización!Y31)</f>
        <v>Armadura #1</v>
      </c>
      <c r="E631" s="77">
        <f>Personalización!W33</f>
        <v>0</v>
      </c>
      <c r="F631" s="77">
        <f>Personalización!Y33</f>
        <v>0</v>
      </c>
      <c r="G631" s="77">
        <f>Personalización!AA33</f>
        <v>0</v>
      </c>
      <c r="H631" s="77">
        <f>Personalización!AC37</f>
        <v>0</v>
      </c>
      <c r="I631" s="589">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9">
        <f>Personalización!Z35</f>
        <v>0</v>
      </c>
      <c r="P631" s="77">
        <f>Personalización!AA35</f>
        <v>0</v>
      </c>
      <c r="Q631" s="77">
        <f>Personalización!AB35</f>
        <v>0</v>
      </c>
      <c r="R631" s="1142">
        <f>Personalización!AC35</f>
        <v>0</v>
      </c>
    </row>
    <row r="632" spans="1:73" ht="12.75" customHeight="1" thickBot="1" x14ac:dyDescent="0.25">
      <c r="A632" s="227">
        <v>632</v>
      </c>
      <c r="B632" s="5988"/>
      <c r="C632" s="491"/>
      <c r="D632" s="1143" t="str">
        <f>IF(Personalización!AF31=0,"Armadura #2",Personalización!AF31)</f>
        <v>Armadura #2</v>
      </c>
      <c r="E632" s="492">
        <f>Personalización!AD33</f>
        <v>0</v>
      </c>
      <c r="F632" s="492">
        <f>Personalización!AF33</f>
        <v>0</v>
      </c>
      <c r="G632" s="492">
        <f>Personalización!AH33</f>
        <v>0</v>
      </c>
      <c r="H632" s="492">
        <f>Personalización!AJ37</f>
        <v>0</v>
      </c>
      <c r="I632" s="611">
        <f>Personalización!AJ38</f>
        <v>0</v>
      </c>
      <c r="J632" s="492" t="str">
        <f>IF(Personalización!AF38&lt;&gt;"",Personalización!AF38,"-")</f>
        <v>-</v>
      </c>
      <c r="K632" s="492" t="str">
        <f>IF(Personalización!AF37&lt;&gt;"",Personalización!AF37,"-")</f>
        <v>-</v>
      </c>
      <c r="L632" s="492">
        <f>Personalización!AD35</f>
        <v>0</v>
      </c>
      <c r="M632" s="492">
        <f>Personalización!AE35</f>
        <v>0</v>
      </c>
      <c r="N632" s="492">
        <f>Personalización!AF35</f>
        <v>0</v>
      </c>
      <c r="O632" s="611">
        <f>Personalización!AG35</f>
        <v>0</v>
      </c>
      <c r="P632" s="492">
        <f>Personalización!AH35</f>
        <v>0</v>
      </c>
      <c r="Q632" s="492">
        <f>Personalización!AI35</f>
        <v>0</v>
      </c>
      <c r="R632" s="685">
        <f>Personalización!AJ35</f>
        <v>0</v>
      </c>
      <c r="AG632" s="6238" t="s">
        <v>8735</v>
      </c>
      <c r="AH632" s="6238"/>
      <c r="AI632" s="6238"/>
      <c r="AJ632" s="6238"/>
      <c r="AK632" s="6238"/>
      <c r="AL632" s="6238"/>
      <c r="AM632" s="6238"/>
      <c r="AN632" s="6238"/>
      <c r="AO632" s="6238"/>
      <c r="AP632" s="6238"/>
      <c r="AQ632" s="6238"/>
      <c r="AR632" s="6238"/>
      <c r="AS632" s="6238"/>
      <c r="AT632" s="6238"/>
      <c r="AU632" s="6238"/>
      <c r="AV632" s="6238"/>
      <c r="AW632" s="6238"/>
      <c r="AX632" s="6238"/>
      <c r="AY632" s="6238"/>
      <c r="AZ632" s="6238"/>
      <c r="BA632" s="6238"/>
      <c r="BB632" s="6238"/>
      <c r="BC632" s="6238"/>
      <c r="BD632" s="6238"/>
      <c r="BE632" s="6238"/>
      <c r="BF632" s="6238"/>
      <c r="BG632" s="6238"/>
      <c r="BH632" s="6238"/>
      <c r="BI632" s="6238"/>
      <c r="BJ632" s="6238"/>
      <c r="BK632" s="6238"/>
      <c r="BL632" s="6238"/>
      <c r="BM632" s="6238"/>
      <c r="BN632" s="6238"/>
      <c r="BO632" s="6238"/>
      <c r="BP632" s="6238"/>
      <c r="BQ632" s="6238"/>
      <c r="BR632" s="6238"/>
      <c r="BS632" s="6238"/>
      <c r="BT632" s="6238"/>
      <c r="BU632" s="6238"/>
    </row>
    <row r="633" spans="1:73" ht="12.75" customHeight="1" thickBot="1" x14ac:dyDescent="0.25">
      <c r="A633" s="227">
        <v>633</v>
      </c>
      <c r="B633" s="5988"/>
      <c r="AG633" s="6238"/>
      <c r="AH633" s="6238"/>
      <c r="AI633" s="6238"/>
      <c r="AJ633" s="6238"/>
      <c r="AK633" s="6238"/>
      <c r="AL633" s="6238"/>
      <c r="AM633" s="6238"/>
      <c r="AN633" s="6238"/>
      <c r="AO633" s="6238"/>
      <c r="AP633" s="6238"/>
      <c r="AQ633" s="6238"/>
      <c r="AR633" s="6238"/>
      <c r="AS633" s="6238"/>
      <c r="AT633" s="6238"/>
      <c r="AU633" s="6238"/>
      <c r="AV633" s="6238"/>
      <c r="AW633" s="6238"/>
      <c r="AX633" s="6238"/>
      <c r="AY633" s="6238"/>
      <c r="AZ633" s="6238"/>
      <c r="BA633" s="6238"/>
      <c r="BB633" s="6238"/>
      <c r="BC633" s="6238"/>
      <c r="BD633" s="6238"/>
      <c r="BE633" s="6238"/>
      <c r="BF633" s="6238"/>
      <c r="BG633" s="6238"/>
      <c r="BH633" s="6238"/>
      <c r="BI633" s="6238"/>
      <c r="BJ633" s="6238"/>
      <c r="BK633" s="6238"/>
      <c r="BL633" s="6238"/>
      <c r="BM633" s="6238"/>
      <c r="BN633" s="6238"/>
      <c r="BO633" s="6238"/>
      <c r="BP633" s="6238"/>
      <c r="BQ633" s="6238"/>
      <c r="BR633" s="6238"/>
      <c r="BS633" s="6238"/>
      <c r="BT633" s="6238"/>
      <c r="BU633" s="6238"/>
    </row>
    <row r="634" spans="1:73" ht="12.75" customHeight="1" thickBot="1" x14ac:dyDescent="0.25">
      <c r="A634" s="227">
        <v>634</v>
      </c>
      <c r="B634" s="5988"/>
      <c r="C634" s="6151" t="s">
        <v>2096</v>
      </c>
      <c r="D634" s="6152"/>
      <c r="E634" s="6152"/>
      <c r="F634" s="6152"/>
      <c r="G634" s="6152"/>
      <c r="H634" s="6152"/>
      <c r="I634" s="6152"/>
      <c r="J634" s="6152"/>
      <c r="K634" s="6152"/>
      <c r="L634" s="6152"/>
      <c r="M634" s="6152"/>
      <c r="N634" s="6152"/>
      <c r="O634" s="6152"/>
      <c r="P634" s="6152"/>
      <c r="Q634" s="6152"/>
      <c r="R634" s="6152"/>
      <c r="S634" s="6152"/>
      <c r="T634" s="6152"/>
      <c r="U634" s="6152"/>
      <c r="V634" s="6152"/>
      <c r="W634" s="6152"/>
      <c r="X634" s="6152"/>
      <c r="Y634" s="6153"/>
      <c r="Z634" s="5880" t="s">
        <v>7233</v>
      </c>
      <c r="AB634" s="1367"/>
      <c r="AC634" s="1367"/>
      <c r="AD634" s="1367"/>
      <c r="AG634" s="4779" t="s">
        <v>8721</v>
      </c>
      <c r="AH634" s="4912"/>
      <c r="AI634" s="4912"/>
      <c r="AJ634" s="4912"/>
      <c r="AK634" s="4913"/>
      <c r="AL634" s="1367">
        <f>PDs!Y43</f>
        <v>0</v>
      </c>
      <c r="AM634" s="6225"/>
      <c r="AN634" s="4779" t="s">
        <v>8722</v>
      </c>
      <c r="AO634" s="4912"/>
      <c r="AP634" s="4912"/>
      <c r="AQ634" s="6161"/>
      <c r="AR634" s="6162"/>
      <c r="AS634" s="1367">
        <f>PDs!Y44</f>
        <v>0</v>
      </c>
      <c r="AT634" s="6225"/>
      <c r="AU634" s="4779" t="s">
        <v>8723</v>
      </c>
      <c r="AV634" s="4912"/>
      <c r="AW634" s="4912"/>
      <c r="AX634" s="4912"/>
      <c r="AY634" s="4913"/>
      <c r="AZ634" s="1367">
        <f>PDs!Y45</f>
        <v>0</v>
      </c>
      <c r="BA634" s="6225"/>
      <c r="BB634" s="4779" t="s">
        <v>8724</v>
      </c>
      <c r="BC634" s="4912"/>
      <c r="BD634" s="4912"/>
      <c r="BE634" s="4912"/>
      <c r="BF634" s="4913"/>
      <c r="BG634" s="1367">
        <f>PDs!Y46</f>
        <v>0</v>
      </c>
      <c r="BH634" s="6225"/>
      <c r="BI634" s="4779" t="s">
        <v>8725</v>
      </c>
      <c r="BJ634" s="4912"/>
      <c r="BK634" s="4912"/>
      <c r="BL634" s="4912"/>
      <c r="BM634" s="4913"/>
      <c r="BN634" s="1367">
        <f>PDs!Y47</f>
        <v>0</v>
      </c>
      <c r="BO634" s="6225"/>
      <c r="BP634" s="4779" t="s">
        <v>8726</v>
      </c>
      <c r="BQ634" s="4912"/>
      <c r="BR634" s="4912"/>
      <c r="BS634" s="4912"/>
      <c r="BT634" s="4913"/>
      <c r="BU634" s="1367">
        <f>PDs!Y48</f>
        <v>0</v>
      </c>
    </row>
    <row r="635" spans="1:73" ht="12.75" customHeight="1" thickBot="1" x14ac:dyDescent="0.25">
      <c r="A635" s="227">
        <v>635</v>
      </c>
      <c r="B635" s="5988"/>
      <c r="C635" s="6154"/>
      <c r="D635" s="6155"/>
      <c r="E635" s="6155"/>
      <c r="F635" s="6155"/>
      <c r="G635" s="6155"/>
      <c r="H635" s="6155"/>
      <c r="I635" s="6155"/>
      <c r="J635" s="6155"/>
      <c r="K635" s="6155"/>
      <c r="L635" s="6155"/>
      <c r="M635" s="6155"/>
      <c r="N635" s="6155"/>
      <c r="O635" s="6155"/>
      <c r="P635" s="6155"/>
      <c r="Q635" s="6155"/>
      <c r="R635" s="6155"/>
      <c r="S635" s="6155"/>
      <c r="T635" s="6155"/>
      <c r="U635" s="6155"/>
      <c r="V635" s="6155"/>
      <c r="W635" s="6155"/>
      <c r="X635" s="6155"/>
      <c r="Y635" s="6156"/>
      <c r="Z635" s="6159"/>
      <c r="AG635" s="1624" t="s">
        <v>1211</v>
      </c>
      <c r="AH635" s="1625" t="s">
        <v>1210</v>
      </c>
      <c r="AI635" s="1640" t="s">
        <v>1209</v>
      </c>
      <c r="AJ635" s="1624" t="s">
        <v>1211</v>
      </c>
      <c r="AK635" s="1625" t="s">
        <v>1210</v>
      </c>
      <c r="AL635" s="1640" t="s">
        <v>1209</v>
      </c>
      <c r="AM635" s="6225"/>
      <c r="AN635" s="1624" t="s">
        <v>1211</v>
      </c>
      <c r="AO635" s="1625" t="s">
        <v>1210</v>
      </c>
      <c r="AP635" s="1640" t="s">
        <v>1209</v>
      </c>
      <c r="AQ635" s="1624" t="s">
        <v>1211</v>
      </c>
      <c r="AR635" s="1625" t="s">
        <v>1210</v>
      </c>
      <c r="AS635" s="1640" t="s">
        <v>1209</v>
      </c>
      <c r="AT635" s="6225"/>
      <c r="AU635" s="1624" t="s">
        <v>1211</v>
      </c>
      <c r="AV635" s="1625" t="s">
        <v>1210</v>
      </c>
      <c r="AW635" s="1640" t="s">
        <v>1209</v>
      </c>
      <c r="AX635" s="1624" t="s">
        <v>1211</v>
      </c>
      <c r="AY635" s="1625" t="s">
        <v>1210</v>
      </c>
      <c r="AZ635" s="1640" t="s">
        <v>1209</v>
      </c>
      <c r="BA635" s="6225"/>
      <c r="BB635" s="1624" t="s">
        <v>1211</v>
      </c>
      <c r="BC635" s="1625" t="s">
        <v>1210</v>
      </c>
      <c r="BD635" s="1640" t="s">
        <v>1209</v>
      </c>
      <c r="BE635" s="1624" t="s">
        <v>1211</v>
      </c>
      <c r="BF635" s="1625" t="s">
        <v>1210</v>
      </c>
      <c r="BG635" s="1640" t="s">
        <v>1209</v>
      </c>
      <c r="BH635" s="6225"/>
      <c r="BI635" s="1624" t="s">
        <v>1211</v>
      </c>
      <c r="BJ635" s="1625" t="s">
        <v>1210</v>
      </c>
      <c r="BK635" s="1640" t="s">
        <v>1209</v>
      </c>
      <c r="BL635" s="1624" t="s">
        <v>1211</v>
      </c>
      <c r="BM635" s="1625" t="s">
        <v>1210</v>
      </c>
      <c r="BN635" s="1640" t="s">
        <v>1209</v>
      </c>
      <c r="BO635" s="6225"/>
      <c r="BP635" s="1624" t="s">
        <v>1211</v>
      </c>
      <c r="BQ635" s="1625" t="s">
        <v>1210</v>
      </c>
      <c r="BR635" s="1640" t="s">
        <v>1209</v>
      </c>
      <c r="BS635" s="1624" t="s">
        <v>1211</v>
      </c>
      <c r="BT635" s="1625" t="s">
        <v>1210</v>
      </c>
      <c r="BU635" s="1640" t="s">
        <v>1209</v>
      </c>
    </row>
    <row r="636" spans="1:73" ht="12.75" customHeight="1" thickBot="1" x14ac:dyDescent="0.25">
      <c r="A636" s="227">
        <v>636</v>
      </c>
      <c r="B636" s="5988"/>
      <c r="C636" s="1063"/>
      <c r="D636" s="2627">
        <v>1</v>
      </c>
      <c r="E636" s="2627">
        <v>2</v>
      </c>
      <c r="F636" s="2627">
        <v>3</v>
      </c>
      <c r="G636" s="2627">
        <v>4</v>
      </c>
      <c r="H636" s="2627">
        <v>5</v>
      </c>
      <c r="I636" s="2627">
        <v>6</v>
      </c>
      <c r="J636" s="2627">
        <v>7</v>
      </c>
      <c r="K636" s="2627">
        <v>8</v>
      </c>
      <c r="L636" s="2627">
        <v>9</v>
      </c>
      <c r="M636" s="2627">
        <v>10</v>
      </c>
      <c r="N636" s="2627">
        <v>11</v>
      </c>
      <c r="O636" s="2627">
        <v>12</v>
      </c>
      <c r="P636" s="2627">
        <v>13</v>
      </c>
      <c r="Q636" s="2627">
        <v>14</v>
      </c>
      <c r="R636" s="2627">
        <v>15</v>
      </c>
      <c r="S636" s="2627">
        <v>16</v>
      </c>
      <c r="T636" s="2627">
        <v>17</v>
      </c>
      <c r="U636" s="2627">
        <v>18</v>
      </c>
      <c r="V636" s="2627">
        <v>19</v>
      </c>
      <c r="W636" s="2627">
        <v>20</v>
      </c>
      <c r="X636" s="2627">
        <v>21</v>
      </c>
      <c r="Y636" s="1064">
        <v>22</v>
      </c>
      <c r="Z636" s="5881"/>
      <c r="AB636" s="6033" t="s">
        <v>1205</v>
      </c>
      <c r="AC636" s="6034"/>
      <c r="AD636" s="6034"/>
      <c r="AE636" s="6035"/>
      <c r="AF636" s="1377"/>
      <c r="AG636" s="1364" t="s">
        <v>8335</v>
      </c>
      <c r="AH636" s="1365" t="s">
        <v>8335</v>
      </c>
      <c r="AI636" s="1366" t="s">
        <v>8335</v>
      </c>
      <c r="AJ636" s="1364" t="s">
        <v>2637</v>
      </c>
      <c r="AK636" s="1365" t="s">
        <v>2637</v>
      </c>
      <c r="AL636" s="1366" t="s">
        <v>2637</v>
      </c>
      <c r="AM636" s="6225"/>
      <c r="AN636" s="1364" t="s">
        <v>8335</v>
      </c>
      <c r="AO636" s="1365" t="s">
        <v>8335</v>
      </c>
      <c r="AP636" s="1366" t="s">
        <v>8335</v>
      </c>
      <c r="AQ636" s="1364" t="s">
        <v>2637</v>
      </c>
      <c r="AR636" s="1365" t="s">
        <v>2637</v>
      </c>
      <c r="AS636" s="1366" t="s">
        <v>2637</v>
      </c>
      <c r="AT636" s="6225"/>
      <c r="AU636" s="1364" t="s">
        <v>8335</v>
      </c>
      <c r="AV636" s="1365" t="s">
        <v>8335</v>
      </c>
      <c r="AW636" s="1366" t="s">
        <v>8335</v>
      </c>
      <c r="AX636" s="1364" t="s">
        <v>2637</v>
      </c>
      <c r="AY636" s="1365" t="s">
        <v>2637</v>
      </c>
      <c r="AZ636" s="1366" t="s">
        <v>2637</v>
      </c>
      <c r="BA636" s="6225"/>
      <c r="BB636" s="1364" t="s">
        <v>8335</v>
      </c>
      <c r="BC636" s="1365" t="s">
        <v>8335</v>
      </c>
      <c r="BD636" s="1366" t="s">
        <v>8335</v>
      </c>
      <c r="BE636" s="1364" t="s">
        <v>2637</v>
      </c>
      <c r="BF636" s="1365" t="s">
        <v>2637</v>
      </c>
      <c r="BG636" s="1366" t="s">
        <v>2637</v>
      </c>
      <c r="BH636" s="6225"/>
      <c r="BI636" s="1364" t="s">
        <v>8335</v>
      </c>
      <c r="BJ636" s="1365" t="s">
        <v>8335</v>
      </c>
      <c r="BK636" s="1366" t="s">
        <v>8335</v>
      </c>
      <c r="BL636" s="1364" t="s">
        <v>2637</v>
      </c>
      <c r="BM636" s="1365" t="s">
        <v>2637</v>
      </c>
      <c r="BN636" s="1366" t="s">
        <v>2637</v>
      </c>
      <c r="BO636" s="6225"/>
      <c r="BP636" s="1364" t="s">
        <v>8335</v>
      </c>
      <c r="BQ636" s="1365" t="s">
        <v>8335</v>
      </c>
      <c r="BR636" s="1366" t="s">
        <v>8335</v>
      </c>
      <c r="BS636" s="1364" t="s">
        <v>2637</v>
      </c>
      <c r="BT636" s="1365" t="s">
        <v>2637</v>
      </c>
      <c r="BU636" s="1366" t="s">
        <v>2637</v>
      </c>
    </row>
    <row r="637" spans="1:73" ht="12.75" customHeight="1" thickBot="1" x14ac:dyDescent="0.25">
      <c r="A637" s="227">
        <v>637</v>
      </c>
      <c r="B637" s="5988"/>
      <c r="C637" s="2638"/>
      <c r="D637" s="2881" t="s">
        <v>1415</v>
      </c>
      <c r="E637" s="2881" t="s">
        <v>1566</v>
      </c>
      <c r="F637" s="2881" t="s">
        <v>1393</v>
      </c>
      <c r="G637" s="2881" t="s">
        <v>2097</v>
      </c>
      <c r="H637" s="2881" t="s">
        <v>2098</v>
      </c>
      <c r="I637" s="2881" t="s">
        <v>2099</v>
      </c>
      <c r="J637" s="2881" t="s">
        <v>2100</v>
      </c>
      <c r="K637" s="2881" t="s">
        <v>2101</v>
      </c>
      <c r="L637" s="2881" t="s">
        <v>7283</v>
      </c>
      <c r="M637" s="2881" t="s">
        <v>1964</v>
      </c>
      <c r="N637" s="2881" t="s">
        <v>1570</v>
      </c>
      <c r="O637" s="2881" t="s">
        <v>2102</v>
      </c>
      <c r="P637" s="2881" t="s">
        <v>2103</v>
      </c>
      <c r="Q637" s="2881" t="s">
        <v>2104</v>
      </c>
      <c r="R637" s="2881" t="s">
        <v>2105</v>
      </c>
      <c r="S637" s="2881" t="s">
        <v>2106</v>
      </c>
      <c r="T637" s="2881" t="s">
        <v>2107</v>
      </c>
      <c r="U637" s="2881" t="s">
        <v>2108</v>
      </c>
      <c r="V637" s="2639" t="s">
        <v>1477</v>
      </c>
      <c r="W637" s="2639"/>
      <c r="X637" s="2639" t="s">
        <v>1901</v>
      </c>
      <c r="Y637" s="2640" t="s">
        <v>10066</v>
      </c>
      <c r="Z637" s="2641"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 Asta/-</v>
      </c>
      <c r="AB637" s="6036"/>
      <c r="AC637" s="6201"/>
      <c r="AD637" s="6201"/>
      <c r="AE637" s="6037"/>
      <c r="AF637" s="1377"/>
      <c r="AG637" s="1641" t="str">
        <f>"Tablas!"&amp;ADDRESS(ROW(AG638),COLUMN(AG638))&amp;":"&amp;ADDRESS(ROW(AG638)+MATCH("",AG$638:AG$775,0)-2,COLUMN(AG638))</f>
        <v>Tablas!$AG$638:$AG$663</v>
      </c>
      <c r="AH637" s="1642" t="str">
        <f>"Tablas!"&amp;ADDRESS(ROW(AH638),COLUMN(AH638))&amp;":"&amp;ADDRESS(ROW(AH638)+MATCH("",AH$638:AH$775,0)-2,COLUMN(AH638))</f>
        <v>Tablas!$AH$638:$AH$646</v>
      </c>
      <c r="AI637" s="1642" t="str">
        <f>"Tablas!"&amp;ADDRESS(ROW(AI638),COLUMN(AI638))&amp;":"&amp;ADDRESS(ROW(AI638)+MATCH("",AI$638:AI$775,0)-2,COLUMN(AI638))</f>
        <v>Tablas!$AI$638:$AI$748</v>
      </c>
      <c r="AJ637" s="1256"/>
      <c r="AK637" s="1257"/>
      <c r="AL637" s="1258"/>
      <c r="AM637" s="6225"/>
      <c r="AN637" s="1641" t="str">
        <f>"Tablas!"&amp;ADDRESS(ROW(AN638),COLUMN(AN638))&amp;":"&amp;ADDRESS(ROW(AN638)+MATCH("",AN$638:AN$775,0)-2,COLUMN(AN638))</f>
        <v>Tablas!$AN$638:$AN$663</v>
      </c>
      <c r="AO637" s="1642" t="str">
        <f>"Tablas!"&amp;ADDRESS(ROW(AO638),COLUMN(AO638))&amp;":"&amp;ADDRESS(ROW(AO638)+MATCH("",AO$638:AO$775,0)-2,COLUMN(AO638))</f>
        <v>Tablas!$AO$638:$AO$646</v>
      </c>
      <c r="AP637" s="1642" t="str">
        <f>"Tablas!"&amp;ADDRESS(ROW(AP638),COLUMN(AP638))&amp;":"&amp;ADDRESS(ROW(AP638)+MATCH("",AP$638:AP$775,0)-2,COLUMN(AP638))</f>
        <v>Tablas!$AP$638:$AP$748</v>
      </c>
      <c r="AQ637" s="1256"/>
      <c r="AR637" s="1257"/>
      <c r="AS637" s="1258"/>
      <c r="AT637" s="6225"/>
      <c r="AU637" s="1641" t="str">
        <f>"Tablas!"&amp;ADDRESS(ROW(AU638),COLUMN(AU638))&amp;":"&amp;ADDRESS(ROW(AU638)+MATCH("",AU$638:AU$775,0)-2,COLUMN(AU638))</f>
        <v>Tablas!$AU$638:$AU$663</v>
      </c>
      <c r="AV637" s="1642" t="str">
        <f>"Tablas!"&amp;ADDRESS(ROW(AV638),COLUMN(AV638))&amp;":"&amp;ADDRESS(ROW(AV638)+MATCH("",AV$638:AV$775,0)-2,COLUMN(AV638))</f>
        <v>Tablas!$AV$638:$AV$646</v>
      </c>
      <c r="AW637" s="1642" t="str">
        <f>"Tablas!"&amp;ADDRESS(ROW(AW638),COLUMN(AW638))&amp;":"&amp;ADDRESS(ROW(AW638)+MATCH("",AW$638:AW$775,0)-2,COLUMN(AW638))</f>
        <v>Tablas!$AW$638:$AW$748</v>
      </c>
      <c r="AX637" s="1256"/>
      <c r="AY637" s="1257"/>
      <c r="AZ637" s="1258"/>
      <c r="BA637" s="6225"/>
      <c r="BB637" s="1641" t="str">
        <f>"Tablas!"&amp;ADDRESS(ROW(BB638),COLUMN(BB638))&amp;":"&amp;ADDRESS(ROW(BB638)+MATCH("",BB$638:BB$775,0)-2,COLUMN(BB638))</f>
        <v>Tablas!$BB$638:$BB$663</v>
      </c>
      <c r="BC637" s="1642" t="str">
        <f>"Tablas!"&amp;ADDRESS(ROW(BC638),COLUMN(BC638))&amp;":"&amp;ADDRESS(ROW(BC638)+MATCH("",BC$638:BC$775,0)-2,COLUMN(BC638))</f>
        <v>Tablas!$BC$638:$BC$646</v>
      </c>
      <c r="BD637" s="1642" t="str">
        <f>"Tablas!"&amp;ADDRESS(ROW(BD638),COLUMN(BD638))&amp;":"&amp;ADDRESS(ROW(BD638)+MATCH("",BD$638:BD$775,0)-2,COLUMN(BD638))</f>
        <v>Tablas!$BD$638:$BD$748</v>
      </c>
      <c r="BE637" s="1256"/>
      <c r="BF637" s="1257"/>
      <c r="BG637" s="1258"/>
      <c r="BH637" s="6225"/>
      <c r="BI637" s="1641" t="str">
        <f>"Tablas!"&amp;ADDRESS(ROW(BI638),COLUMN(BI638))&amp;":"&amp;ADDRESS(ROW(BI638)+MATCH("",BI$638:BI$775,0)-2,COLUMN(BI638))</f>
        <v>Tablas!$BI$638:$BI$663</v>
      </c>
      <c r="BJ637" s="1642" t="str">
        <f>"Tablas!"&amp;ADDRESS(ROW(BJ638),COLUMN(BJ638))&amp;":"&amp;ADDRESS(ROW(BJ638)+MATCH("",BJ$638:BJ$775,0)-2,COLUMN(BJ638))</f>
        <v>Tablas!$BJ$638:$BJ$646</v>
      </c>
      <c r="BK637" s="1642" t="str">
        <f>"Tablas!"&amp;ADDRESS(ROW(BK638),COLUMN(BK638))&amp;":"&amp;ADDRESS(ROW(BK638)+MATCH("",BK$638:BK$775,0)-2,COLUMN(BK638))</f>
        <v>Tablas!$BK$638:$BK$748</v>
      </c>
      <c r="BL637" s="1256"/>
      <c r="BM637" s="1257"/>
      <c r="BN637" s="1258"/>
      <c r="BO637" s="6225"/>
      <c r="BP637" s="1641" t="str">
        <f>"Tablas!"&amp;ADDRESS(ROW(BP638),COLUMN(BP638))&amp;":"&amp;ADDRESS(ROW(BP638)+MATCH("",BP$638:BP$775,0)-2,COLUMN(BP638))</f>
        <v>Tablas!$BP$638:$BP$663</v>
      </c>
      <c r="BQ637" s="1642" t="str">
        <f>"Tablas!"&amp;ADDRESS(ROW(BQ638),COLUMN(BQ638))&amp;":"&amp;ADDRESS(ROW(BQ638)+MATCH("",BQ$638:BQ$775,0)-2,COLUMN(BQ638))</f>
        <v>Tablas!$BQ$638:$BQ$646</v>
      </c>
      <c r="BR637" s="1642" t="str">
        <f>"Tablas!"&amp;ADDRESS(ROW(BR638),COLUMN(BR638))&amp;":"&amp;ADDRESS(ROW(BR638)+MATCH("",BR$638:BR$775,0)-2,COLUMN(BR638))</f>
        <v>Tablas!$BR$638:$BR$748</v>
      </c>
      <c r="BS637" s="1256"/>
      <c r="BT637" s="1257"/>
      <c r="BU637" s="1258"/>
    </row>
    <row r="638" spans="1:73" ht="12.75" customHeight="1" thickBot="1" x14ac:dyDescent="0.25">
      <c r="A638" s="227">
        <v>638</v>
      </c>
      <c r="B638" s="5988"/>
      <c r="C638" s="2885"/>
      <c r="D638" s="2886" t="s">
        <v>2109</v>
      </c>
      <c r="E638" s="2887"/>
      <c r="F638" s="2887"/>
      <c r="G638" s="2887"/>
      <c r="H638" s="2887"/>
      <c r="I638" s="2887"/>
      <c r="J638" s="2887"/>
      <c r="K638" s="2888" t="s">
        <v>7282</v>
      </c>
      <c r="L638" s="2889" t="str">
        <f>IF(ISNUMBER(SEARCH($D638,Armas_Conocidas)),"Conocida",IF(ISNUMBER(SEARCH(LEFT($K638,SEARCH("/",$K638)),Tipologías_Conocidas)),IF(ISNUMBER(SEARCH($K638,Tipologías_Conocidas)),"Similar","Mixta"),"Distinta"))</f>
        <v>Distinta</v>
      </c>
      <c r="M638" s="2887"/>
      <c r="N638" s="2887"/>
      <c r="O638" s="2887"/>
      <c r="P638" s="2887"/>
      <c r="Q638" s="2887"/>
      <c r="R638" s="2887"/>
      <c r="S638" s="2887"/>
      <c r="T638" s="2887"/>
      <c r="U638" s="2887"/>
      <c r="V638" s="2888"/>
      <c r="W638" s="2887"/>
      <c r="X638" s="2890" t="s">
        <v>8685</v>
      </c>
      <c r="Y638" s="2891">
        <f>Bono_Fue</f>
        <v>0</v>
      </c>
      <c r="Z638" s="1265" t="str">
        <f>IF(AND(K638&lt;&gt;"Natural/-",ISNUMBER(SEARCH(D638&amp;",",Armas_Conocidas))),", "&amp;K638,"")</f>
        <v/>
      </c>
      <c r="AA638" s="559" t="str">
        <f>IF(AND($K$638:$K$840&lt;&gt;"Natural/-",ISNUMBER(SEARCH($D$638:$D$840,Armas_Conocidas))),CONCATENATE($K$638:$K$840),"")</f>
        <v/>
      </c>
      <c r="AB638" s="1364" t="s">
        <v>8622</v>
      </c>
      <c r="AC638" s="1365" t="s">
        <v>1579</v>
      </c>
      <c r="AD638" s="1365" t="s">
        <v>8550</v>
      </c>
      <c r="AE638" s="1366" t="s">
        <v>8623</v>
      </c>
      <c r="AF638" s="1378"/>
      <c r="AG638" s="853" t="str">
        <f t="shared" ref="AG638:AG669" si="75">IF(ISNA(INDEX(Lista_Armas,MATCH($A1,AJ$638:AJ$774,0))),"",INDEX(Lista_Armas,MATCH($A1,AJ$638:AJ$774,0)))</f>
        <v>&gt; ARMAS COMUNES</v>
      </c>
      <c r="AH638" s="78" t="str">
        <f t="shared" ref="AH638:AH669" si="76">IF(ISNA(INDEX(Lista_Armas,MATCH($A1,AK$638:AK$774,0))),"",INDEX(Lista_Armas,MATCH($A1,AK$638:AK$774,0)))</f>
        <v>&gt; ARMAS COMUNES</v>
      </c>
      <c r="AI638" s="78" t="str">
        <f t="shared" ref="AI638:AI669" si="77">IF(ISNA(INDEX(Lista_Armas,MATCH($A1,AL$638:AL$774,0))),"",INDEX(Lista_Armas,MATCH($A1,AL$638:AL$774,0)))</f>
        <v>Desarmado</v>
      </c>
      <c r="AJ638" s="1256">
        <f>IF(OR($L638=AJ$635,$L638="",$D638=$AL$634),MAX(AJ$637:AJ637)+1,0)</f>
        <v>0</v>
      </c>
      <c r="AK638" s="1257">
        <f>IF(OR($L638=AK$635,$L638="",$D638=$AL$634),MAX(AK$637:AK637)+1,0)</f>
        <v>0</v>
      </c>
      <c r="AL638" s="1258">
        <f>IF(OR($L638=AL$635,$L638="",$D638=$AL$634),MAX(AL$637:AL637)+1,0)</f>
        <v>1</v>
      </c>
      <c r="AM638" s="6225"/>
      <c r="AN638" s="853" t="str">
        <f t="shared" ref="AN638:AN669" si="78">IF(ISNA(INDEX(Lista_Armas,MATCH($A1,AQ$638:AQ$774,0))),"",INDEX(Lista_Armas,MATCH($A1,AQ$638:AQ$774,0)))</f>
        <v>&gt; ARMAS COMUNES</v>
      </c>
      <c r="AO638" s="78" t="str">
        <f t="shared" ref="AO638:AO669" si="79">IF(ISNA(INDEX(Lista_Armas,MATCH($A1,AR$638:AR$774,0))),"",INDEX(Lista_Armas,MATCH($A1,AR$638:AR$774,0)))</f>
        <v>&gt; ARMAS COMUNES</v>
      </c>
      <c r="AP638" s="78" t="str">
        <f t="shared" ref="AP638:AP669" si="80">IF(ISNA(INDEX(Lista_Armas,MATCH($A1,AS$638:AS$774,0))),"",INDEX(Lista_Armas,MATCH($A1,AS$638:AS$774,0)))</f>
        <v>Desarmado</v>
      </c>
      <c r="AQ638" s="1256">
        <f>IF(OR($L638=AQ$635,$L638="",$D638=$AS$634),MAX(AQ$637:AQ637)+1,0)</f>
        <v>0</v>
      </c>
      <c r="AR638" s="1257">
        <f>IF(OR($L638=AR$635,$L638="",$D638=$AS$634),MAX(AR$637:AR637)+1,0)</f>
        <v>0</v>
      </c>
      <c r="AS638" s="1258">
        <f>IF(OR($L638=AS$635,$L638="",$D638=$AS$634),MAX(AS$637:AS637)+1,0)</f>
        <v>1</v>
      </c>
      <c r="AT638" s="6225"/>
      <c r="AU638" s="853" t="str">
        <f t="shared" ref="AU638:AU669" si="81">IF(ISNA(INDEX(Lista_Armas,MATCH($A1,AX$638:AX$774,0))),"",INDEX(Lista_Armas,MATCH($A1,AX$638:AX$774,0)))</f>
        <v>&gt; ARMAS COMUNES</v>
      </c>
      <c r="AV638" s="78" t="str">
        <f t="shared" ref="AV638:AV669" si="82">IF(ISNA(INDEX(Lista_Armas,MATCH($A1,AY$638:AY$774,0))),"",INDEX(Lista_Armas,MATCH($A1,AY$638:AY$774,0)))</f>
        <v>&gt; ARMAS COMUNES</v>
      </c>
      <c r="AW638" s="78" t="str">
        <f t="shared" ref="AW638:AW669" si="83">IF(ISNA(INDEX(Lista_Armas,MATCH($A1,AZ$638:AZ$774,0))),"",INDEX(Lista_Armas,MATCH($A1,AZ$638:AZ$774,0)))</f>
        <v>Desarmado</v>
      </c>
      <c r="AX638" s="1256">
        <f>IF(OR($L638=AX$635,$L638="",$D638=$AZ$634),MAX(AX$637:AX637)+1,0)</f>
        <v>0</v>
      </c>
      <c r="AY638" s="1257">
        <f>IF(OR($L638=AY$635,$L638="",$D638=$AZ$634),MAX(AY$637:AY637)+1,0)</f>
        <v>0</v>
      </c>
      <c r="AZ638" s="1258">
        <f>IF(OR($L638=AZ$635,$L638="",$D638=$AZ$634),MAX(AZ$637:AZ637)+1,0)</f>
        <v>1</v>
      </c>
      <c r="BA638" s="6225"/>
      <c r="BB638" s="853" t="str">
        <f t="shared" ref="BB638:BB669" si="84">IF(ISNA(INDEX(Lista_Armas,MATCH($A1,BE$638:BE$774,0))),"",INDEX(Lista_Armas,MATCH($A1,BE$638:BE$774,0)))</f>
        <v>&gt; ARMAS COMUNES</v>
      </c>
      <c r="BC638" s="78" t="str">
        <f t="shared" ref="BC638:BC669" si="85">IF(ISNA(INDEX(Lista_Armas,MATCH($A1,BF$638:BF$774,0))),"",INDEX(Lista_Armas,MATCH($A1,BF$638:BF$774,0)))</f>
        <v>&gt; ARMAS COMUNES</v>
      </c>
      <c r="BD638" s="78" t="str">
        <f t="shared" ref="BD638:BD669" si="86">IF(ISNA(INDEX(Lista_Armas,MATCH($A1,BG$638:BG$774,0))),"",INDEX(Lista_Armas,MATCH($A1,BG$638:BG$774,0)))</f>
        <v>Desarmado</v>
      </c>
      <c r="BE638" s="1256">
        <f>IF(OR($L638=BE$635,$L638="",$D638=$BG$634),MAX(BE$637:BE637)+1,0)</f>
        <v>0</v>
      </c>
      <c r="BF638" s="1257">
        <f>IF(OR($L638=BF$635,$L638="",$D638=$BG$634),MAX(BF$637:BF637)+1,0)</f>
        <v>0</v>
      </c>
      <c r="BG638" s="1258">
        <f>IF(OR($L638=BG$635,$L638="",$D638=$BG$634),MAX(BG$637:BG637)+1,0)</f>
        <v>1</v>
      </c>
      <c r="BH638" s="6225"/>
      <c r="BI638" s="853" t="str">
        <f t="shared" ref="BI638:BI669" si="87">IF(ISNA(INDEX(Lista_Armas,MATCH($A1,BL$638:BL$774,0))),"",INDEX(Lista_Armas,MATCH($A1,BL$638:BL$774,0)))</f>
        <v>&gt; ARMAS COMUNES</v>
      </c>
      <c r="BJ638" s="78" t="str">
        <f t="shared" ref="BJ638:BJ669" si="88">IF(ISNA(INDEX(Lista_Armas,MATCH($A1,BM$638:BM$774,0))),"",INDEX(Lista_Armas,MATCH($A1,BM$638:BM$774,0)))</f>
        <v>&gt; ARMAS COMUNES</v>
      </c>
      <c r="BK638" s="78" t="str">
        <f t="shared" ref="BK638:BK669" si="89">IF(ISNA(INDEX(Lista_Armas,MATCH($A1,BN$638:BN$774,0))),"",INDEX(Lista_Armas,MATCH($A1,BN$638:BN$774,0)))</f>
        <v>Desarmado</v>
      </c>
      <c r="BL638" s="1256">
        <f>IF(OR($L638=BL$635,$L638="",$D638=$BN$634),MAX(BL$637:BL637)+1,0)</f>
        <v>0</v>
      </c>
      <c r="BM638" s="1257">
        <f>IF(OR($L638=BM$635,$L638="",$D638=$BN$634),MAX(BM$637:BM637)+1,0)</f>
        <v>0</v>
      </c>
      <c r="BN638" s="1258">
        <f>IF(OR($L638=BN$635,$L638="",$D638=$BN$634),MAX(BN$637:BN637)+1,0)</f>
        <v>1</v>
      </c>
      <c r="BO638" s="6225"/>
      <c r="BP638" s="853" t="str">
        <f t="shared" ref="BP638:BP669" si="90">IF(ISNA(INDEX(Lista_Armas,MATCH($A1,BS$638:BS$774,0))),"",INDEX(Lista_Armas,MATCH($A1,BS$638:BS$774,0)))</f>
        <v>&gt; ARMAS COMUNES</v>
      </c>
      <c r="BQ638" s="78" t="str">
        <f t="shared" ref="BQ638:BQ669" si="91">IF(ISNA(INDEX(Lista_Armas,MATCH($A1,BT$638:BT$774,0))),"",INDEX(Lista_Armas,MATCH($A1,BT$638:BT$774,0)))</f>
        <v>&gt; ARMAS COMUNES</v>
      </c>
      <c r="BR638" s="78" t="str">
        <f t="shared" ref="BR638:BR669" si="92">IF(ISNA(INDEX(Lista_Armas,MATCH($A1,BU$638:BU$774,0))),"",INDEX(Lista_Armas,MATCH($A1,BU$638:BU$774,0)))</f>
        <v>Desarmado</v>
      </c>
      <c r="BS638" s="1256">
        <f>IF(OR($L638=BS$635,$L638="",$D638=$BU$634),MAX(BS$637:BS637)+1,0)</f>
        <v>0</v>
      </c>
      <c r="BT638" s="1257">
        <f>IF(OR($L638=BT$635,$L638="",$D638=$BU$634),MAX(BT$637:BT637)+1,0)</f>
        <v>0</v>
      </c>
      <c r="BU638" s="1258">
        <f>IF(OR($L638=BU$635,$L638="",$D638=$BU$634),MAX(BU$637:BU637)+1,0)</f>
        <v>1</v>
      </c>
    </row>
    <row r="639" spans="1:73" ht="12.75" customHeight="1" x14ac:dyDescent="0.2">
      <c r="A639" s="227">
        <v>639</v>
      </c>
      <c r="B639" s="5988"/>
      <c r="C639" s="1146"/>
      <c r="D639" s="2629" t="s">
        <v>1916</v>
      </c>
      <c r="E639" s="2419">
        <f>IF($P$256&gt;0,40+25*$V$586,IF(Raza="Ebudan",60,IF(OR(Raza="Tuan Dalyr",Raza="Turak"),40,IF(OR(Raza="Daimah",Nephilim="Nephilim Turak"),30,IF(OR(Raza="Jayán",$R$1250&gt;0,$R$1664&gt;0),VLOOKUP(Tamaño,Tabla_CreaciónSeres,8),0)))))</f>
        <v>0</v>
      </c>
      <c r="F639" s="2419">
        <f>20+20*$V$587</f>
        <v>20</v>
      </c>
      <c r="G639" s="2419">
        <v>0</v>
      </c>
      <c r="H639" s="2419">
        <v>0</v>
      </c>
      <c r="I639" s="2419" t="str">
        <f>IF(OR($P$256&gt;0,$R$1250&gt;0),IF(Personalización!$F$36="","-",Personalización!$F$36),IF(OR(Raza="Ebudan",Raza="Turak",Raza="Daimah",Raza="Jayán",Nephilim="Nehpilim Turak"),"FIL",IF(Personalización!$F$36="","-",Personalización!$F$36)))</f>
        <v>-</v>
      </c>
      <c r="J639" s="2419" t="str">
        <f>IF(OR($P$256&gt;0,$R$1250&gt;0),IF(Personalización!$F$37="","-",Personalización!$F$37),IF(OR(Raza="Ebudan",Raza="Turak",Nephilim="Nephilim Turak"),"-",IF(OR(Raza="Daimah",Raza="Jayán"),"PEN",IF(Personalización!$F$37="","-",Personalización!$F$37))))</f>
        <v>-</v>
      </c>
      <c r="K639" s="2621" t="str">
        <f>IF(Raza="Ebudan","Mandoble/-","Natural/-")</f>
        <v>Natural/-</v>
      </c>
      <c r="L639" s="2630" t="str">
        <f>IF(OR(Arma_Desarrollada=$D639,COUNTIF(PDs!Y43:AA48,$D639)&gt;0,$R$1250&gt;0,$P$256&gt;0),"Conocida","Distinta")</f>
        <v>Distinta</v>
      </c>
      <c r="M639" s="2631">
        <f>IF(Raza="Ebudan","20",VLOOKUP(Tamaño,$W$47:$AF$54,10))</f>
        <v>4</v>
      </c>
      <c r="N639" s="2631">
        <f>IF(Raza="Ebudan","5",VLOOKUP(Tamaño,$W$47:$AF$54,9))+$S$1680</f>
        <v>-4</v>
      </c>
      <c r="O639" s="2632"/>
      <c r="P639" s="2419"/>
      <c r="Q639" s="2419"/>
      <c r="R639" s="2419"/>
      <c r="S639" s="2419" t="str">
        <f>IF(R1664=0,"-",IF(R1666&gt;0,0,IF(R1665&gt;0,"1h","1 sem.")))</f>
        <v>-</v>
      </c>
      <c r="T639" s="2419">
        <f>IF($R$1664=0,0,IF($R$1667&gt;0,100,30))</f>
        <v>0</v>
      </c>
      <c r="U639" s="2419">
        <f>FUE</f>
        <v>0</v>
      </c>
      <c r="V639" s="2621"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Turak"),"",IF(R1664&gt;0,"Arma natural a distancia"&amp;IF(R1668&gt;0,"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(Grye)","")&amp;IF(AND(SUM($V$588:$V$593)&gt;0,$V$594&gt;0),", ","")&amp;IF($V$594&gt;0,"Ataque Adicional","")))))</f>
        <v>Armas naturales no disponibles</v>
      </c>
      <c r="W639" s="2877"/>
      <c r="X639" s="2879" t="str">
        <f t="shared" ref="X639:X644" si="93">IF(K639="/","",IF(OR(ISNUMBER(FIND("Mandoble",K639)),ISNUMBER(FIND("Asta",K639))),"Grande",IF(ISNUMBER(FIND("Corta",K639)),"Pequeña","Mediana")))</f>
        <v>Mediana</v>
      </c>
      <c r="Y639" s="2618">
        <f>Bono_Fue</f>
        <v>0</v>
      </c>
      <c r="Z639" s="1265" t="str">
        <f>IF(AND(K639&lt;&gt;"Natural/-",ISNUMBER(SEARCH(D639&amp;",",Armas_Conocidas))),", "&amp;K639,"")</f>
        <v/>
      </c>
      <c r="AB639" s="1380" t="str">
        <f ca="1">"Tablas!"&amp;ADDRESS(ROW(IF(AB$640&lt;&gt;"",AB$640,IF(AB641&lt;&gt;"",AB641,IF(AB642&lt;&gt;"",AB642,AB643)))),COLUMN(IF(AB$640&lt;&gt;"",AB640,IF(AB641&lt;&gt;"",AB641,IF(AB642&lt;&gt;"",AB642,AB643)))))&amp;":"&amp;ADDRESS(ROW(AB757)+COUNTA(AB758:AB767)-COUNTBLANK(AB758:AB767),COLUMN(AB757))</f>
        <v>Tablas!$AB$640:$AB$757</v>
      </c>
      <c r="AC639" s="2907" t="str">
        <f>"Tablas!"&amp;ADDRESS(ROW(IF(AC$640&lt;&gt;"",AC$640,IF(AC641&lt;&gt;"",AC641,IF(AC642&lt;&gt;"",AC642,AC643)))),COLUMN(IF(AC$640&lt;&gt;"",AC640,IF(AC641&lt;&gt;"",AC641,IF(AC642&lt;&gt;"",AC642,AC643)))))&amp;":"&amp;ADDRESS(ROW(AC693),COLUMN(AC693))</f>
        <v>Tablas!$AC$640:$AC$693</v>
      </c>
      <c r="AD639" s="2907" t="str">
        <f ca="1">"Tablas!"&amp;ADDRESS(ROW(IF(AD$640&lt;&gt;"",AD$640,IF(AD641&lt;&gt;"",AD641,IF(AD642&lt;&gt;"",AD642,AD643)))),COLUMN(IF(AD$640&lt;&gt;"",AD640,IF(AD641&lt;&gt;"",AD641,IF(AD642&lt;&gt;"",AD642,AD643)))))&amp;":"&amp;ADDRESS(ROW(AD656)+COUNTA(AD657:AD666)-COUNTBLANK(AD657:AD666),COLUMN(AD656))</f>
        <v>Tablas!$AD$643:$AD$656</v>
      </c>
      <c r="AE639" s="1381" t="str">
        <f>"Tablas!"&amp;ADDRESS(ROW(IF(AE$640&lt;&gt;"",AE$640,IF(AE641&lt;&gt;"",AE641,IF(AE642&lt;&gt;"",AE642,AE643)))),COLUMN(IF(AE$640&lt;&gt;"",AE640,IF(AE641&lt;&gt;"",AE641,IF(AE642&lt;&gt;"",AE642,AE643)))))&amp;":"&amp;ADDRESS(ROW(AE660),COLUMN(AE660))</f>
        <v>Tablas!$AE$643:$AE$660</v>
      </c>
      <c r="AF639" s="251"/>
      <c r="AG639" s="853" t="str">
        <f t="shared" si="75"/>
        <v>Bastón de Combate</v>
      </c>
      <c r="AH639" s="78" t="str">
        <f t="shared" si="76"/>
        <v>Alabarda</v>
      </c>
      <c r="AI639" s="78" t="str">
        <f t="shared" si="77"/>
        <v>Armas naturales</v>
      </c>
      <c r="AJ639" s="1256">
        <f>IF(OR($L639=AJ$635,$L639="",$D639=$AL$634),MAX(AJ$637:AJ638)+1,0)</f>
        <v>0</v>
      </c>
      <c r="AK639" s="1257">
        <f>IF(OR($L639=AK$635,$L639="",$D639=$AL$634),MAX(AK$637:AK638)+1,0)</f>
        <v>0</v>
      </c>
      <c r="AL639" s="1258">
        <f>IF(OR($L639=AL$635,$L639="",$D639=$AL$634),MAX(AL$637:AL638)+1,0)</f>
        <v>2</v>
      </c>
      <c r="AM639" s="6225"/>
      <c r="AN639" s="853" t="str">
        <f t="shared" si="78"/>
        <v>Bastón de Combate</v>
      </c>
      <c r="AO639" s="78" t="str">
        <f t="shared" si="79"/>
        <v>Alabarda</v>
      </c>
      <c r="AP639" s="78" t="str">
        <f t="shared" si="80"/>
        <v>Armas naturales</v>
      </c>
      <c r="AQ639" s="1256">
        <f>IF(OR($L639=AQ$635,$L639="",$D639=$AS$634),MAX(AQ$637:AQ638)+1,0)</f>
        <v>0</v>
      </c>
      <c r="AR639" s="1257">
        <f>IF(OR($L639=AR$635,$L639="",$D639=$AS$634),MAX(AR$637:AR638)+1,0)</f>
        <v>0</v>
      </c>
      <c r="AS639" s="1258">
        <f>IF(OR($L639=AS$635,$L639="",$D639=$AS$634),MAX(AS$637:AS638)+1,0)</f>
        <v>2</v>
      </c>
      <c r="AT639" s="6225"/>
      <c r="AU639" s="853" t="str">
        <f t="shared" si="81"/>
        <v>Bastón de Combate</v>
      </c>
      <c r="AV639" s="78" t="str">
        <f t="shared" si="82"/>
        <v>Alabarda</v>
      </c>
      <c r="AW639" s="78" t="str">
        <f t="shared" si="83"/>
        <v>Armas naturales</v>
      </c>
      <c r="AX639" s="1256">
        <f>IF(OR($L639=AX$635,$L639="",$D639=$AZ$634),MAX(AX$637:AX638)+1,0)</f>
        <v>0</v>
      </c>
      <c r="AY639" s="1257">
        <f>IF(OR($L639=AY$635,$L639="",$D639=$AZ$634),MAX(AY$637:AY638)+1,0)</f>
        <v>0</v>
      </c>
      <c r="AZ639" s="1258">
        <f>IF(OR($L639=AZ$635,$L639="",$D639=$AZ$634),MAX(AZ$637:AZ638)+1,0)</f>
        <v>2</v>
      </c>
      <c r="BA639" s="6225"/>
      <c r="BB639" s="853" t="str">
        <f t="shared" si="84"/>
        <v>Bastón de Combate</v>
      </c>
      <c r="BC639" s="78" t="str">
        <f t="shared" si="85"/>
        <v>Alabarda</v>
      </c>
      <c r="BD639" s="78" t="str">
        <f t="shared" si="86"/>
        <v>Armas naturales</v>
      </c>
      <c r="BE639" s="1256">
        <f>IF(OR($L639=BE$635,$L639="",$D639=$BG$634),MAX(BE$637:BE638)+1,0)</f>
        <v>0</v>
      </c>
      <c r="BF639" s="1257">
        <f>IF(OR($L639=BF$635,$L639="",$D639=$BG$634),MAX(BF$637:BF638)+1,0)</f>
        <v>0</v>
      </c>
      <c r="BG639" s="1258">
        <f>IF(OR($L639=BG$635,$L639="",$D639=$BG$634),MAX(BG$637:BG638)+1,0)</f>
        <v>2</v>
      </c>
      <c r="BH639" s="6225"/>
      <c r="BI639" s="853" t="str">
        <f t="shared" si="87"/>
        <v>Bastón de Combate</v>
      </c>
      <c r="BJ639" s="78" t="str">
        <f t="shared" si="88"/>
        <v>Alabarda</v>
      </c>
      <c r="BK639" s="78" t="str">
        <f t="shared" si="89"/>
        <v>Armas naturales</v>
      </c>
      <c r="BL639" s="1256">
        <f>IF(OR($L639=BL$635,$L639="",$D639=$BN$634),MAX(BL$637:BL638)+1,0)</f>
        <v>0</v>
      </c>
      <c r="BM639" s="1257">
        <f>IF(OR($L639=BM$635,$L639="",$D639=$BN$634),MAX(BM$637:BM638)+1,0)</f>
        <v>0</v>
      </c>
      <c r="BN639" s="1258">
        <f>IF(OR($L639=BN$635,$L639="",$D639=$BN$634),MAX(BN$637:BN638)+1,0)</f>
        <v>2</v>
      </c>
      <c r="BO639" s="6225"/>
      <c r="BP639" s="853" t="str">
        <f t="shared" si="90"/>
        <v>Bastón de Combate</v>
      </c>
      <c r="BQ639" s="78" t="str">
        <f t="shared" si="91"/>
        <v>Alabarda</v>
      </c>
      <c r="BR639" s="78" t="str">
        <f t="shared" si="92"/>
        <v>Armas naturales</v>
      </c>
      <c r="BS639" s="1256">
        <f>IF(OR($L639=BS$635,$L639="",$D639=$BU$634),MAX(BS$637:BS638)+1,0)</f>
        <v>0</v>
      </c>
      <c r="BT639" s="1257">
        <f>IF(OR($L639=BT$635,$L639="",$D639=$BU$634),MAX(BT$637:BT638)+1,0)</f>
        <v>0</v>
      </c>
      <c r="BU639" s="1258">
        <f>IF(OR($L639=BU$635,$L639="",$D639=$BU$634),MAX(BU$637:BU638)+1,0)</f>
        <v>2</v>
      </c>
    </row>
    <row r="640" spans="1:73" ht="12.75" customHeight="1" x14ac:dyDescent="0.2">
      <c r="A640" s="227">
        <v>640</v>
      </c>
      <c r="B640" s="5988"/>
      <c r="C640" s="1146"/>
      <c r="D640" s="2629" t="str">
        <f>IF(Personalización!X18=0,"Arma #1",Personalización!X18)</f>
        <v>Arma #1</v>
      </c>
      <c r="E640" s="2419">
        <f>Personalización!$Z$20</f>
        <v>0</v>
      </c>
      <c r="F640" s="2419">
        <f>Personalización!$Z$19</f>
        <v>0</v>
      </c>
      <c r="G640" s="2419">
        <f>Personalización!$AC$19</f>
        <v>0</v>
      </c>
      <c r="H640" s="2419">
        <f>Personalización!$AE$19</f>
        <v>0</v>
      </c>
      <c r="I640" s="2419" t="str">
        <f>IF(Personalización!$AA$21&lt;&gt;"",Personalización!$AA$21,"-")</f>
        <v>-</v>
      </c>
      <c r="J640" s="2419" t="str">
        <f>IF(Personalización!$AB$21&lt;&gt;"",Personalización!$AB$21,"-")</f>
        <v>-</v>
      </c>
      <c r="K640" s="2621" t="str">
        <f>IF(Personalización!$W$20="","-",Personalización!$W$20)&amp;"/"&amp;IF(Personalización!$W$21="","-",Personalización!$W$21)</f>
        <v>-/-</v>
      </c>
      <c r="L640" s="2630"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31">
        <f>Personalización!$AC$21</f>
        <v>0</v>
      </c>
      <c r="N640" s="2631">
        <f>Personalización!$AD$21</f>
        <v>0</v>
      </c>
      <c r="O640" s="2631">
        <f>Personalización!$AE$21</f>
        <v>0</v>
      </c>
      <c r="P640" s="2419">
        <f>IF(ISNUMBER(SEARCH("Escudo",$K640)),Personalización!$AJ$19,0)</f>
        <v>0</v>
      </c>
      <c r="Q640" s="2419">
        <f>IF(ISNUMBER(SEARCH("Escudo",$K640)),Personalización!$AJ$20,0)</f>
        <v>0</v>
      </c>
      <c r="R640" s="2419" t="s">
        <v>1456</v>
      </c>
      <c r="S640" s="2419">
        <f>IF(ISNUMBER(SEARCH("Proyectiles",$K640)),Personalización!$AJ$20,0)</f>
        <v>0</v>
      </c>
      <c r="T640" s="2419">
        <f>Personalización!$AJ$21</f>
        <v>0</v>
      </c>
      <c r="U640" s="2419" t="str">
        <f>IF(ISNUMBER(SEARCH("Proyectiles",$K640)),Personalización!$AJ$19,"")</f>
        <v/>
      </c>
      <c r="V640" s="2621" t="str">
        <f>IF(Personalización!$AC$18="","",Personalización!$AC$18)</f>
        <v/>
      </c>
      <c r="W640" s="2877"/>
      <c r="X640" s="2879" t="str">
        <f t="shared" si="93"/>
        <v>Mediana</v>
      </c>
      <c r="Y640" s="2618">
        <f>IF(Personalización!$Z$21="N/A",0,IF(Personalización!$Z$21="",Bono_Fue,VLOOKUP(Personalización!$Z$21,Tabla_Características,5,0)))</f>
        <v>0</v>
      </c>
      <c r="Z640" s="1265" t="str">
        <f>IF(AND(K640&lt;&gt;"Natural/-",ISNUMBER(SEARCH(D640&amp;",",Armas_Conocidas))),", "&amp;K640,"")</f>
        <v/>
      </c>
      <c r="AB640" s="1379" t="str">
        <f>IF(AND(AB642&lt;&gt;"",$D$640&lt;&gt;AB642,$D$640&lt;&gt;AB641,NOT(OR(ISNUMBER(FIND("Munición",VLOOKUP($D$640,Tabla_ArmasyEscudos,8,0))),ISNUMBER(FIND("Proyectiles",VLOOKUP($D$640,Tabla_ArmasyEscudos,8,0)))))),$D$640,"")</f>
        <v>Arma #1</v>
      </c>
      <c r="AC640" s="2892" t="str">
        <f>IF(AND(AC642&lt;&gt;"",$D$640&lt;&gt;AC642,$D$640&lt;&gt;AC641,NOT(OR(ISNUMBER(FIND("Munición",VLOOKUP($D$640,Tabla_ArmasyEscudos,8,0))),ISNUMBER(FIND("Proyectiles",VLOOKUP($D$640,Tabla_ArmasyEscudos,8,0)))))),$D$640,"")</f>
        <v>Arma #1</v>
      </c>
      <c r="AD640" s="2892" t="str">
        <f>IF(AND(AD642&lt;&gt;"",$D$640&lt;&gt;AD642,$D$640&lt;&gt;AD641,ISNUMBER(FIND("Proyectiles",VLOOKUP($D$640,Tabla_ArmasyEscudos,8,0)))),$D$640,"")</f>
        <v/>
      </c>
      <c r="AE640" s="1368" t="str">
        <f>IF(AND(AE642&lt;&gt;"",$D$640&lt;&gt;AE642,$D$640&lt;&gt;AE641,ISNUMBER(FIND("Proyectiles",VLOOKUP($D$640,Tabla_ArmasyEscudos,8,0)))),$D$640,"")</f>
        <v/>
      </c>
      <c r="AF640" s="1367"/>
      <c r="AG640" s="853" t="str">
        <f t="shared" si="75"/>
        <v>Berdiche</v>
      </c>
      <c r="AH640" s="78" t="str">
        <f t="shared" si="76"/>
        <v>Bec de Corbin</v>
      </c>
      <c r="AI640" s="78" t="str">
        <f t="shared" si="77"/>
        <v>Arma #1</v>
      </c>
      <c r="AJ640" s="1256">
        <f>IF(OR($L640=AJ$635,$L640="",$D640=$AL$634),MAX(AJ$637:AJ639)+1,0)</f>
        <v>0</v>
      </c>
      <c r="AK640" s="1257">
        <f>IF(OR($L640=AK$635,$L640="",$D640=$AL$634),MAX(AK$637:AK639)+1,0)</f>
        <v>0</v>
      </c>
      <c r="AL640" s="1258">
        <f>IF(OR($L640=AL$635,$L640="",$D640=$AL$634),MAX(AL$637:AL639)+1,0)</f>
        <v>3</v>
      </c>
      <c r="AM640" s="6225"/>
      <c r="AN640" s="853" t="str">
        <f t="shared" si="78"/>
        <v>Berdiche</v>
      </c>
      <c r="AO640" s="78" t="str">
        <f t="shared" si="79"/>
        <v>Bec de Corbin</v>
      </c>
      <c r="AP640" s="78" t="str">
        <f t="shared" si="80"/>
        <v>Arma #1</v>
      </c>
      <c r="AQ640" s="1256">
        <f>IF(OR($L640=AQ$635,$L640="",$D640=$AS$634),MAX(AQ$637:AQ639)+1,0)</f>
        <v>0</v>
      </c>
      <c r="AR640" s="1257">
        <f>IF(OR($L640=AR$635,$L640="",$D640=$AS$634),MAX(AR$637:AR639)+1,0)</f>
        <v>0</v>
      </c>
      <c r="AS640" s="1258">
        <f>IF(OR($L640=AS$635,$L640="",$D640=$AS$634),MAX(AS$637:AS639)+1,0)</f>
        <v>3</v>
      </c>
      <c r="AT640" s="6225"/>
      <c r="AU640" s="853" t="str">
        <f t="shared" si="81"/>
        <v>Berdiche</v>
      </c>
      <c r="AV640" s="78" t="str">
        <f t="shared" si="82"/>
        <v>Bec de Corbin</v>
      </c>
      <c r="AW640" s="78" t="str">
        <f t="shared" si="83"/>
        <v>Arma #1</v>
      </c>
      <c r="AX640" s="1256">
        <f>IF(OR($L640=AX$635,$L640="",$D640=$AZ$634),MAX(AX$637:AX639)+1,0)</f>
        <v>0</v>
      </c>
      <c r="AY640" s="1257">
        <f>IF(OR($L640=AY$635,$L640="",$D640=$AZ$634),MAX(AY$637:AY639)+1,0)</f>
        <v>0</v>
      </c>
      <c r="AZ640" s="1258">
        <f>IF(OR($L640=AZ$635,$L640="",$D640=$AZ$634),MAX(AZ$637:AZ639)+1,0)</f>
        <v>3</v>
      </c>
      <c r="BA640" s="6225"/>
      <c r="BB640" s="853" t="str">
        <f t="shared" si="84"/>
        <v>Berdiche</v>
      </c>
      <c r="BC640" s="78" t="str">
        <f t="shared" si="85"/>
        <v>Bec de Corbin</v>
      </c>
      <c r="BD640" s="78" t="str">
        <f t="shared" si="86"/>
        <v>Arma #1</v>
      </c>
      <c r="BE640" s="1256">
        <f>IF(OR($L640=BE$635,$L640="",$D640=$BG$634),MAX(BE$637:BE639)+1,0)</f>
        <v>0</v>
      </c>
      <c r="BF640" s="1257">
        <f>IF(OR($L640=BF$635,$L640="",$D640=$BG$634),MAX(BF$637:BF639)+1,0)</f>
        <v>0</v>
      </c>
      <c r="BG640" s="1258">
        <f>IF(OR($L640=BG$635,$L640="",$D640=$BG$634),MAX(BG$637:BG639)+1,0)</f>
        <v>3</v>
      </c>
      <c r="BH640" s="6225"/>
      <c r="BI640" s="853" t="str">
        <f t="shared" si="87"/>
        <v>Berdiche</v>
      </c>
      <c r="BJ640" s="78" t="str">
        <f t="shared" si="88"/>
        <v>Bec de Corbin</v>
      </c>
      <c r="BK640" s="78" t="str">
        <f t="shared" si="89"/>
        <v>Arma #1</v>
      </c>
      <c r="BL640" s="1256">
        <f>IF(OR($L640=BL$635,$L640="",$D640=$BN$634),MAX(BL$637:BL639)+1,0)</f>
        <v>0</v>
      </c>
      <c r="BM640" s="1257">
        <f>IF(OR($L640=BM$635,$L640="",$D640=$BN$634),MAX(BM$637:BM639)+1,0)</f>
        <v>0</v>
      </c>
      <c r="BN640" s="1258">
        <f>IF(OR($L640=BN$635,$L640="",$D640=$BN$634),MAX(BN$637:BN639)+1,0)</f>
        <v>3</v>
      </c>
      <c r="BO640" s="6225"/>
      <c r="BP640" s="853" t="str">
        <f t="shared" si="90"/>
        <v>Berdiche</v>
      </c>
      <c r="BQ640" s="78" t="str">
        <f t="shared" si="91"/>
        <v>Bec de Corbin</v>
      </c>
      <c r="BR640" s="78" t="str">
        <f t="shared" si="92"/>
        <v>Arma #1</v>
      </c>
      <c r="BS640" s="1256">
        <f>IF(OR($L640=BS$635,$L640="",$D640=$BU$634),MAX(BS$637:BS639)+1,0)</f>
        <v>0</v>
      </c>
      <c r="BT640" s="1257">
        <f>IF(OR($L640=BT$635,$L640="",$D640=$BU$634),MAX(BT$637:BT639)+1,0)</f>
        <v>0</v>
      </c>
      <c r="BU640" s="1258">
        <f>IF(OR($L640=BU$635,$L640="",$D640=$BU$634),MAX(BU$637:BU639)+1,0)</f>
        <v>3</v>
      </c>
    </row>
    <row r="641" spans="1:73" ht="12.75" customHeight="1" x14ac:dyDescent="0.2">
      <c r="A641" s="227">
        <v>641</v>
      </c>
      <c r="B641" s="5988"/>
      <c r="C641" s="1146"/>
      <c r="D641" s="2629" t="str">
        <f>IF(Personalización!X22=0,"Arma #2",Personalización!X22)</f>
        <v>Arma #2</v>
      </c>
      <c r="E641" s="2419">
        <f>Personalización!$Z$24</f>
        <v>0</v>
      </c>
      <c r="F641" s="2419">
        <f>Personalización!$Z$23</f>
        <v>0</v>
      </c>
      <c r="G641" s="2419">
        <f>Personalización!$AC$23</f>
        <v>0</v>
      </c>
      <c r="H641" s="2419">
        <f>Personalización!$AE$23</f>
        <v>0</v>
      </c>
      <c r="I641" s="2419" t="str">
        <f>IF(Personalización!$AA$25&lt;&gt;"",Personalización!$AA$25,"-")</f>
        <v>-</v>
      </c>
      <c r="J641" s="2419" t="str">
        <f>IF(Personalización!$AB$25&lt;&gt;"",Personalización!$AB$25,"-")</f>
        <v>-</v>
      </c>
      <c r="K641" s="2621" t="str">
        <f>IF(Personalización!$W$24="","-",Personalización!$W$24)&amp;"/"&amp;IF(Personalización!$W$25="","-",Personalización!$W$25)</f>
        <v>-/-</v>
      </c>
      <c r="L641" s="2630"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31">
        <f>Personalización!$AC$25</f>
        <v>0</v>
      </c>
      <c r="N641" s="2631">
        <f>Personalización!$AD$25</f>
        <v>0</v>
      </c>
      <c r="O641" s="2631">
        <f>Personalización!$AE$25</f>
        <v>0</v>
      </c>
      <c r="P641" s="2419">
        <f>IF(ISNUMBER(SEARCH("Escudo",$K641)),Personalización!$AJ$23,0)</f>
        <v>0</v>
      </c>
      <c r="Q641" s="2419">
        <f>IF(ISNUMBER(SEARCH("Escudo",$K641)),Personalización!$AJ$24,0)</f>
        <v>0</v>
      </c>
      <c r="R641" s="2419" t="s">
        <v>1456</v>
      </c>
      <c r="S641" s="2419">
        <f>IF(ISNUMBER(SEARCH("Proyectiles",$K641)),Personalización!$AJ$24,0)</f>
        <v>0</v>
      </c>
      <c r="T641" s="2419">
        <f>Personalización!$AJ$25</f>
        <v>0</v>
      </c>
      <c r="U641" s="2419" t="str">
        <f>IF(ISNUMBER(SEARCH("Proyectiles",$K641)),Personalización!$AJ$23,"")</f>
        <v/>
      </c>
      <c r="V641" s="2621" t="str">
        <f>IF(Personalización!$AC$22="","",Personalización!$AC$22)</f>
        <v/>
      </c>
      <c r="W641" s="2877"/>
      <c r="X641" s="2879" t="str">
        <f t="shared" si="93"/>
        <v>Mediana</v>
      </c>
      <c r="Y641" s="2618">
        <f>IF(Personalización!$Z$25="N/A",0,IF(Personalización!$Z$25="",Bono_Fue,VLOOKUP(Personalización!$Z$25,Tabla_Características,5,0)))</f>
        <v>0</v>
      </c>
      <c r="Z641" s="1265" t="str">
        <f>IF(AND(K641&lt;&gt;"Natural/-",ISNUMBER(SEARCH(D641&amp;",",Armas_Conocidas))),", "&amp;K641,"")</f>
        <v/>
      </c>
      <c r="AB641" s="1379"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2892"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2892" t="str">
        <f>IF(AD642&lt;&gt;"",IF(AND($D$641&lt;&gt;AD642,ISNUMBER(FIND("Proyectiles",VLOOKUP($D$641,Tabla_ArmasyEscudos,8,0)))),$D$641,IF(AND($D$640&lt;&gt;AD642,ISNUMBER(FIND("Proyectiles",VLOOKUP($D$640,Tabla_ArmasyEscudos,8,0)))),$D$640,"")),"")</f>
        <v/>
      </c>
      <c r="AE641" s="1368" t="str">
        <f>IF(AE642&lt;&gt;"",IF(AND($D$641&lt;&gt;AE642,ISNUMBER(FIND("Proyectiles",VLOOKUP($D$641,Tabla_ArmasyEscudos,8,0)))),$D$641,IF(AND($D$640&lt;&gt;AE642,ISNUMBER(FIND("Proyectiles",VLOOKUP($D$640,Tabla_ArmasyEscudos,8,0)))),$D$640,"")),"")</f>
        <v/>
      </c>
      <c r="AF641" s="1367"/>
      <c r="AG641" s="853" t="str">
        <f t="shared" si="75"/>
        <v>Brandistock</v>
      </c>
      <c r="AH641" s="78" t="str">
        <f t="shared" si="76"/>
        <v>Guadaña</v>
      </c>
      <c r="AI641" s="78" t="str">
        <f t="shared" si="77"/>
        <v>Arma #2</v>
      </c>
      <c r="AJ641" s="1256">
        <f>IF(OR($L641=AJ$635,$L641="",$D641=$AL$634),MAX(AJ$637:AJ640)+1,0)</f>
        <v>0</v>
      </c>
      <c r="AK641" s="1257">
        <f>IF(OR($L641=AK$635,$L641="",$D641=$AL$634),MAX(AK$637:AK640)+1,0)</f>
        <v>0</v>
      </c>
      <c r="AL641" s="1258">
        <f>IF(OR($L641=AL$635,$L641="",$D641=$AL$634),MAX(AL$637:AL640)+1,0)</f>
        <v>4</v>
      </c>
      <c r="AM641" s="6225"/>
      <c r="AN641" s="853" t="str">
        <f t="shared" si="78"/>
        <v>Brandistock</v>
      </c>
      <c r="AO641" s="78" t="str">
        <f t="shared" si="79"/>
        <v>Guadaña</v>
      </c>
      <c r="AP641" s="78" t="str">
        <f t="shared" si="80"/>
        <v>Arma #2</v>
      </c>
      <c r="AQ641" s="1256">
        <f>IF(OR($L641=AQ$635,$L641="",$D641=$AS$634),MAX(AQ$637:AQ640)+1,0)</f>
        <v>0</v>
      </c>
      <c r="AR641" s="1257">
        <f>IF(OR($L641=AR$635,$L641="",$D641=$AS$634),MAX(AR$637:AR640)+1,0)</f>
        <v>0</v>
      </c>
      <c r="AS641" s="1258">
        <f>IF(OR($L641=AS$635,$L641="",$D641=$AS$634),MAX(AS$637:AS640)+1,0)</f>
        <v>4</v>
      </c>
      <c r="AT641" s="6225"/>
      <c r="AU641" s="853" t="str">
        <f t="shared" si="81"/>
        <v>Brandistock</v>
      </c>
      <c r="AV641" s="78" t="str">
        <f t="shared" si="82"/>
        <v>Guadaña</v>
      </c>
      <c r="AW641" s="78" t="str">
        <f t="shared" si="83"/>
        <v>Arma #2</v>
      </c>
      <c r="AX641" s="1256">
        <f>IF(OR($L641=AX$635,$L641="",$D641=$AZ$634),MAX(AX$637:AX640)+1,0)</f>
        <v>0</v>
      </c>
      <c r="AY641" s="1257">
        <f>IF(OR($L641=AY$635,$L641="",$D641=$AZ$634),MAX(AY$637:AY640)+1,0)</f>
        <v>0</v>
      </c>
      <c r="AZ641" s="1258">
        <f>IF(OR($L641=AZ$635,$L641="",$D641=$AZ$634),MAX(AZ$637:AZ640)+1,0)</f>
        <v>4</v>
      </c>
      <c r="BA641" s="6225"/>
      <c r="BB641" s="853" t="str">
        <f t="shared" si="84"/>
        <v>Brandistock</v>
      </c>
      <c r="BC641" s="78" t="str">
        <f t="shared" si="85"/>
        <v>Guadaña</v>
      </c>
      <c r="BD641" s="78" t="str">
        <f t="shared" si="86"/>
        <v>Arma #2</v>
      </c>
      <c r="BE641" s="1256">
        <f>IF(OR($L641=BE$635,$L641="",$D641=$BG$634),MAX(BE$637:BE640)+1,0)</f>
        <v>0</v>
      </c>
      <c r="BF641" s="1257">
        <f>IF(OR($L641=BF$635,$L641="",$D641=$BG$634),MAX(BF$637:BF640)+1,0)</f>
        <v>0</v>
      </c>
      <c r="BG641" s="1258">
        <f>IF(OR($L641=BG$635,$L641="",$D641=$BG$634),MAX(BG$637:BG640)+1,0)</f>
        <v>4</v>
      </c>
      <c r="BH641" s="6225"/>
      <c r="BI641" s="853" t="str">
        <f t="shared" si="87"/>
        <v>Brandistock</v>
      </c>
      <c r="BJ641" s="78" t="str">
        <f t="shared" si="88"/>
        <v>Guadaña</v>
      </c>
      <c r="BK641" s="78" t="str">
        <f t="shared" si="89"/>
        <v>Arma #2</v>
      </c>
      <c r="BL641" s="1256">
        <f>IF(OR($L641=BL$635,$L641="",$D641=$BN$634),MAX(BL$637:BL640)+1,0)</f>
        <v>0</v>
      </c>
      <c r="BM641" s="1257">
        <f>IF(OR($L641=BM$635,$L641="",$D641=$BN$634),MAX(BM$637:BM640)+1,0)</f>
        <v>0</v>
      </c>
      <c r="BN641" s="1258">
        <f>IF(OR($L641=BN$635,$L641="",$D641=$BN$634),MAX(BN$637:BN640)+1,0)</f>
        <v>4</v>
      </c>
      <c r="BO641" s="6225"/>
      <c r="BP641" s="853" t="str">
        <f t="shared" si="90"/>
        <v>Brandistock</v>
      </c>
      <c r="BQ641" s="78" t="str">
        <f t="shared" si="91"/>
        <v>Guadaña</v>
      </c>
      <c r="BR641" s="78" t="str">
        <f t="shared" si="92"/>
        <v>Arma #2</v>
      </c>
      <c r="BS641" s="1256">
        <f>IF(OR($L641=BS$635,$L641="",$D641=$BU$634),MAX(BS$637:BS640)+1,0)</f>
        <v>0</v>
      </c>
      <c r="BT641" s="1257">
        <f>IF(OR($L641=BT$635,$L641="",$D641=$BU$634),MAX(BT$637:BT640)+1,0)</f>
        <v>0</v>
      </c>
      <c r="BU641" s="1258">
        <f>IF(OR($L641=BU$635,$L641="",$D641=$BU$634),MAX(BU$637:BU640)+1,0)</f>
        <v>4</v>
      </c>
    </row>
    <row r="642" spans="1:73" ht="12.75" customHeight="1" x14ac:dyDescent="0.2">
      <c r="A642" s="227">
        <v>642</v>
      </c>
      <c r="B642" s="5988"/>
      <c r="C642" s="1146"/>
      <c r="D642" s="2629" t="str">
        <f>IF(Personalización!X26=0,"Arma #3",Personalización!X26)</f>
        <v>Arma #3</v>
      </c>
      <c r="E642" s="2419">
        <f>Personalización!$Z$28</f>
        <v>0</v>
      </c>
      <c r="F642" s="2419">
        <f>Personalización!$Z$27</f>
        <v>0</v>
      </c>
      <c r="G642" s="2419">
        <f>Personalización!$AC$27</f>
        <v>0</v>
      </c>
      <c r="H642" s="2419">
        <f>Personalización!$AE$27</f>
        <v>0</v>
      </c>
      <c r="I642" s="2419" t="str">
        <f>IF(Personalización!$AA$29&lt;&gt;"",Personalización!$AA$29,"-")</f>
        <v>-</v>
      </c>
      <c r="J642" s="2419" t="str">
        <f>IF(Personalización!$AB$29&lt;&gt;"",Personalización!$AB$29,"-")</f>
        <v>-</v>
      </c>
      <c r="K642" s="2621" t="str">
        <f>IF(Personalización!$W$28="","-",Personalización!$W$28)&amp;"/"&amp;IF(Personalización!$W$29="","-",Personalización!$W$29)</f>
        <v>-/-</v>
      </c>
      <c r="L642" s="2630"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31">
        <f>Personalización!$AC$29</f>
        <v>0</v>
      </c>
      <c r="N642" s="2631">
        <f>Personalización!$AD$29</f>
        <v>0</v>
      </c>
      <c r="O642" s="2631">
        <f>Personalización!$AE$29</f>
        <v>0</v>
      </c>
      <c r="P642" s="2419">
        <f>IF(ISNUMBER(SEARCH("Escudo",$K642)),Personalización!$AJ$27,0)</f>
        <v>0</v>
      </c>
      <c r="Q642" s="2419">
        <f>IF(ISNUMBER(SEARCH("Escudo",$K642)),Personalización!$AJ$28,0)</f>
        <v>0</v>
      </c>
      <c r="R642" s="2419" t="s">
        <v>1456</v>
      </c>
      <c r="S642" s="2419">
        <f>IF(ISNUMBER(SEARCH("Proyectiles",$K642)),Personalización!$AJ$28,0)</f>
        <v>0</v>
      </c>
      <c r="T642" s="2419">
        <f>Personalización!$AJ$29</f>
        <v>0</v>
      </c>
      <c r="U642" s="2419" t="str">
        <f>IF(ISNUMBER(SEARCH("Proyectiles",$K642)),Personalización!$AJ$27,"")</f>
        <v/>
      </c>
      <c r="V642" s="2621" t="str">
        <f>IF(Personalización!$AC$26="","",Personalización!$AC$26)</f>
        <v/>
      </c>
      <c r="W642" s="2877"/>
      <c r="X642" s="2879" t="str">
        <f t="shared" si="93"/>
        <v>Mediana</v>
      </c>
      <c r="Y642" s="2618">
        <f>IF(Personalización!$Z$29="N/A",0,IF(Personalización!$Z$29="",Bono_Fue,VLOOKUP(Personalización!$Z$29,Tabla_Características,5,0)))</f>
        <v>0</v>
      </c>
      <c r="Z642" s="1265" t="str">
        <f t="shared" ref="Z642:Z669" si="94">IF(AND(K642&lt;&gt;"Natural/-",ISNUMBER(SEARCH(D642&amp;",",Armas_Conocidas))),", "&amp;K642,"")</f>
        <v/>
      </c>
      <c r="AB642" s="1379"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2892"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2892" t="str">
        <f>IF(ISNUMBER(FIND("Proyectiles",VLOOKUP($D$642,Tabla_ArmasyEscudos,8,0))),$D$642,IF(ISNUMBER(FIND("Proyectiles",VLOOKUP($D$641,Tabla_ArmasyEscudos,8,0))),$D$641,IF(ISNUMBER(FIND("Proyectiles",VLOOKUP($D$640,Tabla_ArmasyEscudos,8,0))),$D$640,"")))</f>
        <v/>
      </c>
      <c r="AE642" s="1368" t="str">
        <f>IF(ISNUMBER(FIND("Proyectiles",VLOOKUP($D$642,Tabla_ArmasyEscudos,8,0))),$D$642,IF(ISNUMBER(FIND("Proyectiles",VLOOKUP($D$641,Tabla_ArmasyEscudos,8,0))),$D$641,IF(ISNUMBER(FIND("Proyectiles",VLOOKUP($D$640,Tabla_ArmasyEscudos,8,0))),$D$640,"")))</f>
        <v/>
      </c>
      <c r="AF642" s="1367"/>
      <c r="AG642" s="853" t="str">
        <f t="shared" si="75"/>
        <v>Glavius</v>
      </c>
      <c r="AH642" s="78" t="str">
        <f t="shared" si="76"/>
        <v>Valaska</v>
      </c>
      <c r="AI642" s="78" t="str">
        <f t="shared" si="77"/>
        <v>Arma #3</v>
      </c>
      <c r="AJ642" s="1256">
        <f>IF(OR($L642=AJ$635,$L642="",$D642=$AL$634),MAX(AJ$637:AJ641)+1,0)</f>
        <v>0</v>
      </c>
      <c r="AK642" s="1257">
        <f>IF(OR($L642=AK$635,$L642="",$D642=$AL$634),MAX(AK$637:AK641)+1,0)</f>
        <v>0</v>
      </c>
      <c r="AL642" s="1258">
        <f>IF(OR($L642=AL$635,$L642="",$D642=$AL$634),MAX(AL$637:AL641)+1,0)</f>
        <v>5</v>
      </c>
      <c r="AM642" s="6225"/>
      <c r="AN642" s="853" t="str">
        <f t="shared" si="78"/>
        <v>Glavius</v>
      </c>
      <c r="AO642" s="78" t="str">
        <f t="shared" si="79"/>
        <v>Valaska</v>
      </c>
      <c r="AP642" s="78" t="str">
        <f t="shared" si="80"/>
        <v>Arma #3</v>
      </c>
      <c r="AQ642" s="1256">
        <f>IF(OR($L642=AQ$635,$L642="",$D642=$AS$634),MAX(AQ$637:AQ641)+1,0)</f>
        <v>0</v>
      </c>
      <c r="AR642" s="1257">
        <f>IF(OR($L642=AR$635,$L642="",$D642=$AS$634),MAX(AR$637:AR641)+1,0)</f>
        <v>0</v>
      </c>
      <c r="AS642" s="1258">
        <f>IF(OR($L642=AS$635,$L642="",$D642=$AS$634),MAX(AS$637:AS641)+1,0)</f>
        <v>5</v>
      </c>
      <c r="AT642" s="6225"/>
      <c r="AU642" s="853" t="str">
        <f t="shared" si="81"/>
        <v>Glavius</v>
      </c>
      <c r="AV642" s="78" t="str">
        <f t="shared" si="82"/>
        <v>Valaska</v>
      </c>
      <c r="AW642" s="78" t="str">
        <f t="shared" si="83"/>
        <v>Arma #3</v>
      </c>
      <c r="AX642" s="1256">
        <f>IF(OR($L642=AX$635,$L642="",$D642=$AZ$634),MAX(AX$637:AX641)+1,0)</f>
        <v>0</v>
      </c>
      <c r="AY642" s="1257">
        <f>IF(OR($L642=AY$635,$L642="",$D642=$AZ$634),MAX(AY$637:AY641)+1,0)</f>
        <v>0</v>
      </c>
      <c r="AZ642" s="1258">
        <f>IF(OR($L642=AZ$635,$L642="",$D642=$AZ$634),MAX(AZ$637:AZ641)+1,0)</f>
        <v>5</v>
      </c>
      <c r="BA642" s="6225"/>
      <c r="BB642" s="853" t="str">
        <f t="shared" si="84"/>
        <v>Glavius</v>
      </c>
      <c r="BC642" s="78" t="str">
        <f t="shared" si="85"/>
        <v>Valaska</v>
      </c>
      <c r="BD642" s="78" t="str">
        <f t="shared" si="86"/>
        <v>Arma #3</v>
      </c>
      <c r="BE642" s="1256">
        <f>IF(OR($L642=BE$635,$L642="",$D642=$BG$634),MAX(BE$637:BE641)+1,0)</f>
        <v>0</v>
      </c>
      <c r="BF642" s="1257">
        <f>IF(OR($L642=BF$635,$L642="",$D642=$BG$634),MAX(BF$637:BF641)+1,0)</f>
        <v>0</v>
      </c>
      <c r="BG642" s="1258">
        <f>IF(OR($L642=BG$635,$L642="",$D642=$BG$634),MAX(BG$637:BG641)+1,0)</f>
        <v>5</v>
      </c>
      <c r="BH642" s="6225"/>
      <c r="BI642" s="853" t="str">
        <f t="shared" si="87"/>
        <v>Glavius</v>
      </c>
      <c r="BJ642" s="78" t="str">
        <f t="shared" si="88"/>
        <v>Valaska</v>
      </c>
      <c r="BK642" s="78" t="str">
        <f t="shared" si="89"/>
        <v>Arma #3</v>
      </c>
      <c r="BL642" s="1256">
        <f>IF(OR($L642=BL$635,$L642="",$D642=$BN$634),MAX(BL$637:BL641)+1,0)</f>
        <v>0</v>
      </c>
      <c r="BM642" s="1257">
        <f>IF(OR($L642=BM$635,$L642="",$D642=$BN$634),MAX(BM$637:BM641)+1,0)</f>
        <v>0</v>
      </c>
      <c r="BN642" s="1258">
        <f>IF(OR($L642=BN$635,$L642="",$D642=$BN$634),MAX(BN$637:BN641)+1,0)</f>
        <v>5</v>
      </c>
      <c r="BO642" s="6225"/>
      <c r="BP642" s="853" t="str">
        <f t="shared" si="90"/>
        <v>Glavius</v>
      </c>
      <c r="BQ642" s="78" t="str">
        <f t="shared" si="91"/>
        <v>Valaska</v>
      </c>
      <c r="BR642" s="78" t="str">
        <f t="shared" si="92"/>
        <v>Arma #3</v>
      </c>
      <c r="BS642" s="1256">
        <f>IF(OR($L642=BS$635,$L642="",$D642=$BU$634),MAX(BS$637:BS641)+1,0)</f>
        <v>0</v>
      </c>
      <c r="BT642" s="1257">
        <f>IF(OR($L642=BT$635,$L642="",$D642=$BU$634),MAX(BT$637:BT641)+1,0)</f>
        <v>0</v>
      </c>
      <c r="BU642" s="1258">
        <f>IF(OR($L642=BU$635,$L642="",$D642=$BU$634),MAX(BU$637:BU641)+1,0)</f>
        <v>5</v>
      </c>
    </row>
    <row r="643" spans="1:73" ht="12.75" customHeight="1" x14ac:dyDescent="0.2">
      <c r="A643" s="227">
        <v>643</v>
      </c>
      <c r="B643" s="5988"/>
      <c r="C643" s="1146"/>
      <c r="D643" s="2629" t="s">
        <v>2110</v>
      </c>
      <c r="E643" s="2626"/>
      <c r="F643" s="2626"/>
      <c r="G643" s="2626"/>
      <c r="H643" s="2626"/>
      <c r="I643" s="2626"/>
      <c r="J643" s="2626"/>
      <c r="K643" s="2622" t="s">
        <v>7260</v>
      </c>
      <c r="L643" s="2626"/>
      <c r="M643" s="2626"/>
      <c r="N643" s="2626"/>
      <c r="O643" s="2626"/>
      <c r="P643" s="2626"/>
      <c r="Q643" s="2626"/>
      <c r="R643" s="2626"/>
      <c r="S643" s="2626"/>
      <c r="T643" s="2626"/>
      <c r="U643" s="2626"/>
      <c r="V643" s="2622"/>
      <c r="W643" s="2622"/>
      <c r="X643" s="2879" t="str">
        <f t="shared" si="93"/>
        <v/>
      </c>
      <c r="Y643" s="2618"/>
      <c r="Z643" s="1265" t="str">
        <f t="shared" si="94"/>
        <v/>
      </c>
      <c r="AB643" s="1379" t="str">
        <f>$D$639</f>
        <v>Armas naturales</v>
      </c>
      <c r="AC643" s="2621" t="s">
        <v>2110</v>
      </c>
      <c r="AD643" s="2892" t="str">
        <f>$D$639</f>
        <v>Armas naturales</v>
      </c>
      <c r="AE643" s="854" t="s">
        <v>2195</v>
      </c>
      <c r="AF643" s="1367"/>
      <c r="AG643" s="853" t="str">
        <f t="shared" si="75"/>
        <v>Goedendag</v>
      </c>
      <c r="AH643" s="78" t="str">
        <f t="shared" si="76"/>
        <v>&gt; ESCUDOS</v>
      </c>
      <c r="AI643" s="78" t="str">
        <f t="shared" si="77"/>
        <v>&gt; ARMAS COMUNES</v>
      </c>
      <c r="AJ643" s="1256">
        <f>IF(OR($L643=AJ$635,$L643="",$D643=$AL$634),MAX(AJ$637:AJ642)+1,0)</f>
        <v>1</v>
      </c>
      <c r="AK643" s="1257">
        <f>IF(OR($L643=AK$635,$L643="",$D643=$AL$634),MAX(AK$637:AK642)+1,0)</f>
        <v>1</v>
      </c>
      <c r="AL643" s="1258">
        <f>IF(OR($L643=AL$635,$L643="",$D643=$AL$634),MAX(AL$637:AL642)+1,0)</f>
        <v>6</v>
      </c>
      <c r="AM643" s="6225"/>
      <c r="AN643" s="853" t="str">
        <f t="shared" si="78"/>
        <v>Goedendag</v>
      </c>
      <c r="AO643" s="78" t="str">
        <f t="shared" si="79"/>
        <v>&gt; ESCUDOS</v>
      </c>
      <c r="AP643" s="78" t="str">
        <f t="shared" si="80"/>
        <v>&gt; ARMAS COMUNES</v>
      </c>
      <c r="AQ643" s="1256">
        <f>IF(OR($L643=AQ$635,$L643="",$D643=$AS$634),MAX(AQ$637:AQ642)+1,0)</f>
        <v>1</v>
      </c>
      <c r="AR643" s="1257">
        <f>IF(OR($L643=AR$635,$L643="",$D643=$AS$634),MAX(AR$637:AR642)+1,0)</f>
        <v>1</v>
      </c>
      <c r="AS643" s="1258">
        <f>IF(OR($L643=AS$635,$L643="",$D643=$AS$634),MAX(AS$637:AS642)+1,0)</f>
        <v>6</v>
      </c>
      <c r="AT643" s="6225"/>
      <c r="AU643" s="853" t="str">
        <f t="shared" si="81"/>
        <v>Goedendag</v>
      </c>
      <c r="AV643" s="78" t="str">
        <f t="shared" si="82"/>
        <v>&gt; ESCUDOS</v>
      </c>
      <c r="AW643" s="78" t="str">
        <f t="shared" si="83"/>
        <v>&gt; ARMAS COMUNES</v>
      </c>
      <c r="AX643" s="1256">
        <f>IF(OR($L643=AX$635,$L643="",$D643=$AZ$634),MAX(AX$637:AX642)+1,0)</f>
        <v>1</v>
      </c>
      <c r="AY643" s="1257">
        <f>IF(OR($L643=AY$635,$L643="",$D643=$AZ$634),MAX(AY$637:AY642)+1,0)</f>
        <v>1</v>
      </c>
      <c r="AZ643" s="1258">
        <f>IF(OR($L643=AZ$635,$L643="",$D643=$AZ$634),MAX(AZ$637:AZ642)+1,0)</f>
        <v>6</v>
      </c>
      <c r="BA643" s="6225"/>
      <c r="BB643" s="853" t="str">
        <f t="shared" si="84"/>
        <v>Goedendag</v>
      </c>
      <c r="BC643" s="78" t="str">
        <f t="shared" si="85"/>
        <v>&gt; ESCUDOS</v>
      </c>
      <c r="BD643" s="78" t="str">
        <f t="shared" si="86"/>
        <v>&gt; ARMAS COMUNES</v>
      </c>
      <c r="BE643" s="1256">
        <f>IF(OR($L643=BE$635,$L643="",$D643=$BG$634),MAX(BE$637:BE642)+1,0)</f>
        <v>1</v>
      </c>
      <c r="BF643" s="1257">
        <f>IF(OR($L643=BF$635,$L643="",$D643=$BG$634),MAX(BF$637:BF642)+1,0)</f>
        <v>1</v>
      </c>
      <c r="BG643" s="1258">
        <f>IF(OR($L643=BG$635,$L643="",$D643=$BG$634),MAX(BG$637:BG642)+1,0)</f>
        <v>6</v>
      </c>
      <c r="BH643" s="6225"/>
      <c r="BI643" s="853" t="str">
        <f t="shared" si="87"/>
        <v>Goedendag</v>
      </c>
      <c r="BJ643" s="78" t="str">
        <f t="shared" si="88"/>
        <v>&gt; ESCUDOS</v>
      </c>
      <c r="BK643" s="78" t="str">
        <f t="shared" si="89"/>
        <v>&gt; ARMAS COMUNES</v>
      </c>
      <c r="BL643" s="1256">
        <f>IF(OR($L643=BL$635,$L643="",$D643=$BN$634),MAX(BL$637:BL642)+1,0)</f>
        <v>1</v>
      </c>
      <c r="BM643" s="1257">
        <f>IF(OR($L643=BM$635,$L643="",$D643=$BN$634),MAX(BM$637:BM642)+1,0)</f>
        <v>1</v>
      </c>
      <c r="BN643" s="1258">
        <f>IF(OR($L643=BN$635,$L643="",$D643=$BN$634),MAX(BN$637:BN642)+1,0)</f>
        <v>6</v>
      </c>
      <c r="BO643" s="6225"/>
      <c r="BP643" s="853" t="str">
        <f t="shared" si="90"/>
        <v>Goedendag</v>
      </c>
      <c r="BQ643" s="78" t="str">
        <f t="shared" si="91"/>
        <v>&gt; ESCUDOS</v>
      </c>
      <c r="BR643" s="78" t="str">
        <f t="shared" si="92"/>
        <v>&gt; ARMAS COMUNES</v>
      </c>
      <c r="BS643" s="1256">
        <f>IF(OR($L643=BS$635,$L643="",$D643=$BU$634),MAX(BS$637:BS642)+1,0)</f>
        <v>1</v>
      </c>
      <c r="BT643" s="1257">
        <f>IF(OR($L643=BT$635,$L643="",$D643=$BU$634),MAX(BT$637:BT642)+1,0)</f>
        <v>1</v>
      </c>
      <c r="BU643" s="1258">
        <f>IF(OR($L643=BU$635,$L643="",$D643=$BU$634),MAX(BU$637:BU642)+1,0)</f>
        <v>6</v>
      </c>
    </row>
    <row r="644" spans="1:73" ht="12.75" customHeight="1" x14ac:dyDescent="0.2">
      <c r="A644" s="227">
        <v>644</v>
      </c>
      <c r="B644" s="5988"/>
      <c r="C644" s="1146"/>
      <c r="D644" s="2629" t="s">
        <v>2111</v>
      </c>
      <c r="E644" s="2633">
        <v>60</v>
      </c>
      <c r="F644" s="2628">
        <v>-15</v>
      </c>
      <c r="G644" s="2628">
        <v>11</v>
      </c>
      <c r="H644" s="2628">
        <v>6</v>
      </c>
      <c r="I644" s="2628" t="s">
        <v>1551</v>
      </c>
      <c r="J644" s="2628" t="s">
        <v>1498</v>
      </c>
      <c r="K644" s="2878" t="s">
        <v>7261</v>
      </c>
      <c r="L644" s="2628" t="str">
        <f t="shared" ref="L644:L675" si="9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Mixta</v>
      </c>
      <c r="M644" s="2634">
        <v>15</v>
      </c>
      <c r="N644" s="2634">
        <v>4</v>
      </c>
      <c r="O644" s="2634">
        <v>20</v>
      </c>
      <c r="P644" s="2628"/>
      <c r="Q644" s="2628"/>
      <c r="R644" s="2628" t="s">
        <v>1456</v>
      </c>
      <c r="S644" s="2628" t="s">
        <v>1456</v>
      </c>
      <c r="T644" s="2628" t="s">
        <v>1456</v>
      </c>
      <c r="U644" s="2628"/>
      <c r="V644" s="2878" t="s">
        <v>2130</v>
      </c>
      <c r="W644" s="2878"/>
      <c r="X644" s="2879" t="str">
        <f t="shared" si="93"/>
        <v>Grande</v>
      </c>
      <c r="Y644" s="2618">
        <f t="shared" ref="Y644:Y675" si="96">Bono_Fue</f>
        <v>0</v>
      </c>
      <c r="Z644" s="1265" t="str">
        <f t="shared" si="94"/>
        <v/>
      </c>
      <c r="AB644" s="853" t="s">
        <v>2110</v>
      </c>
      <c r="AC644" s="2621" t="s">
        <v>2111</v>
      </c>
      <c r="AD644" s="2908" t="s">
        <v>2195</v>
      </c>
      <c r="AE644" s="854" t="s">
        <v>2196</v>
      </c>
      <c r="AF644" s="1367"/>
      <c r="AG644" s="853" t="str">
        <f t="shared" si="75"/>
        <v>Guandao</v>
      </c>
      <c r="AH644" s="78" t="str">
        <f t="shared" si="76"/>
        <v>&gt; ARMAS EXÓTICAS</v>
      </c>
      <c r="AI644" s="78" t="str">
        <f t="shared" si="77"/>
        <v>Bolas</v>
      </c>
      <c r="AJ644" s="1256">
        <f>IF(OR($L644=AJ$635,$L644="",$D644=$AL$634),MAX(AJ$637:AJ643)+1,0)</f>
        <v>0</v>
      </c>
      <c r="AK644" s="1257">
        <f>IF(OR($L644=AK$635,$L644="",$D644=$AL$634),MAX(AK$637:AK643)+1,0)</f>
        <v>2</v>
      </c>
      <c r="AL644" s="1258">
        <f>IF(OR($L644=AL$635,$L644="",$D644=$AL$634),MAX(AL$637:AL643)+1,0)</f>
        <v>0</v>
      </c>
      <c r="AM644" s="6225"/>
      <c r="AN644" s="853" t="str">
        <f t="shared" si="78"/>
        <v>Guandao</v>
      </c>
      <c r="AO644" s="78" t="str">
        <f t="shared" si="79"/>
        <v>&gt; ARMAS EXÓTICAS</v>
      </c>
      <c r="AP644" s="78" t="str">
        <f t="shared" si="80"/>
        <v>Bolas</v>
      </c>
      <c r="AQ644" s="1256">
        <f>IF(OR($L644=AQ$635,$L644="",$D644=$AS$634),MAX(AQ$637:AQ643)+1,0)</f>
        <v>0</v>
      </c>
      <c r="AR644" s="1257">
        <f>IF(OR($L644=AR$635,$L644="",$D644=$AS$634),MAX(AR$637:AR643)+1,0)</f>
        <v>2</v>
      </c>
      <c r="AS644" s="1258">
        <f>IF(OR($L644=AS$635,$L644="",$D644=$AS$634),MAX(AS$637:AS643)+1,0)</f>
        <v>0</v>
      </c>
      <c r="AT644" s="6225"/>
      <c r="AU644" s="853" t="str">
        <f t="shared" si="81"/>
        <v>Guandao</v>
      </c>
      <c r="AV644" s="78" t="str">
        <f t="shared" si="82"/>
        <v>&gt; ARMAS EXÓTICAS</v>
      </c>
      <c r="AW644" s="78" t="str">
        <f t="shared" si="83"/>
        <v>Bolas</v>
      </c>
      <c r="AX644" s="1256">
        <f>IF(OR($L644=AX$635,$L644="",$D644=$AZ$634),MAX(AX$637:AX643)+1,0)</f>
        <v>0</v>
      </c>
      <c r="AY644" s="1257">
        <f>IF(OR($L644=AY$635,$L644="",$D644=$AZ$634),MAX(AY$637:AY643)+1,0)</f>
        <v>2</v>
      </c>
      <c r="AZ644" s="1258">
        <f>IF(OR($L644=AZ$635,$L644="",$D644=$AZ$634),MAX(AZ$637:AZ643)+1,0)</f>
        <v>0</v>
      </c>
      <c r="BA644" s="6225"/>
      <c r="BB644" s="853" t="str">
        <f t="shared" si="84"/>
        <v>Guandao</v>
      </c>
      <c r="BC644" s="78" t="str">
        <f t="shared" si="85"/>
        <v>&gt; ARMAS EXÓTICAS</v>
      </c>
      <c r="BD644" s="78" t="str">
        <f t="shared" si="86"/>
        <v>Bolas</v>
      </c>
      <c r="BE644" s="1256">
        <f>IF(OR($L644=BE$635,$L644="",$D644=$BG$634),MAX(BE$637:BE643)+1,0)</f>
        <v>0</v>
      </c>
      <c r="BF644" s="1257">
        <f>IF(OR($L644=BF$635,$L644="",$D644=$BG$634),MAX(BF$637:BF643)+1,0)</f>
        <v>2</v>
      </c>
      <c r="BG644" s="1258">
        <f>IF(OR($L644=BG$635,$L644="",$D644=$BG$634),MAX(BG$637:BG643)+1,0)</f>
        <v>0</v>
      </c>
      <c r="BH644" s="6225"/>
      <c r="BI644" s="853" t="str">
        <f t="shared" si="87"/>
        <v>Guandao</v>
      </c>
      <c r="BJ644" s="78" t="str">
        <f t="shared" si="88"/>
        <v>&gt; ARMAS EXÓTICAS</v>
      </c>
      <c r="BK644" s="78" t="str">
        <f t="shared" si="89"/>
        <v>Bolas</v>
      </c>
      <c r="BL644" s="1256">
        <f>IF(OR($L644=BL$635,$L644="",$D644=$BN$634),MAX(BL$637:BL643)+1,0)</f>
        <v>0</v>
      </c>
      <c r="BM644" s="1257">
        <f>IF(OR($L644=BM$635,$L644="",$D644=$BN$634),MAX(BM$637:BM643)+1,0)</f>
        <v>2</v>
      </c>
      <c r="BN644" s="1258">
        <f>IF(OR($L644=BN$635,$L644="",$D644=$BN$634),MAX(BN$637:BN643)+1,0)</f>
        <v>0</v>
      </c>
      <c r="BO644" s="6225"/>
      <c r="BP644" s="853" t="str">
        <f t="shared" si="90"/>
        <v>Guandao</v>
      </c>
      <c r="BQ644" s="78" t="str">
        <f t="shared" si="91"/>
        <v>&gt; ARMAS EXÓTICAS</v>
      </c>
      <c r="BR644" s="78" t="str">
        <f t="shared" si="92"/>
        <v>Bolas</v>
      </c>
      <c r="BS644" s="1256">
        <f>IF(OR($L644=BS$635,$L644="",$D644=$BU$634),MAX(BS$637:BS643)+1,0)</f>
        <v>0</v>
      </c>
      <c r="BT644" s="1257">
        <f>IF(OR($L644=BT$635,$L644="",$D644=$BU$634),MAX(BT$637:BT643)+1,0)</f>
        <v>2</v>
      </c>
      <c r="BU644" s="1258">
        <f>IF(OR($L644=BU$635,$L644="",$D644=$BU$634),MAX(BU$637:BU643)+1,0)</f>
        <v>0</v>
      </c>
    </row>
    <row r="645" spans="1:73" ht="12.75" customHeight="1" x14ac:dyDescent="0.2">
      <c r="A645" s="227">
        <v>645</v>
      </c>
      <c r="B645" s="5988"/>
      <c r="C645" s="1146"/>
      <c r="D645" s="2629" t="s">
        <v>2114</v>
      </c>
      <c r="E645" s="2633">
        <v>35</v>
      </c>
      <c r="F645" s="2628">
        <v>-5</v>
      </c>
      <c r="G645" s="2628">
        <v>5</v>
      </c>
      <c r="H645" s="2628">
        <v>5</v>
      </c>
      <c r="I645" s="2628" t="s">
        <v>1552</v>
      </c>
      <c r="J645" s="2628" t="s">
        <v>1456</v>
      </c>
      <c r="K645" s="2878" t="s">
        <v>7262</v>
      </c>
      <c r="L645" s="2628" t="str">
        <f t="shared" si="95"/>
        <v>Conocida</v>
      </c>
      <c r="M645" s="2634">
        <v>11</v>
      </c>
      <c r="N645" s="2634">
        <v>0</v>
      </c>
      <c r="O645" s="2634">
        <v>15</v>
      </c>
      <c r="P645" s="2628"/>
      <c r="Q645" s="2628"/>
      <c r="R645" s="2634">
        <v>100</v>
      </c>
      <c r="S645" s="2628" t="s">
        <v>1456</v>
      </c>
      <c r="T645" s="2628">
        <v>20</v>
      </c>
      <c r="U645" s="2628"/>
      <c r="V645" s="2878" t="s">
        <v>8566</v>
      </c>
      <c r="W645" s="2878"/>
      <c r="X645" s="2879" t="str">
        <f t="shared" ref="X645:X708" si="97">IF(K645="/","",IF(OR(ISNUMBER(FIND("Mandoble",K645)),ISNUMBER(FIND("Asta",K645))),"Grande",IF(ISNUMBER(FIND("Corta",K645)),"Pequeña","Mediana")))</f>
        <v>Grande</v>
      </c>
      <c r="Y645" s="2618">
        <f t="shared" si="96"/>
        <v>0</v>
      </c>
      <c r="Z645" s="1265" t="str">
        <f t="shared" si="94"/>
        <v>, Asta/-</v>
      </c>
      <c r="AB645" s="853" t="s">
        <v>2111</v>
      </c>
      <c r="AC645" s="2621" t="s">
        <v>2114</v>
      </c>
      <c r="AD645" s="2909" t="s">
        <v>8552</v>
      </c>
      <c r="AE645" s="854" t="s">
        <v>2198</v>
      </c>
      <c r="AF645" s="1367"/>
      <c r="AG645" s="853" t="str">
        <f t="shared" si="75"/>
        <v>Jabalina</v>
      </c>
      <c r="AH645" s="78" t="str">
        <f t="shared" si="76"/>
        <v>&gt; A. DE PROYECTILES</v>
      </c>
      <c r="AI645" s="78" t="str">
        <f t="shared" si="77"/>
        <v>Boleadoras</v>
      </c>
      <c r="AJ645" s="1256">
        <f>IF(OR($L645=AJ$635,$L645="",$D645=$AL$634),MAX(AJ$637:AJ644)+1,0)</f>
        <v>0</v>
      </c>
      <c r="AK645" s="1257">
        <f>IF(OR($L645=AK$635,$L645="",$D645=$AL$634),MAX(AK$637:AK644)+1,0)</f>
        <v>0</v>
      </c>
      <c r="AL645" s="1258">
        <f>IF(OR($L645=AL$635,$L645="",$D645=$AL$634),MAX(AL$637:AL644)+1,0)</f>
        <v>0</v>
      </c>
      <c r="AM645" s="6225"/>
      <c r="AN645" s="853" t="str">
        <f t="shared" si="78"/>
        <v>Jabalina</v>
      </c>
      <c r="AO645" s="78" t="str">
        <f t="shared" si="79"/>
        <v>&gt; A. DE PROYECTILES</v>
      </c>
      <c r="AP645" s="78" t="str">
        <f t="shared" si="80"/>
        <v>Boleadoras</v>
      </c>
      <c r="AQ645" s="1256">
        <f>IF(OR($L645=AQ$635,$L645="",$D645=$AS$634),MAX(AQ$637:AQ644)+1,0)</f>
        <v>0</v>
      </c>
      <c r="AR645" s="1257">
        <f>IF(OR($L645=AR$635,$L645="",$D645=$AS$634),MAX(AR$637:AR644)+1,0)</f>
        <v>0</v>
      </c>
      <c r="AS645" s="1258">
        <f>IF(OR($L645=AS$635,$L645="",$D645=$AS$634),MAX(AS$637:AS644)+1,0)</f>
        <v>0</v>
      </c>
      <c r="AT645" s="6225"/>
      <c r="AU645" s="853" t="str">
        <f t="shared" si="81"/>
        <v>Jabalina</v>
      </c>
      <c r="AV645" s="78" t="str">
        <f t="shared" si="82"/>
        <v>&gt; A. DE PROYECTILES</v>
      </c>
      <c r="AW645" s="78" t="str">
        <f t="shared" si="83"/>
        <v>Boleadoras</v>
      </c>
      <c r="AX645" s="1256">
        <f>IF(OR($L645=AX$635,$L645="",$D645=$AZ$634),MAX(AX$637:AX644)+1,0)</f>
        <v>0</v>
      </c>
      <c r="AY645" s="1257">
        <f>IF(OR($L645=AY$635,$L645="",$D645=$AZ$634),MAX(AY$637:AY644)+1,0)</f>
        <v>0</v>
      </c>
      <c r="AZ645" s="1258">
        <f>IF(OR($L645=AZ$635,$L645="",$D645=$AZ$634),MAX(AZ$637:AZ644)+1,0)</f>
        <v>0</v>
      </c>
      <c r="BA645" s="6225"/>
      <c r="BB645" s="853" t="str">
        <f t="shared" si="84"/>
        <v>Jabalina</v>
      </c>
      <c r="BC645" s="78" t="str">
        <f t="shared" si="85"/>
        <v>&gt; A. DE PROYECTILES</v>
      </c>
      <c r="BD645" s="78" t="str">
        <f t="shared" si="86"/>
        <v>Boleadoras</v>
      </c>
      <c r="BE645" s="1256">
        <f>IF(OR($L645=BE$635,$L645="",$D645=$BG$634),MAX(BE$637:BE644)+1,0)</f>
        <v>0</v>
      </c>
      <c r="BF645" s="1257">
        <f>IF(OR($L645=BF$635,$L645="",$D645=$BG$634),MAX(BF$637:BF644)+1,0)</f>
        <v>0</v>
      </c>
      <c r="BG645" s="1258">
        <f>IF(OR($L645=BG$635,$L645="",$D645=$BG$634),MAX(BG$637:BG644)+1,0)</f>
        <v>0</v>
      </c>
      <c r="BH645" s="6225"/>
      <c r="BI645" s="853" t="str">
        <f t="shared" si="87"/>
        <v>Jabalina</v>
      </c>
      <c r="BJ645" s="78" t="str">
        <f t="shared" si="88"/>
        <v>&gt; A. DE PROYECTILES</v>
      </c>
      <c r="BK645" s="78" t="str">
        <f t="shared" si="89"/>
        <v>Boleadoras</v>
      </c>
      <c r="BL645" s="1256">
        <f>IF(OR($L645=BL$635,$L645="",$D645=$BN$634),MAX(BL$637:BL644)+1,0)</f>
        <v>0</v>
      </c>
      <c r="BM645" s="1257">
        <f>IF(OR($L645=BM$635,$L645="",$D645=$BN$634),MAX(BM$637:BM644)+1,0)</f>
        <v>0</v>
      </c>
      <c r="BN645" s="1258">
        <f>IF(OR($L645=BN$635,$L645="",$D645=$BN$634),MAX(BN$637:BN644)+1,0)</f>
        <v>0</v>
      </c>
      <c r="BO645" s="6225"/>
      <c r="BP645" s="853" t="str">
        <f t="shared" si="90"/>
        <v>Jabalina</v>
      </c>
      <c r="BQ645" s="78" t="str">
        <f t="shared" si="91"/>
        <v>&gt; A. DE PROYECTILES</v>
      </c>
      <c r="BR645" s="78" t="str">
        <f t="shared" si="92"/>
        <v>Boleadoras</v>
      </c>
      <c r="BS645" s="1256">
        <f>IF(OR($L645=BS$635,$L645="",$D645=$BU$634),MAX(BS$637:BS644)+1,0)</f>
        <v>0</v>
      </c>
      <c r="BT645" s="1257">
        <f>IF(OR($L645=BT$635,$L645="",$D645=$BU$634),MAX(BT$637:BT644)+1,0)</f>
        <v>0</v>
      </c>
      <c r="BU645" s="1258">
        <f>IF(OR($L645=BU$635,$L645="",$D645=$BU$634),MAX(BU$637:BU644)+1,0)</f>
        <v>0</v>
      </c>
    </row>
    <row r="646" spans="1:73" ht="12.75" customHeight="1" x14ac:dyDescent="0.2">
      <c r="A646" s="227">
        <v>646</v>
      </c>
      <c r="B646" s="5988"/>
      <c r="C646" s="1146"/>
      <c r="D646" s="2629" t="s">
        <v>6979</v>
      </c>
      <c r="E646" s="2633">
        <v>25</v>
      </c>
      <c r="F646" s="2628">
        <v>15</v>
      </c>
      <c r="G646" s="2628">
        <v>5</v>
      </c>
      <c r="H646" s="2628">
        <v>5</v>
      </c>
      <c r="I646" s="2628" t="s">
        <v>1498</v>
      </c>
      <c r="J646" s="2628" t="s">
        <v>1456</v>
      </c>
      <c r="K646" s="2878" t="s">
        <v>7262</v>
      </c>
      <c r="L646" s="2628"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Similar</v>
      </c>
      <c r="M646" s="2634">
        <v>10</v>
      </c>
      <c r="N646" s="2634">
        <v>-1</v>
      </c>
      <c r="O646" s="2634">
        <v>15</v>
      </c>
      <c r="P646" s="2628"/>
      <c r="Q646" s="2628"/>
      <c r="R646" s="2628" t="s">
        <v>1456</v>
      </c>
      <c r="S646" s="2628" t="s">
        <v>1456</v>
      </c>
      <c r="T646" s="2628" t="s">
        <v>1456</v>
      </c>
      <c r="U646" s="2628"/>
      <c r="V646" s="2878" t="s">
        <v>1456</v>
      </c>
      <c r="W646" s="2878"/>
      <c r="X646" s="2879" t="str">
        <f t="shared" si="97"/>
        <v>Grande</v>
      </c>
      <c r="Y646" s="2618">
        <f t="shared" si="96"/>
        <v>0</v>
      </c>
      <c r="Z646" s="1265" t="str">
        <f t="shared" si="94"/>
        <v/>
      </c>
      <c r="AB646" s="853" t="s">
        <v>2114</v>
      </c>
      <c r="AC646" s="2621" t="s">
        <v>10400</v>
      </c>
      <c r="AD646" s="2908" t="s">
        <v>6985</v>
      </c>
      <c r="AE646" s="854" t="s">
        <v>6981</v>
      </c>
      <c r="AF646" s="1367"/>
      <c r="AG646" s="853" t="str">
        <f t="shared" si="75"/>
        <v>Lanza</v>
      </c>
      <c r="AH646" s="78" t="str">
        <f t="shared" si="76"/>
        <v>&gt; ARMAS DE ASEDIO</v>
      </c>
      <c r="AI646" s="78" t="str">
        <f t="shared" si="77"/>
        <v>Bracamarte</v>
      </c>
      <c r="AJ646" s="1256">
        <f>IF(OR($L646=AJ$635,$L646="",$D646=$AL$634),MAX(AJ$637:AJ645)+1,0)</f>
        <v>2</v>
      </c>
      <c r="AK646" s="1257">
        <f>IF(OR($L646=AK$635,$L646="",$D646=$AL$634),MAX(AK$637:AK645)+1,0)</f>
        <v>0</v>
      </c>
      <c r="AL646" s="1258">
        <f>IF(OR($L646=AL$635,$L646="",$D646=$AL$634),MAX(AL$637:AL645)+1,0)</f>
        <v>0</v>
      </c>
      <c r="AM646" s="6225"/>
      <c r="AN646" s="853" t="str">
        <f t="shared" si="78"/>
        <v>Lanza</v>
      </c>
      <c r="AO646" s="78" t="str">
        <f t="shared" si="79"/>
        <v>&gt; ARMAS DE ASEDIO</v>
      </c>
      <c r="AP646" s="78" t="str">
        <f t="shared" si="80"/>
        <v>Bracamarte</v>
      </c>
      <c r="AQ646" s="1256">
        <f>IF(OR($L646=AQ$635,$L646="",$D646=$AS$634),MAX(AQ$637:AQ645)+1,0)</f>
        <v>2</v>
      </c>
      <c r="AR646" s="1257">
        <f>IF(OR($L646=AR$635,$L646="",$D646=$AS$634),MAX(AR$637:AR645)+1,0)</f>
        <v>0</v>
      </c>
      <c r="AS646" s="1258">
        <f>IF(OR($L646=AS$635,$L646="",$D646=$AS$634),MAX(AS$637:AS645)+1,0)</f>
        <v>0</v>
      </c>
      <c r="AT646" s="6225"/>
      <c r="AU646" s="853" t="str">
        <f t="shared" si="81"/>
        <v>Lanza</v>
      </c>
      <c r="AV646" s="78" t="str">
        <f t="shared" si="82"/>
        <v>&gt; ARMAS DE ASEDIO</v>
      </c>
      <c r="AW646" s="78" t="str">
        <f t="shared" si="83"/>
        <v>Bracamarte</v>
      </c>
      <c r="AX646" s="1256">
        <f>IF(OR($L646=AX$635,$L646="",$D646=$AZ$634),MAX(AX$637:AX645)+1,0)</f>
        <v>2</v>
      </c>
      <c r="AY646" s="1257">
        <f>IF(OR($L646=AY$635,$L646="",$D646=$AZ$634),MAX(AY$637:AY645)+1,0)</f>
        <v>0</v>
      </c>
      <c r="AZ646" s="1258">
        <f>IF(OR($L646=AZ$635,$L646="",$D646=$AZ$634),MAX(AZ$637:AZ645)+1,0)</f>
        <v>0</v>
      </c>
      <c r="BA646" s="6225"/>
      <c r="BB646" s="853" t="str">
        <f t="shared" si="84"/>
        <v>Lanza</v>
      </c>
      <c r="BC646" s="78" t="str">
        <f t="shared" si="85"/>
        <v>&gt; ARMAS DE ASEDIO</v>
      </c>
      <c r="BD646" s="78" t="str">
        <f t="shared" si="86"/>
        <v>Bracamarte</v>
      </c>
      <c r="BE646" s="1256">
        <f>IF(OR($L646=BE$635,$L646="",$D646=$BG$634),MAX(BE$637:BE645)+1,0)</f>
        <v>2</v>
      </c>
      <c r="BF646" s="1257">
        <f>IF(OR($L646=BF$635,$L646="",$D646=$BG$634),MAX(BF$637:BF645)+1,0)</f>
        <v>0</v>
      </c>
      <c r="BG646" s="1258">
        <f>IF(OR($L646=BG$635,$L646="",$D646=$BG$634),MAX(BG$637:BG645)+1,0)</f>
        <v>0</v>
      </c>
      <c r="BH646" s="6225"/>
      <c r="BI646" s="853" t="str">
        <f t="shared" si="87"/>
        <v>Lanza</v>
      </c>
      <c r="BJ646" s="78" t="str">
        <f t="shared" si="88"/>
        <v>&gt; ARMAS DE ASEDIO</v>
      </c>
      <c r="BK646" s="78" t="str">
        <f t="shared" si="89"/>
        <v>Bracamarte</v>
      </c>
      <c r="BL646" s="1256">
        <f>IF(OR($L646=BL$635,$L646="",$D646=$BN$634),MAX(BL$637:BL645)+1,0)</f>
        <v>2</v>
      </c>
      <c r="BM646" s="1257">
        <f>IF(OR($L646=BM$635,$L646="",$D646=$BN$634),MAX(BM$637:BM645)+1,0)</f>
        <v>0</v>
      </c>
      <c r="BN646" s="1258">
        <f>IF(OR($L646=BN$635,$L646="",$D646=$BN$634),MAX(BN$637:BN645)+1,0)</f>
        <v>0</v>
      </c>
      <c r="BO646" s="6225"/>
      <c r="BP646" s="853" t="str">
        <f t="shared" si="90"/>
        <v>Lanza</v>
      </c>
      <c r="BQ646" s="78" t="str">
        <f t="shared" si="91"/>
        <v>&gt; ARMAS DE ASEDIO</v>
      </c>
      <c r="BR646" s="78" t="str">
        <f t="shared" si="92"/>
        <v>Bracamarte</v>
      </c>
      <c r="BS646" s="1256">
        <f>IF(OR($L646=BS$635,$L646="",$D646=$BU$634),MAX(BS$637:BS645)+1,0)</f>
        <v>2</v>
      </c>
      <c r="BT646" s="1257">
        <f>IF(OR($L646=BT$635,$L646="",$D646=$BU$634),MAX(BT$637:BT645)+1,0)</f>
        <v>0</v>
      </c>
      <c r="BU646" s="1258">
        <f>IF(OR($L646=BU$635,$L646="",$D646=$BU$634),MAX(BU$637:BU645)+1,0)</f>
        <v>0</v>
      </c>
    </row>
    <row r="647" spans="1:73" ht="12.75" customHeight="1" x14ac:dyDescent="0.2">
      <c r="A647" s="227">
        <v>647</v>
      </c>
      <c r="B647" s="5988"/>
      <c r="C647" s="1146"/>
      <c r="D647" s="2629" t="s">
        <v>10400</v>
      </c>
      <c r="E647" s="2633">
        <v>50</v>
      </c>
      <c r="F647" s="2628">
        <v>-10</v>
      </c>
      <c r="G647" s="2628" t="s">
        <v>1456</v>
      </c>
      <c r="H647" s="2628">
        <v>6</v>
      </c>
      <c r="I647" s="2628" t="s">
        <v>1552</v>
      </c>
      <c r="J647" s="2628" t="s">
        <v>7029</v>
      </c>
      <c r="K647" s="2878" t="s">
        <v>7263</v>
      </c>
      <c r="L647" s="2628" t="str">
        <f t="shared" si="95"/>
        <v>Mixta</v>
      </c>
      <c r="M647" s="2634">
        <v>12</v>
      </c>
      <c r="N647" s="2634">
        <v>2</v>
      </c>
      <c r="O647" s="2634">
        <v>20</v>
      </c>
      <c r="P647" s="2628"/>
      <c r="Q647" s="2628"/>
      <c r="R647" s="2628" t="s">
        <v>1456</v>
      </c>
      <c r="S647" s="2628" t="s">
        <v>1456</v>
      </c>
      <c r="T647" s="2628" t="s">
        <v>1456</v>
      </c>
      <c r="U647" s="2628"/>
      <c r="V647" s="2878" t="s">
        <v>1579</v>
      </c>
      <c r="W647" s="2878"/>
      <c r="X647" s="2879" t="str">
        <f t="shared" si="97"/>
        <v>Grande</v>
      </c>
      <c r="Y647" s="2618">
        <f t="shared" si="96"/>
        <v>0</v>
      </c>
      <c r="Z647" s="1265" t="str">
        <f t="shared" si="94"/>
        <v/>
      </c>
      <c r="AB647" s="853" t="s">
        <v>6979</v>
      </c>
      <c r="AC647" s="2621" t="s">
        <v>6980</v>
      </c>
      <c r="AD647" s="2909" t="s">
        <v>2200</v>
      </c>
      <c r="AE647" s="854" t="s">
        <v>2199</v>
      </c>
      <c r="AF647" s="1367"/>
      <c r="AG647" s="853" t="str">
        <f t="shared" si="75"/>
        <v>Lanza de caballería</v>
      </c>
      <c r="AH647" s="78" t="str">
        <f t="shared" si="76"/>
        <v/>
      </c>
      <c r="AI647" s="78" t="str">
        <f t="shared" si="77"/>
        <v>Cadena</v>
      </c>
      <c r="AJ647" s="1256">
        <f>IF(OR($L647=AJ$635,$L647="",$D647=$AL$634),MAX(AJ$637:AJ646)+1,0)</f>
        <v>0</v>
      </c>
      <c r="AK647" s="1257">
        <f>IF(OR($L647=AK$635,$L647="",$D647=$AL$634),MAX(AK$637:AK646)+1,0)</f>
        <v>3</v>
      </c>
      <c r="AL647" s="1258">
        <f>IF(OR($L647=AL$635,$L647="",$D647=$AL$634),MAX(AL$637:AL646)+1,0)</f>
        <v>0</v>
      </c>
      <c r="AM647" s="6225"/>
      <c r="AN647" s="853" t="str">
        <f t="shared" si="78"/>
        <v>Lanza de caballería</v>
      </c>
      <c r="AO647" s="78" t="str">
        <f t="shared" si="79"/>
        <v/>
      </c>
      <c r="AP647" s="78" t="str">
        <f t="shared" si="80"/>
        <v>Cadena</v>
      </c>
      <c r="AQ647" s="1256">
        <f>IF(OR($L647=AQ$635,$L647="",$D647=$AS$634),MAX(AQ$637:AQ646)+1,0)</f>
        <v>0</v>
      </c>
      <c r="AR647" s="1257">
        <f>IF(OR($L647=AR$635,$L647="",$D647=$AS$634),MAX(AR$637:AR646)+1,0)</f>
        <v>3</v>
      </c>
      <c r="AS647" s="1258">
        <f>IF(OR($L647=AS$635,$L647="",$D647=$AS$634),MAX(AS$637:AS646)+1,0)</f>
        <v>0</v>
      </c>
      <c r="AT647" s="6225"/>
      <c r="AU647" s="853" t="str">
        <f t="shared" si="81"/>
        <v>Lanza de caballería</v>
      </c>
      <c r="AV647" s="78" t="str">
        <f t="shared" si="82"/>
        <v/>
      </c>
      <c r="AW647" s="78" t="str">
        <f t="shared" si="83"/>
        <v>Cadena</v>
      </c>
      <c r="AX647" s="1256">
        <f>IF(OR($L647=AX$635,$L647="",$D647=$AZ$634),MAX(AX$637:AX646)+1,0)</f>
        <v>0</v>
      </c>
      <c r="AY647" s="1257">
        <f>IF(OR($L647=AY$635,$L647="",$D647=$AZ$634),MAX(AY$637:AY646)+1,0)</f>
        <v>3</v>
      </c>
      <c r="AZ647" s="1258">
        <f>IF(OR($L647=AZ$635,$L647="",$D647=$AZ$634),MAX(AZ$637:AZ646)+1,0)</f>
        <v>0</v>
      </c>
      <c r="BA647" s="6225"/>
      <c r="BB647" s="853" t="str">
        <f t="shared" si="84"/>
        <v>Lanza de caballería</v>
      </c>
      <c r="BC647" s="78" t="str">
        <f t="shared" si="85"/>
        <v/>
      </c>
      <c r="BD647" s="78" t="str">
        <f t="shared" si="86"/>
        <v>Cadena</v>
      </c>
      <c r="BE647" s="1256">
        <f>IF(OR($L647=BE$635,$L647="",$D647=$BG$634),MAX(BE$637:BE646)+1,0)</f>
        <v>0</v>
      </c>
      <c r="BF647" s="1257">
        <f>IF(OR($L647=BF$635,$L647="",$D647=$BG$634),MAX(BF$637:BF646)+1,0)</f>
        <v>3</v>
      </c>
      <c r="BG647" s="1258">
        <f>IF(OR($L647=BG$635,$L647="",$D647=$BG$634),MAX(BG$637:BG646)+1,0)</f>
        <v>0</v>
      </c>
      <c r="BH647" s="6225"/>
      <c r="BI647" s="853" t="str">
        <f t="shared" si="87"/>
        <v>Lanza de caballería</v>
      </c>
      <c r="BJ647" s="78" t="str">
        <f t="shared" si="88"/>
        <v/>
      </c>
      <c r="BK647" s="78" t="str">
        <f t="shared" si="89"/>
        <v>Cadena</v>
      </c>
      <c r="BL647" s="1256">
        <f>IF(OR($L647=BL$635,$L647="",$D647=$BN$634),MAX(BL$637:BL646)+1,0)</f>
        <v>0</v>
      </c>
      <c r="BM647" s="1257">
        <f>IF(OR($L647=BM$635,$L647="",$D647=$BN$634),MAX(BM$637:BM646)+1,0)</f>
        <v>3</v>
      </c>
      <c r="BN647" s="1258">
        <f>IF(OR($L647=BN$635,$L647="",$D647=$BN$634),MAX(BN$637:BN646)+1,0)</f>
        <v>0</v>
      </c>
      <c r="BO647" s="6225"/>
      <c r="BP647" s="853" t="str">
        <f t="shared" si="90"/>
        <v>Lanza de caballería</v>
      </c>
      <c r="BQ647" s="78" t="str">
        <f t="shared" si="91"/>
        <v/>
      </c>
      <c r="BR647" s="78" t="str">
        <f t="shared" si="92"/>
        <v>Cadena</v>
      </c>
      <c r="BS647" s="1256">
        <f>IF(OR($L647=BS$635,$L647="",$D647=$BU$634),MAX(BS$637:BS646)+1,0)</f>
        <v>0</v>
      </c>
      <c r="BT647" s="1257">
        <f>IF(OR($L647=BT$635,$L647="",$D647=$BU$634),MAX(BT$637:BT646)+1,0)</f>
        <v>3</v>
      </c>
      <c r="BU647" s="1258">
        <f>IF(OR($L647=BU$635,$L647="",$D647=$BU$634),MAX(BU$637:BU646)+1,0)</f>
        <v>0</v>
      </c>
    </row>
    <row r="648" spans="1:73" ht="12.75" customHeight="1" x14ac:dyDescent="0.2">
      <c r="A648" s="227">
        <v>648</v>
      </c>
      <c r="B648" s="5988"/>
      <c r="C648" s="1146"/>
      <c r="D648" s="2629" t="s">
        <v>6980</v>
      </c>
      <c r="E648" s="2633">
        <v>50</v>
      </c>
      <c r="F648" s="2628">
        <v>-15</v>
      </c>
      <c r="G648" s="2628" t="s">
        <v>1456</v>
      </c>
      <c r="H648" s="2628">
        <v>6</v>
      </c>
      <c r="I648" s="2628" t="s">
        <v>1551</v>
      </c>
      <c r="J648" s="2628" t="s">
        <v>1498</v>
      </c>
      <c r="K648" s="2878" t="s">
        <v>7262</v>
      </c>
      <c r="L648" s="2628" t="str">
        <f t="shared" si="95"/>
        <v>Similar</v>
      </c>
      <c r="M648" s="2634">
        <v>12</v>
      </c>
      <c r="N648" s="2634">
        <v>4</v>
      </c>
      <c r="O648" s="2634">
        <v>20</v>
      </c>
      <c r="P648" s="2628"/>
      <c r="Q648" s="2628"/>
      <c r="R648" s="2628" t="s">
        <v>1456</v>
      </c>
      <c r="S648" s="2628" t="s">
        <v>1456</v>
      </c>
      <c r="T648" s="2628" t="s">
        <v>1456</v>
      </c>
      <c r="U648" s="2628"/>
      <c r="V648" s="2878" t="s">
        <v>1579</v>
      </c>
      <c r="W648" s="2878"/>
      <c r="X648" s="2879" t="str">
        <f t="shared" si="97"/>
        <v>Grande</v>
      </c>
      <c r="Y648" s="2618">
        <f t="shared" si="96"/>
        <v>0</v>
      </c>
      <c r="Z648" s="1265" t="str">
        <f t="shared" si="94"/>
        <v/>
      </c>
      <c r="AB648" s="853" t="s">
        <v>2115</v>
      </c>
      <c r="AC648" s="2621" t="s">
        <v>6982</v>
      </c>
      <c r="AD648" s="2909" t="s">
        <v>2202</v>
      </c>
      <c r="AE648" s="1259" t="s">
        <v>2200</v>
      </c>
      <c r="AF648" s="1367"/>
      <c r="AG648" s="853" t="str">
        <f t="shared" si="75"/>
        <v>Pica</v>
      </c>
      <c r="AH648" s="78" t="str">
        <f t="shared" si="76"/>
        <v/>
      </c>
      <c r="AI648" s="78" t="str">
        <f t="shared" si="77"/>
        <v>Cestus</v>
      </c>
      <c r="AJ648" s="1256">
        <f>IF(OR($L648=AJ$635,$L648="",$D648=$AL$634),MAX(AJ$637:AJ647)+1,0)</f>
        <v>3</v>
      </c>
      <c r="AK648" s="1257">
        <f>IF(OR($L648=AK$635,$L648="",$D648=$AL$634),MAX(AK$637:AK647)+1,0)</f>
        <v>0</v>
      </c>
      <c r="AL648" s="1258">
        <f>IF(OR($L648=AL$635,$L648="",$D648=$AL$634),MAX(AL$637:AL647)+1,0)</f>
        <v>0</v>
      </c>
      <c r="AM648" s="6225"/>
      <c r="AN648" s="853" t="str">
        <f t="shared" si="78"/>
        <v>Pica</v>
      </c>
      <c r="AO648" s="78" t="str">
        <f t="shared" si="79"/>
        <v/>
      </c>
      <c r="AP648" s="78" t="str">
        <f t="shared" si="80"/>
        <v>Cestus</v>
      </c>
      <c r="AQ648" s="1256">
        <f>IF(OR($L648=AQ$635,$L648="",$D648=$AS$634),MAX(AQ$637:AQ647)+1,0)</f>
        <v>3</v>
      </c>
      <c r="AR648" s="1257">
        <f>IF(OR($L648=AR$635,$L648="",$D648=$AS$634),MAX(AR$637:AR647)+1,0)</f>
        <v>0</v>
      </c>
      <c r="AS648" s="1258">
        <f>IF(OR($L648=AS$635,$L648="",$D648=$AS$634),MAX(AS$637:AS647)+1,0)</f>
        <v>0</v>
      </c>
      <c r="AT648" s="6225"/>
      <c r="AU648" s="853" t="str">
        <f t="shared" si="81"/>
        <v>Pica</v>
      </c>
      <c r="AV648" s="78" t="str">
        <f t="shared" si="82"/>
        <v/>
      </c>
      <c r="AW648" s="78" t="str">
        <f t="shared" si="83"/>
        <v>Cestus</v>
      </c>
      <c r="AX648" s="1256">
        <f>IF(OR($L648=AX$635,$L648="",$D648=$AZ$634),MAX(AX$637:AX647)+1,0)</f>
        <v>3</v>
      </c>
      <c r="AY648" s="1257">
        <f>IF(OR($L648=AY$635,$L648="",$D648=$AZ$634),MAX(AY$637:AY647)+1,0)</f>
        <v>0</v>
      </c>
      <c r="AZ648" s="1258">
        <f>IF(OR($L648=AZ$635,$L648="",$D648=$AZ$634),MAX(AZ$637:AZ647)+1,0)</f>
        <v>0</v>
      </c>
      <c r="BA648" s="6225"/>
      <c r="BB648" s="853" t="str">
        <f t="shared" si="84"/>
        <v>Pica</v>
      </c>
      <c r="BC648" s="78" t="str">
        <f t="shared" si="85"/>
        <v/>
      </c>
      <c r="BD648" s="78" t="str">
        <f t="shared" si="86"/>
        <v>Cestus</v>
      </c>
      <c r="BE648" s="1256">
        <f>IF(OR($L648=BE$635,$L648="",$D648=$BG$634),MAX(BE$637:BE647)+1,0)</f>
        <v>3</v>
      </c>
      <c r="BF648" s="1257">
        <f>IF(OR($L648=BF$635,$L648="",$D648=$BG$634),MAX(BF$637:BF647)+1,0)</f>
        <v>0</v>
      </c>
      <c r="BG648" s="1258">
        <f>IF(OR($L648=BG$635,$L648="",$D648=$BG$634),MAX(BG$637:BG647)+1,0)</f>
        <v>0</v>
      </c>
      <c r="BH648" s="6225"/>
      <c r="BI648" s="853" t="str">
        <f t="shared" si="87"/>
        <v>Pica</v>
      </c>
      <c r="BJ648" s="78" t="str">
        <f t="shared" si="88"/>
        <v/>
      </c>
      <c r="BK648" s="78" t="str">
        <f t="shared" si="89"/>
        <v>Cestus</v>
      </c>
      <c r="BL648" s="1256">
        <f>IF(OR($L648=BL$635,$L648="",$D648=$BN$634),MAX(BL$637:BL647)+1,0)</f>
        <v>3</v>
      </c>
      <c r="BM648" s="1257">
        <f>IF(OR($L648=BM$635,$L648="",$D648=$BN$634),MAX(BM$637:BM647)+1,0)</f>
        <v>0</v>
      </c>
      <c r="BN648" s="1258">
        <f>IF(OR($L648=BN$635,$L648="",$D648=$BN$634),MAX(BN$637:BN647)+1,0)</f>
        <v>0</v>
      </c>
      <c r="BO648" s="6225"/>
      <c r="BP648" s="853" t="str">
        <f t="shared" si="90"/>
        <v>Pica</v>
      </c>
      <c r="BQ648" s="78" t="str">
        <f t="shared" si="91"/>
        <v/>
      </c>
      <c r="BR648" s="78" t="str">
        <f t="shared" si="92"/>
        <v>Cestus</v>
      </c>
      <c r="BS648" s="1256">
        <f>IF(OR($L648=BS$635,$L648="",$D648=$BU$634),MAX(BS$637:BS647)+1,0)</f>
        <v>3</v>
      </c>
      <c r="BT648" s="1257">
        <f>IF(OR($L648=BT$635,$L648="",$D648=$BU$634),MAX(BT$637:BT647)+1,0)</f>
        <v>0</v>
      </c>
      <c r="BU648" s="1258">
        <f>IF(OR($L648=BU$635,$L648="",$D648=$BU$634),MAX(BU$637:BU647)+1,0)</f>
        <v>0</v>
      </c>
    </row>
    <row r="649" spans="1:73" ht="12.75" customHeight="1" x14ac:dyDescent="0.2">
      <c r="A649" s="227">
        <v>649</v>
      </c>
      <c r="B649" s="5988"/>
      <c r="C649" s="1146"/>
      <c r="D649" s="2629" t="s">
        <v>2115</v>
      </c>
      <c r="E649" s="2628">
        <v>20</v>
      </c>
      <c r="F649" s="2628">
        <v>0</v>
      </c>
      <c r="G649" s="2628">
        <v>5</v>
      </c>
      <c r="H649" s="2628">
        <v>5</v>
      </c>
      <c r="I649" s="2628" t="s">
        <v>1498</v>
      </c>
      <c r="J649" s="2628" t="s">
        <v>1456</v>
      </c>
      <c r="K649" s="2878" t="s">
        <v>7264</v>
      </c>
      <c r="L649" s="2628" t="str">
        <f t="shared" si="95"/>
        <v>Distinta</v>
      </c>
      <c r="M649" s="2634">
        <v>10</v>
      </c>
      <c r="N649" s="2634">
        <v>2</v>
      </c>
      <c r="O649" s="2634">
        <v>15</v>
      </c>
      <c r="P649" s="2628"/>
      <c r="Q649" s="2628"/>
      <c r="R649" s="2634">
        <v>50</v>
      </c>
      <c r="S649" s="2628" t="s">
        <v>1456</v>
      </c>
      <c r="T649" s="2628">
        <v>20</v>
      </c>
      <c r="U649" s="2628"/>
      <c r="V649" s="2878" t="s">
        <v>2117</v>
      </c>
      <c r="W649" s="2878"/>
      <c r="X649" s="2879" t="str">
        <f t="shared" si="97"/>
        <v>Mediana</v>
      </c>
      <c r="Y649" s="2618">
        <f t="shared" si="96"/>
        <v>0</v>
      </c>
      <c r="Z649" s="1265" t="str">
        <f t="shared" si="94"/>
        <v/>
      </c>
      <c r="AB649" s="853" t="s">
        <v>2118</v>
      </c>
      <c r="AC649" s="2621" t="s">
        <v>6984</v>
      </c>
      <c r="AD649" s="2909" t="s">
        <v>2203</v>
      </c>
      <c r="AE649" s="1259" t="s">
        <v>2203</v>
      </c>
      <c r="AF649" s="1367"/>
      <c r="AG649" s="853" t="str">
        <f t="shared" si="75"/>
        <v>Pudao</v>
      </c>
      <c r="AH649" s="78" t="str">
        <f t="shared" si="76"/>
        <v/>
      </c>
      <c r="AI649" s="78" t="str">
        <f t="shared" si="77"/>
        <v>Chui</v>
      </c>
      <c r="AJ649" s="1256">
        <f>IF(OR($L649=AJ$635,$L649="",$D649=$AL$634),MAX(AJ$637:AJ648)+1,0)</f>
        <v>0</v>
      </c>
      <c r="AK649" s="1257">
        <f>IF(OR($L649=AK$635,$L649="",$D649=$AL$634),MAX(AK$637:AK648)+1,0)</f>
        <v>0</v>
      </c>
      <c r="AL649" s="1258">
        <f>IF(OR($L649=AL$635,$L649="",$D649=$AL$634),MAX(AL$637:AL648)+1,0)</f>
        <v>7</v>
      </c>
      <c r="AM649" s="6225"/>
      <c r="AN649" s="853" t="str">
        <f t="shared" si="78"/>
        <v>Pudao</v>
      </c>
      <c r="AO649" s="78" t="str">
        <f t="shared" si="79"/>
        <v/>
      </c>
      <c r="AP649" s="78" t="str">
        <f t="shared" si="80"/>
        <v>Chui</v>
      </c>
      <c r="AQ649" s="1256">
        <f>IF(OR($L649=AQ$635,$L649="",$D649=$AS$634),MAX(AQ$637:AQ648)+1,0)</f>
        <v>0</v>
      </c>
      <c r="AR649" s="1257">
        <f>IF(OR($L649=AR$635,$L649="",$D649=$AS$634),MAX(AR$637:AR648)+1,0)</f>
        <v>0</v>
      </c>
      <c r="AS649" s="1258">
        <f>IF(OR($L649=AS$635,$L649="",$D649=$AS$634),MAX(AS$637:AS648)+1,0)</f>
        <v>7</v>
      </c>
      <c r="AT649" s="6225"/>
      <c r="AU649" s="853" t="str">
        <f t="shared" si="81"/>
        <v>Pudao</v>
      </c>
      <c r="AV649" s="78" t="str">
        <f t="shared" si="82"/>
        <v/>
      </c>
      <c r="AW649" s="78" t="str">
        <f t="shared" si="83"/>
        <v>Chui</v>
      </c>
      <c r="AX649" s="1256">
        <f>IF(OR($L649=AX$635,$L649="",$D649=$AZ$634),MAX(AX$637:AX648)+1,0)</f>
        <v>0</v>
      </c>
      <c r="AY649" s="1257">
        <f>IF(OR($L649=AY$635,$L649="",$D649=$AZ$634),MAX(AY$637:AY648)+1,0)</f>
        <v>0</v>
      </c>
      <c r="AZ649" s="1258">
        <f>IF(OR($L649=AZ$635,$L649="",$D649=$AZ$634),MAX(AZ$637:AZ648)+1,0)</f>
        <v>7</v>
      </c>
      <c r="BA649" s="6225"/>
      <c r="BB649" s="853" t="str">
        <f t="shared" si="84"/>
        <v>Pudao</v>
      </c>
      <c r="BC649" s="78" t="str">
        <f t="shared" si="85"/>
        <v/>
      </c>
      <c r="BD649" s="78" t="str">
        <f t="shared" si="86"/>
        <v>Chui</v>
      </c>
      <c r="BE649" s="1256">
        <f>IF(OR($L649=BE$635,$L649="",$D649=$BG$634),MAX(BE$637:BE648)+1,0)</f>
        <v>0</v>
      </c>
      <c r="BF649" s="1257">
        <f>IF(OR($L649=BF$635,$L649="",$D649=$BG$634),MAX(BF$637:BF648)+1,0)</f>
        <v>0</v>
      </c>
      <c r="BG649" s="1258">
        <f>IF(OR($L649=BG$635,$L649="",$D649=$BG$634),MAX(BG$637:BG648)+1,0)</f>
        <v>7</v>
      </c>
      <c r="BH649" s="6225"/>
      <c r="BI649" s="853" t="str">
        <f t="shared" si="87"/>
        <v>Pudao</v>
      </c>
      <c r="BJ649" s="78" t="str">
        <f t="shared" si="88"/>
        <v/>
      </c>
      <c r="BK649" s="78" t="str">
        <f t="shared" si="89"/>
        <v>Chui</v>
      </c>
      <c r="BL649" s="1256">
        <f>IF(OR($L649=BL$635,$L649="",$D649=$BN$634),MAX(BL$637:BL648)+1,0)</f>
        <v>0</v>
      </c>
      <c r="BM649" s="1257">
        <f>IF(OR($L649=BM$635,$L649="",$D649=$BN$634),MAX(BM$637:BM648)+1,0)</f>
        <v>0</v>
      </c>
      <c r="BN649" s="1258">
        <f>IF(OR($L649=BN$635,$L649="",$D649=$BN$634),MAX(BN$637:BN648)+1,0)</f>
        <v>7</v>
      </c>
      <c r="BO649" s="6225"/>
      <c r="BP649" s="853" t="str">
        <f t="shared" si="90"/>
        <v>Pudao</v>
      </c>
      <c r="BQ649" s="78" t="str">
        <f t="shared" si="91"/>
        <v/>
      </c>
      <c r="BR649" s="78" t="str">
        <f t="shared" si="92"/>
        <v>Chui</v>
      </c>
      <c r="BS649" s="1256">
        <f>IF(OR($L649=BS$635,$L649="",$D649=$BU$634),MAX(BS$637:BS648)+1,0)</f>
        <v>0</v>
      </c>
      <c r="BT649" s="1257">
        <f>IF(OR($L649=BT$635,$L649="",$D649=$BU$634),MAX(BT$637:BT648)+1,0)</f>
        <v>0</v>
      </c>
      <c r="BU649" s="1258">
        <f>IF(OR($L649=BU$635,$L649="",$D649=$BU$634),MAX(BU$637:BU648)+1,0)</f>
        <v>7</v>
      </c>
    </row>
    <row r="650" spans="1:73" ht="12.75" customHeight="1" x14ac:dyDescent="0.2">
      <c r="A650" s="227">
        <v>650</v>
      </c>
      <c r="B650" s="5988"/>
      <c r="C650" s="1146"/>
      <c r="D650" s="2629" t="s">
        <v>2118</v>
      </c>
      <c r="E650" s="2628">
        <v>30</v>
      </c>
      <c r="F650" s="2628">
        <v>-10</v>
      </c>
      <c r="G650" s="2628">
        <v>5</v>
      </c>
      <c r="H650" s="2628">
        <v>5</v>
      </c>
      <c r="I650" s="2628" t="s">
        <v>1498</v>
      </c>
      <c r="J650" s="2628" t="s">
        <v>1456</v>
      </c>
      <c r="K650" s="2878" t="s">
        <v>7264</v>
      </c>
      <c r="L650" s="2628" t="str">
        <f t="shared" si="95"/>
        <v>Distinta</v>
      </c>
      <c r="M650" s="2634">
        <v>6</v>
      </c>
      <c r="N650" s="2634">
        <v>2</v>
      </c>
      <c r="O650" s="2634">
        <v>15</v>
      </c>
      <c r="P650" s="2628"/>
      <c r="Q650" s="2628"/>
      <c r="R650" s="2634">
        <v>80</v>
      </c>
      <c r="S650" s="2628" t="s">
        <v>1456</v>
      </c>
      <c r="T650" s="2628">
        <v>20</v>
      </c>
      <c r="U650" s="2628"/>
      <c r="V650" s="2878" t="s">
        <v>8567</v>
      </c>
      <c r="W650" s="2878"/>
      <c r="X650" s="2879" t="str">
        <f t="shared" si="97"/>
        <v>Mediana</v>
      </c>
      <c r="Y650" s="2618">
        <f t="shared" si="96"/>
        <v>0</v>
      </c>
      <c r="Z650" s="1265" t="str">
        <f t="shared" si="94"/>
        <v/>
      </c>
      <c r="AB650" s="853" t="s">
        <v>6983</v>
      </c>
      <c r="AC650" s="2621" t="s">
        <v>2129</v>
      </c>
      <c r="AD650" s="2908" t="s">
        <v>2204</v>
      </c>
      <c r="AE650" s="854" t="s">
        <v>2204</v>
      </c>
      <c r="AF650" s="1367"/>
      <c r="AG650" s="853" t="str">
        <f t="shared" si="75"/>
        <v>Tridente</v>
      </c>
      <c r="AH650" s="78" t="str">
        <f t="shared" si="76"/>
        <v/>
      </c>
      <c r="AI650" s="78" t="str">
        <f t="shared" si="77"/>
        <v>Cimitarra</v>
      </c>
      <c r="AJ650" s="1256">
        <f>IF(OR($L650=AJ$635,$L650="",$D650=$AL$634),MAX(AJ$637:AJ649)+1,0)</f>
        <v>0</v>
      </c>
      <c r="AK650" s="1257">
        <f>IF(OR($L650=AK$635,$L650="",$D650=$AL$634),MAX(AK$637:AK649)+1,0)</f>
        <v>0</v>
      </c>
      <c r="AL650" s="1258">
        <f>IF(OR($L650=AL$635,$L650="",$D650=$AL$634),MAX(AL$637:AL649)+1,0)</f>
        <v>8</v>
      </c>
      <c r="AM650" s="6225"/>
      <c r="AN650" s="853" t="str">
        <f t="shared" si="78"/>
        <v>Tridente</v>
      </c>
      <c r="AO650" s="78" t="str">
        <f t="shared" si="79"/>
        <v/>
      </c>
      <c r="AP650" s="78" t="str">
        <f t="shared" si="80"/>
        <v>Cimitarra</v>
      </c>
      <c r="AQ650" s="1256">
        <f>IF(OR($L650=AQ$635,$L650="",$D650=$AS$634),MAX(AQ$637:AQ649)+1,0)</f>
        <v>0</v>
      </c>
      <c r="AR650" s="1257">
        <f>IF(OR($L650=AR$635,$L650="",$D650=$AS$634),MAX(AR$637:AR649)+1,0)</f>
        <v>0</v>
      </c>
      <c r="AS650" s="1258">
        <f>IF(OR($L650=AS$635,$L650="",$D650=$AS$634),MAX(AS$637:AS649)+1,0)</f>
        <v>8</v>
      </c>
      <c r="AT650" s="6225"/>
      <c r="AU650" s="853" t="str">
        <f t="shared" si="81"/>
        <v>Tridente</v>
      </c>
      <c r="AV650" s="78" t="str">
        <f t="shared" si="82"/>
        <v/>
      </c>
      <c r="AW650" s="78" t="str">
        <f t="shared" si="83"/>
        <v>Cimitarra</v>
      </c>
      <c r="AX650" s="1256">
        <f>IF(OR($L650=AX$635,$L650="",$D650=$AZ$634),MAX(AX$637:AX649)+1,0)</f>
        <v>0</v>
      </c>
      <c r="AY650" s="1257">
        <f>IF(OR($L650=AY$635,$L650="",$D650=$AZ$634),MAX(AY$637:AY649)+1,0)</f>
        <v>0</v>
      </c>
      <c r="AZ650" s="1258">
        <f>IF(OR($L650=AZ$635,$L650="",$D650=$AZ$634),MAX(AZ$637:AZ649)+1,0)</f>
        <v>8</v>
      </c>
      <c r="BA650" s="6225"/>
      <c r="BB650" s="853" t="str">
        <f t="shared" si="84"/>
        <v>Tridente</v>
      </c>
      <c r="BC650" s="78" t="str">
        <f t="shared" si="85"/>
        <v/>
      </c>
      <c r="BD650" s="78" t="str">
        <f t="shared" si="86"/>
        <v>Cimitarra</v>
      </c>
      <c r="BE650" s="1256">
        <f>IF(OR($L650=BE$635,$L650="",$D650=$BG$634),MAX(BE$637:BE649)+1,0)</f>
        <v>0</v>
      </c>
      <c r="BF650" s="1257">
        <f>IF(OR($L650=BF$635,$L650="",$D650=$BG$634),MAX(BF$637:BF649)+1,0)</f>
        <v>0</v>
      </c>
      <c r="BG650" s="1258">
        <f>IF(OR($L650=BG$635,$L650="",$D650=$BG$634),MAX(BG$637:BG649)+1,0)</f>
        <v>8</v>
      </c>
      <c r="BH650" s="6225"/>
      <c r="BI650" s="853" t="str">
        <f t="shared" si="87"/>
        <v>Tridente</v>
      </c>
      <c r="BJ650" s="78" t="str">
        <f t="shared" si="88"/>
        <v/>
      </c>
      <c r="BK650" s="78" t="str">
        <f t="shared" si="89"/>
        <v>Cimitarra</v>
      </c>
      <c r="BL650" s="1256">
        <f>IF(OR($L650=BL$635,$L650="",$D650=$BN$634),MAX(BL$637:BL649)+1,0)</f>
        <v>0</v>
      </c>
      <c r="BM650" s="1257">
        <f>IF(OR($L650=BM$635,$L650="",$D650=$BN$634),MAX(BM$637:BM649)+1,0)</f>
        <v>0</v>
      </c>
      <c r="BN650" s="1258">
        <f>IF(OR($L650=BN$635,$L650="",$D650=$BN$634),MAX(BN$637:BN649)+1,0)</f>
        <v>8</v>
      </c>
      <c r="BO650" s="6225"/>
      <c r="BP650" s="853" t="str">
        <f t="shared" si="90"/>
        <v>Tridente</v>
      </c>
      <c r="BQ650" s="78" t="str">
        <f t="shared" si="91"/>
        <v/>
      </c>
      <c r="BR650" s="78" t="str">
        <f t="shared" si="92"/>
        <v>Cimitarra</v>
      </c>
      <c r="BS650" s="1256">
        <f>IF(OR($L650=BS$635,$L650="",$D650=$BU$634),MAX(BS$637:BS649)+1,0)</f>
        <v>0</v>
      </c>
      <c r="BT650" s="1257">
        <f>IF(OR($L650=BT$635,$L650="",$D650=$BU$634),MAX(BT$637:BT649)+1,0)</f>
        <v>0</v>
      </c>
      <c r="BU650" s="1258">
        <f>IF(OR($L650=BU$635,$L650="",$D650=$BU$634),MAX(BU$637:BU649)+1,0)</f>
        <v>8</v>
      </c>
    </row>
    <row r="651" spans="1:73" ht="12.75" customHeight="1" x14ac:dyDescent="0.2">
      <c r="A651" s="227">
        <v>651</v>
      </c>
      <c r="B651" s="5988"/>
      <c r="C651" s="1146"/>
      <c r="D651" s="2629" t="s">
        <v>6983</v>
      </c>
      <c r="E651" s="2633">
        <v>60</v>
      </c>
      <c r="F651" s="2628">
        <v>-10</v>
      </c>
      <c r="G651" s="2628">
        <v>7</v>
      </c>
      <c r="H651" s="2628">
        <v>7</v>
      </c>
      <c r="I651" s="2628" t="s">
        <v>1551</v>
      </c>
      <c r="J651" s="2628" t="s">
        <v>1456</v>
      </c>
      <c r="K651" s="2878" t="s">
        <v>7265</v>
      </c>
      <c r="L651" s="2628" t="str">
        <f t="shared" si="95"/>
        <v>Distinta</v>
      </c>
      <c r="M651" s="2634">
        <v>15</v>
      </c>
      <c r="N651" s="2634">
        <v>4</v>
      </c>
      <c r="O651" s="2634">
        <v>20</v>
      </c>
      <c r="P651" s="2628"/>
      <c r="Q651" s="2628"/>
      <c r="R651" s="2628" t="s">
        <v>1456</v>
      </c>
      <c r="S651" s="2628" t="s">
        <v>1456</v>
      </c>
      <c r="T651" s="2628" t="s">
        <v>1456</v>
      </c>
      <c r="U651" s="2628"/>
      <c r="V651" s="2878" t="s">
        <v>1456</v>
      </c>
      <c r="W651" s="2878"/>
      <c r="X651" s="2879" t="str">
        <f t="shared" si="97"/>
        <v>Mediana</v>
      </c>
      <c r="Y651" s="2618">
        <f t="shared" si="96"/>
        <v>0</v>
      </c>
      <c r="Z651" s="1265" t="str">
        <f t="shared" si="94"/>
        <v/>
      </c>
      <c r="AB651" s="853" t="s">
        <v>2119</v>
      </c>
      <c r="AC651" s="2621" t="s">
        <v>2132</v>
      </c>
      <c r="AD651" s="2909" t="s">
        <v>2206</v>
      </c>
      <c r="AE651" s="854" t="s">
        <v>2205</v>
      </c>
      <c r="AF651" s="1367"/>
      <c r="AG651" s="853" t="str">
        <f t="shared" si="75"/>
        <v>Vara</v>
      </c>
      <c r="AH651" s="78" t="str">
        <f t="shared" si="76"/>
        <v/>
      </c>
      <c r="AI651" s="78" t="str">
        <f t="shared" si="77"/>
        <v>Cinquedea</v>
      </c>
      <c r="AJ651" s="1256">
        <f>IF(OR($L651=AJ$635,$L651="",$D651=$AL$634),MAX(AJ$637:AJ650)+1,0)</f>
        <v>0</v>
      </c>
      <c r="AK651" s="1257">
        <f>IF(OR($L651=AK$635,$L651="",$D651=$AL$634),MAX(AK$637:AK650)+1,0)</f>
        <v>0</v>
      </c>
      <c r="AL651" s="1258">
        <f>IF(OR($L651=AL$635,$L651="",$D651=$AL$634),MAX(AL$637:AL650)+1,0)</f>
        <v>9</v>
      </c>
      <c r="AM651" s="6225"/>
      <c r="AN651" s="853" t="str">
        <f t="shared" si="78"/>
        <v>Vara</v>
      </c>
      <c r="AO651" s="78" t="str">
        <f t="shared" si="79"/>
        <v/>
      </c>
      <c r="AP651" s="78" t="str">
        <f t="shared" si="80"/>
        <v>Cinquedea</v>
      </c>
      <c r="AQ651" s="1256">
        <f>IF(OR($L651=AQ$635,$L651="",$D651=$AS$634),MAX(AQ$637:AQ650)+1,0)</f>
        <v>0</v>
      </c>
      <c r="AR651" s="1257">
        <f>IF(OR($L651=AR$635,$L651="",$D651=$AS$634),MAX(AR$637:AR650)+1,0)</f>
        <v>0</v>
      </c>
      <c r="AS651" s="1258">
        <f>IF(OR($L651=AS$635,$L651="",$D651=$AS$634),MAX(AS$637:AS650)+1,0)</f>
        <v>9</v>
      </c>
      <c r="AT651" s="6225"/>
      <c r="AU651" s="853" t="str">
        <f t="shared" si="81"/>
        <v>Vara</v>
      </c>
      <c r="AV651" s="78" t="str">
        <f t="shared" si="82"/>
        <v/>
      </c>
      <c r="AW651" s="78" t="str">
        <f t="shared" si="83"/>
        <v>Cinquedea</v>
      </c>
      <c r="AX651" s="1256">
        <f>IF(OR($L651=AX$635,$L651="",$D651=$AZ$634),MAX(AX$637:AX650)+1,0)</f>
        <v>0</v>
      </c>
      <c r="AY651" s="1257">
        <f>IF(OR($L651=AY$635,$L651="",$D651=$AZ$634),MAX(AY$637:AY650)+1,0)</f>
        <v>0</v>
      </c>
      <c r="AZ651" s="1258">
        <f>IF(OR($L651=AZ$635,$L651="",$D651=$AZ$634),MAX(AZ$637:AZ650)+1,0)</f>
        <v>9</v>
      </c>
      <c r="BA651" s="6225"/>
      <c r="BB651" s="853" t="str">
        <f t="shared" si="84"/>
        <v>Vara</v>
      </c>
      <c r="BC651" s="78" t="str">
        <f t="shared" si="85"/>
        <v/>
      </c>
      <c r="BD651" s="78" t="str">
        <f t="shared" si="86"/>
        <v>Cinquedea</v>
      </c>
      <c r="BE651" s="1256">
        <f>IF(OR($L651=BE$635,$L651="",$D651=$BG$634),MAX(BE$637:BE650)+1,0)</f>
        <v>0</v>
      </c>
      <c r="BF651" s="1257">
        <f>IF(OR($L651=BF$635,$L651="",$D651=$BG$634),MAX(BF$637:BF650)+1,0)</f>
        <v>0</v>
      </c>
      <c r="BG651" s="1258">
        <f>IF(OR($L651=BG$635,$L651="",$D651=$BG$634),MAX(BG$637:BG650)+1,0)</f>
        <v>9</v>
      </c>
      <c r="BH651" s="6225"/>
      <c r="BI651" s="853" t="str">
        <f t="shared" si="87"/>
        <v>Vara</v>
      </c>
      <c r="BJ651" s="78" t="str">
        <f t="shared" si="88"/>
        <v/>
      </c>
      <c r="BK651" s="78" t="str">
        <f t="shared" si="89"/>
        <v>Cinquedea</v>
      </c>
      <c r="BL651" s="1256">
        <f>IF(OR($L651=BL$635,$L651="",$D651=$BN$634),MAX(BL$637:BL650)+1,0)</f>
        <v>0</v>
      </c>
      <c r="BM651" s="1257">
        <f>IF(OR($L651=BM$635,$L651="",$D651=$BN$634),MAX(BM$637:BM650)+1,0)</f>
        <v>0</v>
      </c>
      <c r="BN651" s="1258">
        <f>IF(OR($L651=BN$635,$L651="",$D651=$BN$634),MAX(BN$637:BN650)+1,0)</f>
        <v>9</v>
      </c>
      <c r="BO651" s="6225"/>
      <c r="BP651" s="853" t="str">
        <f t="shared" si="90"/>
        <v>Vara</v>
      </c>
      <c r="BQ651" s="78" t="str">
        <f t="shared" si="91"/>
        <v/>
      </c>
      <c r="BR651" s="78" t="str">
        <f t="shared" si="92"/>
        <v>Cinquedea</v>
      </c>
      <c r="BS651" s="1256">
        <f>IF(OR($L651=BS$635,$L651="",$D651=$BU$634),MAX(BS$637:BS650)+1,0)</f>
        <v>0</v>
      </c>
      <c r="BT651" s="1257">
        <f>IF(OR($L651=BT$635,$L651="",$D651=$BU$634),MAX(BT$637:BT650)+1,0)</f>
        <v>0</v>
      </c>
      <c r="BU651" s="1258">
        <f>IF(OR($L651=BU$635,$L651="",$D651=$BU$634),MAX(BU$637:BU650)+1,0)</f>
        <v>9</v>
      </c>
    </row>
    <row r="652" spans="1:73" ht="12.75" customHeight="1" x14ac:dyDescent="0.2">
      <c r="A652" s="227">
        <v>652</v>
      </c>
      <c r="B652" s="5988"/>
      <c r="C652" s="1146"/>
      <c r="D652" s="2629" t="s">
        <v>6982</v>
      </c>
      <c r="E652" s="2633">
        <v>40</v>
      </c>
      <c r="F652" s="2628">
        <v>0</v>
      </c>
      <c r="G652" s="2628" t="s">
        <v>1456</v>
      </c>
      <c r="H652" s="2628">
        <v>6</v>
      </c>
      <c r="I652" s="2628" t="s">
        <v>1552</v>
      </c>
      <c r="J652" s="2628" t="s">
        <v>1498</v>
      </c>
      <c r="K652" s="2878" t="s">
        <v>7262</v>
      </c>
      <c r="L652" s="2628" t="str">
        <f t="shared" si="95"/>
        <v>Similar</v>
      </c>
      <c r="M652" s="2634">
        <v>9</v>
      </c>
      <c r="N652" s="2634">
        <v>3</v>
      </c>
      <c r="O652" s="2634">
        <v>25</v>
      </c>
      <c r="P652" s="2628"/>
      <c r="Q652" s="2628"/>
      <c r="R652" s="2628" t="s">
        <v>1456</v>
      </c>
      <c r="S652" s="2628" t="s">
        <v>1456</v>
      </c>
      <c r="T652" s="2628" t="s">
        <v>1456</v>
      </c>
      <c r="U652" s="2628"/>
      <c r="V652" s="2878" t="s">
        <v>7030</v>
      </c>
      <c r="W652" s="2878"/>
      <c r="X652" s="2879" t="str">
        <f t="shared" si="97"/>
        <v>Grande</v>
      </c>
      <c r="Y652" s="2618">
        <f t="shared" si="96"/>
        <v>0</v>
      </c>
      <c r="Z652" s="1265" t="str">
        <f t="shared" si="94"/>
        <v/>
      </c>
      <c r="AB652" s="853" t="s">
        <v>2122</v>
      </c>
      <c r="AC652" s="2621" t="s">
        <v>6987</v>
      </c>
      <c r="AD652" s="2909" t="s">
        <v>2207</v>
      </c>
      <c r="AE652" s="854" t="s">
        <v>6990</v>
      </c>
      <c r="AF652" s="1367"/>
      <c r="AG652" s="853" t="str">
        <f t="shared" si="75"/>
        <v>&gt; ESCUDOS</v>
      </c>
      <c r="AH652" s="78" t="str">
        <f t="shared" si="76"/>
        <v/>
      </c>
      <c r="AI652" s="78" t="str">
        <f t="shared" si="77"/>
        <v>Claymore</v>
      </c>
      <c r="AJ652" s="1256">
        <f>IF(OR($L652=AJ$635,$L652="",$D652=$AL$634),MAX(AJ$637:AJ651)+1,0)</f>
        <v>4</v>
      </c>
      <c r="AK652" s="1257">
        <f>IF(OR($L652=AK$635,$L652="",$D652=$AL$634),MAX(AK$637:AK651)+1,0)</f>
        <v>0</v>
      </c>
      <c r="AL652" s="1258">
        <f>IF(OR($L652=AL$635,$L652="",$D652=$AL$634),MAX(AL$637:AL651)+1,0)</f>
        <v>0</v>
      </c>
      <c r="AM652" s="6225"/>
      <c r="AN652" s="853" t="str">
        <f t="shared" si="78"/>
        <v>&gt; ESCUDOS</v>
      </c>
      <c r="AO652" s="78" t="str">
        <f t="shared" si="79"/>
        <v/>
      </c>
      <c r="AP652" s="78" t="str">
        <f t="shared" si="80"/>
        <v>Claymore</v>
      </c>
      <c r="AQ652" s="1256">
        <f>IF(OR($L652=AQ$635,$L652="",$D652=$AS$634),MAX(AQ$637:AQ651)+1,0)</f>
        <v>4</v>
      </c>
      <c r="AR652" s="1257">
        <f>IF(OR($L652=AR$635,$L652="",$D652=$AS$634),MAX(AR$637:AR651)+1,0)</f>
        <v>0</v>
      </c>
      <c r="AS652" s="1258">
        <f>IF(OR($L652=AS$635,$L652="",$D652=$AS$634),MAX(AS$637:AS651)+1,0)</f>
        <v>0</v>
      </c>
      <c r="AT652" s="6225"/>
      <c r="AU652" s="853" t="str">
        <f t="shared" si="81"/>
        <v>&gt; ESCUDOS</v>
      </c>
      <c r="AV652" s="78" t="str">
        <f t="shared" si="82"/>
        <v/>
      </c>
      <c r="AW652" s="78" t="str">
        <f t="shared" si="83"/>
        <v>Claymore</v>
      </c>
      <c r="AX652" s="1256">
        <f>IF(OR($L652=AX$635,$L652="",$D652=$AZ$634),MAX(AX$637:AX651)+1,0)</f>
        <v>4</v>
      </c>
      <c r="AY652" s="1257">
        <f>IF(OR($L652=AY$635,$L652="",$D652=$AZ$634),MAX(AY$637:AY651)+1,0)</f>
        <v>0</v>
      </c>
      <c r="AZ652" s="1258">
        <f>IF(OR($L652=AZ$635,$L652="",$D652=$AZ$634),MAX(AZ$637:AZ651)+1,0)</f>
        <v>0</v>
      </c>
      <c r="BA652" s="6225"/>
      <c r="BB652" s="853" t="str">
        <f t="shared" si="84"/>
        <v>&gt; ESCUDOS</v>
      </c>
      <c r="BC652" s="78" t="str">
        <f t="shared" si="85"/>
        <v/>
      </c>
      <c r="BD652" s="78" t="str">
        <f t="shared" si="86"/>
        <v>Claymore</v>
      </c>
      <c r="BE652" s="1256">
        <f>IF(OR($L652=BE$635,$L652="",$D652=$BG$634),MAX(BE$637:BE651)+1,0)</f>
        <v>4</v>
      </c>
      <c r="BF652" s="1257">
        <f>IF(OR($L652=BF$635,$L652="",$D652=$BG$634),MAX(BF$637:BF651)+1,0)</f>
        <v>0</v>
      </c>
      <c r="BG652" s="1258">
        <f>IF(OR($L652=BG$635,$L652="",$D652=$BG$634),MAX(BG$637:BG651)+1,0)</f>
        <v>0</v>
      </c>
      <c r="BH652" s="6225"/>
      <c r="BI652" s="853" t="str">
        <f t="shared" si="87"/>
        <v>&gt; ESCUDOS</v>
      </c>
      <c r="BJ652" s="78" t="str">
        <f t="shared" si="88"/>
        <v/>
      </c>
      <c r="BK652" s="78" t="str">
        <f t="shared" si="89"/>
        <v>Claymore</v>
      </c>
      <c r="BL652" s="1256">
        <f>IF(OR($L652=BL$635,$L652="",$D652=$BN$634),MAX(BL$637:BL651)+1,0)</f>
        <v>4</v>
      </c>
      <c r="BM652" s="1257">
        <f>IF(OR($L652=BM$635,$L652="",$D652=$BN$634),MAX(BM$637:BM651)+1,0)</f>
        <v>0</v>
      </c>
      <c r="BN652" s="1258">
        <f>IF(OR($L652=BN$635,$L652="",$D652=$BN$634),MAX(BN$637:BN651)+1,0)</f>
        <v>0</v>
      </c>
      <c r="BO652" s="6225"/>
      <c r="BP652" s="853" t="str">
        <f t="shared" si="90"/>
        <v>&gt; ESCUDOS</v>
      </c>
      <c r="BQ652" s="78" t="str">
        <f t="shared" si="91"/>
        <v/>
      </c>
      <c r="BR652" s="78" t="str">
        <f t="shared" si="92"/>
        <v>Claymore</v>
      </c>
      <c r="BS652" s="1256">
        <f>IF(OR($L652=BS$635,$L652="",$D652=$BU$634),MAX(BS$637:BS651)+1,0)</f>
        <v>4</v>
      </c>
      <c r="BT652" s="1257">
        <f>IF(OR($L652=BT$635,$L652="",$D652=$BU$634),MAX(BT$637:BT651)+1,0)</f>
        <v>0</v>
      </c>
      <c r="BU652" s="1258">
        <f>IF(OR($L652=BU$635,$L652="",$D652=$BU$634),MAX(BU$637:BU651)+1,0)</f>
        <v>0</v>
      </c>
    </row>
    <row r="653" spans="1:73" ht="12.75" customHeight="1" x14ac:dyDescent="0.2">
      <c r="A653" s="227">
        <v>653</v>
      </c>
      <c r="B653" s="5988"/>
      <c r="C653" s="1146"/>
      <c r="D653" s="2629" t="s">
        <v>2119</v>
      </c>
      <c r="E653" s="2633">
        <v>25</v>
      </c>
      <c r="F653" s="2628">
        <v>0</v>
      </c>
      <c r="G653" s="2628">
        <v>6</v>
      </c>
      <c r="H653" s="2628">
        <v>6</v>
      </c>
      <c r="I653" s="2628" t="s">
        <v>1498</v>
      </c>
      <c r="J653" s="2628" t="s">
        <v>1456</v>
      </c>
      <c r="K653" s="2878" t="s">
        <v>7266</v>
      </c>
      <c r="L653" s="2628" t="str">
        <f t="shared" si="95"/>
        <v>Distinta</v>
      </c>
      <c r="M653" s="2634">
        <v>13</v>
      </c>
      <c r="N653" s="2634">
        <v>2</v>
      </c>
      <c r="O653" s="2634">
        <v>15</v>
      </c>
      <c r="P653" s="2628"/>
      <c r="Q653" s="2628"/>
      <c r="R653" s="2628" t="s">
        <v>1456</v>
      </c>
      <c r="S653" s="2628" t="s">
        <v>1456</v>
      </c>
      <c r="T653" s="2628" t="s">
        <v>1456</v>
      </c>
      <c r="U653" s="2628"/>
      <c r="V653" s="2878" t="s">
        <v>2121</v>
      </c>
      <c r="W653" s="2878"/>
      <c r="X653" s="2879" t="str">
        <f t="shared" si="97"/>
        <v>Mediana</v>
      </c>
      <c r="Y653" s="2618">
        <f t="shared" si="96"/>
        <v>0</v>
      </c>
      <c r="Z653" s="1265" t="str">
        <f t="shared" si="94"/>
        <v/>
      </c>
      <c r="AB653" s="853" t="s">
        <v>6986</v>
      </c>
      <c r="AC653" s="2621" t="s">
        <v>6988</v>
      </c>
      <c r="AD653" s="2909" t="s">
        <v>2226</v>
      </c>
      <c r="AE653" s="1259" t="s">
        <v>8301</v>
      </c>
      <c r="AF653" s="1367"/>
      <c r="AG653" s="853" t="str">
        <f t="shared" si="75"/>
        <v>&gt; ARMAS EXÓTICAS</v>
      </c>
      <c r="AH653" s="78" t="str">
        <f t="shared" si="76"/>
        <v/>
      </c>
      <c r="AI653" s="78" t="str">
        <f t="shared" si="77"/>
        <v>Daga</v>
      </c>
      <c r="AJ653" s="1256">
        <f>IF(OR($L653=AJ$635,$L653="",$D653=$AL$634),MAX(AJ$637:AJ652)+1,0)</f>
        <v>0</v>
      </c>
      <c r="AK653" s="1257">
        <f>IF(OR($L653=AK$635,$L653="",$D653=$AL$634),MAX(AK$637:AK652)+1,0)</f>
        <v>0</v>
      </c>
      <c r="AL653" s="1258">
        <f>IF(OR($L653=AL$635,$L653="",$D653=$AL$634),MAX(AL$637:AL652)+1,0)</f>
        <v>10</v>
      </c>
      <c r="AM653" s="6225"/>
      <c r="AN653" s="853" t="str">
        <f t="shared" si="78"/>
        <v>&gt; ARMAS EXÓTICAS</v>
      </c>
      <c r="AO653" s="78" t="str">
        <f t="shared" si="79"/>
        <v/>
      </c>
      <c r="AP653" s="78" t="str">
        <f t="shared" si="80"/>
        <v>Daga</v>
      </c>
      <c r="AQ653" s="1256">
        <f>IF(OR($L653=AQ$635,$L653="",$D653=$AS$634),MAX(AQ$637:AQ652)+1,0)</f>
        <v>0</v>
      </c>
      <c r="AR653" s="1257">
        <f>IF(OR($L653=AR$635,$L653="",$D653=$AS$634),MAX(AR$637:AR652)+1,0)</f>
        <v>0</v>
      </c>
      <c r="AS653" s="1258">
        <f>IF(OR($L653=AS$635,$L653="",$D653=$AS$634),MAX(AS$637:AS652)+1,0)</f>
        <v>10</v>
      </c>
      <c r="AT653" s="6225"/>
      <c r="AU653" s="853" t="str">
        <f t="shared" si="81"/>
        <v>&gt; ARMAS EXÓTICAS</v>
      </c>
      <c r="AV653" s="78" t="str">
        <f t="shared" si="82"/>
        <v/>
      </c>
      <c r="AW653" s="78" t="str">
        <f t="shared" si="83"/>
        <v>Daga</v>
      </c>
      <c r="AX653" s="1256">
        <f>IF(OR($L653=AX$635,$L653="",$D653=$AZ$634),MAX(AX$637:AX652)+1,0)</f>
        <v>0</v>
      </c>
      <c r="AY653" s="1257">
        <f>IF(OR($L653=AY$635,$L653="",$D653=$AZ$634),MAX(AY$637:AY652)+1,0)</f>
        <v>0</v>
      </c>
      <c r="AZ653" s="1258">
        <f>IF(OR($L653=AZ$635,$L653="",$D653=$AZ$634),MAX(AZ$637:AZ652)+1,0)</f>
        <v>10</v>
      </c>
      <c r="BA653" s="6225"/>
      <c r="BB653" s="853" t="str">
        <f t="shared" si="84"/>
        <v>&gt; ARMAS EXÓTICAS</v>
      </c>
      <c r="BC653" s="78" t="str">
        <f t="shared" si="85"/>
        <v/>
      </c>
      <c r="BD653" s="78" t="str">
        <f t="shared" si="86"/>
        <v>Daga</v>
      </c>
      <c r="BE653" s="1256">
        <f>IF(OR($L653=BE$635,$L653="",$D653=$BG$634),MAX(BE$637:BE652)+1,0)</f>
        <v>0</v>
      </c>
      <c r="BF653" s="1257">
        <f>IF(OR($L653=BF$635,$L653="",$D653=$BG$634),MAX(BF$637:BF652)+1,0)</f>
        <v>0</v>
      </c>
      <c r="BG653" s="1258">
        <f>IF(OR($L653=BG$635,$L653="",$D653=$BG$634),MAX(BG$637:BG652)+1,0)</f>
        <v>10</v>
      </c>
      <c r="BH653" s="6225"/>
      <c r="BI653" s="853" t="str">
        <f t="shared" si="87"/>
        <v>&gt; ARMAS EXÓTICAS</v>
      </c>
      <c r="BJ653" s="78" t="str">
        <f t="shared" si="88"/>
        <v/>
      </c>
      <c r="BK653" s="78" t="str">
        <f t="shared" si="89"/>
        <v>Daga</v>
      </c>
      <c r="BL653" s="1256">
        <f>IF(OR($L653=BL$635,$L653="",$D653=$BN$634),MAX(BL$637:BL652)+1,0)</f>
        <v>0</v>
      </c>
      <c r="BM653" s="1257">
        <f>IF(OR($L653=BM$635,$L653="",$D653=$BN$634),MAX(BM$637:BM652)+1,0)</f>
        <v>0</v>
      </c>
      <c r="BN653" s="1258">
        <f>IF(OR($L653=BN$635,$L653="",$D653=$BN$634),MAX(BN$637:BN652)+1,0)</f>
        <v>10</v>
      </c>
      <c r="BO653" s="6225"/>
      <c r="BP653" s="853" t="str">
        <f t="shared" si="90"/>
        <v>&gt; ARMAS EXÓTICAS</v>
      </c>
      <c r="BQ653" s="78" t="str">
        <f t="shared" si="91"/>
        <v/>
      </c>
      <c r="BR653" s="78" t="str">
        <f t="shared" si="92"/>
        <v>Daga</v>
      </c>
      <c r="BS653" s="1256">
        <f>IF(OR($L653=BS$635,$L653="",$D653=$BU$634),MAX(BS$637:BS652)+1,0)</f>
        <v>0</v>
      </c>
      <c r="BT653" s="1257">
        <f>IF(OR($L653=BT$635,$L653="",$D653=$BU$634),MAX(BT$637:BT652)+1,0)</f>
        <v>0</v>
      </c>
      <c r="BU653" s="1258">
        <f>IF(OR($L653=BU$635,$L653="",$D653=$BU$634),MAX(BU$637:BU652)+1,0)</f>
        <v>10</v>
      </c>
    </row>
    <row r="654" spans="1:73" ht="12.75" customHeight="1" x14ac:dyDescent="0.2">
      <c r="A654" s="227">
        <v>654</v>
      </c>
      <c r="B654" s="5988"/>
      <c r="C654" s="1146"/>
      <c r="D654" s="2629" t="s">
        <v>2122</v>
      </c>
      <c r="E654" s="2633">
        <v>25</v>
      </c>
      <c r="F654" s="2628">
        <v>10</v>
      </c>
      <c r="G654" s="2628">
        <v>3</v>
      </c>
      <c r="H654" s="2628">
        <v>3</v>
      </c>
      <c r="I654" s="2628" t="s">
        <v>1552</v>
      </c>
      <c r="J654" s="2628" t="s">
        <v>1551</v>
      </c>
      <c r="K654" s="2878" t="s">
        <v>7267</v>
      </c>
      <c r="L654" s="2628" t="str">
        <f t="shared" si="95"/>
        <v>Distinta</v>
      </c>
      <c r="M654" s="2634">
        <v>11</v>
      </c>
      <c r="N654" s="2634">
        <v>-2</v>
      </c>
      <c r="O654" s="2634">
        <v>15</v>
      </c>
      <c r="P654" s="2628"/>
      <c r="Q654" s="2628"/>
      <c r="R654" s="2628" t="s">
        <v>1456</v>
      </c>
      <c r="S654" s="2628" t="s">
        <v>1456</v>
      </c>
      <c r="T654" s="2628" t="s">
        <v>1456</v>
      </c>
      <c r="U654" s="2628"/>
      <c r="V654" s="2878" t="s">
        <v>1456</v>
      </c>
      <c r="W654" s="2878"/>
      <c r="X654" s="2879" t="str">
        <f t="shared" si="97"/>
        <v>Pequeña</v>
      </c>
      <c r="Y654" s="2618">
        <f t="shared" si="96"/>
        <v>0</v>
      </c>
      <c r="Z654" s="1265" t="str">
        <f t="shared" si="94"/>
        <v/>
      </c>
      <c r="AB654" s="853" t="s">
        <v>2124</v>
      </c>
      <c r="AC654" s="2621" t="s">
        <v>2142</v>
      </c>
      <c r="AD654" s="2909" t="s">
        <v>8584</v>
      </c>
      <c r="AE654" s="1259" t="s">
        <v>8302</v>
      </c>
      <c r="AF654" s="1367"/>
      <c r="AG654" s="853" t="str">
        <f t="shared" si="75"/>
        <v>Anciano de primavera</v>
      </c>
      <c r="AH654" s="78" t="str">
        <f t="shared" si="76"/>
        <v/>
      </c>
      <c r="AI654" s="78" t="str">
        <f t="shared" si="77"/>
        <v>Daga de parada</v>
      </c>
      <c r="AJ654" s="1256">
        <f>IF(OR($L654=AJ$635,$L654="",$D654=$AL$634),MAX(AJ$637:AJ653)+1,0)</f>
        <v>0</v>
      </c>
      <c r="AK654" s="1257">
        <f>IF(OR($L654=AK$635,$L654="",$D654=$AL$634),MAX(AK$637:AK653)+1,0)</f>
        <v>0</v>
      </c>
      <c r="AL654" s="1258">
        <f>IF(OR($L654=AL$635,$L654="",$D654=$AL$634),MAX(AL$637:AL653)+1,0)</f>
        <v>11</v>
      </c>
      <c r="AM654" s="6225"/>
      <c r="AN654" s="853" t="str">
        <f t="shared" si="78"/>
        <v>Anciano de primavera</v>
      </c>
      <c r="AO654" s="78" t="str">
        <f t="shared" si="79"/>
        <v/>
      </c>
      <c r="AP654" s="78" t="str">
        <f t="shared" si="80"/>
        <v>Daga de parada</v>
      </c>
      <c r="AQ654" s="1256">
        <f>IF(OR($L654=AQ$635,$L654="",$D654=$AS$634),MAX(AQ$637:AQ653)+1,0)</f>
        <v>0</v>
      </c>
      <c r="AR654" s="1257">
        <f>IF(OR($L654=AR$635,$L654="",$D654=$AS$634),MAX(AR$637:AR653)+1,0)</f>
        <v>0</v>
      </c>
      <c r="AS654" s="1258">
        <f>IF(OR($L654=AS$635,$L654="",$D654=$AS$634),MAX(AS$637:AS653)+1,0)</f>
        <v>11</v>
      </c>
      <c r="AT654" s="6225"/>
      <c r="AU654" s="853" t="str">
        <f t="shared" si="81"/>
        <v>Anciano de primavera</v>
      </c>
      <c r="AV654" s="78" t="str">
        <f t="shared" si="82"/>
        <v/>
      </c>
      <c r="AW654" s="78" t="str">
        <f t="shared" si="83"/>
        <v>Daga de parada</v>
      </c>
      <c r="AX654" s="1256">
        <f>IF(OR($L654=AX$635,$L654="",$D654=$AZ$634),MAX(AX$637:AX653)+1,0)</f>
        <v>0</v>
      </c>
      <c r="AY654" s="1257">
        <f>IF(OR($L654=AY$635,$L654="",$D654=$AZ$634),MAX(AY$637:AY653)+1,0)</f>
        <v>0</v>
      </c>
      <c r="AZ654" s="1258">
        <f>IF(OR($L654=AZ$635,$L654="",$D654=$AZ$634),MAX(AZ$637:AZ653)+1,0)</f>
        <v>11</v>
      </c>
      <c r="BA654" s="6225"/>
      <c r="BB654" s="853" t="str">
        <f t="shared" si="84"/>
        <v>Anciano de primavera</v>
      </c>
      <c r="BC654" s="78" t="str">
        <f t="shared" si="85"/>
        <v/>
      </c>
      <c r="BD654" s="78" t="str">
        <f t="shared" si="86"/>
        <v>Daga de parada</v>
      </c>
      <c r="BE654" s="1256">
        <f>IF(OR($L654=BE$635,$L654="",$D654=$BG$634),MAX(BE$637:BE653)+1,0)</f>
        <v>0</v>
      </c>
      <c r="BF654" s="1257">
        <f>IF(OR($L654=BF$635,$L654="",$D654=$BG$634),MAX(BF$637:BF653)+1,0)</f>
        <v>0</v>
      </c>
      <c r="BG654" s="1258">
        <f>IF(OR($L654=BG$635,$L654="",$D654=$BG$634),MAX(BG$637:BG653)+1,0)</f>
        <v>11</v>
      </c>
      <c r="BH654" s="6225"/>
      <c r="BI654" s="853" t="str">
        <f t="shared" si="87"/>
        <v>Anciano de primavera</v>
      </c>
      <c r="BJ654" s="78" t="str">
        <f t="shared" si="88"/>
        <v/>
      </c>
      <c r="BK654" s="78" t="str">
        <f t="shared" si="89"/>
        <v>Daga de parada</v>
      </c>
      <c r="BL654" s="1256">
        <f>IF(OR($L654=BL$635,$L654="",$D654=$BN$634),MAX(BL$637:BL653)+1,0)</f>
        <v>0</v>
      </c>
      <c r="BM654" s="1257">
        <f>IF(OR($L654=BM$635,$L654="",$D654=$BN$634),MAX(BM$637:BM653)+1,0)</f>
        <v>0</v>
      </c>
      <c r="BN654" s="1258">
        <f>IF(OR($L654=BN$635,$L654="",$D654=$BN$634),MAX(BN$637:BN653)+1,0)</f>
        <v>11</v>
      </c>
      <c r="BO654" s="6225"/>
      <c r="BP654" s="853" t="str">
        <f t="shared" si="90"/>
        <v>Anciano de primavera</v>
      </c>
      <c r="BQ654" s="78" t="str">
        <f t="shared" si="91"/>
        <v/>
      </c>
      <c r="BR654" s="78" t="str">
        <f t="shared" si="92"/>
        <v>Daga de parada</v>
      </c>
      <c r="BS654" s="1256">
        <f>IF(OR($L654=BS$635,$L654="",$D654=$BU$634),MAX(BS$637:BS653)+1,0)</f>
        <v>0</v>
      </c>
      <c r="BT654" s="1257">
        <f>IF(OR($L654=BT$635,$L654="",$D654=$BU$634),MAX(BT$637:BT653)+1,0)</f>
        <v>0</v>
      </c>
      <c r="BU654" s="1258">
        <f>IF(OR($L654=BU$635,$L654="",$D654=$BU$634),MAX(BU$637:BU653)+1,0)</f>
        <v>11</v>
      </c>
    </row>
    <row r="655" spans="1:73" ht="12.75" customHeight="1" x14ac:dyDescent="0.2">
      <c r="A655" s="227">
        <v>655</v>
      </c>
      <c r="B655" s="5988"/>
      <c r="C655" s="1146"/>
      <c r="D655" s="2629" t="s">
        <v>6986</v>
      </c>
      <c r="E655" s="2633">
        <v>40</v>
      </c>
      <c r="F655" s="2628">
        <v>5</v>
      </c>
      <c r="G655" s="2628">
        <v>6</v>
      </c>
      <c r="H655" s="2628">
        <v>6</v>
      </c>
      <c r="I655" s="2628" t="s">
        <v>1498</v>
      </c>
      <c r="J655" s="2628" t="s">
        <v>1456</v>
      </c>
      <c r="K655" s="2878" t="s">
        <v>7268</v>
      </c>
      <c r="L655" s="2628" t="str">
        <f t="shared" si="95"/>
        <v>Distinta</v>
      </c>
      <c r="M655" s="2634">
        <v>13</v>
      </c>
      <c r="N655" s="2634">
        <v>3</v>
      </c>
      <c r="O655" s="2634">
        <v>15</v>
      </c>
      <c r="P655" s="2628"/>
      <c r="Q655" s="2628"/>
      <c r="R655" s="2628" t="s">
        <v>1456</v>
      </c>
      <c r="S655" s="2628" t="s">
        <v>1456</v>
      </c>
      <c r="T655" s="2628" t="s">
        <v>1456</v>
      </c>
      <c r="U655" s="2628"/>
      <c r="V655" s="2878" t="s">
        <v>1456</v>
      </c>
      <c r="W655" s="2878"/>
      <c r="X655" s="2879" t="str">
        <f t="shared" si="97"/>
        <v>Mediana</v>
      </c>
      <c r="Y655" s="2618">
        <f t="shared" si="96"/>
        <v>0</v>
      </c>
      <c r="Z655" s="1265" t="str">
        <f t="shared" si="94"/>
        <v/>
      </c>
      <c r="AB655" s="853" t="s">
        <v>6989</v>
      </c>
      <c r="AC655" s="2621" t="s">
        <v>10122</v>
      </c>
      <c r="AD655" s="2909" t="s">
        <v>8585</v>
      </c>
      <c r="AE655" s="1259" t="s">
        <v>8303</v>
      </c>
      <c r="AF655" s="1367"/>
      <c r="AG655" s="853" t="str">
        <f t="shared" si="75"/>
        <v>Kumade</v>
      </c>
      <c r="AH655" s="78" t="str">
        <f t="shared" si="76"/>
        <v/>
      </c>
      <c r="AI655" s="78" t="str">
        <f t="shared" si="77"/>
        <v>Dardos de mano</v>
      </c>
      <c r="AJ655" s="1256">
        <f>IF(OR($L655=AJ$635,$L655="",$D655=$AL$634),MAX(AJ$637:AJ654)+1,0)</f>
        <v>0</v>
      </c>
      <c r="AK655" s="1257">
        <f>IF(OR($L655=AK$635,$L655="",$D655=$AL$634),MAX(AK$637:AK654)+1,0)</f>
        <v>0</v>
      </c>
      <c r="AL655" s="1258">
        <f>IF(OR($L655=AL$635,$L655="",$D655=$AL$634),MAX(AL$637:AL654)+1,0)</f>
        <v>12</v>
      </c>
      <c r="AM655" s="6225"/>
      <c r="AN655" s="853" t="str">
        <f t="shared" si="78"/>
        <v>Kumade</v>
      </c>
      <c r="AO655" s="78" t="str">
        <f t="shared" si="79"/>
        <v/>
      </c>
      <c r="AP655" s="78" t="str">
        <f t="shared" si="80"/>
        <v>Dardos de mano</v>
      </c>
      <c r="AQ655" s="1256">
        <f>IF(OR($L655=AQ$635,$L655="",$D655=$AS$634),MAX(AQ$637:AQ654)+1,0)</f>
        <v>0</v>
      </c>
      <c r="AR655" s="1257">
        <f>IF(OR($L655=AR$635,$L655="",$D655=$AS$634),MAX(AR$637:AR654)+1,0)</f>
        <v>0</v>
      </c>
      <c r="AS655" s="1258">
        <f>IF(OR($L655=AS$635,$L655="",$D655=$AS$634),MAX(AS$637:AS654)+1,0)</f>
        <v>12</v>
      </c>
      <c r="AT655" s="6225"/>
      <c r="AU655" s="853" t="str">
        <f t="shared" si="81"/>
        <v>Kumade</v>
      </c>
      <c r="AV655" s="78" t="str">
        <f t="shared" si="82"/>
        <v/>
      </c>
      <c r="AW655" s="78" t="str">
        <f t="shared" si="83"/>
        <v>Dardos de mano</v>
      </c>
      <c r="AX655" s="1256">
        <f>IF(OR($L655=AX$635,$L655="",$D655=$AZ$634),MAX(AX$637:AX654)+1,0)</f>
        <v>0</v>
      </c>
      <c r="AY655" s="1257">
        <f>IF(OR($L655=AY$635,$L655="",$D655=$AZ$634),MAX(AY$637:AY654)+1,0)</f>
        <v>0</v>
      </c>
      <c r="AZ655" s="1258">
        <f>IF(OR($L655=AZ$635,$L655="",$D655=$AZ$634),MAX(AZ$637:AZ654)+1,0)</f>
        <v>12</v>
      </c>
      <c r="BA655" s="6225"/>
      <c r="BB655" s="853" t="str">
        <f t="shared" si="84"/>
        <v>Kumade</v>
      </c>
      <c r="BC655" s="78" t="str">
        <f t="shared" si="85"/>
        <v/>
      </c>
      <c r="BD655" s="78" t="str">
        <f t="shared" si="86"/>
        <v>Dardos de mano</v>
      </c>
      <c r="BE655" s="1256">
        <f>IF(OR($L655=BE$635,$L655="",$D655=$BG$634),MAX(BE$637:BE654)+1,0)</f>
        <v>0</v>
      </c>
      <c r="BF655" s="1257">
        <f>IF(OR($L655=BF$635,$L655="",$D655=$BG$634),MAX(BF$637:BF654)+1,0)</f>
        <v>0</v>
      </c>
      <c r="BG655" s="1258">
        <f>IF(OR($L655=BG$635,$L655="",$D655=$BG$634),MAX(BG$637:BG654)+1,0)</f>
        <v>12</v>
      </c>
      <c r="BH655" s="6225"/>
      <c r="BI655" s="853" t="str">
        <f t="shared" si="87"/>
        <v>Kumade</v>
      </c>
      <c r="BJ655" s="78" t="str">
        <f t="shared" si="88"/>
        <v/>
      </c>
      <c r="BK655" s="78" t="str">
        <f t="shared" si="89"/>
        <v>Dardos de mano</v>
      </c>
      <c r="BL655" s="1256">
        <f>IF(OR($L655=BL$635,$L655="",$D655=$BN$634),MAX(BL$637:BL654)+1,0)</f>
        <v>0</v>
      </c>
      <c r="BM655" s="1257">
        <f>IF(OR($L655=BM$635,$L655="",$D655=$BN$634),MAX(BM$637:BM654)+1,0)</f>
        <v>0</v>
      </c>
      <c r="BN655" s="1258">
        <f>IF(OR($L655=BN$635,$L655="",$D655=$BN$634),MAX(BN$637:BN654)+1,0)</f>
        <v>12</v>
      </c>
      <c r="BO655" s="6225"/>
      <c r="BP655" s="853" t="str">
        <f t="shared" si="90"/>
        <v>Kumade</v>
      </c>
      <c r="BQ655" s="78" t="str">
        <f t="shared" si="91"/>
        <v/>
      </c>
      <c r="BR655" s="78" t="str">
        <f t="shared" si="92"/>
        <v>Dardos de mano</v>
      </c>
      <c r="BS655" s="1256">
        <f>IF(OR($L655=BS$635,$L655="",$D655=$BU$634),MAX(BS$637:BS654)+1,0)</f>
        <v>0</v>
      </c>
      <c r="BT655" s="1257">
        <f>IF(OR($L655=BT$635,$L655="",$D655=$BU$634),MAX(BT$637:BT654)+1,0)</f>
        <v>0</v>
      </c>
      <c r="BU655" s="1258">
        <f>IF(OR($L655=BU$635,$L655="",$D655=$BU$634),MAX(BU$637:BU654)+1,0)</f>
        <v>12</v>
      </c>
    </row>
    <row r="656" spans="1:73" ht="12.75" customHeight="1" x14ac:dyDescent="0.2">
      <c r="A656" s="227">
        <v>656</v>
      </c>
      <c r="B656" s="5988"/>
      <c r="C656" s="1146"/>
      <c r="D656" s="2629" t="s">
        <v>2124</v>
      </c>
      <c r="E656" s="2633">
        <v>50</v>
      </c>
      <c r="F656" s="2628">
        <v>-5</v>
      </c>
      <c r="G656" s="2628">
        <v>5</v>
      </c>
      <c r="H656" s="2628">
        <v>5</v>
      </c>
      <c r="I656" s="2628" t="s">
        <v>1551</v>
      </c>
      <c r="J656" s="2628" t="s">
        <v>1456</v>
      </c>
      <c r="K656" s="2878" t="s">
        <v>7265</v>
      </c>
      <c r="L656" s="2628" t="str">
        <f t="shared" si="95"/>
        <v>Distinta</v>
      </c>
      <c r="M656" s="2634">
        <v>13</v>
      </c>
      <c r="N656" s="2634">
        <v>4</v>
      </c>
      <c r="O656" s="2634">
        <v>20</v>
      </c>
      <c r="P656" s="2628"/>
      <c r="Q656" s="2628"/>
      <c r="R656" s="2628" t="s">
        <v>1456</v>
      </c>
      <c r="S656" s="2628" t="s">
        <v>1456</v>
      </c>
      <c r="T656" s="2628" t="s">
        <v>1456</v>
      </c>
      <c r="U656" s="2628"/>
      <c r="V656" s="2878" t="s">
        <v>1456</v>
      </c>
      <c r="W656" s="2878"/>
      <c r="X656" s="2879" t="str">
        <f t="shared" si="97"/>
        <v>Mediana</v>
      </c>
      <c r="Y656" s="2618">
        <f t="shared" si="96"/>
        <v>0</v>
      </c>
      <c r="Z656" s="1265" t="str">
        <f t="shared" si="94"/>
        <v/>
      </c>
      <c r="AB656" s="853" t="s">
        <v>2126</v>
      </c>
      <c r="AC656" s="2621" t="s">
        <v>2143</v>
      </c>
      <c r="AD656" s="2420" t="str">
        <f t="shared" ref="AD656:AD666" si="98">D830</f>
        <v>&gt; ATAQUES DE MONSTRUO</v>
      </c>
      <c r="AE656" s="1259" t="s">
        <v>8304</v>
      </c>
      <c r="AF656" s="1367"/>
      <c r="AG656" s="853" t="str">
        <f t="shared" si="75"/>
        <v>Lajatang</v>
      </c>
      <c r="AH656" s="78" t="str">
        <f t="shared" si="76"/>
        <v/>
      </c>
      <c r="AI656" s="78" t="str">
        <f t="shared" si="77"/>
        <v>Dirk</v>
      </c>
      <c r="AJ656" s="1256">
        <f>IF(OR($L656=AJ$635,$L656="",$D656=$AL$634),MAX(AJ$637:AJ655)+1,0)</f>
        <v>0</v>
      </c>
      <c r="AK656" s="1257">
        <f>IF(OR($L656=AK$635,$L656="",$D656=$AL$634),MAX(AK$637:AK655)+1,0)</f>
        <v>0</v>
      </c>
      <c r="AL656" s="1258">
        <f>IF(OR($L656=AL$635,$L656="",$D656=$AL$634),MAX(AL$637:AL655)+1,0)</f>
        <v>13</v>
      </c>
      <c r="AM656" s="6225"/>
      <c r="AN656" s="853" t="str">
        <f t="shared" si="78"/>
        <v>Lajatang</v>
      </c>
      <c r="AO656" s="78" t="str">
        <f t="shared" si="79"/>
        <v/>
      </c>
      <c r="AP656" s="78" t="str">
        <f t="shared" si="80"/>
        <v>Dirk</v>
      </c>
      <c r="AQ656" s="1256">
        <f>IF(OR($L656=AQ$635,$L656="",$D656=$AS$634),MAX(AQ$637:AQ655)+1,0)</f>
        <v>0</v>
      </c>
      <c r="AR656" s="1257">
        <f>IF(OR($L656=AR$635,$L656="",$D656=$AS$634),MAX(AR$637:AR655)+1,0)</f>
        <v>0</v>
      </c>
      <c r="AS656" s="1258">
        <f>IF(OR($L656=AS$635,$L656="",$D656=$AS$634),MAX(AS$637:AS655)+1,0)</f>
        <v>13</v>
      </c>
      <c r="AT656" s="6225"/>
      <c r="AU656" s="853" t="str">
        <f t="shared" si="81"/>
        <v>Lajatang</v>
      </c>
      <c r="AV656" s="78" t="str">
        <f t="shared" si="82"/>
        <v/>
      </c>
      <c r="AW656" s="78" t="str">
        <f t="shared" si="83"/>
        <v>Dirk</v>
      </c>
      <c r="AX656" s="1256">
        <f>IF(OR($L656=AX$635,$L656="",$D656=$AZ$634),MAX(AX$637:AX655)+1,0)</f>
        <v>0</v>
      </c>
      <c r="AY656" s="1257">
        <f>IF(OR($L656=AY$635,$L656="",$D656=$AZ$634),MAX(AY$637:AY655)+1,0)</f>
        <v>0</v>
      </c>
      <c r="AZ656" s="1258">
        <f>IF(OR($L656=AZ$635,$L656="",$D656=$AZ$634),MAX(AZ$637:AZ655)+1,0)</f>
        <v>13</v>
      </c>
      <c r="BA656" s="6225"/>
      <c r="BB656" s="853" t="str">
        <f t="shared" si="84"/>
        <v>Lajatang</v>
      </c>
      <c r="BC656" s="78" t="str">
        <f t="shared" si="85"/>
        <v/>
      </c>
      <c r="BD656" s="78" t="str">
        <f t="shared" si="86"/>
        <v>Dirk</v>
      </c>
      <c r="BE656" s="1256">
        <f>IF(OR($L656=BE$635,$L656="",$D656=$BG$634),MAX(BE$637:BE655)+1,0)</f>
        <v>0</v>
      </c>
      <c r="BF656" s="1257">
        <f>IF(OR($L656=BF$635,$L656="",$D656=$BG$634),MAX(BF$637:BF655)+1,0)</f>
        <v>0</v>
      </c>
      <c r="BG656" s="1258">
        <f>IF(OR($L656=BG$635,$L656="",$D656=$BG$634),MAX(BG$637:BG655)+1,0)</f>
        <v>13</v>
      </c>
      <c r="BH656" s="6225"/>
      <c r="BI656" s="853" t="str">
        <f t="shared" si="87"/>
        <v>Lajatang</v>
      </c>
      <c r="BJ656" s="78" t="str">
        <f t="shared" si="88"/>
        <v/>
      </c>
      <c r="BK656" s="78" t="str">
        <f t="shared" si="89"/>
        <v>Dirk</v>
      </c>
      <c r="BL656" s="1256">
        <f>IF(OR($L656=BL$635,$L656="",$D656=$BN$634),MAX(BL$637:BL655)+1,0)</f>
        <v>0</v>
      </c>
      <c r="BM656" s="1257">
        <f>IF(OR($L656=BM$635,$L656="",$D656=$BN$634),MAX(BM$637:BM655)+1,0)</f>
        <v>0</v>
      </c>
      <c r="BN656" s="1258">
        <f>IF(OR($L656=BN$635,$L656="",$D656=$BN$634),MAX(BN$637:BN655)+1,0)</f>
        <v>13</v>
      </c>
      <c r="BO656" s="6225"/>
      <c r="BP656" s="853" t="str">
        <f t="shared" si="90"/>
        <v>Lajatang</v>
      </c>
      <c r="BQ656" s="78" t="str">
        <f t="shared" si="91"/>
        <v/>
      </c>
      <c r="BR656" s="78" t="str">
        <f t="shared" si="92"/>
        <v>Dirk</v>
      </c>
      <c r="BS656" s="1256">
        <f>IF(OR($L656=BS$635,$L656="",$D656=$BU$634),MAX(BS$637:BS655)+1,0)</f>
        <v>0</v>
      </c>
      <c r="BT656" s="1257">
        <f>IF(OR($L656=BT$635,$L656="",$D656=$BU$634),MAX(BT$637:BT655)+1,0)</f>
        <v>0</v>
      </c>
      <c r="BU656" s="1258">
        <f>IF(OR($L656=BU$635,$L656="",$D656=$BU$634),MAX(BU$637:BU655)+1,0)</f>
        <v>13</v>
      </c>
    </row>
    <row r="657" spans="1:73" ht="12.75" customHeight="1" x14ac:dyDescent="0.2">
      <c r="A657" s="227">
        <v>657</v>
      </c>
      <c r="B657" s="5988"/>
      <c r="C657" s="1146"/>
      <c r="D657" s="2629" t="s">
        <v>6989</v>
      </c>
      <c r="E657" s="2633">
        <v>35</v>
      </c>
      <c r="F657" s="2628">
        <v>0</v>
      </c>
      <c r="G657" s="2628">
        <v>4</v>
      </c>
      <c r="H657" s="2628">
        <v>4</v>
      </c>
      <c r="I657" s="2628" t="s">
        <v>1552</v>
      </c>
      <c r="J657" s="2628" t="s">
        <v>1551</v>
      </c>
      <c r="K657" s="2878" t="s">
        <v>7267</v>
      </c>
      <c r="L657" s="2628" t="str">
        <f t="shared" si="95"/>
        <v>Distinta</v>
      </c>
      <c r="M657" s="2634">
        <v>12</v>
      </c>
      <c r="N657" s="2634">
        <v>0</v>
      </c>
      <c r="O657" s="2634">
        <v>20</v>
      </c>
      <c r="P657" s="2628"/>
      <c r="Q657" s="2628"/>
      <c r="R657" s="2628" t="s">
        <v>1456</v>
      </c>
      <c r="S657" s="2628" t="s">
        <v>1456</v>
      </c>
      <c r="T657" s="2628" t="s">
        <v>1456</v>
      </c>
      <c r="U657" s="2628"/>
      <c r="V657" s="2878" t="s">
        <v>2134</v>
      </c>
      <c r="W657" s="2878"/>
      <c r="X657" s="2879" t="str">
        <f t="shared" si="97"/>
        <v>Pequeña</v>
      </c>
      <c r="Y657" s="2618">
        <f t="shared" si="96"/>
        <v>0</v>
      </c>
      <c r="Z657" s="1265" t="str">
        <f t="shared" si="94"/>
        <v/>
      </c>
      <c r="AB657" s="853" t="s">
        <v>2127</v>
      </c>
      <c r="AC657" s="2621" t="s">
        <v>6991</v>
      </c>
      <c r="AD657" s="2420" t="str">
        <f t="shared" ca="1" si="98"/>
        <v/>
      </c>
      <c r="AE657" s="1259" t="s">
        <v>2226</v>
      </c>
      <c r="AF657" s="1367"/>
      <c r="AG657" s="853" t="str">
        <f t="shared" si="75"/>
        <v>Nagimaki</v>
      </c>
      <c r="AH657" s="78" t="str">
        <f t="shared" si="76"/>
        <v/>
      </c>
      <c r="AI657" s="78" t="str">
        <f t="shared" si="77"/>
        <v>Escramasajón</v>
      </c>
      <c r="AJ657" s="1256">
        <f>IF(OR($L657=AJ$635,$L657="",$D657=$AL$634),MAX(AJ$637:AJ656)+1,0)</f>
        <v>0</v>
      </c>
      <c r="AK657" s="1257">
        <f>IF(OR($L657=AK$635,$L657="",$D657=$AL$634),MAX(AK$637:AK656)+1,0)</f>
        <v>0</v>
      </c>
      <c r="AL657" s="1258">
        <f>IF(OR($L657=AL$635,$L657="",$D657=$AL$634),MAX(AL$637:AL656)+1,0)</f>
        <v>14</v>
      </c>
      <c r="AM657" s="6225"/>
      <c r="AN657" s="853" t="str">
        <f t="shared" si="78"/>
        <v>Nagimaki</v>
      </c>
      <c r="AO657" s="78" t="str">
        <f t="shared" si="79"/>
        <v/>
      </c>
      <c r="AP657" s="78" t="str">
        <f t="shared" si="80"/>
        <v>Escramasajón</v>
      </c>
      <c r="AQ657" s="1256">
        <f>IF(OR($L657=AQ$635,$L657="",$D657=$AS$634),MAX(AQ$637:AQ656)+1,0)</f>
        <v>0</v>
      </c>
      <c r="AR657" s="1257">
        <f>IF(OR($L657=AR$635,$L657="",$D657=$AS$634),MAX(AR$637:AR656)+1,0)</f>
        <v>0</v>
      </c>
      <c r="AS657" s="1258">
        <f>IF(OR($L657=AS$635,$L657="",$D657=$AS$634),MAX(AS$637:AS656)+1,0)</f>
        <v>14</v>
      </c>
      <c r="AT657" s="6225"/>
      <c r="AU657" s="853" t="str">
        <f t="shared" si="81"/>
        <v>Nagimaki</v>
      </c>
      <c r="AV657" s="78" t="str">
        <f t="shared" si="82"/>
        <v/>
      </c>
      <c r="AW657" s="78" t="str">
        <f t="shared" si="83"/>
        <v>Escramasajón</v>
      </c>
      <c r="AX657" s="1256">
        <f>IF(OR($L657=AX$635,$L657="",$D657=$AZ$634),MAX(AX$637:AX656)+1,0)</f>
        <v>0</v>
      </c>
      <c r="AY657" s="1257">
        <f>IF(OR($L657=AY$635,$L657="",$D657=$AZ$634),MAX(AY$637:AY656)+1,0)</f>
        <v>0</v>
      </c>
      <c r="AZ657" s="1258">
        <f>IF(OR($L657=AZ$635,$L657="",$D657=$AZ$634),MAX(AZ$637:AZ656)+1,0)</f>
        <v>14</v>
      </c>
      <c r="BA657" s="6225"/>
      <c r="BB657" s="853" t="str">
        <f t="shared" si="84"/>
        <v>Nagimaki</v>
      </c>
      <c r="BC657" s="78" t="str">
        <f t="shared" si="85"/>
        <v/>
      </c>
      <c r="BD657" s="78" t="str">
        <f t="shared" si="86"/>
        <v>Escramasajón</v>
      </c>
      <c r="BE657" s="1256">
        <f>IF(OR($L657=BE$635,$L657="",$D657=$BG$634),MAX(BE$637:BE656)+1,0)</f>
        <v>0</v>
      </c>
      <c r="BF657" s="1257">
        <f>IF(OR($L657=BF$635,$L657="",$D657=$BG$634),MAX(BF$637:BF656)+1,0)</f>
        <v>0</v>
      </c>
      <c r="BG657" s="1258">
        <f>IF(OR($L657=BG$635,$L657="",$D657=$BG$634),MAX(BG$637:BG656)+1,0)</f>
        <v>14</v>
      </c>
      <c r="BH657" s="6225"/>
      <c r="BI657" s="853" t="str">
        <f t="shared" si="87"/>
        <v>Nagimaki</v>
      </c>
      <c r="BJ657" s="78" t="str">
        <f t="shared" si="88"/>
        <v/>
      </c>
      <c r="BK657" s="78" t="str">
        <f t="shared" si="89"/>
        <v>Escramasajón</v>
      </c>
      <c r="BL657" s="1256">
        <f>IF(OR($L657=BL$635,$L657="",$D657=$BN$634),MAX(BL$637:BL656)+1,0)</f>
        <v>0</v>
      </c>
      <c r="BM657" s="1257">
        <f>IF(OR($L657=BM$635,$L657="",$D657=$BN$634),MAX(BM$637:BM656)+1,0)</f>
        <v>0</v>
      </c>
      <c r="BN657" s="1258">
        <f>IF(OR($L657=BN$635,$L657="",$D657=$BN$634),MAX(BN$637:BN656)+1,0)</f>
        <v>14</v>
      </c>
      <c r="BO657" s="6225"/>
      <c r="BP657" s="853" t="str">
        <f t="shared" si="90"/>
        <v>Nagimaki</v>
      </c>
      <c r="BQ657" s="78" t="str">
        <f t="shared" si="91"/>
        <v/>
      </c>
      <c r="BR657" s="78" t="str">
        <f t="shared" si="92"/>
        <v>Escramasajón</v>
      </c>
      <c r="BS657" s="1256">
        <f>IF(OR($L657=BS$635,$L657="",$D657=$BU$634),MAX(BS$637:BS656)+1,0)</f>
        <v>0</v>
      </c>
      <c r="BT657" s="1257">
        <f>IF(OR($L657=BT$635,$L657="",$D657=$BU$634),MAX(BT$637:BT656)+1,0)</f>
        <v>0</v>
      </c>
      <c r="BU657" s="1258">
        <f>IF(OR($L657=BU$635,$L657="",$D657=$BU$634),MAX(BU$637:BU656)+1,0)</f>
        <v>14</v>
      </c>
    </row>
    <row r="658" spans="1:73" ht="12.75" customHeight="1" x14ac:dyDescent="0.2">
      <c r="A658" s="227">
        <v>658</v>
      </c>
      <c r="B658" s="5988"/>
      <c r="C658" s="1146"/>
      <c r="D658" s="2629" t="s">
        <v>6984</v>
      </c>
      <c r="E658" s="2633">
        <v>65</v>
      </c>
      <c r="F658" s="2628">
        <v>-20</v>
      </c>
      <c r="G658" s="2628" t="s">
        <v>1456</v>
      </c>
      <c r="H658" s="2628">
        <v>7</v>
      </c>
      <c r="I658" s="2628" t="s">
        <v>1551</v>
      </c>
      <c r="J658" s="2628" t="s">
        <v>1498</v>
      </c>
      <c r="K658" s="2878" t="s">
        <v>7269</v>
      </c>
      <c r="L658" s="2628" t="str">
        <f t="shared" si="95"/>
        <v>Distinta</v>
      </c>
      <c r="M658" s="2634">
        <v>16</v>
      </c>
      <c r="N658" s="2634">
        <v>5</v>
      </c>
      <c r="O658" s="2634">
        <v>25</v>
      </c>
      <c r="P658" s="2628"/>
      <c r="Q658" s="2628"/>
      <c r="R658" s="2628" t="s">
        <v>1456</v>
      </c>
      <c r="S658" s="2628" t="s">
        <v>1456</v>
      </c>
      <c r="T658" s="2628" t="s">
        <v>1456</v>
      </c>
      <c r="U658" s="2628"/>
      <c r="V658" s="2878" t="s">
        <v>1579</v>
      </c>
      <c r="W658" s="2878"/>
      <c r="X658" s="2879" t="str">
        <f t="shared" si="97"/>
        <v>Grande</v>
      </c>
      <c r="Y658" s="2618">
        <f t="shared" si="96"/>
        <v>0</v>
      </c>
      <c r="Z658" s="1265" t="str">
        <f t="shared" si="94"/>
        <v/>
      </c>
      <c r="AB658" s="853" t="s">
        <v>2128</v>
      </c>
      <c r="AC658" s="2621" t="s">
        <v>2144</v>
      </c>
      <c r="AD658" s="2420" t="str">
        <f t="shared" ca="1" si="98"/>
        <v/>
      </c>
      <c r="AE658" s="1259" t="s">
        <v>8584</v>
      </c>
      <c r="AF658" s="1367"/>
      <c r="AG658" s="853" t="str">
        <f t="shared" si="75"/>
        <v>Naginata</v>
      </c>
      <c r="AH658" s="78" t="str">
        <f t="shared" si="76"/>
        <v/>
      </c>
      <c r="AI658" s="78" t="str">
        <f t="shared" si="77"/>
        <v>Espada a dos manos</v>
      </c>
      <c r="AJ658" s="1256">
        <f>IF(OR($L658=AJ$635,$L658="",$D658=$AL$634),MAX(AJ$637:AJ657)+1,0)</f>
        <v>0</v>
      </c>
      <c r="AK658" s="1257">
        <f>IF(OR($L658=AK$635,$L658="",$D658=$AL$634),MAX(AK$637:AK657)+1,0)</f>
        <v>0</v>
      </c>
      <c r="AL658" s="1258">
        <f>IF(OR($L658=AL$635,$L658="",$D658=$AL$634),MAX(AL$637:AL657)+1,0)</f>
        <v>15</v>
      </c>
      <c r="AM658" s="6225"/>
      <c r="AN658" s="853" t="str">
        <f t="shared" si="78"/>
        <v>Naginata</v>
      </c>
      <c r="AO658" s="78" t="str">
        <f t="shared" si="79"/>
        <v/>
      </c>
      <c r="AP658" s="78" t="str">
        <f t="shared" si="80"/>
        <v>Espada a dos manos</v>
      </c>
      <c r="AQ658" s="1256">
        <f>IF(OR($L658=AQ$635,$L658="",$D658=$AS$634),MAX(AQ$637:AQ657)+1,0)</f>
        <v>0</v>
      </c>
      <c r="AR658" s="1257">
        <f>IF(OR($L658=AR$635,$L658="",$D658=$AS$634),MAX(AR$637:AR657)+1,0)</f>
        <v>0</v>
      </c>
      <c r="AS658" s="1258">
        <f>IF(OR($L658=AS$635,$L658="",$D658=$AS$634),MAX(AS$637:AS657)+1,0)</f>
        <v>15</v>
      </c>
      <c r="AT658" s="6225"/>
      <c r="AU658" s="853" t="str">
        <f t="shared" si="81"/>
        <v>Naginata</v>
      </c>
      <c r="AV658" s="78" t="str">
        <f t="shared" si="82"/>
        <v/>
      </c>
      <c r="AW658" s="78" t="str">
        <f t="shared" si="83"/>
        <v>Espada a dos manos</v>
      </c>
      <c r="AX658" s="1256">
        <f>IF(OR($L658=AX$635,$L658="",$D658=$AZ$634),MAX(AX$637:AX657)+1,0)</f>
        <v>0</v>
      </c>
      <c r="AY658" s="1257">
        <f>IF(OR($L658=AY$635,$L658="",$D658=$AZ$634),MAX(AY$637:AY657)+1,0)</f>
        <v>0</v>
      </c>
      <c r="AZ658" s="1258">
        <f>IF(OR($L658=AZ$635,$L658="",$D658=$AZ$634),MAX(AZ$637:AZ657)+1,0)</f>
        <v>15</v>
      </c>
      <c r="BA658" s="6225"/>
      <c r="BB658" s="853" t="str">
        <f t="shared" si="84"/>
        <v>Naginata</v>
      </c>
      <c r="BC658" s="78" t="str">
        <f t="shared" si="85"/>
        <v/>
      </c>
      <c r="BD658" s="78" t="str">
        <f t="shared" si="86"/>
        <v>Espada a dos manos</v>
      </c>
      <c r="BE658" s="1256">
        <f>IF(OR($L658=BE$635,$L658="",$D658=$BG$634),MAX(BE$637:BE657)+1,0)</f>
        <v>0</v>
      </c>
      <c r="BF658" s="1257">
        <f>IF(OR($L658=BF$635,$L658="",$D658=$BG$634),MAX(BF$637:BF657)+1,0)</f>
        <v>0</v>
      </c>
      <c r="BG658" s="1258">
        <f>IF(OR($L658=BG$635,$L658="",$D658=$BG$634),MAX(BG$637:BG657)+1,0)</f>
        <v>15</v>
      </c>
      <c r="BH658" s="6225"/>
      <c r="BI658" s="853" t="str">
        <f t="shared" si="87"/>
        <v>Naginata</v>
      </c>
      <c r="BJ658" s="78" t="str">
        <f t="shared" si="88"/>
        <v/>
      </c>
      <c r="BK658" s="78" t="str">
        <f t="shared" si="89"/>
        <v>Espada a dos manos</v>
      </c>
      <c r="BL658" s="1256">
        <f>IF(OR($L658=BL$635,$L658="",$D658=$BN$634),MAX(BL$637:BL657)+1,0)</f>
        <v>0</v>
      </c>
      <c r="BM658" s="1257">
        <f>IF(OR($L658=BM$635,$L658="",$D658=$BN$634),MAX(BM$637:BM657)+1,0)</f>
        <v>0</v>
      </c>
      <c r="BN658" s="1258">
        <f>IF(OR($L658=BN$635,$L658="",$D658=$BN$634),MAX(BN$637:BN657)+1,0)</f>
        <v>15</v>
      </c>
      <c r="BO658" s="6225"/>
      <c r="BP658" s="853" t="str">
        <f t="shared" si="90"/>
        <v>Naginata</v>
      </c>
      <c r="BQ658" s="78" t="str">
        <f t="shared" si="91"/>
        <v/>
      </c>
      <c r="BR658" s="78" t="str">
        <f t="shared" si="92"/>
        <v>Espada a dos manos</v>
      </c>
      <c r="BS658" s="1256">
        <f>IF(OR($L658=BS$635,$L658="",$D658=$BU$634),MAX(BS$637:BS657)+1,0)</f>
        <v>0</v>
      </c>
      <c r="BT658" s="1257">
        <f>IF(OR($L658=BT$635,$L658="",$D658=$BU$634),MAX(BT$637:BT657)+1,0)</f>
        <v>0</v>
      </c>
      <c r="BU658" s="1258">
        <f>IF(OR($L658=BU$635,$L658="",$D658=$BU$634),MAX(BU$637:BU657)+1,0)</f>
        <v>15</v>
      </c>
    </row>
    <row r="659" spans="1:73" ht="12.75" customHeight="1" x14ac:dyDescent="0.2">
      <c r="A659" s="227">
        <v>659</v>
      </c>
      <c r="B659" s="5988"/>
      <c r="C659" s="1146"/>
      <c r="D659" s="2629" t="s">
        <v>2126</v>
      </c>
      <c r="E659" s="2633">
        <v>30</v>
      </c>
      <c r="F659" s="2628">
        <v>20</v>
      </c>
      <c r="G659" s="2628">
        <v>3</v>
      </c>
      <c r="H659" s="2628">
        <v>3</v>
      </c>
      <c r="I659" s="2628" t="s">
        <v>1552</v>
      </c>
      <c r="J659" s="2628" t="s">
        <v>1551</v>
      </c>
      <c r="K659" s="2878" t="s">
        <v>7267</v>
      </c>
      <c r="L659" s="2628" t="str">
        <f t="shared" si="95"/>
        <v>Distinta</v>
      </c>
      <c r="M659" s="2634">
        <v>10</v>
      </c>
      <c r="N659" s="2634">
        <v>-2</v>
      </c>
      <c r="O659" s="2634">
        <v>15</v>
      </c>
      <c r="P659" s="2628"/>
      <c r="Q659" s="2628"/>
      <c r="R659" s="2634">
        <v>50</v>
      </c>
      <c r="S659" s="2628" t="s">
        <v>1456</v>
      </c>
      <c r="T659" s="2628">
        <v>20</v>
      </c>
      <c r="U659" s="2628"/>
      <c r="V659" s="2878" t="s">
        <v>8568</v>
      </c>
      <c r="W659" s="2878"/>
      <c r="X659" s="2879" t="str">
        <f t="shared" si="97"/>
        <v>Pequeña</v>
      </c>
      <c r="Y659" s="2618">
        <f t="shared" si="96"/>
        <v>0</v>
      </c>
      <c r="Z659" s="1265" t="str">
        <f t="shared" si="94"/>
        <v/>
      </c>
      <c r="AB659" s="853" t="s">
        <v>6992</v>
      </c>
      <c r="AC659" s="2621" t="s">
        <v>2149</v>
      </c>
      <c r="AD659" s="2420" t="str">
        <f t="shared" ca="1" si="98"/>
        <v/>
      </c>
      <c r="AE659" s="1259" t="s">
        <v>8585</v>
      </c>
      <c r="AG659" s="853" t="str">
        <f t="shared" si="75"/>
        <v>Sang Kauw</v>
      </c>
      <c r="AH659" s="78" t="str">
        <f t="shared" si="76"/>
        <v/>
      </c>
      <c r="AI659" s="78" t="str">
        <f t="shared" si="77"/>
        <v>Espada ancha</v>
      </c>
      <c r="AJ659" s="1256">
        <f>IF(OR($L659=AJ$635,$L659="",$D659=$AL$634),MAX(AJ$637:AJ658)+1,0)</f>
        <v>0</v>
      </c>
      <c r="AK659" s="1257">
        <f>IF(OR($L659=AK$635,$L659="",$D659=$AL$634),MAX(AK$637:AK658)+1,0)</f>
        <v>0</v>
      </c>
      <c r="AL659" s="1258">
        <f>IF(OR($L659=AL$635,$L659="",$D659=$AL$634),MAX(AL$637:AL658)+1,0)</f>
        <v>16</v>
      </c>
      <c r="AM659" s="6225"/>
      <c r="AN659" s="853" t="str">
        <f t="shared" si="78"/>
        <v>Sang Kauw</v>
      </c>
      <c r="AO659" s="78" t="str">
        <f t="shared" si="79"/>
        <v/>
      </c>
      <c r="AP659" s="78" t="str">
        <f t="shared" si="80"/>
        <v>Espada ancha</v>
      </c>
      <c r="AQ659" s="1256">
        <f>IF(OR($L659=AQ$635,$L659="",$D659=$AS$634),MAX(AQ$637:AQ658)+1,0)</f>
        <v>0</v>
      </c>
      <c r="AR659" s="1257">
        <f>IF(OR($L659=AR$635,$L659="",$D659=$AS$634),MAX(AR$637:AR658)+1,0)</f>
        <v>0</v>
      </c>
      <c r="AS659" s="1258">
        <f>IF(OR($L659=AS$635,$L659="",$D659=$AS$634),MAX(AS$637:AS658)+1,0)</f>
        <v>16</v>
      </c>
      <c r="AT659" s="6225"/>
      <c r="AU659" s="853" t="str">
        <f t="shared" si="81"/>
        <v>Sang Kauw</v>
      </c>
      <c r="AV659" s="78" t="str">
        <f t="shared" si="82"/>
        <v/>
      </c>
      <c r="AW659" s="78" t="str">
        <f t="shared" si="83"/>
        <v>Espada ancha</v>
      </c>
      <c r="AX659" s="1256">
        <f>IF(OR($L659=AX$635,$L659="",$D659=$AZ$634),MAX(AX$637:AX658)+1,0)</f>
        <v>0</v>
      </c>
      <c r="AY659" s="1257">
        <f>IF(OR($L659=AY$635,$L659="",$D659=$AZ$634),MAX(AY$637:AY658)+1,0)</f>
        <v>0</v>
      </c>
      <c r="AZ659" s="1258">
        <f>IF(OR($L659=AZ$635,$L659="",$D659=$AZ$634),MAX(AZ$637:AZ658)+1,0)</f>
        <v>16</v>
      </c>
      <c r="BA659" s="6225"/>
      <c r="BB659" s="853" t="str">
        <f t="shared" si="84"/>
        <v>Sang Kauw</v>
      </c>
      <c r="BC659" s="78" t="str">
        <f t="shared" si="85"/>
        <v/>
      </c>
      <c r="BD659" s="78" t="str">
        <f t="shared" si="86"/>
        <v>Espada ancha</v>
      </c>
      <c r="BE659" s="1256">
        <f>IF(OR($L659=BE$635,$L659="",$D659=$BG$634),MAX(BE$637:BE658)+1,0)</f>
        <v>0</v>
      </c>
      <c r="BF659" s="1257">
        <f>IF(OR($L659=BF$635,$L659="",$D659=$BG$634),MAX(BF$637:BF658)+1,0)</f>
        <v>0</v>
      </c>
      <c r="BG659" s="1258">
        <f>IF(OR($L659=BG$635,$L659="",$D659=$BG$634),MAX(BG$637:BG658)+1,0)</f>
        <v>16</v>
      </c>
      <c r="BH659" s="6225"/>
      <c r="BI659" s="853" t="str">
        <f t="shared" si="87"/>
        <v>Sang Kauw</v>
      </c>
      <c r="BJ659" s="78" t="str">
        <f t="shared" si="88"/>
        <v/>
      </c>
      <c r="BK659" s="78" t="str">
        <f t="shared" si="89"/>
        <v>Espada ancha</v>
      </c>
      <c r="BL659" s="1256">
        <f>IF(OR($L659=BL$635,$L659="",$D659=$BN$634),MAX(BL$637:BL658)+1,0)</f>
        <v>0</v>
      </c>
      <c r="BM659" s="1257">
        <f>IF(OR($L659=BM$635,$L659="",$D659=$BN$634),MAX(BM$637:BM658)+1,0)</f>
        <v>0</v>
      </c>
      <c r="BN659" s="1258">
        <f>IF(OR($L659=BN$635,$L659="",$D659=$BN$634),MAX(BN$637:BN658)+1,0)</f>
        <v>16</v>
      </c>
      <c r="BO659" s="6225"/>
      <c r="BP659" s="853" t="str">
        <f t="shared" si="90"/>
        <v>Sang Kauw</v>
      </c>
      <c r="BQ659" s="78" t="str">
        <f t="shared" si="91"/>
        <v/>
      </c>
      <c r="BR659" s="78" t="str">
        <f t="shared" si="92"/>
        <v>Espada ancha</v>
      </c>
      <c r="BS659" s="1256">
        <f>IF(OR($L659=BS$635,$L659="",$D659=$BU$634),MAX(BS$637:BS658)+1,0)</f>
        <v>0</v>
      </c>
      <c r="BT659" s="1257">
        <f>IF(OR($L659=BT$635,$L659="",$D659=$BU$634),MAX(BT$637:BT658)+1,0)</f>
        <v>0</v>
      </c>
      <c r="BU659" s="1258">
        <f>IF(OR($L659=BU$635,$L659="",$D659=$BU$634),MAX(BU$637:BU658)+1,0)</f>
        <v>16</v>
      </c>
    </row>
    <row r="660" spans="1:73" ht="12.75" customHeight="1" x14ac:dyDescent="0.2">
      <c r="A660" s="227">
        <v>660</v>
      </c>
      <c r="B660" s="5988"/>
      <c r="C660" s="1146"/>
      <c r="D660" s="2629" t="s">
        <v>2127</v>
      </c>
      <c r="E660" s="2633">
        <v>30</v>
      </c>
      <c r="F660" s="2628">
        <v>15</v>
      </c>
      <c r="G660" s="2628">
        <v>3</v>
      </c>
      <c r="H660" s="2628">
        <v>3</v>
      </c>
      <c r="I660" s="2628" t="s">
        <v>1552</v>
      </c>
      <c r="J660" s="2628" t="s">
        <v>1551</v>
      </c>
      <c r="K660" s="2878" t="s">
        <v>7267</v>
      </c>
      <c r="L660" s="2628" t="str">
        <f t="shared" si="95"/>
        <v>Distinta</v>
      </c>
      <c r="M660" s="2634">
        <v>12</v>
      </c>
      <c r="N660" s="2634">
        <v>0</v>
      </c>
      <c r="O660" s="2634">
        <v>20</v>
      </c>
      <c r="P660" s="2628"/>
      <c r="Q660" s="2628"/>
      <c r="R660" s="2634">
        <v>50</v>
      </c>
      <c r="S660" s="2628" t="s">
        <v>1456</v>
      </c>
      <c r="T660" s="2628">
        <v>15</v>
      </c>
      <c r="U660" s="2628"/>
      <c r="V660" s="2878" t="s">
        <v>8569</v>
      </c>
      <c r="W660" s="2878"/>
      <c r="X660" s="2879" t="str">
        <f t="shared" si="97"/>
        <v>Pequeña</v>
      </c>
      <c r="Y660" s="2618">
        <f t="shared" si="96"/>
        <v>0</v>
      </c>
      <c r="Z660" s="1265" t="str">
        <f t="shared" si="94"/>
        <v/>
      </c>
      <c r="AB660" s="853" t="s">
        <v>6993</v>
      </c>
      <c r="AC660" s="2621" t="s">
        <v>2154</v>
      </c>
      <c r="AD660" s="2420" t="str">
        <f t="shared" ca="1" si="98"/>
        <v/>
      </c>
      <c r="AE660" s="1259" t="s">
        <v>8586</v>
      </c>
      <c r="AG660" s="853" t="str">
        <f t="shared" si="75"/>
        <v>Sode Garami</v>
      </c>
      <c r="AH660" s="78" t="str">
        <f t="shared" si="76"/>
        <v/>
      </c>
      <c r="AI660" s="78" t="str">
        <f t="shared" si="77"/>
        <v>Espada bastarda</v>
      </c>
      <c r="AJ660" s="1256">
        <f>IF(OR($L660=AJ$635,$L660="",$D660=$AL$634),MAX(AJ$637:AJ659)+1,0)</f>
        <v>0</v>
      </c>
      <c r="AK660" s="1257">
        <f>IF(OR($L660=AK$635,$L660="",$D660=$AL$634),MAX(AK$637:AK659)+1,0)</f>
        <v>0</v>
      </c>
      <c r="AL660" s="1258">
        <f>IF(OR($L660=AL$635,$L660="",$D660=$AL$634),MAX(AL$637:AL659)+1,0)</f>
        <v>17</v>
      </c>
      <c r="AM660" s="6225"/>
      <c r="AN660" s="853" t="str">
        <f t="shared" si="78"/>
        <v>Sode Garami</v>
      </c>
      <c r="AO660" s="78" t="str">
        <f t="shared" si="79"/>
        <v/>
      </c>
      <c r="AP660" s="78" t="str">
        <f t="shared" si="80"/>
        <v>Espada bastarda</v>
      </c>
      <c r="AQ660" s="1256">
        <f>IF(OR($L660=AQ$635,$L660="",$D660=$AS$634),MAX(AQ$637:AQ659)+1,0)</f>
        <v>0</v>
      </c>
      <c r="AR660" s="1257">
        <f>IF(OR($L660=AR$635,$L660="",$D660=$AS$634),MAX(AR$637:AR659)+1,0)</f>
        <v>0</v>
      </c>
      <c r="AS660" s="1258">
        <f>IF(OR($L660=AS$635,$L660="",$D660=$AS$634),MAX(AS$637:AS659)+1,0)</f>
        <v>17</v>
      </c>
      <c r="AT660" s="6225"/>
      <c r="AU660" s="853" t="str">
        <f t="shared" si="81"/>
        <v>Sode Garami</v>
      </c>
      <c r="AV660" s="78" t="str">
        <f t="shared" si="82"/>
        <v/>
      </c>
      <c r="AW660" s="78" t="str">
        <f t="shared" si="83"/>
        <v>Espada bastarda</v>
      </c>
      <c r="AX660" s="1256">
        <f>IF(OR($L660=AX$635,$L660="",$D660=$AZ$634),MAX(AX$637:AX659)+1,0)</f>
        <v>0</v>
      </c>
      <c r="AY660" s="1257">
        <f>IF(OR($L660=AY$635,$L660="",$D660=$AZ$634),MAX(AY$637:AY659)+1,0)</f>
        <v>0</v>
      </c>
      <c r="AZ660" s="1258">
        <f>IF(OR($L660=AZ$635,$L660="",$D660=$AZ$634),MAX(AZ$637:AZ659)+1,0)</f>
        <v>17</v>
      </c>
      <c r="BA660" s="6225"/>
      <c r="BB660" s="853" t="str">
        <f t="shared" si="84"/>
        <v>Sode Garami</v>
      </c>
      <c r="BC660" s="78" t="str">
        <f t="shared" si="85"/>
        <v/>
      </c>
      <c r="BD660" s="78" t="str">
        <f t="shared" si="86"/>
        <v>Espada bastarda</v>
      </c>
      <c r="BE660" s="1256">
        <f>IF(OR($L660=BE$635,$L660="",$D660=$BG$634),MAX(BE$637:BE659)+1,0)</f>
        <v>0</v>
      </c>
      <c r="BF660" s="1257">
        <f>IF(OR($L660=BF$635,$L660="",$D660=$BG$634),MAX(BF$637:BF659)+1,0)</f>
        <v>0</v>
      </c>
      <c r="BG660" s="1258">
        <f>IF(OR($L660=BG$635,$L660="",$D660=$BG$634),MAX(BG$637:BG659)+1,0)</f>
        <v>17</v>
      </c>
      <c r="BH660" s="6225"/>
      <c r="BI660" s="853" t="str">
        <f t="shared" si="87"/>
        <v>Sode Garami</v>
      </c>
      <c r="BJ660" s="78" t="str">
        <f t="shared" si="88"/>
        <v/>
      </c>
      <c r="BK660" s="78" t="str">
        <f t="shared" si="89"/>
        <v>Espada bastarda</v>
      </c>
      <c r="BL660" s="1256">
        <f>IF(OR($L660=BL$635,$L660="",$D660=$BN$634),MAX(BL$637:BL659)+1,0)</f>
        <v>0</v>
      </c>
      <c r="BM660" s="1257">
        <f>IF(OR($L660=BM$635,$L660="",$D660=$BN$634),MAX(BM$637:BM659)+1,0)</f>
        <v>0</v>
      </c>
      <c r="BN660" s="1258">
        <f>IF(OR($L660=BN$635,$L660="",$D660=$BN$634),MAX(BN$637:BN659)+1,0)</f>
        <v>17</v>
      </c>
      <c r="BO660" s="6225"/>
      <c r="BP660" s="853" t="str">
        <f t="shared" si="90"/>
        <v>Sode Garami</v>
      </c>
      <c r="BQ660" s="78" t="str">
        <f t="shared" si="91"/>
        <v/>
      </c>
      <c r="BR660" s="78" t="str">
        <f t="shared" si="92"/>
        <v>Espada bastarda</v>
      </c>
      <c r="BS660" s="1256">
        <f>IF(OR($L660=BS$635,$L660="",$D660=$BU$634),MAX(BS$637:BS659)+1,0)</f>
        <v>0</v>
      </c>
      <c r="BT660" s="1257">
        <f>IF(OR($L660=BT$635,$L660="",$D660=$BU$634),MAX(BT$637:BT659)+1,0)</f>
        <v>0</v>
      </c>
      <c r="BU660" s="1258">
        <f>IF(OR($L660=BU$635,$L660="",$D660=$BU$634),MAX(BU$637:BU659)+1,0)</f>
        <v>17</v>
      </c>
    </row>
    <row r="661" spans="1:73" ht="12.75" customHeight="1" x14ac:dyDescent="0.2">
      <c r="A661" s="227">
        <v>661</v>
      </c>
      <c r="B661" s="5988"/>
      <c r="C661" s="1146"/>
      <c r="D661" s="2629" t="s">
        <v>2128</v>
      </c>
      <c r="E661" s="2628">
        <v>20</v>
      </c>
      <c r="F661" s="2628">
        <v>20</v>
      </c>
      <c r="G661" s="2628">
        <v>3</v>
      </c>
      <c r="H661" s="2628">
        <v>3</v>
      </c>
      <c r="I661" s="2628" t="s">
        <v>1552</v>
      </c>
      <c r="J661" s="2628" t="s">
        <v>1456</v>
      </c>
      <c r="K661" s="2878" t="s">
        <v>7264</v>
      </c>
      <c r="L661" s="2628" t="str">
        <f t="shared" si="95"/>
        <v>Distinta</v>
      </c>
      <c r="M661" s="2634">
        <v>3</v>
      </c>
      <c r="N661" s="2634">
        <v>-4</v>
      </c>
      <c r="O661" s="2634">
        <v>15</v>
      </c>
      <c r="P661" s="2628"/>
      <c r="Q661" s="2628"/>
      <c r="R661" s="2634">
        <v>40</v>
      </c>
      <c r="S661" s="2628" t="s">
        <v>1456</v>
      </c>
      <c r="T661" s="2628">
        <v>20</v>
      </c>
      <c r="U661" s="2628"/>
      <c r="V661" s="2878" t="s">
        <v>8570</v>
      </c>
      <c r="W661" s="2878"/>
      <c r="X661" s="2879" t="str">
        <f t="shared" si="97"/>
        <v>Mediana</v>
      </c>
      <c r="Y661" s="2618">
        <f t="shared" si="96"/>
        <v>0</v>
      </c>
      <c r="Z661" s="1265" t="str">
        <f t="shared" si="94"/>
        <v/>
      </c>
      <c r="AB661" s="853" t="s">
        <v>2129</v>
      </c>
      <c r="AC661" s="2621" t="s">
        <v>6994</v>
      </c>
      <c r="AD661" s="2420" t="str">
        <f t="shared" ca="1" si="98"/>
        <v/>
      </c>
      <c r="AE661" s="1265"/>
      <c r="AG661" s="853" t="str">
        <f t="shared" si="75"/>
        <v>Uchi-ne</v>
      </c>
      <c r="AH661" s="78" t="str">
        <f t="shared" si="76"/>
        <v/>
      </c>
      <c r="AI661" s="78" t="str">
        <f t="shared" si="77"/>
        <v>Espada corta</v>
      </c>
      <c r="AJ661" s="1256">
        <f>IF(OR($L661=AJ$635,$L661="",$D661=$AL$634),MAX(AJ$637:AJ660)+1,0)</f>
        <v>0</v>
      </c>
      <c r="AK661" s="1257">
        <f>IF(OR($L661=AK$635,$L661="",$D661=$AL$634),MAX(AK$637:AK660)+1,0)</f>
        <v>0</v>
      </c>
      <c r="AL661" s="1258">
        <f>IF(OR($L661=AL$635,$L661="",$D661=$AL$634),MAX(AL$637:AL660)+1,0)</f>
        <v>18</v>
      </c>
      <c r="AM661" s="6225"/>
      <c r="AN661" s="853" t="str">
        <f t="shared" si="78"/>
        <v>Uchi-ne</v>
      </c>
      <c r="AO661" s="78" t="str">
        <f t="shared" si="79"/>
        <v/>
      </c>
      <c r="AP661" s="78" t="str">
        <f t="shared" si="80"/>
        <v>Espada corta</v>
      </c>
      <c r="AQ661" s="1256">
        <f>IF(OR($L661=AQ$635,$L661="",$D661=$AS$634),MAX(AQ$637:AQ660)+1,0)</f>
        <v>0</v>
      </c>
      <c r="AR661" s="1257">
        <f>IF(OR($L661=AR$635,$L661="",$D661=$AS$634),MAX(AR$637:AR660)+1,0)</f>
        <v>0</v>
      </c>
      <c r="AS661" s="1258">
        <f>IF(OR($L661=AS$635,$L661="",$D661=$AS$634),MAX(AS$637:AS660)+1,0)</f>
        <v>18</v>
      </c>
      <c r="AT661" s="6225"/>
      <c r="AU661" s="853" t="str">
        <f t="shared" si="81"/>
        <v>Uchi-ne</v>
      </c>
      <c r="AV661" s="78" t="str">
        <f t="shared" si="82"/>
        <v/>
      </c>
      <c r="AW661" s="78" t="str">
        <f t="shared" si="83"/>
        <v>Espada corta</v>
      </c>
      <c r="AX661" s="1256">
        <f>IF(OR($L661=AX$635,$L661="",$D661=$AZ$634),MAX(AX$637:AX660)+1,0)</f>
        <v>0</v>
      </c>
      <c r="AY661" s="1257">
        <f>IF(OR($L661=AY$635,$L661="",$D661=$AZ$634),MAX(AY$637:AY660)+1,0)</f>
        <v>0</v>
      </c>
      <c r="AZ661" s="1258">
        <f>IF(OR($L661=AZ$635,$L661="",$D661=$AZ$634),MAX(AZ$637:AZ660)+1,0)</f>
        <v>18</v>
      </c>
      <c r="BA661" s="6225"/>
      <c r="BB661" s="853" t="str">
        <f t="shared" si="84"/>
        <v>Uchi-ne</v>
      </c>
      <c r="BC661" s="78" t="str">
        <f t="shared" si="85"/>
        <v/>
      </c>
      <c r="BD661" s="78" t="str">
        <f t="shared" si="86"/>
        <v>Espada corta</v>
      </c>
      <c r="BE661" s="1256">
        <f>IF(OR($L661=BE$635,$L661="",$D661=$BG$634),MAX(BE$637:BE660)+1,0)</f>
        <v>0</v>
      </c>
      <c r="BF661" s="1257">
        <f>IF(OR($L661=BF$635,$L661="",$D661=$BG$634),MAX(BF$637:BF660)+1,0)</f>
        <v>0</v>
      </c>
      <c r="BG661" s="1258">
        <f>IF(OR($L661=BG$635,$L661="",$D661=$BG$634),MAX(BG$637:BG660)+1,0)</f>
        <v>18</v>
      </c>
      <c r="BH661" s="6225"/>
      <c r="BI661" s="853" t="str">
        <f t="shared" si="87"/>
        <v>Uchi-ne</v>
      </c>
      <c r="BJ661" s="78" t="str">
        <f t="shared" si="88"/>
        <v/>
      </c>
      <c r="BK661" s="78" t="str">
        <f t="shared" si="89"/>
        <v>Espada corta</v>
      </c>
      <c r="BL661" s="1256">
        <f>IF(OR($L661=BL$635,$L661="",$D661=$BN$634),MAX(BL$637:BL660)+1,0)</f>
        <v>0</v>
      </c>
      <c r="BM661" s="1257">
        <f>IF(OR($L661=BM$635,$L661="",$D661=$BN$634),MAX(BM$637:BM660)+1,0)</f>
        <v>0</v>
      </c>
      <c r="BN661" s="1258">
        <f>IF(OR($L661=BN$635,$L661="",$D661=$BN$634),MAX(BN$637:BN660)+1,0)</f>
        <v>18</v>
      </c>
      <c r="BO661" s="6225"/>
      <c r="BP661" s="853" t="str">
        <f t="shared" si="90"/>
        <v>Uchi-ne</v>
      </c>
      <c r="BQ661" s="78" t="str">
        <f t="shared" si="91"/>
        <v/>
      </c>
      <c r="BR661" s="78" t="str">
        <f t="shared" si="92"/>
        <v>Espada corta</v>
      </c>
      <c r="BS661" s="1256">
        <f>IF(OR($L661=BS$635,$L661="",$D661=$BU$634),MAX(BS$637:BS660)+1,0)</f>
        <v>0</v>
      </c>
      <c r="BT661" s="1257">
        <f>IF(OR($L661=BT$635,$L661="",$D661=$BU$634),MAX(BT$637:BT660)+1,0)</f>
        <v>0</v>
      </c>
      <c r="BU661" s="1258">
        <f>IF(OR($L661=BU$635,$L661="",$D661=$BU$634),MAX(BU$637:BU660)+1,0)</f>
        <v>18</v>
      </c>
    </row>
    <row r="662" spans="1:73" ht="12.75" customHeight="1" x14ac:dyDescent="0.2">
      <c r="A662" s="227">
        <v>662</v>
      </c>
      <c r="B662" s="5988"/>
      <c r="C662" s="1146"/>
      <c r="D662" s="2629" t="s">
        <v>6992</v>
      </c>
      <c r="E662" s="2633">
        <v>35</v>
      </c>
      <c r="F662" s="2628">
        <v>15</v>
      </c>
      <c r="G662" s="2628">
        <v>5</v>
      </c>
      <c r="H662" s="2628">
        <v>5</v>
      </c>
      <c r="I662" s="2628" t="s">
        <v>1552</v>
      </c>
      <c r="J662" s="2628" t="s">
        <v>1456</v>
      </c>
      <c r="K662" s="2878" t="s">
        <v>7267</v>
      </c>
      <c r="L662" s="2628" t="str">
        <f t="shared" si="95"/>
        <v>Distinta</v>
      </c>
      <c r="M662" s="2634">
        <v>10</v>
      </c>
      <c r="N662" s="2634">
        <v>-2</v>
      </c>
      <c r="O662" s="2634">
        <v>15</v>
      </c>
      <c r="P662" s="2628"/>
      <c r="Q662" s="2628"/>
      <c r="R662" s="2628" t="s">
        <v>1456</v>
      </c>
      <c r="S662" s="2628" t="s">
        <v>1456</v>
      </c>
      <c r="T662" s="2628" t="s">
        <v>1456</v>
      </c>
      <c r="U662" s="2628"/>
      <c r="V662" s="2878" t="s">
        <v>2134</v>
      </c>
      <c r="W662" s="2878"/>
      <c r="X662" s="2879" t="str">
        <f t="shared" si="97"/>
        <v>Pequeña</v>
      </c>
      <c r="Y662" s="2618">
        <f t="shared" si="96"/>
        <v>0</v>
      </c>
      <c r="Z662" s="1265" t="str">
        <f t="shared" si="94"/>
        <v/>
      </c>
      <c r="AB662" s="853" t="s">
        <v>2131</v>
      </c>
      <c r="AC662" s="2621" t="s">
        <v>2156</v>
      </c>
      <c r="AD662" s="2420" t="str">
        <f t="shared" ca="1" si="98"/>
        <v/>
      </c>
      <c r="AE662" s="1265"/>
      <c r="AG662" s="853" t="str">
        <f t="shared" si="75"/>
        <v>&gt; A. DE PROYECTILES</v>
      </c>
      <c r="AH662" s="78" t="str">
        <f t="shared" si="76"/>
        <v/>
      </c>
      <c r="AI662" s="78" t="str">
        <f t="shared" si="77"/>
        <v>Espada larga</v>
      </c>
      <c r="AJ662" s="1256">
        <f>IF(OR($L662=AJ$635,$L662="",$D662=$AL$634),MAX(AJ$637:AJ661)+1,0)</f>
        <v>0</v>
      </c>
      <c r="AK662" s="1257">
        <f>IF(OR($L662=AK$635,$L662="",$D662=$AL$634),MAX(AK$637:AK661)+1,0)</f>
        <v>0</v>
      </c>
      <c r="AL662" s="1258">
        <f>IF(OR($L662=AL$635,$L662="",$D662=$AL$634),MAX(AL$637:AL661)+1,0)</f>
        <v>19</v>
      </c>
      <c r="AM662" s="6225"/>
      <c r="AN662" s="853" t="str">
        <f t="shared" si="78"/>
        <v>&gt; A. DE PROYECTILES</v>
      </c>
      <c r="AO662" s="78" t="str">
        <f t="shared" si="79"/>
        <v/>
      </c>
      <c r="AP662" s="78" t="str">
        <f t="shared" si="80"/>
        <v>Espada larga</v>
      </c>
      <c r="AQ662" s="1256">
        <f>IF(OR($L662=AQ$635,$L662="",$D662=$AS$634),MAX(AQ$637:AQ661)+1,0)</f>
        <v>0</v>
      </c>
      <c r="AR662" s="1257">
        <f>IF(OR($L662=AR$635,$L662="",$D662=$AS$634),MAX(AR$637:AR661)+1,0)</f>
        <v>0</v>
      </c>
      <c r="AS662" s="1258">
        <f>IF(OR($L662=AS$635,$L662="",$D662=$AS$634),MAX(AS$637:AS661)+1,0)</f>
        <v>19</v>
      </c>
      <c r="AT662" s="6225"/>
      <c r="AU662" s="853" t="str">
        <f t="shared" si="81"/>
        <v>&gt; A. DE PROYECTILES</v>
      </c>
      <c r="AV662" s="78" t="str">
        <f t="shared" si="82"/>
        <v/>
      </c>
      <c r="AW662" s="78" t="str">
        <f t="shared" si="83"/>
        <v>Espada larga</v>
      </c>
      <c r="AX662" s="1256">
        <f>IF(OR($L662=AX$635,$L662="",$D662=$AZ$634),MAX(AX$637:AX661)+1,0)</f>
        <v>0</v>
      </c>
      <c r="AY662" s="1257">
        <f>IF(OR($L662=AY$635,$L662="",$D662=$AZ$634),MAX(AY$637:AY661)+1,0)</f>
        <v>0</v>
      </c>
      <c r="AZ662" s="1258">
        <f>IF(OR($L662=AZ$635,$L662="",$D662=$AZ$634),MAX(AZ$637:AZ661)+1,0)</f>
        <v>19</v>
      </c>
      <c r="BA662" s="6225"/>
      <c r="BB662" s="853" t="str">
        <f t="shared" si="84"/>
        <v>&gt; A. DE PROYECTILES</v>
      </c>
      <c r="BC662" s="78" t="str">
        <f t="shared" si="85"/>
        <v/>
      </c>
      <c r="BD662" s="78" t="str">
        <f t="shared" si="86"/>
        <v>Espada larga</v>
      </c>
      <c r="BE662" s="1256">
        <f>IF(OR($L662=BE$635,$L662="",$D662=$BG$634),MAX(BE$637:BE661)+1,0)</f>
        <v>0</v>
      </c>
      <c r="BF662" s="1257">
        <f>IF(OR($L662=BF$635,$L662="",$D662=$BG$634),MAX(BF$637:BF661)+1,0)</f>
        <v>0</v>
      </c>
      <c r="BG662" s="1258">
        <f>IF(OR($L662=BG$635,$L662="",$D662=$BG$634),MAX(BG$637:BG661)+1,0)</f>
        <v>19</v>
      </c>
      <c r="BH662" s="6225"/>
      <c r="BI662" s="853" t="str">
        <f t="shared" si="87"/>
        <v>&gt; A. DE PROYECTILES</v>
      </c>
      <c r="BJ662" s="78" t="str">
        <f t="shared" si="88"/>
        <v/>
      </c>
      <c r="BK662" s="78" t="str">
        <f t="shared" si="89"/>
        <v>Espada larga</v>
      </c>
      <c r="BL662" s="1256">
        <f>IF(OR($L662=BL$635,$L662="",$D662=$BN$634),MAX(BL$637:BL661)+1,0)</f>
        <v>0</v>
      </c>
      <c r="BM662" s="1257">
        <f>IF(OR($L662=BM$635,$L662="",$D662=$BN$634),MAX(BM$637:BM661)+1,0)</f>
        <v>0</v>
      </c>
      <c r="BN662" s="1258">
        <f>IF(OR($L662=BN$635,$L662="",$D662=$BN$634),MAX(BN$637:BN661)+1,0)</f>
        <v>19</v>
      </c>
      <c r="BO662" s="6225"/>
      <c r="BP662" s="853" t="str">
        <f t="shared" si="90"/>
        <v>&gt; A. DE PROYECTILES</v>
      </c>
      <c r="BQ662" s="78" t="str">
        <f t="shared" si="91"/>
        <v/>
      </c>
      <c r="BR662" s="78" t="str">
        <f t="shared" si="92"/>
        <v>Espada larga</v>
      </c>
      <c r="BS662" s="1256">
        <f>IF(OR($L662=BS$635,$L662="",$D662=$BU$634),MAX(BS$637:BS661)+1,0)</f>
        <v>0</v>
      </c>
      <c r="BT662" s="1257">
        <f>IF(OR($L662=BT$635,$L662="",$D662=$BU$634),MAX(BT$637:BT661)+1,0)</f>
        <v>0</v>
      </c>
      <c r="BU662" s="1258">
        <f>IF(OR($L662=BU$635,$L662="",$D662=$BU$634),MAX(BU$637:BU661)+1,0)</f>
        <v>19</v>
      </c>
    </row>
    <row r="663" spans="1:73" ht="12.75" customHeight="1" x14ac:dyDescent="0.2">
      <c r="A663" s="227">
        <v>663</v>
      </c>
      <c r="B663" s="5988"/>
      <c r="C663" s="1146"/>
      <c r="D663" s="2629" t="s">
        <v>6993</v>
      </c>
      <c r="E663" s="2633">
        <v>45</v>
      </c>
      <c r="F663" s="2628">
        <v>0</v>
      </c>
      <c r="G663" s="2628">
        <v>4</v>
      </c>
      <c r="H663" s="2628">
        <v>4</v>
      </c>
      <c r="I663" s="2628" t="s">
        <v>1551</v>
      </c>
      <c r="J663" s="2628" t="s">
        <v>1552</v>
      </c>
      <c r="K663" s="2878" t="s">
        <v>7267</v>
      </c>
      <c r="L663" s="2628" t="str">
        <f t="shared" si="95"/>
        <v>Distinta</v>
      </c>
      <c r="M663" s="2634">
        <v>14</v>
      </c>
      <c r="N663" s="2634">
        <v>4</v>
      </c>
      <c r="O663" s="2634">
        <v>20</v>
      </c>
      <c r="P663" s="2628"/>
      <c r="Q663" s="2628"/>
      <c r="R663" s="2628" t="s">
        <v>1456</v>
      </c>
      <c r="S663" s="2628" t="s">
        <v>1456</v>
      </c>
      <c r="T663" s="2628" t="s">
        <v>1456</v>
      </c>
      <c r="U663" s="2628"/>
      <c r="V663" s="2878" t="s">
        <v>1456</v>
      </c>
      <c r="W663" s="2878"/>
      <c r="X663" s="2879" t="str">
        <f t="shared" si="97"/>
        <v>Pequeña</v>
      </c>
      <c r="Y663" s="2618">
        <f t="shared" si="96"/>
        <v>0</v>
      </c>
      <c r="Z663" s="1265" t="str">
        <f t="shared" si="94"/>
        <v/>
      </c>
      <c r="AB663" s="853" t="s">
        <v>2132</v>
      </c>
      <c r="AC663" s="2621" t="s">
        <v>6995</v>
      </c>
      <c r="AD663" s="2420" t="str">
        <f t="shared" ca="1" si="98"/>
        <v/>
      </c>
      <c r="AE663" s="1265"/>
      <c r="AG663" s="853" t="str">
        <f t="shared" si="75"/>
        <v>&gt; ARMAS DE ASEDIO</v>
      </c>
      <c r="AH663" s="78" t="str">
        <f t="shared" si="76"/>
        <v/>
      </c>
      <c r="AI663" s="78" t="str">
        <f t="shared" si="77"/>
        <v>Estilete</v>
      </c>
      <c r="AJ663" s="1256">
        <f>IF(OR($L663=AJ$635,$L663="",$D663=$AL$634),MAX(AJ$637:AJ662)+1,0)</f>
        <v>0</v>
      </c>
      <c r="AK663" s="1257">
        <f>IF(OR($L663=AK$635,$L663="",$D663=$AL$634),MAX(AK$637:AK662)+1,0)</f>
        <v>0</v>
      </c>
      <c r="AL663" s="1258">
        <f>IF(OR($L663=AL$635,$L663="",$D663=$AL$634),MAX(AL$637:AL662)+1,0)</f>
        <v>20</v>
      </c>
      <c r="AM663" s="6225"/>
      <c r="AN663" s="853" t="str">
        <f t="shared" si="78"/>
        <v>&gt; ARMAS DE ASEDIO</v>
      </c>
      <c r="AO663" s="78" t="str">
        <f t="shared" si="79"/>
        <v/>
      </c>
      <c r="AP663" s="78" t="str">
        <f t="shared" si="80"/>
        <v>Estilete</v>
      </c>
      <c r="AQ663" s="1256">
        <f>IF(OR($L663=AQ$635,$L663="",$D663=$AS$634),MAX(AQ$637:AQ662)+1,0)</f>
        <v>0</v>
      </c>
      <c r="AR663" s="1257">
        <f>IF(OR($L663=AR$635,$L663="",$D663=$AS$634),MAX(AR$637:AR662)+1,0)</f>
        <v>0</v>
      </c>
      <c r="AS663" s="1258">
        <f>IF(OR($L663=AS$635,$L663="",$D663=$AS$634),MAX(AS$637:AS662)+1,0)</f>
        <v>20</v>
      </c>
      <c r="AT663" s="6225"/>
      <c r="AU663" s="853" t="str">
        <f t="shared" si="81"/>
        <v>&gt; ARMAS DE ASEDIO</v>
      </c>
      <c r="AV663" s="78" t="str">
        <f t="shared" si="82"/>
        <v/>
      </c>
      <c r="AW663" s="78" t="str">
        <f t="shared" si="83"/>
        <v>Estilete</v>
      </c>
      <c r="AX663" s="1256">
        <f>IF(OR($L663=AX$635,$L663="",$D663=$AZ$634),MAX(AX$637:AX662)+1,0)</f>
        <v>0</v>
      </c>
      <c r="AY663" s="1257">
        <f>IF(OR($L663=AY$635,$L663="",$D663=$AZ$634),MAX(AY$637:AY662)+1,0)</f>
        <v>0</v>
      </c>
      <c r="AZ663" s="1258">
        <f>IF(OR($L663=AZ$635,$L663="",$D663=$AZ$634),MAX(AZ$637:AZ662)+1,0)</f>
        <v>20</v>
      </c>
      <c r="BA663" s="6225"/>
      <c r="BB663" s="853" t="str">
        <f t="shared" si="84"/>
        <v>&gt; ARMAS DE ASEDIO</v>
      </c>
      <c r="BC663" s="78" t="str">
        <f t="shared" si="85"/>
        <v/>
      </c>
      <c r="BD663" s="78" t="str">
        <f t="shared" si="86"/>
        <v>Estilete</v>
      </c>
      <c r="BE663" s="1256">
        <f>IF(OR($L663=BE$635,$L663="",$D663=$BG$634),MAX(BE$637:BE662)+1,0)</f>
        <v>0</v>
      </c>
      <c r="BF663" s="1257">
        <f>IF(OR($L663=BF$635,$L663="",$D663=$BG$634),MAX(BF$637:BF662)+1,0)</f>
        <v>0</v>
      </c>
      <c r="BG663" s="1258">
        <f>IF(OR($L663=BG$635,$L663="",$D663=$BG$634),MAX(BG$637:BG662)+1,0)</f>
        <v>20</v>
      </c>
      <c r="BH663" s="6225"/>
      <c r="BI663" s="853" t="str">
        <f t="shared" si="87"/>
        <v>&gt; ARMAS DE ASEDIO</v>
      </c>
      <c r="BJ663" s="78" t="str">
        <f t="shared" si="88"/>
        <v/>
      </c>
      <c r="BK663" s="78" t="str">
        <f t="shared" si="89"/>
        <v>Estilete</v>
      </c>
      <c r="BL663" s="1256">
        <f>IF(OR($L663=BL$635,$L663="",$D663=$BN$634),MAX(BL$637:BL662)+1,0)</f>
        <v>0</v>
      </c>
      <c r="BM663" s="1257">
        <f>IF(OR($L663=BM$635,$L663="",$D663=$BN$634),MAX(BM$637:BM662)+1,0)</f>
        <v>0</v>
      </c>
      <c r="BN663" s="1258">
        <f>IF(OR($L663=BN$635,$L663="",$D663=$BN$634),MAX(BN$637:BN662)+1,0)</f>
        <v>20</v>
      </c>
      <c r="BO663" s="6225"/>
      <c r="BP663" s="853" t="str">
        <f t="shared" si="90"/>
        <v>&gt; ARMAS DE ASEDIO</v>
      </c>
      <c r="BQ663" s="78" t="str">
        <f t="shared" si="91"/>
        <v/>
      </c>
      <c r="BR663" s="78" t="str">
        <f t="shared" si="92"/>
        <v>Estilete</v>
      </c>
      <c r="BS663" s="1256">
        <f>IF(OR($L663=BS$635,$L663="",$D663=$BU$634),MAX(BS$637:BS662)+1,0)</f>
        <v>0</v>
      </c>
      <c r="BT663" s="1257">
        <f>IF(OR($L663=BT$635,$L663="",$D663=$BU$634),MAX(BT$637:BT662)+1,0)</f>
        <v>0</v>
      </c>
      <c r="BU663" s="1258">
        <f>IF(OR($L663=BU$635,$L663="",$D663=$BU$634),MAX(BU$637:BU662)+1,0)</f>
        <v>20</v>
      </c>
    </row>
    <row r="664" spans="1:73" ht="12.75" customHeight="1" x14ac:dyDescent="0.2">
      <c r="A664" s="227">
        <v>664</v>
      </c>
      <c r="B664" s="5988"/>
      <c r="C664" s="1146"/>
      <c r="D664" s="2629" t="s">
        <v>2129</v>
      </c>
      <c r="E664" s="2633">
        <v>90</v>
      </c>
      <c r="F664" s="2628">
        <v>-60</v>
      </c>
      <c r="G664" s="2628">
        <v>10</v>
      </c>
      <c r="H664" s="2628">
        <v>8</v>
      </c>
      <c r="I664" s="2628" t="s">
        <v>1551</v>
      </c>
      <c r="J664" s="2628" t="s">
        <v>1498</v>
      </c>
      <c r="K664" s="2878" t="s">
        <v>7269</v>
      </c>
      <c r="L664" s="2628" t="str">
        <f t="shared" si="95"/>
        <v>Distinta</v>
      </c>
      <c r="M664" s="2634">
        <v>18</v>
      </c>
      <c r="N664" s="2634">
        <v>6</v>
      </c>
      <c r="O664" s="2634">
        <v>30</v>
      </c>
      <c r="P664" s="2628"/>
      <c r="Q664" s="2628"/>
      <c r="R664" s="2628" t="s">
        <v>1456</v>
      </c>
      <c r="S664" s="2628" t="s">
        <v>1456</v>
      </c>
      <c r="T664" s="2628" t="s">
        <v>1456</v>
      </c>
      <c r="U664" s="2628"/>
      <c r="V664" s="2878" t="s">
        <v>2130</v>
      </c>
      <c r="W664" s="2878"/>
      <c r="X664" s="2879" t="str">
        <f t="shared" si="97"/>
        <v>Grande</v>
      </c>
      <c r="Y664" s="2618">
        <f t="shared" si="96"/>
        <v>0</v>
      </c>
      <c r="Z664" s="1265" t="str">
        <f t="shared" si="94"/>
        <v/>
      </c>
      <c r="AB664" s="853" t="s">
        <v>2133</v>
      </c>
      <c r="AC664" s="2621" t="s">
        <v>2161</v>
      </c>
      <c r="AD664" s="2420" t="str">
        <f t="shared" ca="1" si="98"/>
        <v/>
      </c>
      <c r="AE664" s="1265"/>
      <c r="AG664" s="853" t="str">
        <f t="shared" si="75"/>
        <v/>
      </c>
      <c r="AH664" s="78" t="str">
        <f t="shared" si="76"/>
        <v/>
      </c>
      <c r="AI664" s="78" t="str">
        <f t="shared" si="77"/>
        <v>Estoque</v>
      </c>
      <c r="AJ664" s="1256">
        <f>IF(OR($L664=AJ$635,$L664="",$D664=$AL$634),MAX(AJ$637:AJ663)+1,0)</f>
        <v>0</v>
      </c>
      <c r="AK664" s="1257">
        <f>IF(OR($L664=AK$635,$L664="",$D664=$AL$634),MAX(AK$637:AK663)+1,0)</f>
        <v>0</v>
      </c>
      <c r="AL664" s="1258">
        <f>IF(OR($L664=AL$635,$L664="",$D664=$AL$634),MAX(AL$637:AL663)+1,0)</f>
        <v>21</v>
      </c>
      <c r="AM664" s="6225"/>
      <c r="AN664" s="853" t="str">
        <f t="shared" si="78"/>
        <v/>
      </c>
      <c r="AO664" s="78" t="str">
        <f t="shared" si="79"/>
        <v/>
      </c>
      <c r="AP664" s="78" t="str">
        <f t="shared" si="80"/>
        <v>Estoque</v>
      </c>
      <c r="AQ664" s="1256">
        <f>IF(OR($L664=AQ$635,$L664="",$D664=$AS$634),MAX(AQ$637:AQ663)+1,0)</f>
        <v>0</v>
      </c>
      <c r="AR664" s="1257">
        <f>IF(OR($L664=AR$635,$L664="",$D664=$AS$634),MAX(AR$637:AR663)+1,0)</f>
        <v>0</v>
      </c>
      <c r="AS664" s="1258">
        <f>IF(OR($L664=AS$635,$L664="",$D664=$AS$634),MAX(AS$637:AS663)+1,0)</f>
        <v>21</v>
      </c>
      <c r="AT664" s="6225"/>
      <c r="AU664" s="853" t="str">
        <f t="shared" si="81"/>
        <v/>
      </c>
      <c r="AV664" s="78" t="str">
        <f t="shared" si="82"/>
        <v/>
      </c>
      <c r="AW664" s="78" t="str">
        <f t="shared" si="83"/>
        <v>Estoque</v>
      </c>
      <c r="AX664" s="1256">
        <f>IF(OR($L664=AX$635,$L664="",$D664=$AZ$634),MAX(AX$637:AX663)+1,0)</f>
        <v>0</v>
      </c>
      <c r="AY664" s="1257">
        <f>IF(OR($L664=AY$635,$L664="",$D664=$AZ$634),MAX(AY$637:AY663)+1,0)</f>
        <v>0</v>
      </c>
      <c r="AZ664" s="1258">
        <f>IF(OR($L664=AZ$635,$L664="",$D664=$AZ$634),MAX(AZ$637:AZ663)+1,0)</f>
        <v>21</v>
      </c>
      <c r="BA664" s="6225"/>
      <c r="BB664" s="853" t="str">
        <f t="shared" si="84"/>
        <v/>
      </c>
      <c r="BC664" s="78" t="str">
        <f t="shared" si="85"/>
        <v/>
      </c>
      <c r="BD664" s="78" t="str">
        <f t="shared" si="86"/>
        <v>Estoque</v>
      </c>
      <c r="BE664" s="1256">
        <f>IF(OR($L664=BE$635,$L664="",$D664=$BG$634),MAX(BE$637:BE663)+1,0)</f>
        <v>0</v>
      </c>
      <c r="BF664" s="1257">
        <f>IF(OR($L664=BF$635,$L664="",$D664=$BG$634),MAX(BF$637:BF663)+1,0)</f>
        <v>0</v>
      </c>
      <c r="BG664" s="1258">
        <f>IF(OR($L664=BG$635,$L664="",$D664=$BG$634),MAX(BG$637:BG663)+1,0)</f>
        <v>21</v>
      </c>
      <c r="BH664" s="6225"/>
      <c r="BI664" s="853" t="str">
        <f t="shared" si="87"/>
        <v/>
      </c>
      <c r="BJ664" s="78" t="str">
        <f t="shared" si="88"/>
        <v/>
      </c>
      <c r="BK664" s="78" t="str">
        <f t="shared" si="89"/>
        <v>Estoque</v>
      </c>
      <c r="BL664" s="1256">
        <f>IF(OR($L664=BL$635,$L664="",$D664=$BN$634),MAX(BL$637:BL663)+1,0)</f>
        <v>0</v>
      </c>
      <c r="BM664" s="1257">
        <f>IF(OR($L664=BM$635,$L664="",$D664=$BN$634),MAX(BM$637:BM663)+1,0)</f>
        <v>0</v>
      </c>
      <c r="BN664" s="1258">
        <f>IF(OR($L664=BN$635,$L664="",$D664=$BN$634),MAX(BN$637:BN663)+1,0)</f>
        <v>21</v>
      </c>
      <c r="BO664" s="6225"/>
      <c r="BP664" s="853" t="str">
        <f t="shared" si="90"/>
        <v/>
      </c>
      <c r="BQ664" s="78" t="str">
        <f t="shared" si="91"/>
        <v/>
      </c>
      <c r="BR664" s="78" t="str">
        <f t="shared" si="92"/>
        <v>Estoque</v>
      </c>
      <c r="BS664" s="1256">
        <f>IF(OR($L664=BS$635,$L664="",$D664=$BU$634),MAX(BS$637:BS663)+1,0)</f>
        <v>0</v>
      </c>
      <c r="BT664" s="1257">
        <f>IF(OR($L664=BT$635,$L664="",$D664=$BU$634),MAX(BT$637:BT663)+1,0)</f>
        <v>0</v>
      </c>
      <c r="BU664" s="1258">
        <f>IF(OR($L664=BU$635,$L664="",$D664=$BU$634),MAX(BU$637:BU663)+1,0)</f>
        <v>21</v>
      </c>
    </row>
    <row r="665" spans="1:73" ht="12.75" customHeight="1" x14ac:dyDescent="0.2">
      <c r="A665" s="227">
        <v>665</v>
      </c>
      <c r="B665" s="5988"/>
      <c r="C665" s="1146"/>
      <c r="D665" s="2629" t="s">
        <v>2131</v>
      </c>
      <c r="E665" s="2633">
        <v>55</v>
      </c>
      <c r="F665" s="2628">
        <v>-5</v>
      </c>
      <c r="G665" s="2628">
        <v>5</v>
      </c>
      <c r="H665" s="2628">
        <v>5</v>
      </c>
      <c r="I665" s="2628" t="s">
        <v>1551</v>
      </c>
      <c r="J665" s="2628" t="s">
        <v>1456</v>
      </c>
      <c r="K665" s="2878" t="s">
        <v>7265</v>
      </c>
      <c r="L665" s="2628" t="str">
        <f t="shared" si="95"/>
        <v>Distinta</v>
      </c>
      <c r="M665" s="2634">
        <v>15</v>
      </c>
      <c r="N665" s="2634">
        <v>3</v>
      </c>
      <c r="O665" s="2634">
        <v>25</v>
      </c>
      <c r="P665" s="2628"/>
      <c r="Q665" s="2628"/>
      <c r="R665" s="2628" t="s">
        <v>1456</v>
      </c>
      <c r="S665" s="2628" t="s">
        <v>1456</v>
      </c>
      <c r="T665" s="2628" t="s">
        <v>1456</v>
      </c>
      <c r="U665" s="2628"/>
      <c r="V665" s="2878" t="s">
        <v>1456</v>
      </c>
      <c r="W665" s="2878"/>
      <c r="X665" s="2879" t="str">
        <f t="shared" si="97"/>
        <v>Mediana</v>
      </c>
      <c r="Y665" s="2618">
        <f t="shared" si="96"/>
        <v>0</v>
      </c>
      <c r="Z665" s="1265" t="str">
        <f t="shared" si="94"/>
        <v/>
      </c>
      <c r="AB665" s="853" t="s">
        <v>2135</v>
      </c>
      <c r="AC665" s="2859" t="s">
        <v>6996</v>
      </c>
      <c r="AD665" s="2420" t="str">
        <f t="shared" ca="1" si="98"/>
        <v/>
      </c>
      <c r="AE665" s="1265"/>
      <c r="AG665" s="853" t="str">
        <f t="shared" si="75"/>
        <v/>
      </c>
      <c r="AH665" s="78" t="str">
        <f t="shared" si="76"/>
        <v/>
      </c>
      <c r="AI665" s="78" t="str">
        <f t="shared" si="77"/>
        <v>Falcata</v>
      </c>
      <c r="AJ665" s="1256">
        <f>IF(OR($L665=AJ$635,$L665="",$D665=$AL$634),MAX(AJ$637:AJ664)+1,0)</f>
        <v>0</v>
      </c>
      <c r="AK665" s="1257">
        <f>IF(OR($L665=AK$635,$L665="",$D665=$AL$634),MAX(AK$637:AK664)+1,0)</f>
        <v>0</v>
      </c>
      <c r="AL665" s="1258">
        <f>IF(OR($L665=AL$635,$L665="",$D665=$AL$634),MAX(AL$637:AL664)+1,0)</f>
        <v>22</v>
      </c>
      <c r="AM665" s="6225"/>
      <c r="AN665" s="853" t="str">
        <f t="shared" si="78"/>
        <v/>
      </c>
      <c r="AO665" s="78" t="str">
        <f t="shared" si="79"/>
        <v/>
      </c>
      <c r="AP665" s="78" t="str">
        <f t="shared" si="80"/>
        <v>Falcata</v>
      </c>
      <c r="AQ665" s="1256">
        <f>IF(OR($L665=AQ$635,$L665="",$D665=$AS$634),MAX(AQ$637:AQ664)+1,0)</f>
        <v>0</v>
      </c>
      <c r="AR665" s="1257">
        <f>IF(OR($L665=AR$635,$L665="",$D665=$AS$634),MAX(AR$637:AR664)+1,0)</f>
        <v>0</v>
      </c>
      <c r="AS665" s="1258">
        <f>IF(OR($L665=AS$635,$L665="",$D665=$AS$634),MAX(AS$637:AS664)+1,0)</f>
        <v>22</v>
      </c>
      <c r="AT665" s="6225"/>
      <c r="AU665" s="853" t="str">
        <f t="shared" si="81"/>
        <v/>
      </c>
      <c r="AV665" s="78" t="str">
        <f t="shared" si="82"/>
        <v/>
      </c>
      <c r="AW665" s="78" t="str">
        <f t="shared" si="83"/>
        <v>Falcata</v>
      </c>
      <c r="AX665" s="1256">
        <f>IF(OR($L665=AX$635,$L665="",$D665=$AZ$634),MAX(AX$637:AX664)+1,0)</f>
        <v>0</v>
      </c>
      <c r="AY665" s="1257">
        <f>IF(OR($L665=AY$635,$L665="",$D665=$AZ$634),MAX(AY$637:AY664)+1,0)</f>
        <v>0</v>
      </c>
      <c r="AZ665" s="1258">
        <f>IF(OR($L665=AZ$635,$L665="",$D665=$AZ$634),MAX(AZ$637:AZ664)+1,0)</f>
        <v>22</v>
      </c>
      <c r="BA665" s="6225"/>
      <c r="BB665" s="853" t="str">
        <f t="shared" si="84"/>
        <v/>
      </c>
      <c r="BC665" s="78" t="str">
        <f t="shared" si="85"/>
        <v/>
      </c>
      <c r="BD665" s="78" t="str">
        <f t="shared" si="86"/>
        <v>Falcata</v>
      </c>
      <c r="BE665" s="1256">
        <f>IF(OR($L665=BE$635,$L665="",$D665=$BG$634),MAX(BE$637:BE664)+1,0)</f>
        <v>0</v>
      </c>
      <c r="BF665" s="1257">
        <f>IF(OR($L665=BF$635,$L665="",$D665=$BG$634),MAX(BF$637:BF664)+1,0)</f>
        <v>0</v>
      </c>
      <c r="BG665" s="1258">
        <f>IF(OR($L665=BG$635,$L665="",$D665=$BG$634),MAX(BG$637:BG664)+1,0)</f>
        <v>22</v>
      </c>
      <c r="BH665" s="6225"/>
      <c r="BI665" s="853" t="str">
        <f t="shared" si="87"/>
        <v/>
      </c>
      <c r="BJ665" s="78" t="str">
        <f t="shared" si="88"/>
        <v/>
      </c>
      <c r="BK665" s="78" t="str">
        <f t="shared" si="89"/>
        <v>Falcata</v>
      </c>
      <c r="BL665" s="1256">
        <f>IF(OR($L665=BL$635,$L665="",$D665=$BN$634),MAX(BL$637:BL664)+1,0)</f>
        <v>0</v>
      </c>
      <c r="BM665" s="1257">
        <f>IF(OR($L665=BM$635,$L665="",$D665=$BN$634),MAX(BM$637:BM664)+1,0)</f>
        <v>0</v>
      </c>
      <c r="BN665" s="1258">
        <f>IF(OR($L665=BN$635,$L665="",$D665=$BN$634),MAX(BN$637:BN664)+1,0)</f>
        <v>22</v>
      </c>
      <c r="BO665" s="6225"/>
      <c r="BP665" s="853" t="str">
        <f t="shared" si="90"/>
        <v/>
      </c>
      <c r="BQ665" s="78" t="str">
        <f t="shared" si="91"/>
        <v/>
      </c>
      <c r="BR665" s="78" t="str">
        <f t="shared" si="92"/>
        <v>Falcata</v>
      </c>
      <c r="BS665" s="1256">
        <f>IF(OR($L665=BS$635,$L665="",$D665=$BU$634),MAX(BS$637:BS664)+1,0)</f>
        <v>0</v>
      </c>
      <c r="BT665" s="1257">
        <f>IF(OR($L665=BT$635,$L665="",$D665=$BU$634),MAX(BT$637:BT664)+1,0)</f>
        <v>0</v>
      </c>
      <c r="BU665" s="1258">
        <f>IF(OR($L665=BU$635,$L665="",$D665=$BU$634),MAX(BU$637:BU664)+1,0)</f>
        <v>22</v>
      </c>
    </row>
    <row r="666" spans="1:73" ht="12.75" customHeight="1" x14ac:dyDescent="0.2">
      <c r="A666" s="227">
        <v>666</v>
      </c>
      <c r="B666" s="5988"/>
      <c r="C666" s="1146"/>
      <c r="D666" s="2629" t="s">
        <v>2132</v>
      </c>
      <c r="E666" s="2633">
        <v>70</v>
      </c>
      <c r="F666" s="2628">
        <v>-30</v>
      </c>
      <c r="G666" s="2628">
        <v>9</v>
      </c>
      <c r="H666" s="2628">
        <v>7</v>
      </c>
      <c r="I666" s="2628" t="s">
        <v>1551</v>
      </c>
      <c r="J666" s="2628" t="s">
        <v>1498</v>
      </c>
      <c r="K666" s="2878" t="s">
        <v>7270</v>
      </c>
      <c r="L666" s="2628" t="str">
        <f t="shared" si="95"/>
        <v>Distinta</v>
      </c>
      <c r="M666" s="2634">
        <v>15</v>
      </c>
      <c r="N666" s="2634">
        <v>5</v>
      </c>
      <c r="O666" s="2634">
        <v>25</v>
      </c>
      <c r="P666" s="2628"/>
      <c r="Q666" s="2628"/>
      <c r="R666" s="2628" t="s">
        <v>1456</v>
      </c>
      <c r="S666" s="2628" t="s">
        <v>1456</v>
      </c>
      <c r="T666" s="2628" t="s">
        <v>1456</v>
      </c>
      <c r="U666" s="2628"/>
      <c r="V666" s="2878" t="s">
        <v>2130</v>
      </c>
      <c r="W666" s="2878"/>
      <c r="X666" s="2879" t="str">
        <f t="shared" si="97"/>
        <v>Grande</v>
      </c>
      <c r="Y666" s="2618">
        <f t="shared" si="96"/>
        <v>0</v>
      </c>
      <c r="Z666" s="1265" t="str">
        <f t="shared" si="94"/>
        <v/>
      </c>
      <c r="AB666" s="853" t="s">
        <v>2136</v>
      </c>
      <c r="AC666" s="2859" t="s">
        <v>6997</v>
      </c>
      <c r="AD666" s="2420" t="str">
        <f t="shared" ca="1" si="98"/>
        <v/>
      </c>
      <c r="AE666" s="1265"/>
      <c r="AG666" s="853" t="str">
        <f t="shared" si="75"/>
        <v/>
      </c>
      <c r="AH666" s="78" t="str">
        <f t="shared" si="76"/>
        <v/>
      </c>
      <c r="AI666" s="78" t="str">
        <f t="shared" si="77"/>
        <v>Florete</v>
      </c>
      <c r="AJ666" s="1256">
        <f>IF(OR($L666=AJ$635,$L666="",$D666=$AL$634),MAX(AJ$637:AJ665)+1,0)</f>
        <v>0</v>
      </c>
      <c r="AK666" s="1257">
        <f>IF(OR($L666=AK$635,$L666="",$D666=$AL$634),MAX(AK$637:AK665)+1,0)</f>
        <v>0</v>
      </c>
      <c r="AL666" s="1258">
        <f>IF(OR($L666=AL$635,$L666="",$D666=$AL$634),MAX(AL$637:AL665)+1,0)</f>
        <v>23</v>
      </c>
      <c r="AM666" s="6225"/>
      <c r="AN666" s="853" t="str">
        <f t="shared" si="78"/>
        <v/>
      </c>
      <c r="AO666" s="78" t="str">
        <f t="shared" si="79"/>
        <v/>
      </c>
      <c r="AP666" s="78" t="str">
        <f t="shared" si="80"/>
        <v>Florete</v>
      </c>
      <c r="AQ666" s="1256">
        <f>IF(OR($L666=AQ$635,$L666="",$D666=$AS$634),MAX(AQ$637:AQ665)+1,0)</f>
        <v>0</v>
      </c>
      <c r="AR666" s="1257">
        <f>IF(OR($L666=AR$635,$L666="",$D666=$AS$634),MAX(AR$637:AR665)+1,0)</f>
        <v>0</v>
      </c>
      <c r="AS666" s="1258">
        <f>IF(OR($L666=AS$635,$L666="",$D666=$AS$634),MAX(AS$637:AS665)+1,0)</f>
        <v>23</v>
      </c>
      <c r="AT666" s="6225"/>
      <c r="AU666" s="853" t="str">
        <f t="shared" si="81"/>
        <v/>
      </c>
      <c r="AV666" s="78" t="str">
        <f t="shared" si="82"/>
        <v/>
      </c>
      <c r="AW666" s="78" t="str">
        <f t="shared" si="83"/>
        <v>Florete</v>
      </c>
      <c r="AX666" s="1256">
        <f>IF(OR($L666=AX$635,$L666="",$D666=$AZ$634),MAX(AX$637:AX665)+1,0)</f>
        <v>0</v>
      </c>
      <c r="AY666" s="1257">
        <f>IF(OR($L666=AY$635,$L666="",$D666=$AZ$634),MAX(AY$637:AY665)+1,0)</f>
        <v>0</v>
      </c>
      <c r="AZ666" s="1258">
        <f>IF(OR($L666=AZ$635,$L666="",$D666=$AZ$634),MAX(AZ$637:AZ665)+1,0)</f>
        <v>23</v>
      </c>
      <c r="BA666" s="6225"/>
      <c r="BB666" s="853" t="str">
        <f t="shared" si="84"/>
        <v/>
      </c>
      <c r="BC666" s="78" t="str">
        <f t="shared" si="85"/>
        <v/>
      </c>
      <c r="BD666" s="78" t="str">
        <f t="shared" si="86"/>
        <v>Florete</v>
      </c>
      <c r="BE666" s="1256">
        <f>IF(OR($L666=BE$635,$L666="",$D666=$BG$634),MAX(BE$637:BE665)+1,0)</f>
        <v>0</v>
      </c>
      <c r="BF666" s="1257">
        <f>IF(OR($L666=BF$635,$L666="",$D666=$BG$634),MAX(BF$637:BF665)+1,0)</f>
        <v>0</v>
      </c>
      <c r="BG666" s="1258">
        <f>IF(OR($L666=BG$635,$L666="",$D666=$BG$634),MAX(BG$637:BG665)+1,0)</f>
        <v>23</v>
      </c>
      <c r="BH666" s="6225"/>
      <c r="BI666" s="853" t="str">
        <f t="shared" si="87"/>
        <v/>
      </c>
      <c r="BJ666" s="78" t="str">
        <f t="shared" si="88"/>
        <v/>
      </c>
      <c r="BK666" s="78" t="str">
        <f t="shared" si="89"/>
        <v>Florete</v>
      </c>
      <c r="BL666" s="1256">
        <f>IF(OR($L666=BL$635,$L666="",$D666=$BN$634),MAX(BL$637:BL665)+1,0)</f>
        <v>0</v>
      </c>
      <c r="BM666" s="1257">
        <f>IF(OR($L666=BM$635,$L666="",$D666=$BN$634),MAX(BM$637:BM665)+1,0)</f>
        <v>0</v>
      </c>
      <c r="BN666" s="1258">
        <f>IF(OR($L666=BN$635,$L666="",$D666=$BN$634),MAX(BN$637:BN665)+1,0)</f>
        <v>23</v>
      </c>
      <c r="BO666" s="6225"/>
      <c r="BP666" s="853" t="str">
        <f t="shared" si="90"/>
        <v/>
      </c>
      <c r="BQ666" s="78" t="str">
        <f t="shared" si="91"/>
        <v/>
      </c>
      <c r="BR666" s="78" t="str">
        <f t="shared" si="92"/>
        <v>Florete</v>
      </c>
      <c r="BS666" s="1256">
        <f>IF(OR($L666=BS$635,$L666="",$D666=$BU$634),MAX(BS$637:BS665)+1,0)</f>
        <v>0</v>
      </c>
      <c r="BT666" s="1257">
        <f>IF(OR($L666=BT$635,$L666="",$D666=$BU$634),MAX(BT$637:BT665)+1,0)</f>
        <v>0</v>
      </c>
      <c r="BU666" s="1258">
        <f>IF(OR($L666=BU$635,$L666="",$D666=$BU$634),MAX(BU$637:BU665)+1,0)</f>
        <v>23</v>
      </c>
    </row>
    <row r="667" spans="1:73" ht="12.75" customHeight="1" x14ac:dyDescent="0.2">
      <c r="A667" s="227">
        <v>667</v>
      </c>
      <c r="B667" s="5988"/>
      <c r="C667" s="1146"/>
      <c r="D667" s="2629" t="s">
        <v>2133</v>
      </c>
      <c r="E667" s="2633">
        <v>40</v>
      </c>
      <c r="F667" s="2628">
        <v>15</v>
      </c>
      <c r="G667" s="2628">
        <v>4</v>
      </c>
      <c r="H667" s="2628">
        <v>4</v>
      </c>
      <c r="I667" s="2628" t="s">
        <v>1552</v>
      </c>
      <c r="J667" s="2628" t="s">
        <v>1551</v>
      </c>
      <c r="K667" s="2878" t="s">
        <v>7267</v>
      </c>
      <c r="L667" s="2628" t="str">
        <f t="shared" si="95"/>
        <v>Distinta</v>
      </c>
      <c r="M667" s="2634">
        <v>12</v>
      </c>
      <c r="N667" s="2634">
        <v>1</v>
      </c>
      <c r="O667" s="2634">
        <v>20</v>
      </c>
      <c r="P667" s="2628"/>
      <c r="Q667" s="2628"/>
      <c r="R667" s="2628" t="s">
        <v>1456</v>
      </c>
      <c r="S667" s="2628" t="s">
        <v>1456</v>
      </c>
      <c r="T667" s="2628" t="s">
        <v>1456</v>
      </c>
      <c r="U667" s="2628"/>
      <c r="V667" s="2878" t="s">
        <v>2134</v>
      </c>
      <c r="W667" s="2878"/>
      <c r="X667" s="2879" t="str">
        <f t="shared" si="97"/>
        <v>Pequeña</v>
      </c>
      <c r="Y667" s="2618">
        <f t="shared" si="96"/>
        <v>0</v>
      </c>
      <c r="Z667" s="1265" t="str">
        <f t="shared" si="94"/>
        <v/>
      </c>
      <c r="AB667" s="853" t="s">
        <v>2137</v>
      </c>
      <c r="AC667" s="2859" t="s">
        <v>6998</v>
      </c>
      <c r="AD667" s="2420"/>
      <c r="AE667" s="1259"/>
      <c r="AG667" s="853" t="str">
        <f t="shared" si="75"/>
        <v/>
      </c>
      <c r="AH667" s="78" t="str">
        <f t="shared" si="76"/>
        <v/>
      </c>
      <c r="AI667" s="78" t="str">
        <f t="shared" si="77"/>
        <v>Garfio</v>
      </c>
      <c r="AJ667" s="1256">
        <f>IF(OR($L667=AJ$635,$L667="",$D667=$AL$634),MAX(AJ$637:AJ666)+1,0)</f>
        <v>0</v>
      </c>
      <c r="AK667" s="1257">
        <f>IF(OR($L667=AK$635,$L667="",$D667=$AL$634),MAX(AK$637:AK666)+1,0)</f>
        <v>0</v>
      </c>
      <c r="AL667" s="1258">
        <f>IF(OR($L667=AL$635,$L667="",$D667=$AL$634),MAX(AL$637:AL666)+1,0)</f>
        <v>24</v>
      </c>
      <c r="AM667" s="6225"/>
      <c r="AN667" s="853" t="str">
        <f t="shared" si="78"/>
        <v/>
      </c>
      <c r="AO667" s="78" t="str">
        <f t="shared" si="79"/>
        <v/>
      </c>
      <c r="AP667" s="78" t="str">
        <f t="shared" si="80"/>
        <v>Garfio</v>
      </c>
      <c r="AQ667" s="1256">
        <f>IF(OR($L667=AQ$635,$L667="",$D667=$AS$634),MAX(AQ$637:AQ666)+1,0)</f>
        <v>0</v>
      </c>
      <c r="AR667" s="1257">
        <f>IF(OR($L667=AR$635,$L667="",$D667=$AS$634),MAX(AR$637:AR666)+1,0)</f>
        <v>0</v>
      </c>
      <c r="AS667" s="1258">
        <f>IF(OR($L667=AS$635,$L667="",$D667=$AS$634),MAX(AS$637:AS666)+1,0)</f>
        <v>24</v>
      </c>
      <c r="AT667" s="6225"/>
      <c r="AU667" s="853" t="str">
        <f t="shared" si="81"/>
        <v/>
      </c>
      <c r="AV667" s="78" t="str">
        <f t="shared" si="82"/>
        <v/>
      </c>
      <c r="AW667" s="78" t="str">
        <f t="shared" si="83"/>
        <v>Garfio</v>
      </c>
      <c r="AX667" s="1256">
        <f>IF(OR($L667=AX$635,$L667="",$D667=$AZ$634),MAX(AX$637:AX666)+1,0)</f>
        <v>0</v>
      </c>
      <c r="AY667" s="1257">
        <f>IF(OR($L667=AY$635,$L667="",$D667=$AZ$634),MAX(AY$637:AY666)+1,0)</f>
        <v>0</v>
      </c>
      <c r="AZ667" s="1258">
        <f>IF(OR($L667=AZ$635,$L667="",$D667=$AZ$634),MAX(AZ$637:AZ666)+1,0)</f>
        <v>24</v>
      </c>
      <c r="BA667" s="6225"/>
      <c r="BB667" s="853" t="str">
        <f t="shared" si="84"/>
        <v/>
      </c>
      <c r="BC667" s="78" t="str">
        <f t="shared" si="85"/>
        <v/>
      </c>
      <c r="BD667" s="78" t="str">
        <f t="shared" si="86"/>
        <v>Garfio</v>
      </c>
      <c r="BE667" s="1256">
        <f>IF(OR($L667=BE$635,$L667="",$D667=$BG$634),MAX(BE$637:BE666)+1,0)</f>
        <v>0</v>
      </c>
      <c r="BF667" s="1257">
        <f>IF(OR($L667=BF$635,$L667="",$D667=$BG$634),MAX(BF$637:BF666)+1,0)</f>
        <v>0</v>
      </c>
      <c r="BG667" s="1258">
        <f>IF(OR($L667=BG$635,$L667="",$D667=$BG$634),MAX(BG$637:BG666)+1,0)</f>
        <v>24</v>
      </c>
      <c r="BH667" s="6225"/>
      <c r="BI667" s="853" t="str">
        <f t="shared" si="87"/>
        <v/>
      </c>
      <c r="BJ667" s="78" t="str">
        <f t="shared" si="88"/>
        <v/>
      </c>
      <c r="BK667" s="78" t="str">
        <f t="shared" si="89"/>
        <v>Garfio</v>
      </c>
      <c r="BL667" s="1256">
        <f>IF(OR($L667=BL$635,$L667="",$D667=$BN$634),MAX(BL$637:BL666)+1,0)</f>
        <v>0</v>
      </c>
      <c r="BM667" s="1257">
        <f>IF(OR($L667=BM$635,$L667="",$D667=$BN$634),MAX(BM$637:BM666)+1,0)</f>
        <v>0</v>
      </c>
      <c r="BN667" s="1258">
        <f>IF(OR($L667=BN$635,$L667="",$D667=$BN$634),MAX(BN$637:BN666)+1,0)</f>
        <v>24</v>
      </c>
      <c r="BO667" s="6225"/>
      <c r="BP667" s="853" t="str">
        <f t="shared" si="90"/>
        <v/>
      </c>
      <c r="BQ667" s="78" t="str">
        <f t="shared" si="91"/>
        <v/>
      </c>
      <c r="BR667" s="78" t="str">
        <f t="shared" si="92"/>
        <v>Garfio</v>
      </c>
      <c r="BS667" s="1256">
        <f>IF(OR($L667=BS$635,$L667="",$D667=$BU$634),MAX(BS$637:BS666)+1,0)</f>
        <v>0</v>
      </c>
      <c r="BT667" s="1257">
        <f>IF(OR($L667=BT$635,$L667="",$D667=$BU$634),MAX(BT$637:BT666)+1,0)</f>
        <v>0</v>
      </c>
      <c r="BU667" s="1258">
        <f>IF(OR($L667=BU$635,$L667="",$D667=$BU$634),MAX(BU$637:BU666)+1,0)</f>
        <v>24</v>
      </c>
    </row>
    <row r="668" spans="1:73" ht="12.75" customHeight="1" x14ac:dyDescent="0.2">
      <c r="A668" s="227">
        <v>668</v>
      </c>
      <c r="B668" s="5988"/>
      <c r="C668" s="1146"/>
      <c r="D668" s="2629" t="s">
        <v>2135</v>
      </c>
      <c r="E668" s="2633">
        <v>50</v>
      </c>
      <c r="F668" s="2628">
        <v>0</v>
      </c>
      <c r="G668" s="2628">
        <v>6</v>
      </c>
      <c r="H668" s="2628">
        <v>6</v>
      </c>
      <c r="I668" s="2628" t="s">
        <v>1551</v>
      </c>
      <c r="J668" s="2628" t="s">
        <v>1456</v>
      </c>
      <c r="K668" s="2878" t="s">
        <v>7265</v>
      </c>
      <c r="L668" s="2628" t="str">
        <f t="shared" si="95"/>
        <v>Distinta</v>
      </c>
      <c r="M668" s="2634">
        <v>13</v>
      </c>
      <c r="N668" s="2634">
        <v>3</v>
      </c>
      <c r="O668" s="2634">
        <v>25</v>
      </c>
      <c r="P668" s="2628"/>
      <c r="Q668" s="2628"/>
      <c r="R668" s="2628" t="s">
        <v>1456</v>
      </c>
      <c r="S668" s="2628" t="s">
        <v>1456</v>
      </c>
      <c r="T668" s="2628" t="s">
        <v>1456</v>
      </c>
      <c r="U668" s="2628"/>
      <c r="V668" s="2878" t="s">
        <v>1456</v>
      </c>
      <c r="W668" s="2878"/>
      <c r="X668" s="2879" t="str">
        <f t="shared" si="97"/>
        <v>Mediana</v>
      </c>
      <c r="Y668" s="2618">
        <f t="shared" si="96"/>
        <v>0</v>
      </c>
      <c r="Z668" s="1265" t="str">
        <f t="shared" si="94"/>
        <v/>
      </c>
      <c r="AB668" s="853" t="s">
        <v>7000</v>
      </c>
      <c r="AC668" s="2859" t="s">
        <v>2164</v>
      </c>
      <c r="AD668" s="2420"/>
      <c r="AE668" s="1259"/>
      <c r="AG668" s="853" t="str">
        <f t="shared" si="75"/>
        <v/>
      </c>
      <c r="AH668" s="78" t="str">
        <f t="shared" si="76"/>
        <v/>
      </c>
      <c r="AI668" s="78" t="str">
        <f t="shared" si="77"/>
        <v>Garrote</v>
      </c>
      <c r="AJ668" s="1256">
        <f>IF(OR($L668=AJ$635,$L668="",$D668=$AL$634),MAX(AJ$637:AJ667)+1,0)</f>
        <v>0</v>
      </c>
      <c r="AK668" s="1257">
        <f>IF(OR($L668=AK$635,$L668="",$D668=$AL$634),MAX(AK$637:AK667)+1,0)</f>
        <v>0</v>
      </c>
      <c r="AL668" s="1258">
        <f>IF(OR($L668=AL$635,$L668="",$D668=$AL$634),MAX(AL$637:AL667)+1,0)</f>
        <v>25</v>
      </c>
      <c r="AM668" s="6225"/>
      <c r="AN668" s="853" t="str">
        <f t="shared" si="78"/>
        <v/>
      </c>
      <c r="AO668" s="78" t="str">
        <f t="shared" si="79"/>
        <v/>
      </c>
      <c r="AP668" s="78" t="str">
        <f t="shared" si="80"/>
        <v>Garrote</v>
      </c>
      <c r="AQ668" s="1256">
        <f>IF(OR($L668=AQ$635,$L668="",$D668=$AS$634),MAX(AQ$637:AQ667)+1,0)</f>
        <v>0</v>
      </c>
      <c r="AR668" s="1257">
        <f>IF(OR($L668=AR$635,$L668="",$D668=$AS$634),MAX(AR$637:AR667)+1,0)</f>
        <v>0</v>
      </c>
      <c r="AS668" s="1258">
        <f>IF(OR($L668=AS$635,$L668="",$D668=$AS$634),MAX(AS$637:AS667)+1,0)</f>
        <v>25</v>
      </c>
      <c r="AT668" s="6225"/>
      <c r="AU668" s="853" t="str">
        <f t="shared" si="81"/>
        <v/>
      </c>
      <c r="AV668" s="78" t="str">
        <f t="shared" si="82"/>
        <v/>
      </c>
      <c r="AW668" s="78" t="str">
        <f t="shared" si="83"/>
        <v>Garrote</v>
      </c>
      <c r="AX668" s="1256">
        <f>IF(OR($L668=AX$635,$L668="",$D668=$AZ$634),MAX(AX$637:AX667)+1,0)</f>
        <v>0</v>
      </c>
      <c r="AY668" s="1257">
        <f>IF(OR($L668=AY$635,$L668="",$D668=$AZ$634),MAX(AY$637:AY667)+1,0)</f>
        <v>0</v>
      </c>
      <c r="AZ668" s="1258">
        <f>IF(OR($L668=AZ$635,$L668="",$D668=$AZ$634),MAX(AZ$637:AZ667)+1,0)</f>
        <v>25</v>
      </c>
      <c r="BA668" s="6225"/>
      <c r="BB668" s="853" t="str">
        <f t="shared" si="84"/>
        <v/>
      </c>
      <c r="BC668" s="78" t="str">
        <f t="shared" si="85"/>
        <v/>
      </c>
      <c r="BD668" s="78" t="str">
        <f t="shared" si="86"/>
        <v>Garrote</v>
      </c>
      <c r="BE668" s="1256">
        <f>IF(OR($L668=BE$635,$L668="",$D668=$BG$634),MAX(BE$637:BE667)+1,0)</f>
        <v>0</v>
      </c>
      <c r="BF668" s="1257">
        <f>IF(OR($L668=BF$635,$L668="",$D668=$BG$634),MAX(BF$637:BF667)+1,0)</f>
        <v>0</v>
      </c>
      <c r="BG668" s="1258">
        <f>IF(OR($L668=BG$635,$L668="",$D668=$BG$634),MAX(BG$637:BG667)+1,0)</f>
        <v>25</v>
      </c>
      <c r="BH668" s="6225"/>
      <c r="BI668" s="853" t="str">
        <f t="shared" si="87"/>
        <v/>
      </c>
      <c r="BJ668" s="78" t="str">
        <f t="shared" si="88"/>
        <v/>
      </c>
      <c r="BK668" s="78" t="str">
        <f t="shared" si="89"/>
        <v>Garrote</v>
      </c>
      <c r="BL668" s="1256">
        <f>IF(OR($L668=BL$635,$L668="",$D668=$BN$634),MAX(BL$637:BL667)+1,0)</f>
        <v>0</v>
      </c>
      <c r="BM668" s="1257">
        <f>IF(OR($L668=BM$635,$L668="",$D668=$BN$634),MAX(BM$637:BM667)+1,0)</f>
        <v>0</v>
      </c>
      <c r="BN668" s="1258">
        <f>IF(OR($L668=BN$635,$L668="",$D668=$BN$634),MAX(BN$637:BN667)+1,0)</f>
        <v>25</v>
      </c>
      <c r="BO668" s="6225"/>
      <c r="BP668" s="853" t="str">
        <f t="shared" si="90"/>
        <v/>
      </c>
      <c r="BQ668" s="78" t="str">
        <f t="shared" si="91"/>
        <v/>
      </c>
      <c r="BR668" s="78" t="str">
        <f t="shared" si="92"/>
        <v>Garrote</v>
      </c>
      <c r="BS668" s="1256">
        <f>IF(OR($L668=BS$635,$L668="",$D668=$BU$634),MAX(BS$637:BS667)+1,0)</f>
        <v>0</v>
      </c>
      <c r="BT668" s="1257">
        <f>IF(OR($L668=BT$635,$L668="",$D668=$BU$634),MAX(BT$637:BT667)+1,0)</f>
        <v>0</v>
      </c>
      <c r="BU668" s="1258">
        <f>IF(OR($L668=BU$635,$L668="",$D668=$BU$634),MAX(BU$637:BU667)+1,0)</f>
        <v>25</v>
      </c>
    </row>
    <row r="669" spans="1:73" ht="12.75" customHeight="1" x14ac:dyDescent="0.2">
      <c r="A669" s="227">
        <v>669</v>
      </c>
      <c r="B669" s="5988"/>
      <c r="C669" s="1146"/>
      <c r="D669" s="2629" t="s">
        <v>2136</v>
      </c>
      <c r="E669" s="2633">
        <v>25</v>
      </c>
      <c r="F669" s="2628">
        <v>20</v>
      </c>
      <c r="G669" s="2628">
        <v>3</v>
      </c>
      <c r="H669" s="2628">
        <v>3</v>
      </c>
      <c r="I669" s="2628" t="s">
        <v>1552</v>
      </c>
      <c r="J669" s="2628" t="s">
        <v>1456</v>
      </c>
      <c r="K669" s="2878" t="s">
        <v>7267</v>
      </c>
      <c r="L669" s="2628" t="str">
        <f t="shared" si="95"/>
        <v>Distinta</v>
      </c>
      <c r="M669" s="2634">
        <v>8</v>
      </c>
      <c r="N669" s="2634">
        <v>-3</v>
      </c>
      <c r="O669" s="2634">
        <v>15</v>
      </c>
      <c r="P669" s="2628"/>
      <c r="Q669" s="2628"/>
      <c r="R669" s="2634">
        <v>30</v>
      </c>
      <c r="S669" s="2628" t="s">
        <v>1456</v>
      </c>
      <c r="T669" s="2628">
        <v>30</v>
      </c>
      <c r="U669" s="2628"/>
      <c r="V669" s="2878" t="s">
        <v>8571</v>
      </c>
      <c r="W669" s="2878"/>
      <c r="X669" s="2879" t="str">
        <f t="shared" si="97"/>
        <v>Pequeña</v>
      </c>
      <c r="Y669" s="2618">
        <f t="shared" si="96"/>
        <v>0</v>
      </c>
      <c r="Z669" s="1265" t="str">
        <f t="shared" si="94"/>
        <v/>
      </c>
      <c r="AB669" s="853" t="s">
        <v>2138</v>
      </c>
      <c r="AC669" s="2859" t="s">
        <v>6999</v>
      </c>
      <c r="AD669" s="2420"/>
      <c r="AE669" s="1259"/>
      <c r="AG669" s="853" t="str">
        <f t="shared" si="75"/>
        <v/>
      </c>
      <c r="AH669" s="78" t="str">
        <f t="shared" si="76"/>
        <v/>
      </c>
      <c r="AI669" s="78" t="str">
        <f t="shared" si="77"/>
        <v>Grosse Messer</v>
      </c>
      <c r="AJ669" s="1256">
        <f>IF(OR($L669=AJ$635,$L669="",$D669=$AL$634),MAX(AJ$637:AJ668)+1,0)</f>
        <v>0</v>
      </c>
      <c r="AK669" s="1257">
        <f>IF(OR($L669=AK$635,$L669="",$D669=$AL$634),MAX(AK$637:AK668)+1,0)</f>
        <v>0</v>
      </c>
      <c r="AL669" s="1258">
        <f>IF(OR($L669=AL$635,$L669="",$D669=$AL$634),MAX(AL$637:AL668)+1,0)</f>
        <v>26</v>
      </c>
      <c r="AM669" s="6225"/>
      <c r="AN669" s="853" t="str">
        <f t="shared" si="78"/>
        <v/>
      </c>
      <c r="AO669" s="78" t="str">
        <f t="shared" si="79"/>
        <v/>
      </c>
      <c r="AP669" s="78" t="str">
        <f t="shared" si="80"/>
        <v>Grosse Messer</v>
      </c>
      <c r="AQ669" s="1256">
        <f>IF(OR($L669=AQ$635,$L669="",$D669=$AS$634),MAX(AQ$637:AQ668)+1,0)</f>
        <v>0</v>
      </c>
      <c r="AR669" s="1257">
        <f>IF(OR($L669=AR$635,$L669="",$D669=$AS$634),MAX(AR$637:AR668)+1,0)</f>
        <v>0</v>
      </c>
      <c r="AS669" s="1258">
        <f>IF(OR($L669=AS$635,$L669="",$D669=$AS$634),MAX(AS$637:AS668)+1,0)</f>
        <v>26</v>
      </c>
      <c r="AT669" s="6225"/>
      <c r="AU669" s="853" t="str">
        <f t="shared" si="81"/>
        <v/>
      </c>
      <c r="AV669" s="78" t="str">
        <f t="shared" si="82"/>
        <v/>
      </c>
      <c r="AW669" s="78" t="str">
        <f t="shared" si="83"/>
        <v>Grosse Messer</v>
      </c>
      <c r="AX669" s="1256">
        <f>IF(OR($L669=AX$635,$L669="",$D669=$AZ$634),MAX(AX$637:AX668)+1,0)</f>
        <v>0</v>
      </c>
      <c r="AY669" s="1257">
        <f>IF(OR($L669=AY$635,$L669="",$D669=$AZ$634),MAX(AY$637:AY668)+1,0)</f>
        <v>0</v>
      </c>
      <c r="AZ669" s="1258">
        <f>IF(OR($L669=AZ$635,$L669="",$D669=$AZ$634),MAX(AZ$637:AZ668)+1,0)</f>
        <v>26</v>
      </c>
      <c r="BA669" s="6225"/>
      <c r="BB669" s="853" t="str">
        <f t="shared" si="84"/>
        <v/>
      </c>
      <c r="BC669" s="78" t="str">
        <f t="shared" si="85"/>
        <v/>
      </c>
      <c r="BD669" s="78" t="str">
        <f t="shared" si="86"/>
        <v>Grosse Messer</v>
      </c>
      <c r="BE669" s="1256">
        <f>IF(OR($L669=BE$635,$L669="",$D669=$BG$634),MAX(BE$637:BE668)+1,0)</f>
        <v>0</v>
      </c>
      <c r="BF669" s="1257">
        <f>IF(OR($L669=BF$635,$L669="",$D669=$BG$634),MAX(BF$637:BF668)+1,0)</f>
        <v>0</v>
      </c>
      <c r="BG669" s="1258">
        <f>IF(OR($L669=BG$635,$L669="",$D669=$BG$634),MAX(BG$637:BG668)+1,0)</f>
        <v>26</v>
      </c>
      <c r="BH669" s="6225"/>
      <c r="BI669" s="853" t="str">
        <f t="shared" si="87"/>
        <v/>
      </c>
      <c r="BJ669" s="78" t="str">
        <f t="shared" si="88"/>
        <v/>
      </c>
      <c r="BK669" s="78" t="str">
        <f t="shared" si="89"/>
        <v>Grosse Messer</v>
      </c>
      <c r="BL669" s="1256">
        <f>IF(OR($L669=BL$635,$L669="",$D669=$BN$634),MAX(BL$637:BL668)+1,0)</f>
        <v>0</v>
      </c>
      <c r="BM669" s="1257">
        <f>IF(OR($L669=BM$635,$L669="",$D669=$BN$634),MAX(BM$637:BM668)+1,0)</f>
        <v>0</v>
      </c>
      <c r="BN669" s="1258">
        <f>IF(OR($L669=BN$635,$L669="",$D669=$BN$634),MAX(BN$637:BN668)+1,0)</f>
        <v>26</v>
      </c>
      <c r="BO669" s="6225"/>
      <c r="BP669" s="853" t="str">
        <f t="shared" si="90"/>
        <v/>
      </c>
      <c r="BQ669" s="78" t="str">
        <f t="shared" si="91"/>
        <v/>
      </c>
      <c r="BR669" s="78" t="str">
        <f t="shared" si="92"/>
        <v>Grosse Messer</v>
      </c>
      <c r="BS669" s="1256">
        <f>IF(OR($L669=BS$635,$L669="",$D669=$BU$634),MAX(BS$637:BS668)+1,0)</f>
        <v>0</v>
      </c>
      <c r="BT669" s="1257">
        <f>IF(OR($L669=BT$635,$L669="",$D669=$BU$634),MAX(BT$637:BT668)+1,0)</f>
        <v>0</v>
      </c>
      <c r="BU669" s="1258">
        <f>IF(OR($L669=BU$635,$L669="",$D669=$BU$634),MAX(BU$637:BU668)+1,0)</f>
        <v>26</v>
      </c>
    </row>
    <row r="670" spans="1:73" ht="12.75" customHeight="1" x14ac:dyDescent="0.2">
      <c r="A670" s="227">
        <v>670</v>
      </c>
      <c r="B670" s="5988"/>
      <c r="C670" s="1146"/>
      <c r="D670" s="2629" t="s">
        <v>2137</v>
      </c>
      <c r="E670" s="2633">
        <v>40</v>
      </c>
      <c r="F670" s="2628">
        <v>15</v>
      </c>
      <c r="G670" s="2628">
        <v>4</v>
      </c>
      <c r="H670" s="2628">
        <v>4</v>
      </c>
      <c r="I670" s="2628" t="s">
        <v>1552</v>
      </c>
      <c r="J670" s="2628" t="s">
        <v>1551</v>
      </c>
      <c r="K670" s="2878" t="s">
        <v>7265</v>
      </c>
      <c r="L670" s="2628" t="str">
        <f t="shared" si="95"/>
        <v>Distinta</v>
      </c>
      <c r="M670" s="2634">
        <v>11</v>
      </c>
      <c r="N670" s="2634">
        <v>2</v>
      </c>
      <c r="O670" s="2634">
        <v>20</v>
      </c>
      <c r="P670" s="2628"/>
      <c r="Q670" s="2628"/>
      <c r="R670" s="2628" t="s">
        <v>1456</v>
      </c>
      <c r="S670" s="2628" t="s">
        <v>1456</v>
      </c>
      <c r="T670" s="2628" t="s">
        <v>1456</v>
      </c>
      <c r="U670" s="2628"/>
      <c r="V670" s="2878" t="s">
        <v>2134</v>
      </c>
      <c r="W670" s="2878"/>
      <c r="X670" s="2879" t="str">
        <f t="shared" si="97"/>
        <v>Mediana</v>
      </c>
      <c r="Y670" s="2618">
        <f t="shared" si="96"/>
        <v>0</v>
      </c>
      <c r="Z670" s="1265" t="str">
        <f t="shared" ref="Z670:Z701" si="99">IF(AND(K670&lt;&gt;"Natural/-",ISNUMBER(SEARCH(D670&amp;",",Armas_Conocidas))),", "&amp;K670,"")</f>
        <v/>
      </c>
      <c r="AB670" s="853" t="s">
        <v>2139</v>
      </c>
      <c r="AC670" s="2859" t="s">
        <v>2166</v>
      </c>
      <c r="AD670" s="2909"/>
      <c r="AE670" s="1259"/>
      <c r="AG670" s="853" t="str">
        <f t="shared" ref="AG670:AG701" si="100">IF(ISNA(INDEX(Lista_Armas,MATCH($A33,AJ$638:AJ$774,0))),"",INDEX(Lista_Armas,MATCH($A33,AJ$638:AJ$774,0)))</f>
        <v/>
      </c>
      <c r="AH670" s="78" t="str">
        <f t="shared" ref="AH670:AH701" si="101">IF(ISNA(INDEX(Lista_Armas,MATCH($A33,AK$638:AK$774,0))),"",INDEX(Lista_Armas,MATCH($A33,AK$638:AK$774,0)))</f>
        <v/>
      </c>
      <c r="AI670" s="78" t="str">
        <f t="shared" ref="AI670:AI701" si="102">IF(ISNA(INDEX(Lista_Armas,MATCH($A33,AL$638:AL$774,0))),"",INDEX(Lista_Armas,MATCH($A33,AL$638:AL$774,0)))</f>
        <v>Gran martillo guerra</v>
      </c>
      <c r="AJ670" s="1256">
        <f>IF(OR($L670=AJ$635,$L670="",$D670=$AL$634),MAX(AJ$637:AJ669)+1,0)</f>
        <v>0</v>
      </c>
      <c r="AK670" s="1257">
        <f>IF(OR($L670=AK$635,$L670="",$D670=$AL$634),MAX(AK$637:AK669)+1,0)</f>
        <v>0</v>
      </c>
      <c r="AL670" s="1258">
        <f>IF(OR($L670=AL$635,$L670="",$D670=$AL$634),MAX(AL$637:AL669)+1,0)</f>
        <v>27</v>
      </c>
      <c r="AM670" s="6225"/>
      <c r="AN670" s="853" t="str">
        <f t="shared" ref="AN670:AN701" si="103">IF(ISNA(INDEX(Lista_Armas,MATCH($A33,AQ$638:AQ$774,0))),"",INDEX(Lista_Armas,MATCH($A33,AQ$638:AQ$774,0)))</f>
        <v/>
      </c>
      <c r="AO670" s="78" t="str">
        <f t="shared" ref="AO670:AO701" si="104">IF(ISNA(INDEX(Lista_Armas,MATCH($A33,AR$638:AR$774,0))),"",INDEX(Lista_Armas,MATCH($A33,AR$638:AR$774,0)))</f>
        <v/>
      </c>
      <c r="AP670" s="78" t="str">
        <f t="shared" ref="AP670:AP701" si="105">IF(ISNA(INDEX(Lista_Armas,MATCH($A33,AS$638:AS$774,0))),"",INDEX(Lista_Armas,MATCH($A33,AS$638:AS$774,0)))</f>
        <v>Gran martillo guerra</v>
      </c>
      <c r="AQ670" s="1256">
        <f>IF(OR($L670=AQ$635,$L670="",$D670=$AS$634),MAX(AQ$637:AQ669)+1,0)</f>
        <v>0</v>
      </c>
      <c r="AR670" s="1257">
        <f>IF(OR($L670=AR$635,$L670="",$D670=$AS$634),MAX(AR$637:AR669)+1,0)</f>
        <v>0</v>
      </c>
      <c r="AS670" s="1258">
        <f>IF(OR($L670=AS$635,$L670="",$D670=$AS$634),MAX(AS$637:AS669)+1,0)</f>
        <v>27</v>
      </c>
      <c r="AT670" s="6225"/>
      <c r="AU670" s="853" t="str">
        <f t="shared" ref="AU670:AU701" si="106">IF(ISNA(INDEX(Lista_Armas,MATCH($A33,AX$638:AX$774,0))),"",INDEX(Lista_Armas,MATCH($A33,AX$638:AX$774,0)))</f>
        <v/>
      </c>
      <c r="AV670" s="78" t="str">
        <f t="shared" ref="AV670:AV701" si="107">IF(ISNA(INDEX(Lista_Armas,MATCH($A33,AY$638:AY$774,0))),"",INDEX(Lista_Armas,MATCH($A33,AY$638:AY$774,0)))</f>
        <v/>
      </c>
      <c r="AW670" s="78" t="str">
        <f t="shared" ref="AW670:AW701" si="108">IF(ISNA(INDEX(Lista_Armas,MATCH($A33,AZ$638:AZ$774,0))),"",INDEX(Lista_Armas,MATCH($A33,AZ$638:AZ$774,0)))</f>
        <v>Gran martillo guerra</v>
      </c>
      <c r="AX670" s="1256">
        <f>IF(OR($L670=AX$635,$L670="",$D670=$AZ$634),MAX(AX$637:AX669)+1,0)</f>
        <v>0</v>
      </c>
      <c r="AY670" s="1257">
        <f>IF(OR($L670=AY$635,$L670="",$D670=$AZ$634),MAX(AY$637:AY669)+1,0)</f>
        <v>0</v>
      </c>
      <c r="AZ670" s="1258">
        <f>IF(OR($L670=AZ$635,$L670="",$D670=$AZ$634),MAX(AZ$637:AZ669)+1,0)</f>
        <v>27</v>
      </c>
      <c r="BA670" s="6225"/>
      <c r="BB670" s="853" t="str">
        <f t="shared" ref="BB670:BB701" si="109">IF(ISNA(INDEX(Lista_Armas,MATCH($A33,BE$638:BE$774,0))),"",INDEX(Lista_Armas,MATCH($A33,BE$638:BE$774,0)))</f>
        <v/>
      </c>
      <c r="BC670" s="78" t="str">
        <f t="shared" ref="BC670:BC701" si="110">IF(ISNA(INDEX(Lista_Armas,MATCH($A33,BF$638:BF$774,0))),"",INDEX(Lista_Armas,MATCH($A33,BF$638:BF$774,0)))</f>
        <v/>
      </c>
      <c r="BD670" s="78" t="str">
        <f t="shared" ref="BD670:BD701" si="111">IF(ISNA(INDEX(Lista_Armas,MATCH($A33,BG$638:BG$774,0))),"",INDEX(Lista_Armas,MATCH($A33,BG$638:BG$774,0)))</f>
        <v>Gran martillo guerra</v>
      </c>
      <c r="BE670" s="1256">
        <f>IF(OR($L670=BE$635,$L670="",$D670=$BG$634),MAX(BE$637:BE669)+1,0)</f>
        <v>0</v>
      </c>
      <c r="BF670" s="1257">
        <f>IF(OR($L670=BF$635,$L670="",$D670=$BG$634),MAX(BF$637:BF669)+1,0)</f>
        <v>0</v>
      </c>
      <c r="BG670" s="1258">
        <f>IF(OR($L670=BG$635,$L670="",$D670=$BG$634),MAX(BG$637:BG669)+1,0)</f>
        <v>27</v>
      </c>
      <c r="BH670" s="6225"/>
      <c r="BI670" s="853" t="str">
        <f t="shared" ref="BI670:BI701" si="112">IF(ISNA(INDEX(Lista_Armas,MATCH($A33,BL$638:BL$774,0))),"",INDEX(Lista_Armas,MATCH($A33,BL$638:BL$774,0)))</f>
        <v/>
      </c>
      <c r="BJ670" s="78" t="str">
        <f t="shared" ref="BJ670:BJ701" si="113">IF(ISNA(INDEX(Lista_Armas,MATCH($A33,BM$638:BM$774,0))),"",INDEX(Lista_Armas,MATCH($A33,BM$638:BM$774,0)))</f>
        <v/>
      </c>
      <c r="BK670" s="78" t="str">
        <f t="shared" ref="BK670:BK701" si="114">IF(ISNA(INDEX(Lista_Armas,MATCH($A33,BN$638:BN$774,0))),"",INDEX(Lista_Armas,MATCH($A33,BN$638:BN$774,0)))</f>
        <v>Gran martillo guerra</v>
      </c>
      <c r="BL670" s="1256">
        <f>IF(OR($L670=BL$635,$L670="",$D670=$BN$634),MAX(BL$637:BL669)+1,0)</f>
        <v>0</v>
      </c>
      <c r="BM670" s="1257">
        <f>IF(OR($L670=BM$635,$L670="",$D670=$BN$634),MAX(BM$637:BM669)+1,0)</f>
        <v>0</v>
      </c>
      <c r="BN670" s="1258">
        <f>IF(OR($L670=BN$635,$L670="",$D670=$BN$634),MAX(BN$637:BN669)+1,0)</f>
        <v>27</v>
      </c>
      <c r="BO670" s="6225"/>
      <c r="BP670" s="853" t="str">
        <f t="shared" ref="BP670:BP701" si="115">IF(ISNA(INDEX(Lista_Armas,MATCH($A33,BS$638:BS$774,0))),"",INDEX(Lista_Armas,MATCH($A33,BS$638:BS$774,0)))</f>
        <v/>
      </c>
      <c r="BQ670" s="78" t="str">
        <f t="shared" ref="BQ670:BQ701" si="116">IF(ISNA(INDEX(Lista_Armas,MATCH($A33,BT$638:BT$774,0))),"",INDEX(Lista_Armas,MATCH($A33,BT$638:BT$774,0)))</f>
        <v/>
      </c>
      <c r="BR670" s="78" t="str">
        <f t="shared" ref="BR670:BR701" si="117">IF(ISNA(INDEX(Lista_Armas,MATCH($A33,BU$638:BU$774,0))),"",INDEX(Lista_Armas,MATCH($A33,BU$638:BU$774,0)))</f>
        <v>Gran martillo guerra</v>
      </c>
      <c r="BS670" s="1256">
        <f>IF(OR($L670=BS$635,$L670="",$D670=$BU$634),MAX(BS$637:BS669)+1,0)</f>
        <v>0</v>
      </c>
      <c r="BT670" s="1257">
        <f>IF(OR($L670=BT$635,$L670="",$D670=$BU$634),MAX(BT$637:BT669)+1,0)</f>
        <v>0</v>
      </c>
      <c r="BU670" s="1258">
        <f>IF(OR($L670=BU$635,$L670="",$D670=$BU$634),MAX(BU$637:BU669)+1,0)</f>
        <v>27</v>
      </c>
    </row>
    <row r="671" spans="1:73" ht="12.75" customHeight="1" x14ac:dyDescent="0.2">
      <c r="A671" s="227">
        <v>671</v>
      </c>
      <c r="B671" s="5988"/>
      <c r="C671" s="1146"/>
      <c r="D671" s="2629" t="s">
        <v>7000</v>
      </c>
      <c r="E671" s="2633">
        <v>60</v>
      </c>
      <c r="F671" s="2628">
        <v>-10</v>
      </c>
      <c r="G671" s="2628">
        <v>7</v>
      </c>
      <c r="H671" s="2628">
        <v>7</v>
      </c>
      <c r="I671" s="2628" t="s">
        <v>1551</v>
      </c>
      <c r="J671" s="2628" t="s">
        <v>1456</v>
      </c>
      <c r="K671" s="2878" t="s">
        <v>7271</v>
      </c>
      <c r="L671" s="2628" t="str">
        <f t="shared" si="95"/>
        <v>Distinta</v>
      </c>
      <c r="M671" s="2634">
        <v>12</v>
      </c>
      <c r="N671" s="2634">
        <v>5</v>
      </c>
      <c r="O671" s="2634">
        <v>20</v>
      </c>
      <c r="P671" s="2628"/>
      <c r="Q671" s="2628"/>
      <c r="R671" s="2628" t="s">
        <v>1456</v>
      </c>
      <c r="S671" s="2628" t="s">
        <v>1456</v>
      </c>
      <c r="T671" s="2628" t="s">
        <v>1456</v>
      </c>
      <c r="U671" s="2628"/>
      <c r="V671" s="2878" t="s">
        <v>1456</v>
      </c>
      <c r="W671" s="2878"/>
      <c r="X671" s="2879" t="str">
        <f t="shared" si="97"/>
        <v>Mediana</v>
      </c>
      <c r="Y671" s="2618">
        <f t="shared" si="96"/>
        <v>0</v>
      </c>
      <c r="Z671" s="1265" t="str">
        <f t="shared" si="99"/>
        <v/>
      </c>
      <c r="AB671" s="853" t="s">
        <v>2140</v>
      </c>
      <c r="AC671" s="2859" t="s">
        <v>2172</v>
      </c>
      <c r="AD671" s="2909"/>
      <c r="AE671" s="1259"/>
      <c r="AG671" s="853" t="str">
        <f t="shared" si="100"/>
        <v/>
      </c>
      <c r="AH671" s="78" t="str">
        <f t="shared" si="101"/>
        <v/>
      </c>
      <c r="AI671" s="78" t="str">
        <f t="shared" si="102"/>
        <v>Hacha a dos manos</v>
      </c>
      <c r="AJ671" s="1256">
        <f>IF(OR($L671=AJ$635,$L671="",$D671=$AL$634),MAX(AJ$637:AJ670)+1,0)</f>
        <v>0</v>
      </c>
      <c r="AK671" s="1257">
        <f>IF(OR($L671=AK$635,$L671="",$D671=$AL$634),MAX(AK$637:AK670)+1,0)</f>
        <v>0</v>
      </c>
      <c r="AL671" s="1258">
        <f>IF(OR($L671=AL$635,$L671="",$D671=$AL$634),MAX(AL$637:AL670)+1,0)</f>
        <v>28</v>
      </c>
      <c r="AM671" s="6225"/>
      <c r="AN671" s="853" t="str">
        <f t="shared" si="103"/>
        <v/>
      </c>
      <c r="AO671" s="78" t="str">
        <f t="shared" si="104"/>
        <v/>
      </c>
      <c r="AP671" s="78" t="str">
        <f t="shared" si="105"/>
        <v>Hacha a dos manos</v>
      </c>
      <c r="AQ671" s="1256">
        <f>IF(OR($L671=AQ$635,$L671="",$D671=$AS$634),MAX(AQ$637:AQ670)+1,0)</f>
        <v>0</v>
      </c>
      <c r="AR671" s="1257">
        <f>IF(OR($L671=AR$635,$L671="",$D671=$AS$634),MAX(AR$637:AR670)+1,0)</f>
        <v>0</v>
      </c>
      <c r="AS671" s="1258">
        <f>IF(OR($L671=AS$635,$L671="",$D671=$AS$634),MAX(AS$637:AS670)+1,0)</f>
        <v>28</v>
      </c>
      <c r="AT671" s="6225"/>
      <c r="AU671" s="853" t="str">
        <f t="shared" si="106"/>
        <v/>
      </c>
      <c r="AV671" s="78" t="str">
        <f t="shared" si="107"/>
        <v/>
      </c>
      <c r="AW671" s="78" t="str">
        <f t="shared" si="108"/>
        <v>Hacha a dos manos</v>
      </c>
      <c r="AX671" s="1256">
        <f>IF(OR($L671=AX$635,$L671="",$D671=$AZ$634),MAX(AX$637:AX670)+1,0)</f>
        <v>0</v>
      </c>
      <c r="AY671" s="1257">
        <f>IF(OR($L671=AY$635,$L671="",$D671=$AZ$634),MAX(AY$637:AY670)+1,0)</f>
        <v>0</v>
      </c>
      <c r="AZ671" s="1258">
        <f>IF(OR($L671=AZ$635,$L671="",$D671=$AZ$634),MAX(AZ$637:AZ670)+1,0)</f>
        <v>28</v>
      </c>
      <c r="BA671" s="6225"/>
      <c r="BB671" s="853" t="str">
        <f t="shared" si="109"/>
        <v/>
      </c>
      <c r="BC671" s="78" t="str">
        <f t="shared" si="110"/>
        <v/>
      </c>
      <c r="BD671" s="78" t="str">
        <f t="shared" si="111"/>
        <v>Hacha a dos manos</v>
      </c>
      <c r="BE671" s="1256">
        <f>IF(OR($L671=BE$635,$L671="",$D671=$BG$634),MAX(BE$637:BE670)+1,0)</f>
        <v>0</v>
      </c>
      <c r="BF671" s="1257">
        <f>IF(OR($L671=BF$635,$L671="",$D671=$BG$634),MAX(BF$637:BF670)+1,0)</f>
        <v>0</v>
      </c>
      <c r="BG671" s="1258">
        <f>IF(OR($L671=BG$635,$L671="",$D671=$BG$634),MAX(BG$637:BG670)+1,0)</f>
        <v>28</v>
      </c>
      <c r="BH671" s="6225"/>
      <c r="BI671" s="853" t="str">
        <f t="shared" si="112"/>
        <v/>
      </c>
      <c r="BJ671" s="78" t="str">
        <f t="shared" si="113"/>
        <v/>
      </c>
      <c r="BK671" s="78" t="str">
        <f t="shared" si="114"/>
        <v>Hacha a dos manos</v>
      </c>
      <c r="BL671" s="1256">
        <f>IF(OR($L671=BL$635,$L671="",$D671=$BN$634),MAX(BL$637:BL670)+1,0)</f>
        <v>0</v>
      </c>
      <c r="BM671" s="1257">
        <f>IF(OR($L671=BM$635,$L671="",$D671=$BN$634),MAX(BM$637:BM670)+1,0)</f>
        <v>0</v>
      </c>
      <c r="BN671" s="1258">
        <f>IF(OR($L671=BN$635,$L671="",$D671=$BN$634),MAX(BN$637:BN670)+1,0)</f>
        <v>28</v>
      </c>
      <c r="BO671" s="6225"/>
      <c r="BP671" s="853" t="str">
        <f t="shared" si="115"/>
        <v/>
      </c>
      <c r="BQ671" s="78" t="str">
        <f t="shared" si="116"/>
        <v/>
      </c>
      <c r="BR671" s="78" t="str">
        <f t="shared" si="117"/>
        <v>Hacha a dos manos</v>
      </c>
      <c r="BS671" s="1256">
        <f>IF(OR($L671=BS$635,$L671="",$D671=$BU$634),MAX(BS$637:BS670)+1,0)</f>
        <v>0</v>
      </c>
      <c r="BT671" s="1257">
        <f>IF(OR($L671=BT$635,$L671="",$D671=$BU$634),MAX(BT$637:BT670)+1,0)</f>
        <v>0</v>
      </c>
      <c r="BU671" s="1258">
        <f>IF(OR($L671=BU$635,$L671="",$D671=$BU$634),MAX(BU$637:BU670)+1,0)</f>
        <v>28</v>
      </c>
    </row>
    <row r="672" spans="1:73" ht="12.75" customHeight="1" x14ac:dyDescent="0.2">
      <c r="A672" s="227">
        <v>672</v>
      </c>
      <c r="B672" s="5988"/>
      <c r="C672" s="1146"/>
      <c r="D672" s="2629" t="s">
        <v>2138</v>
      </c>
      <c r="E672" s="2633">
        <v>35</v>
      </c>
      <c r="F672" s="2628">
        <v>15</v>
      </c>
      <c r="G672" s="2628">
        <v>3</v>
      </c>
      <c r="H672" s="2628">
        <v>3</v>
      </c>
      <c r="I672" s="2628" t="s">
        <v>1552</v>
      </c>
      <c r="J672" s="2628" t="s">
        <v>1456</v>
      </c>
      <c r="K672" s="2878" t="s">
        <v>7272</v>
      </c>
      <c r="L672" s="2628" t="str">
        <f t="shared" si="95"/>
        <v>Distinta</v>
      </c>
      <c r="M672" s="2634">
        <v>9</v>
      </c>
      <c r="N672" s="2634">
        <v>-2</v>
      </c>
      <c r="O672" s="2634">
        <v>20</v>
      </c>
      <c r="P672" s="2628"/>
      <c r="Q672" s="2628"/>
      <c r="R672" s="2628" t="s">
        <v>1456</v>
      </c>
      <c r="S672" s="2628" t="s">
        <v>1456</v>
      </c>
      <c r="T672" s="2628" t="s">
        <v>1456</v>
      </c>
      <c r="U672" s="2628"/>
      <c r="V672" s="2878" t="s">
        <v>2134</v>
      </c>
      <c r="W672" s="2878"/>
      <c r="X672" s="2879" t="str">
        <f t="shared" si="97"/>
        <v>Pequeña</v>
      </c>
      <c r="Y672" s="2618">
        <f t="shared" si="96"/>
        <v>0</v>
      </c>
      <c r="Z672" s="1265" t="str">
        <f t="shared" si="99"/>
        <v/>
      </c>
      <c r="AB672" s="853" t="s">
        <v>6987</v>
      </c>
      <c r="AC672" s="2859" t="s">
        <v>2174</v>
      </c>
      <c r="AD672" s="2909"/>
      <c r="AE672" s="1259"/>
      <c r="AG672" s="853" t="str">
        <f t="shared" si="100"/>
        <v/>
      </c>
      <c r="AH672" s="78" t="str">
        <f t="shared" si="101"/>
        <v/>
      </c>
      <c r="AI672" s="78" t="str">
        <f t="shared" si="102"/>
        <v>Hacha de guerra</v>
      </c>
      <c r="AJ672" s="1256">
        <f>IF(OR($L672=AJ$635,$L672="",$D672=$AL$634),MAX(AJ$637:AJ671)+1,0)</f>
        <v>0</v>
      </c>
      <c r="AK672" s="1257">
        <f>IF(OR($L672=AK$635,$L672="",$D672=$AL$634),MAX(AK$637:AK671)+1,0)</f>
        <v>0</v>
      </c>
      <c r="AL672" s="1258">
        <f>IF(OR($L672=AL$635,$L672="",$D672=$AL$634),MAX(AL$637:AL671)+1,0)</f>
        <v>29</v>
      </c>
      <c r="AM672" s="6225"/>
      <c r="AN672" s="853" t="str">
        <f t="shared" si="103"/>
        <v/>
      </c>
      <c r="AO672" s="78" t="str">
        <f t="shared" si="104"/>
        <v/>
      </c>
      <c r="AP672" s="78" t="str">
        <f t="shared" si="105"/>
        <v>Hacha de guerra</v>
      </c>
      <c r="AQ672" s="1256">
        <f>IF(OR($L672=AQ$635,$L672="",$D672=$AS$634),MAX(AQ$637:AQ671)+1,0)</f>
        <v>0</v>
      </c>
      <c r="AR672" s="1257">
        <f>IF(OR($L672=AR$635,$L672="",$D672=$AS$634),MAX(AR$637:AR671)+1,0)</f>
        <v>0</v>
      </c>
      <c r="AS672" s="1258">
        <f>IF(OR($L672=AS$635,$L672="",$D672=$AS$634),MAX(AS$637:AS671)+1,0)</f>
        <v>29</v>
      </c>
      <c r="AT672" s="6225"/>
      <c r="AU672" s="853" t="str">
        <f t="shared" si="106"/>
        <v/>
      </c>
      <c r="AV672" s="78" t="str">
        <f t="shared" si="107"/>
        <v/>
      </c>
      <c r="AW672" s="78" t="str">
        <f t="shared" si="108"/>
        <v>Hacha de guerra</v>
      </c>
      <c r="AX672" s="1256">
        <f>IF(OR($L672=AX$635,$L672="",$D672=$AZ$634),MAX(AX$637:AX671)+1,0)</f>
        <v>0</v>
      </c>
      <c r="AY672" s="1257">
        <f>IF(OR($L672=AY$635,$L672="",$D672=$AZ$634),MAX(AY$637:AY671)+1,0)</f>
        <v>0</v>
      </c>
      <c r="AZ672" s="1258">
        <f>IF(OR($L672=AZ$635,$L672="",$D672=$AZ$634),MAX(AZ$637:AZ671)+1,0)</f>
        <v>29</v>
      </c>
      <c r="BA672" s="6225"/>
      <c r="BB672" s="853" t="str">
        <f t="shared" si="109"/>
        <v/>
      </c>
      <c r="BC672" s="78" t="str">
        <f t="shared" si="110"/>
        <v/>
      </c>
      <c r="BD672" s="78" t="str">
        <f t="shared" si="111"/>
        <v>Hacha de guerra</v>
      </c>
      <c r="BE672" s="1256">
        <f>IF(OR($L672=BE$635,$L672="",$D672=$BG$634),MAX(BE$637:BE671)+1,0)</f>
        <v>0</v>
      </c>
      <c r="BF672" s="1257">
        <f>IF(OR($L672=BF$635,$L672="",$D672=$BG$634),MAX(BF$637:BF671)+1,0)</f>
        <v>0</v>
      </c>
      <c r="BG672" s="1258">
        <f>IF(OR($L672=BG$635,$L672="",$D672=$BG$634),MAX(BG$637:BG671)+1,0)</f>
        <v>29</v>
      </c>
      <c r="BH672" s="6225"/>
      <c r="BI672" s="853" t="str">
        <f t="shared" si="112"/>
        <v/>
      </c>
      <c r="BJ672" s="78" t="str">
        <f t="shared" si="113"/>
        <v/>
      </c>
      <c r="BK672" s="78" t="str">
        <f t="shared" si="114"/>
        <v>Hacha de guerra</v>
      </c>
      <c r="BL672" s="1256">
        <f>IF(OR($L672=BL$635,$L672="",$D672=$BN$634),MAX(BL$637:BL671)+1,0)</f>
        <v>0</v>
      </c>
      <c r="BM672" s="1257">
        <f>IF(OR($L672=BM$635,$L672="",$D672=$BN$634),MAX(BM$637:BM671)+1,0)</f>
        <v>0</v>
      </c>
      <c r="BN672" s="1258">
        <f>IF(OR($L672=BN$635,$L672="",$D672=$BN$634),MAX(BN$637:BN671)+1,0)</f>
        <v>29</v>
      </c>
      <c r="BO672" s="6225"/>
      <c r="BP672" s="853" t="str">
        <f t="shared" si="115"/>
        <v/>
      </c>
      <c r="BQ672" s="78" t="str">
        <f t="shared" si="116"/>
        <v/>
      </c>
      <c r="BR672" s="78" t="str">
        <f t="shared" si="117"/>
        <v>Hacha de guerra</v>
      </c>
      <c r="BS672" s="1256">
        <f>IF(OR($L672=BS$635,$L672="",$D672=$BU$634),MAX(BS$637:BS671)+1,0)</f>
        <v>0</v>
      </c>
      <c r="BT672" s="1257">
        <f>IF(OR($L672=BT$635,$L672="",$D672=$BU$634),MAX(BT$637:BT671)+1,0)</f>
        <v>0</v>
      </c>
      <c r="BU672" s="1258">
        <f>IF(OR($L672=BU$635,$L672="",$D672=$BU$634),MAX(BU$637:BU671)+1,0)</f>
        <v>29</v>
      </c>
    </row>
    <row r="673" spans="1:73" ht="12.75" customHeight="1" x14ac:dyDescent="0.2">
      <c r="A673" s="227">
        <v>673</v>
      </c>
      <c r="B673" s="5988"/>
      <c r="C673" s="1146"/>
      <c r="D673" s="2629" t="s">
        <v>2139</v>
      </c>
      <c r="E673" s="2633">
        <v>30</v>
      </c>
      <c r="F673" s="2628">
        <v>10</v>
      </c>
      <c r="G673" s="2628">
        <v>3</v>
      </c>
      <c r="H673" s="2628">
        <v>3</v>
      </c>
      <c r="I673" s="2628" t="s">
        <v>1552</v>
      </c>
      <c r="J673" s="2628" t="s">
        <v>1456</v>
      </c>
      <c r="K673" s="2878" t="s">
        <v>7267</v>
      </c>
      <c r="L673" s="2628" t="str">
        <f t="shared" si="95"/>
        <v>Distinta</v>
      </c>
      <c r="M673" s="2634">
        <v>11</v>
      </c>
      <c r="N673" s="2634">
        <v>-2</v>
      </c>
      <c r="O673" s="2634">
        <v>15</v>
      </c>
      <c r="P673" s="2628"/>
      <c r="Q673" s="2628"/>
      <c r="R673" s="2628" t="s">
        <v>1456</v>
      </c>
      <c r="S673" s="2628" t="s">
        <v>1456</v>
      </c>
      <c r="T673" s="2628" t="s">
        <v>1456</v>
      </c>
      <c r="U673" s="2628"/>
      <c r="V673" s="2878" t="s">
        <v>1456</v>
      </c>
      <c r="W673" s="2878"/>
      <c r="X673" s="2879" t="str">
        <f t="shared" si="97"/>
        <v>Pequeña</v>
      </c>
      <c r="Y673" s="2618">
        <f t="shared" si="96"/>
        <v>0</v>
      </c>
      <c r="Z673" s="1265" t="str">
        <f t="shared" si="99"/>
        <v/>
      </c>
      <c r="AB673" s="853" t="s">
        <v>6988</v>
      </c>
      <c r="AC673" s="2859" t="s">
        <v>7001</v>
      </c>
      <c r="AD673" s="2909"/>
      <c r="AE673" s="1259"/>
      <c r="AG673" s="853" t="str">
        <f t="shared" si="100"/>
        <v/>
      </c>
      <c r="AH673" s="78" t="str">
        <f t="shared" si="101"/>
        <v/>
      </c>
      <c r="AI673" s="78" t="str">
        <f t="shared" si="102"/>
        <v>Hacha de mano</v>
      </c>
      <c r="AJ673" s="1256">
        <f>IF(OR($L673=AJ$635,$L673="",$D673=$AL$634),MAX(AJ$637:AJ672)+1,0)</f>
        <v>0</v>
      </c>
      <c r="AK673" s="1257">
        <f>IF(OR($L673=AK$635,$L673="",$D673=$AL$634),MAX(AK$637:AK672)+1,0)</f>
        <v>0</v>
      </c>
      <c r="AL673" s="1258">
        <f>IF(OR($L673=AL$635,$L673="",$D673=$AL$634),MAX(AL$637:AL672)+1,0)</f>
        <v>30</v>
      </c>
      <c r="AM673" s="6225"/>
      <c r="AN673" s="853" t="str">
        <f t="shared" si="103"/>
        <v/>
      </c>
      <c r="AO673" s="78" t="str">
        <f t="shared" si="104"/>
        <v/>
      </c>
      <c r="AP673" s="78" t="str">
        <f t="shared" si="105"/>
        <v>Hacha de mano</v>
      </c>
      <c r="AQ673" s="1256">
        <f>IF(OR($L673=AQ$635,$L673="",$D673=$AS$634),MAX(AQ$637:AQ672)+1,0)</f>
        <v>0</v>
      </c>
      <c r="AR673" s="1257">
        <f>IF(OR($L673=AR$635,$L673="",$D673=$AS$634),MAX(AR$637:AR672)+1,0)</f>
        <v>0</v>
      </c>
      <c r="AS673" s="1258">
        <f>IF(OR($L673=AS$635,$L673="",$D673=$AS$634),MAX(AS$637:AS672)+1,0)</f>
        <v>30</v>
      </c>
      <c r="AT673" s="6225"/>
      <c r="AU673" s="853" t="str">
        <f t="shared" si="106"/>
        <v/>
      </c>
      <c r="AV673" s="78" t="str">
        <f t="shared" si="107"/>
        <v/>
      </c>
      <c r="AW673" s="78" t="str">
        <f t="shared" si="108"/>
        <v>Hacha de mano</v>
      </c>
      <c r="AX673" s="1256">
        <f>IF(OR($L673=AX$635,$L673="",$D673=$AZ$634),MAX(AX$637:AX672)+1,0)</f>
        <v>0</v>
      </c>
      <c r="AY673" s="1257">
        <f>IF(OR($L673=AY$635,$L673="",$D673=$AZ$634),MAX(AY$637:AY672)+1,0)</f>
        <v>0</v>
      </c>
      <c r="AZ673" s="1258">
        <f>IF(OR($L673=AZ$635,$L673="",$D673=$AZ$634),MAX(AZ$637:AZ672)+1,0)</f>
        <v>30</v>
      </c>
      <c r="BA673" s="6225"/>
      <c r="BB673" s="853" t="str">
        <f t="shared" si="109"/>
        <v/>
      </c>
      <c r="BC673" s="78" t="str">
        <f t="shared" si="110"/>
        <v/>
      </c>
      <c r="BD673" s="78" t="str">
        <f t="shared" si="111"/>
        <v>Hacha de mano</v>
      </c>
      <c r="BE673" s="1256">
        <f>IF(OR($L673=BE$635,$L673="",$D673=$BG$634),MAX(BE$637:BE672)+1,0)</f>
        <v>0</v>
      </c>
      <c r="BF673" s="1257">
        <f>IF(OR($L673=BF$635,$L673="",$D673=$BG$634),MAX(BF$637:BF672)+1,0)</f>
        <v>0</v>
      </c>
      <c r="BG673" s="1258">
        <f>IF(OR($L673=BG$635,$L673="",$D673=$BG$634),MAX(BG$637:BG672)+1,0)</f>
        <v>30</v>
      </c>
      <c r="BH673" s="6225"/>
      <c r="BI673" s="853" t="str">
        <f t="shared" si="112"/>
        <v/>
      </c>
      <c r="BJ673" s="78" t="str">
        <f t="shared" si="113"/>
        <v/>
      </c>
      <c r="BK673" s="78" t="str">
        <f t="shared" si="114"/>
        <v>Hacha de mano</v>
      </c>
      <c r="BL673" s="1256">
        <f>IF(OR($L673=BL$635,$L673="",$D673=$BN$634),MAX(BL$637:BL672)+1,0)</f>
        <v>0</v>
      </c>
      <c r="BM673" s="1257">
        <f>IF(OR($L673=BM$635,$L673="",$D673=$BN$634),MAX(BM$637:BM672)+1,0)</f>
        <v>0</v>
      </c>
      <c r="BN673" s="1258">
        <f>IF(OR($L673=BN$635,$L673="",$D673=$BN$634),MAX(BN$637:BN672)+1,0)</f>
        <v>30</v>
      </c>
      <c r="BO673" s="6225"/>
      <c r="BP673" s="853" t="str">
        <f t="shared" si="115"/>
        <v/>
      </c>
      <c r="BQ673" s="78" t="str">
        <f t="shared" si="116"/>
        <v/>
      </c>
      <c r="BR673" s="78" t="str">
        <f t="shared" si="117"/>
        <v>Hacha de mano</v>
      </c>
      <c r="BS673" s="1256">
        <f>IF(OR($L673=BS$635,$L673="",$D673=$BU$634),MAX(BS$637:BS672)+1,0)</f>
        <v>0</v>
      </c>
      <c r="BT673" s="1257">
        <f>IF(OR($L673=BT$635,$L673="",$D673=$BU$634),MAX(BT$637:BT672)+1,0)</f>
        <v>0</v>
      </c>
      <c r="BU673" s="1258">
        <f>IF(OR($L673=BU$635,$L673="",$D673=$BU$634),MAX(BU$637:BU672)+1,0)</f>
        <v>30</v>
      </c>
    </row>
    <row r="674" spans="1:73" ht="12.75" customHeight="1" x14ac:dyDescent="0.2">
      <c r="A674" s="227">
        <v>674</v>
      </c>
      <c r="B674" s="5988"/>
      <c r="C674" s="1146"/>
      <c r="D674" s="2629" t="s">
        <v>2140</v>
      </c>
      <c r="E674" s="2633">
        <v>30</v>
      </c>
      <c r="F674" s="2628">
        <v>0</v>
      </c>
      <c r="G674" s="2628">
        <v>5</v>
      </c>
      <c r="H674" s="2628">
        <v>5</v>
      </c>
      <c r="I674" s="2628" t="s">
        <v>1498</v>
      </c>
      <c r="J674" s="2628" t="s">
        <v>1456</v>
      </c>
      <c r="K674" s="2878" t="s">
        <v>7268</v>
      </c>
      <c r="L674" s="2628" t="str">
        <f t="shared" si="95"/>
        <v>Distinta</v>
      </c>
      <c r="M674" s="2634">
        <v>11</v>
      </c>
      <c r="N674" s="2634">
        <v>-2</v>
      </c>
      <c r="O674" s="2634">
        <v>15</v>
      </c>
      <c r="P674" s="2628"/>
      <c r="Q674" s="2628"/>
      <c r="R674" s="2628" t="s">
        <v>1456</v>
      </c>
      <c r="S674" s="2628" t="s">
        <v>1456</v>
      </c>
      <c r="T674" s="2628" t="s">
        <v>1456</v>
      </c>
      <c r="U674" s="2628"/>
      <c r="V674" s="2878" t="s">
        <v>1456</v>
      </c>
      <c r="W674" s="2878"/>
      <c r="X674" s="2879" t="str">
        <f t="shared" si="97"/>
        <v>Mediana</v>
      </c>
      <c r="Y674" s="2618">
        <f t="shared" si="96"/>
        <v>0</v>
      </c>
      <c r="Z674" s="1265" t="str">
        <f t="shared" si="99"/>
        <v/>
      </c>
      <c r="AB674" s="853" t="s">
        <v>2142</v>
      </c>
      <c r="AC674" s="2859" t="s">
        <v>2179</v>
      </c>
      <c r="AD674" s="2909"/>
      <c r="AE674" s="1259"/>
      <c r="AG674" s="853" t="str">
        <f t="shared" si="100"/>
        <v/>
      </c>
      <c r="AH674" s="78" t="str">
        <f t="shared" si="101"/>
        <v/>
      </c>
      <c r="AI674" s="78" t="str">
        <f t="shared" si="102"/>
        <v>Hu Die Dao</v>
      </c>
      <c r="AJ674" s="1256">
        <f>IF(OR($L674=AJ$635,$L674="",$D674=$AL$634),MAX(AJ$637:AJ673)+1,0)</f>
        <v>0</v>
      </c>
      <c r="AK674" s="1257">
        <f>IF(OR($L674=AK$635,$L674="",$D674=$AL$634),MAX(AK$637:AK673)+1,0)</f>
        <v>0</v>
      </c>
      <c r="AL674" s="1258">
        <f>IF(OR($L674=AL$635,$L674="",$D674=$AL$634),MAX(AL$637:AL673)+1,0)</f>
        <v>31</v>
      </c>
      <c r="AM674" s="6225"/>
      <c r="AN674" s="853" t="str">
        <f t="shared" si="103"/>
        <v/>
      </c>
      <c r="AO674" s="78" t="str">
        <f t="shared" si="104"/>
        <v/>
      </c>
      <c r="AP674" s="78" t="str">
        <f t="shared" si="105"/>
        <v>Hu Die Dao</v>
      </c>
      <c r="AQ674" s="1256">
        <f>IF(OR($L674=AQ$635,$L674="",$D674=$AS$634),MAX(AQ$637:AQ673)+1,0)</f>
        <v>0</v>
      </c>
      <c r="AR674" s="1257">
        <f>IF(OR($L674=AR$635,$L674="",$D674=$AS$634),MAX(AR$637:AR673)+1,0)</f>
        <v>0</v>
      </c>
      <c r="AS674" s="1258">
        <f>IF(OR($L674=AS$635,$L674="",$D674=$AS$634),MAX(AS$637:AS673)+1,0)</f>
        <v>31</v>
      </c>
      <c r="AT674" s="6225"/>
      <c r="AU674" s="853" t="str">
        <f t="shared" si="106"/>
        <v/>
      </c>
      <c r="AV674" s="78" t="str">
        <f t="shared" si="107"/>
        <v/>
      </c>
      <c r="AW674" s="78" t="str">
        <f t="shared" si="108"/>
        <v>Hu Die Dao</v>
      </c>
      <c r="AX674" s="1256">
        <f>IF(OR($L674=AX$635,$L674="",$D674=$AZ$634),MAX(AX$637:AX673)+1,0)</f>
        <v>0</v>
      </c>
      <c r="AY674" s="1257">
        <f>IF(OR($L674=AY$635,$L674="",$D674=$AZ$634),MAX(AY$637:AY673)+1,0)</f>
        <v>0</v>
      </c>
      <c r="AZ674" s="1258">
        <f>IF(OR($L674=AZ$635,$L674="",$D674=$AZ$634),MAX(AZ$637:AZ673)+1,0)</f>
        <v>31</v>
      </c>
      <c r="BA674" s="6225"/>
      <c r="BB674" s="853" t="str">
        <f t="shared" si="109"/>
        <v/>
      </c>
      <c r="BC674" s="78" t="str">
        <f t="shared" si="110"/>
        <v/>
      </c>
      <c r="BD674" s="78" t="str">
        <f t="shared" si="111"/>
        <v>Hu Die Dao</v>
      </c>
      <c r="BE674" s="1256">
        <f>IF(OR($L674=BE$635,$L674="",$D674=$BG$634),MAX(BE$637:BE673)+1,0)</f>
        <v>0</v>
      </c>
      <c r="BF674" s="1257">
        <f>IF(OR($L674=BF$635,$L674="",$D674=$BG$634),MAX(BF$637:BF673)+1,0)</f>
        <v>0</v>
      </c>
      <c r="BG674" s="1258">
        <f>IF(OR($L674=BG$635,$L674="",$D674=$BG$634),MAX(BG$637:BG673)+1,0)</f>
        <v>31</v>
      </c>
      <c r="BH674" s="6225"/>
      <c r="BI674" s="853" t="str">
        <f t="shared" si="112"/>
        <v/>
      </c>
      <c r="BJ674" s="78" t="str">
        <f t="shared" si="113"/>
        <v/>
      </c>
      <c r="BK674" s="78" t="str">
        <f t="shared" si="114"/>
        <v>Hu Die Dao</v>
      </c>
      <c r="BL674" s="1256">
        <f>IF(OR($L674=BL$635,$L674="",$D674=$BN$634),MAX(BL$637:BL673)+1,0)</f>
        <v>0</v>
      </c>
      <c r="BM674" s="1257">
        <f>IF(OR($L674=BM$635,$L674="",$D674=$BN$634),MAX(BM$637:BM673)+1,0)</f>
        <v>0</v>
      </c>
      <c r="BN674" s="1258">
        <f>IF(OR($L674=BN$635,$L674="",$D674=$BN$634),MAX(BN$637:BN673)+1,0)</f>
        <v>31</v>
      </c>
      <c r="BO674" s="6225"/>
      <c r="BP674" s="853" t="str">
        <f t="shared" si="115"/>
        <v/>
      </c>
      <c r="BQ674" s="78" t="str">
        <f t="shared" si="116"/>
        <v/>
      </c>
      <c r="BR674" s="78" t="str">
        <f t="shared" si="117"/>
        <v>Hu Die Dao</v>
      </c>
      <c r="BS674" s="1256">
        <f>IF(OR($L674=BS$635,$L674="",$D674=$BU$634),MAX(BS$637:BS673)+1,0)</f>
        <v>0</v>
      </c>
      <c r="BT674" s="1257">
        <f>IF(OR($L674=BT$635,$L674="",$D674=$BU$634),MAX(BT$637:BT673)+1,0)</f>
        <v>0</v>
      </c>
      <c r="BU674" s="1258">
        <f>IF(OR($L674=BU$635,$L674="",$D674=$BU$634),MAX(BU$637:BU673)+1,0)</f>
        <v>31</v>
      </c>
    </row>
    <row r="675" spans="1:73" ht="12.75" customHeight="1" x14ac:dyDescent="0.2">
      <c r="A675" s="227">
        <v>675</v>
      </c>
      <c r="B675" s="5988"/>
      <c r="C675" s="1146"/>
      <c r="D675" s="2629" t="s">
        <v>6987</v>
      </c>
      <c r="E675" s="2633">
        <v>40</v>
      </c>
      <c r="F675" s="2628">
        <v>0</v>
      </c>
      <c r="G675" s="2628">
        <v>7</v>
      </c>
      <c r="H675" s="2628">
        <v>6</v>
      </c>
      <c r="I675" s="2628" t="s">
        <v>1552</v>
      </c>
      <c r="J675" s="2628" t="s">
        <v>1551</v>
      </c>
      <c r="K675" s="2878" t="s">
        <v>7262</v>
      </c>
      <c r="L675" s="2628" t="str">
        <f t="shared" si="95"/>
        <v>Similar</v>
      </c>
      <c r="M675" s="2634">
        <v>12</v>
      </c>
      <c r="N675" s="2634">
        <v>1</v>
      </c>
      <c r="O675" s="2634">
        <v>20</v>
      </c>
      <c r="P675" s="2628"/>
      <c r="Q675" s="2628"/>
      <c r="R675" s="2628" t="s">
        <v>1456</v>
      </c>
      <c r="S675" s="2628" t="s">
        <v>1456</v>
      </c>
      <c r="T675" s="2628" t="s">
        <v>1456</v>
      </c>
      <c r="U675" s="2628"/>
      <c r="V675" s="2878" t="s">
        <v>2130</v>
      </c>
      <c r="W675" s="2878"/>
      <c r="X675" s="2879" t="str">
        <f t="shared" si="97"/>
        <v>Grande</v>
      </c>
      <c r="Y675" s="2618">
        <f t="shared" si="96"/>
        <v>0</v>
      </c>
      <c r="Z675" s="1265" t="str">
        <f t="shared" si="99"/>
        <v/>
      </c>
      <c r="AB675" s="853" t="s">
        <v>2143</v>
      </c>
      <c r="AC675" s="2859" t="s">
        <v>2180</v>
      </c>
      <c r="AD675" s="2909"/>
      <c r="AE675" s="1259"/>
      <c r="AG675" s="853" t="str">
        <f t="shared" si="100"/>
        <v/>
      </c>
      <c r="AH675" s="78" t="str">
        <f t="shared" si="101"/>
        <v/>
      </c>
      <c r="AI675" s="78" t="str">
        <f t="shared" si="102"/>
        <v>Katzbalger</v>
      </c>
      <c r="AJ675" s="1256">
        <f>IF(OR($L675=AJ$635,$L675="",$D675=$AL$634),MAX(AJ$637:AJ674)+1,0)</f>
        <v>5</v>
      </c>
      <c r="AK675" s="1257">
        <f>IF(OR($L675=AK$635,$L675="",$D675=$AL$634),MAX(AK$637:AK674)+1,0)</f>
        <v>0</v>
      </c>
      <c r="AL675" s="1258">
        <f>IF(OR($L675=AL$635,$L675="",$D675=$AL$634),MAX(AL$637:AL674)+1,0)</f>
        <v>0</v>
      </c>
      <c r="AM675" s="6225"/>
      <c r="AN675" s="853" t="str">
        <f t="shared" si="103"/>
        <v/>
      </c>
      <c r="AO675" s="78" t="str">
        <f t="shared" si="104"/>
        <v/>
      </c>
      <c r="AP675" s="78" t="str">
        <f t="shared" si="105"/>
        <v>Katzbalger</v>
      </c>
      <c r="AQ675" s="1256">
        <f>IF(OR($L675=AQ$635,$L675="",$D675=$AS$634),MAX(AQ$637:AQ674)+1,0)</f>
        <v>5</v>
      </c>
      <c r="AR675" s="1257">
        <f>IF(OR($L675=AR$635,$L675="",$D675=$AS$634),MAX(AR$637:AR674)+1,0)</f>
        <v>0</v>
      </c>
      <c r="AS675" s="1258">
        <f>IF(OR($L675=AS$635,$L675="",$D675=$AS$634),MAX(AS$637:AS674)+1,0)</f>
        <v>0</v>
      </c>
      <c r="AT675" s="6225"/>
      <c r="AU675" s="853" t="str">
        <f t="shared" si="106"/>
        <v/>
      </c>
      <c r="AV675" s="78" t="str">
        <f t="shared" si="107"/>
        <v/>
      </c>
      <c r="AW675" s="78" t="str">
        <f t="shared" si="108"/>
        <v>Katzbalger</v>
      </c>
      <c r="AX675" s="1256">
        <f>IF(OR($L675=AX$635,$L675="",$D675=$AZ$634),MAX(AX$637:AX674)+1,0)</f>
        <v>5</v>
      </c>
      <c r="AY675" s="1257">
        <f>IF(OR($L675=AY$635,$L675="",$D675=$AZ$634),MAX(AY$637:AY674)+1,0)</f>
        <v>0</v>
      </c>
      <c r="AZ675" s="1258">
        <f>IF(OR($L675=AZ$635,$L675="",$D675=$AZ$634),MAX(AZ$637:AZ674)+1,0)</f>
        <v>0</v>
      </c>
      <c r="BA675" s="6225"/>
      <c r="BB675" s="853" t="str">
        <f t="shared" si="109"/>
        <v/>
      </c>
      <c r="BC675" s="78" t="str">
        <f t="shared" si="110"/>
        <v/>
      </c>
      <c r="BD675" s="78" t="str">
        <f t="shared" si="111"/>
        <v>Katzbalger</v>
      </c>
      <c r="BE675" s="1256">
        <f>IF(OR($L675=BE$635,$L675="",$D675=$BG$634),MAX(BE$637:BE674)+1,0)</f>
        <v>5</v>
      </c>
      <c r="BF675" s="1257">
        <f>IF(OR($L675=BF$635,$L675="",$D675=$BG$634),MAX(BF$637:BF674)+1,0)</f>
        <v>0</v>
      </c>
      <c r="BG675" s="1258">
        <f>IF(OR($L675=BG$635,$L675="",$D675=$BG$634),MAX(BG$637:BG674)+1,0)</f>
        <v>0</v>
      </c>
      <c r="BH675" s="6225"/>
      <c r="BI675" s="853" t="str">
        <f t="shared" si="112"/>
        <v/>
      </c>
      <c r="BJ675" s="78" t="str">
        <f t="shared" si="113"/>
        <v/>
      </c>
      <c r="BK675" s="78" t="str">
        <f t="shared" si="114"/>
        <v>Katzbalger</v>
      </c>
      <c r="BL675" s="1256">
        <f>IF(OR($L675=BL$635,$L675="",$D675=$BN$634),MAX(BL$637:BL674)+1,0)</f>
        <v>5</v>
      </c>
      <c r="BM675" s="1257">
        <f>IF(OR($L675=BM$635,$L675="",$D675=$BN$634),MAX(BM$637:BM674)+1,0)</f>
        <v>0</v>
      </c>
      <c r="BN675" s="1258">
        <f>IF(OR($L675=BN$635,$L675="",$D675=$BN$634),MAX(BN$637:BN674)+1,0)</f>
        <v>0</v>
      </c>
      <c r="BO675" s="6225"/>
      <c r="BP675" s="853" t="str">
        <f t="shared" si="115"/>
        <v/>
      </c>
      <c r="BQ675" s="78" t="str">
        <f t="shared" si="116"/>
        <v/>
      </c>
      <c r="BR675" s="78" t="str">
        <f t="shared" si="117"/>
        <v>Katzbalger</v>
      </c>
      <c r="BS675" s="1256">
        <f>IF(OR($L675=BS$635,$L675="",$D675=$BU$634),MAX(BS$637:BS674)+1,0)</f>
        <v>5</v>
      </c>
      <c r="BT675" s="1257">
        <f>IF(OR($L675=BT$635,$L675="",$D675=$BU$634),MAX(BT$637:BT674)+1,0)</f>
        <v>0</v>
      </c>
      <c r="BU675" s="1258">
        <f>IF(OR($L675=BU$635,$L675="",$D675=$BU$634),MAX(BU$637:BU674)+1,0)</f>
        <v>0</v>
      </c>
    </row>
    <row r="676" spans="1:73" ht="12.75" customHeight="1" x14ac:dyDescent="0.2">
      <c r="A676" s="227">
        <v>676</v>
      </c>
      <c r="B676" s="5988"/>
      <c r="C676" s="1146"/>
      <c r="D676" s="2629" t="s">
        <v>6988</v>
      </c>
      <c r="E676" s="2633">
        <v>35</v>
      </c>
      <c r="F676" s="2628">
        <v>5</v>
      </c>
      <c r="G676" s="2628">
        <v>6</v>
      </c>
      <c r="H676" s="2628">
        <v>4</v>
      </c>
      <c r="I676" s="2628" t="s">
        <v>1552</v>
      </c>
      <c r="J676" s="2628" t="s">
        <v>1498</v>
      </c>
      <c r="K676" s="2878" t="s">
        <v>7262</v>
      </c>
      <c r="L676" s="2628" t="str">
        <f t="shared" ref="L676:L707" si="118">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Similar</v>
      </c>
      <c r="M676" s="2634">
        <v>10</v>
      </c>
      <c r="N676" s="2634">
        <v>2</v>
      </c>
      <c r="O676" s="2634">
        <v>20</v>
      </c>
      <c r="P676" s="2628"/>
      <c r="Q676" s="2628"/>
      <c r="R676" s="2628" t="s">
        <v>1456</v>
      </c>
      <c r="S676" s="2628" t="s">
        <v>1456</v>
      </c>
      <c r="T676" s="2628" t="s">
        <v>1456</v>
      </c>
      <c r="U676" s="2628"/>
      <c r="V676" s="2878" t="s">
        <v>7031</v>
      </c>
      <c r="W676" s="2878"/>
      <c r="X676" s="2879" t="str">
        <f t="shared" si="97"/>
        <v>Grande</v>
      </c>
      <c r="Y676" s="2618">
        <f t="shared" ref="Y676:Y707" si="119">Bono_Fue</f>
        <v>0</v>
      </c>
      <c r="Z676" s="1265" t="str">
        <f t="shared" si="99"/>
        <v/>
      </c>
      <c r="AB676" s="853" t="s">
        <v>2144</v>
      </c>
      <c r="AC676" s="2859" t="s">
        <v>2184</v>
      </c>
      <c r="AD676" s="2909"/>
      <c r="AE676" s="1259"/>
      <c r="AG676" s="853" t="str">
        <f t="shared" si="100"/>
        <v/>
      </c>
      <c r="AH676" s="78" t="str">
        <f t="shared" si="101"/>
        <v/>
      </c>
      <c r="AI676" s="78" t="str">
        <f t="shared" si="102"/>
        <v>Kerambit</v>
      </c>
      <c r="AJ676" s="1256">
        <f>IF(OR($L676=AJ$635,$L676="",$D676=$AL$634),MAX(AJ$637:AJ675)+1,0)</f>
        <v>6</v>
      </c>
      <c r="AK676" s="1257">
        <f>IF(OR($L676=AK$635,$L676="",$D676=$AL$634),MAX(AK$637:AK675)+1,0)</f>
        <v>0</v>
      </c>
      <c r="AL676" s="1258">
        <f>IF(OR($L676=AL$635,$L676="",$D676=$AL$634),MAX(AL$637:AL675)+1,0)</f>
        <v>0</v>
      </c>
      <c r="AM676" s="6225"/>
      <c r="AN676" s="853" t="str">
        <f t="shared" si="103"/>
        <v/>
      </c>
      <c r="AO676" s="78" t="str">
        <f t="shared" si="104"/>
        <v/>
      </c>
      <c r="AP676" s="78" t="str">
        <f t="shared" si="105"/>
        <v>Kerambit</v>
      </c>
      <c r="AQ676" s="1256">
        <f>IF(OR($L676=AQ$635,$L676="",$D676=$AS$634),MAX(AQ$637:AQ675)+1,0)</f>
        <v>6</v>
      </c>
      <c r="AR676" s="1257">
        <f>IF(OR($L676=AR$635,$L676="",$D676=$AS$634),MAX(AR$637:AR675)+1,0)</f>
        <v>0</v>
      </c>
      <c r="AS676" s="1258">
        <f>IF(OR($L676=AS$635,$L676="",$D676=$AS$634),MAX(AS$637:AS675)+1,0)</f>
        <v>0</v>
      </c>
      <c r="AT676" s="6225"/>
      <c r="AU676" s="853" t="str">
        <f t="shared" si="106"/>
        <v/>
      </c>
      <c r="AV676" s="78" t="str">
        <f t="shared" si="107"/>
        <v/>
      </c>
      <c r="AW676" s="78" t="str">
        <f t="shared" si="108"/>
        <v>Kerambit</v>
      </c>
      <c r="AX676" s="1256">
        <f>IF(OR($L676=AX$635,$L676="",$D676=$AZ$634),MAX(AX$637:AX675)+1,0)</f>
        <v>6</v>
      </c>
      <c r="AY676" s="1257">
        <f>IF(OR($L676=AY$635,$L676="",$D676=$AZ$634),MAX(AY$637:AY675)+1,0)</f>
        <v>0</v>
      </c>
      <c r="AZ676" s="1258">
        <f>IF(OR($L676=AZ$635,$L676="",$D676=$AZ$634),MAX(AZ$637:AZ675)+1,0)</f>
        <v>0</v>
      </c>
      <c r="BA676" s="6225"/>
      <c r="BB676" s="853" t="str">
        <f t="shared" si="109"/>
        <v/>
      </c>
      <c r="BC676" s="78" t="str">
        <f t="shared" si="110"/>
        <v/>
      </c>
      <c r="BD676" s="78" t="str">
        <f t="shared" si="111"/>
        <v>Kerambit</v>
      </c>
      <c r="BE676" s="1256">
        <f>IF(OR($L676=BE$635,$L676="",$D676=$BG$634),MAX(BE$637:BE675)+1,0)</f>
        <v>6</v>
      </c>
      <c r="BF676" s="1257">
        <f>IF(OR($L676=BF$635,$L676="",$D676=$BG$634),MAX(BF$637:BF675)+1,0)</f>
        <v>0</v>
      </c>
      <c r="BG676" s="1258">
        <f>IF(OR($L676=BG$635,$L676="",$D676=$BG$634),MAX(BG$637:BG675)+1,0)</f>
        <v>0</v>
      </c>
      <c r="BH676" s="6225"/>
      <c r="BI676" s="853" t="str">
        <f t="shared" si="112"/>
        <v/>
      </c>
      <c r="BJ676" s="78" t="str">
        <f t="shared" si="113"/>
        <v/>
      </c>
      <c r="BK676" s="78" t="str">
        <f t="shared" si="114"/>
        <v>Kerambit</v>
      </c>
      <c r="BL676" s="1256">
        <f>IF(OR($L676=BL$635,$L676="",$D676=$BN$634),MAX(BL$637:BL675)+1,0)</f>
        <v>6</v>
      </c>
      <c r="BM676" s="1257">
        <f>IF(OR($L676=BM$635,$L676="",$D676=$BN$634),MAX(BM$637:BM675)+1,0)</f>
        <v>0</v>
      </c>
      <c r="BN676" s="1258">
        <f>IF(OR($L676=BN$635,$L676="",$D676=$BN$634),MAX(BN$637:BN675)+1,0)</f>
        <v>0</v>
      </c>
      <c r="BO676" s="6225"/>
      <c r="BP676" s="853" t="str">
        <f t="shared" si="115"/>
        <v/>
      </c>
      <c r="BQ676" s="78" t="str">
        <f t="shared" si="116"/>
        <v/>
      </c>
      <c r="BR676" s="78" t="str">
        <f t="shared" si="117"/>
        <v>Kerambit</v>
      </c>
      <c r="BS676" s="1256">
        <f>IF(OR($L676=BS$635,$L676="",$D676=$BU$634),MAX(BS$637:BS675)+1,0)</f>
        <v>6</v>
      </c>
      <c r="BT676" s="1257">
        <f>IF(OR($L676=BT$635,$L676="",$D676=$BU$634),MAX(BT$637:BT675)+1,0)</f>
        <v>0</v>
      </c>
      <c r="BU676" s="1258">
        <f>IF(OR($L676=BU$635,$L676="",$D676=$BU$634),MAX(BU$637:BU675)+1,0)</f>
        <v>0</v>
      </c>
    </row>
    <row r="677" spans="1:73" ht="12.75" customHeight="1" x14ac:dyDescent="0.2">
      <c r="A677" s="227">
        <v>677</v>
      </c>
      <c r="B677" s="5988"/>
      <c r="C677" s="1146"/>
      <c r="D677" s="2629" t="s">
        <v>10122</v>
      </c>
      <c r="E677" s="2633">
        <v>75</v>
      </c>
      <c r="F677" s="2628">
        <v>-30</v>
      </c>
      <c r="G677" s="2628">
        <v>9</v>
      </c>
      <c r="H677" s="2628">
        <v>6</v>
      </c>
      <c r="I677" s="2628" t="s">
        <v>1551</v>
      </c>
      <c r="J677" s="2628" t="s">
        <v>1456</v>
      </c>
      <c r="K677" s="2878" t="s">
        <v>7269</v>
      </c>
      <c r="L677" s="2628" t="str">
        <f t="shared" si="118"/>
        <v>Distinta</v>
      </c>
      <c r="M677" s="2634">
        <v>12</v>
      </c>
      <c r="N677" s="2634">
        <v>3</v>
      </c>
      <c r="O677" s="2634">
        <v>20</v>
      </c>
      <c r="P677" s="2628"/>
      <c r="Q677" s="2628"/>
      <c r="R677" s="2628" t="s">
        <v>1456</v>
      </c>
      <c r="S677" s="2628" t="s">
        <v>1456</v>
      </c>
      <c r="T677" s="2628" t="s">
        <v>1456</v>
      </c>
      <c r="U677" s="2628"/>
      <c r="V677" s="2878" t="s">
        <v>1579</v>
      </c>
      <c r="W677" s="2878"/>
      <c r="X677" s="2879" t="str">
        <f t="shared" si="97"/>
        <v>Grande</v>
      </c>
      <c r="Y677" s="2618">
        <f t="shared" si="119"/>
        <v>0</v>
      </c>
      <c r="Z677" s="1265" t="str">
        <f t="shared" si="99"/>
        <v/>
      </c>
      <c r="AB677" s="853" t="s">
        <v>2146</v>
      </c>
      <c r="AC677" s="2859" t="s">
        <v>7002</v>
      </c>
      <c r="AD677" s="2909"/>
      <c r="AE677" s="1259"/>
      <c r="AG677" s="853" t="str">
        <f t="shared" si="100"/>
        <v/>
      </c>
      <c r="AH677" s="78" t="str">
        <f t="shared" si="101"/>
        <v/>
      </c>
      <c r="AI677" s="78" t="str">
        <f t="shared" si="102"/>
        <v>Koncerz</v>
      </c>
      <c r="AJ677" s="1256">
        <f>IF(OR($L677=AJ$635,$L677="",$D677=$AL$634),MAX(AJ$637:AJ676)+1,0)</f>
        <v>0</v>
      </c>
      <c r="AK677" s="1257">
        <f>IF(OR($L677=AK$635,$L677="",$D677=$AL$634),MAX(AK$637:AK676)+1,0)</f>
        <v>0</v>
      </c>
      <c r="AL677" s="1258">
        <f>IF(OR($L677=AL$635,$L677="",$D677=$AL$634),MAX(AL$637:AL676)+1,0)</f>
        <v>32</v>
      </c>
      <c r="AM677" s="6225"/>
      <c r="AN677" s="853" t="str">
        <f t="shared" si="103"/>
        <v/>
      </c>
      <c r="AO677" s="78" t="str">
        <f t="shared" si="104"/>
        <v/>
      </c>
      <c r="AP677" s="78" t="str">
        <f t="shared" si="105"/>
        <v>Koncerz</v>
      </c>
      <c r="AQ677" s="1256">
        <f>IF(OR($L677=AQ$635,$L677="",$D677=$AS$634),MAX(AQ$637:AQ676)+1,0)</f>
        <v>0</v>
      </c>
      <c r="AR677" s="1257">
        <f>IF(OR($L677=AR$635,$L677="",$D677=$AS$634),MAX(AR$637:AR676)+1,0)</f>
        <v>0</v>
      </c>
      <c r="AS677" s="1258">
        <f>IF(OR($L677=AS$635,$L677="",$D677=$AS$634),MAX(AS$637:AS676)+1,0)</f>
        <v>32</v>
      </c>
      <c r="AT677" s="6225"/>
      <c r="AU677" s="853" t="str">
        <f t="shared" si="106"/>
        <v/>
      </c>
      <c r="AV677" s="78" t="str">
        <f t="shared" si="107"/>
        <v/>
      </c>
      <c r="AW677" s="78" t="str">
        <f t="shared" si="108"/>
        <v>Koncerz</v>
      </c>
      <c r="AX677" s="1256">
        <f>IF(OR($L677=AX$635,$L677="",$D677=$AZ$634),MAX(AX$637:AX676)+1,0)</f>
        <v>0</v>
      </c>
      <c r="AY677" s="1257">
        <f>IF(OR($L677=AY$635,$L677="",$D677=$AZ$634),MAX(AY$637:AY676)+1,0)</f>
        <v>0</v>
      </c>
      <c r="AZ677" s="1258">
        <f>IF(OR($L677=AZ$635,$L677="",$D677=$AZ$634),MAX(AZ$637:AZ676)+1,0)</f>
        <v>32</v>
      </c>
      <c r="BA677" s="6225"/>
      <c r="BB677" s="853" t="str">
        <f t="shared" si="109"/>
        <v/>
      </c>
      <c r="BC677" s="78" t="str">
        <f t="shared" si="110"/>
        <v/>
      </c>
      <c r="BD677" s="78" t="str">
        <f t="shared" si="111"/>
        <v>Koncerz</v>
      </c>
      <c r="BE677" s="1256">
        <f>IF(OR($L677=BE$635,$L677="",$D677=$BG$634),MAX(BE$637:BE676)+1,0)</f>
        <v>0</v>
      </c>
      <c r="BF677" s="1257">
        <f>IF(OR($L677=BF$635,$L677="",$D677=$BG$634),MAX(BF$637:BF676)+1,0)</f>
        <v>0</v>
      </c>
      <c r="BG677" s="1258">
        <f>IF(OR($L677=BG$635,$L677="",$D677=$BG$634),MAX(BG$637:BG676)+1,0)</f>
        <v>32</v>
      </c>
      <c r="BH677" s="6225"/>
      <c r="BI677" s="853" t="str">
        <f t="shared" si="112"/>
        <v/>
      </c>
      <c r="BJ677" s="78" t="str">
        <f t="shared" si="113"/>
        <v/>
      </c>
      <c r="BK677" s="78" t="str">
        <f t="shared" si="114"/>
        <v>Koncerz</v>
      </c>
      <c r="BL677" s="1256">
        <f>IF(OR($L677=BL$635,$L677="",$D677=$BN$634),MAX(BL$637:BL676)+1,0)</f>
        <v>0</v>
      </c>
      <c r="BM677" s="1257">
        <f>IF(OR($L677=BM$635,$L677="",$D677=$BN$634),MAX(BM$637:BM676)+1,0)</f>
        <v>0</v>
      </c>
      <c r="BN677" s="1258">
        <f>IF(OR($L677=BN$635,$L677="",$D677=$BN$634),MAX(BN$637:BN676)+1,0)</f>
        <v>32</v>
      </c>
      <c r="BO677" s="6225"/>
      <c r="BP677" s="853" t="str">
        <f t="shared" si="115"/>
        <v/>
      </c>
      <c r="BQ677" s="78" t="str">
        <f t="shared" si="116"/>
        <v/>
      </c>
      <c r="BR677" s="78" t="str">
        <f t="shared" si="117"/>
        <v>Koncerz</v>
      </c>
      <c r="BS677" s="1256">
        <f>IF(OR($L677=BS$635,$L677="",$D677=$BU$634),MAX(BS$637:BS676)+1,0)</f>
        <v>0</v>
      </c>
      <c r="BT677" s="1257">
        <f>IF(OR($L677=BT$635,$L677="",$D677=$BU$634),MAX(BT$637:BT676)+1,0)</f>
        <v>0</v>
      </c>
      <c r="BU677" s="1258">
        <f>IF(OR($L677=BU$635,$L677="",$D677=$BU$634),MAX(BU$637:BU676)+1,0)</f>
        <v>32</v>
      </c>
    </row>
    <row r="678" spans="1:73" ht="12.75" customHeight="1" x14ac:dyDescent="0.2">
      <c r="A678" s="227">
        <v>678</v>
      </c>
      <c r="B678" s="5988"/>
      <c r="C678" s="1146"/>
      <c r="D678" s="2629" t="s">
        <v>2142</v>
      </c>
      <c r="E678" s="2633">
        <v>70</v>
      </c>
      <c r="F678" s="2628">
        <v>-35</v>
      </c>
      <c r="G678" s="2628">
        <v>10</v>
      </c>
      <c r="H678" s="2628">
        <v>7</v>
      </c>
      <c r="I678" s="2628" t="s">
        <v>1498</v>
      </c>
      <c r="J678" s="2628" t="s">
        <v>1456</v>
      </c>
      <c r="K678" s="2878" t="s">
        <v>7268</v>
      </c>
      <c r="L678" s="2628" t="str">
        <f t="shared" si="118"/>
        <v>Distinta</v>
      </c>
      <c r="M678" s="2634">
        <v>16</v>
      </c>
      <c r="N678" s="2634">
        <v>6</v>
      </c>
      <c r="O678" s="2634">
        <v>20</v>
      </c>
      <c r="P678" s="2628"/>
      <c r="Q678" s="2628"/>
      <c r="R678" s="2628" t="s">
        <v>1456</v>
      </c>
      <c r="S678" s="2628" t="s">
        <v>1456</v>
      </c>
      <c r="T678" s="2628" t="s">
        <v>1456</v>
      </c>
      <c r="U678" s="2628"/>
      <c r="V678" s="2878" t="s">
        <v>2130</v>
      </c>
      <c r="W678" s="2878"/>
      <c r="X678" s="2879" t="str">
        <f t="shared" si="97"/>
        <v>Mediana</v>
      </c>
      <c r="Y678" s="2618">
        <f t="shared" si="119"/>
        <v>0</v>
      </c>
      <c r="Z678" s="1265" t="str">
        <f t="shared" si="99"/>
        <v/>
      </c>
      <c r="AB678" s="853" t="s">
        <v>2147</v>
      </c>
      <c r="AC678" s="2859" t="s">
        <v>7003</v>
      </c>
      <c r="AD678" s="2909"/>
      <c r="AE678" s="1259"/>
      <c r="AG678" s="853" t="str">
        <f t="shared" si="100"/>
        <v/>
      </c>
      <c r="AH678" s="78" t="str">
        <f t="shared" si="101"/>
        <v/>
      </c>
      <c r="AI678" s="78" t="str">
        <f t="shared" si="102"/>
        <v>Kukri</v>
      </c>
      <c r="AJ678" s="1256">
        <f>IF(OR($L678=AJ$635,$L678="",$D678=$AL$634),MAX(AJ$637:AJ677)+1,0)</f>
        <v>0</v>
      </c>
      <c r="AK678" s="1257">
        <f>IF(OR($L678=AK$635,$L678="",$D678=$AL$634),MAX(AK$637:AK677)+1,0)</f>
        <v>0</v>
      </c>
      <c r="AL678" s="1258">
        <f>IF(OR($L678=AL$635,$L678="",$D678=$AL$634),MAX(AL$637:AL677)+1,0)</f>
        <v>33</v>
      </c>
      <c r="AM678" s="6225"/>
      <c r="AN678" s="853" t="str">
        <f t="shared" si="103"/>
        <v/>
      </c>
      <c r="AO678" s="78" t="str">
        <f t="shared" si="104"/>
        <v/>
      </c>
      <c r="AP678" s="78" t="str">
        <f t="shared" si="105"/>
        <v>Kukri</v>
      </c>
      <c r="AQ678" s="1256">
        <f>IF(OR($L678=AQ$635,$L678="",$D678=$AS$634),MAX(AQ$637:AQ677)+1,0)</f>
        <v>0</v>
      </c>
      <c r="AR678" s="1257">
        <f>IF(OR($L678=AR$635,$L678="",$D678=$AS$634),MAX(AR$637:AR677)+1,0)</f>
        <v>0</v>
      </c>
      <c r="AS678" s="1258">
        <f>IF(OR($L678=AS$635,$L678="",$D678=$AS$634),MAX(AS$637:AS677)+1,0)</f>
        <v>33</v>
      </c>
      <c r="AT678" s="6225"/>
      <c r="AU678" s="853" t="str">
        <f t="shared" si="106"/>
        <v/>
      </c>
      <c r="AV678" s="78" t="str">
        <f t="shared" si="107"/>
        <v/>
      </c>
      <c r="AW678" s="78" t="str">
        <f t="shared" si="108"/>
        <v>Kukri</v>
      </c>
      <c r="AX678" s="1256">
        <f>IF(OR($L678=AX$635,$L678="",$D678=$AZ$634),MAX(AX$637:AX677)+1,0)</f>
        <v>0</v>
      </c>
      <c r="AY678" s="1257">
        <f>IF(OR($L678=AY$635,$L678="",$D678=$AZ$634),MAX(AY$637:AY677)+1,0)</f>
        <v>0</v>
      </c>
      <c r="AZ678" s="1258">
        <f>IF(OR($L678=AZ$635,$L678="",$D678=$AZ$634),MAX(AZ$637:AZ677)+1,0)</f>
        <v>33</v>
      </c>
      <c r="BA678" s="6225"/>
      <c r="BB678" s="853" t="str">
        <f t="shared" si="109"/>
        <v/>
      </c>
      <c r="BC678" s="78" t="str">
        <f t="shared" si="110"/>
        <v/>
      </c>
      <c r="BD678" s="78" t="str">
        <f t="shared" si="111"/>
        <v>Kukri</v>
      </c>
      <c r="BE678" s="1256">
        <f>IF(OR($L678=BE$635,$L678="",$D678=$BG$634),MAX(BE$637:BE677)+1,0)</f>
        <v>0</v>
      </c>
      <c r="BF678" s="1257">
        <f>IF(OR($L678=BF$635,$L678="",$D678=$BG$634),MAX(BF$637:BF677)+1,0)</f>
        <v>0</v>
      </c>
      <c r="BG678" s="1258">
        <f>IF(OR($L678=BG$635,$L678="",$D678=$BG$634),MAX(BG$637:BG677)+1,0)</f>
        <v>33</v>
      </c>
      <c r="BH678" s="6225"/>
      <c r="BI678" s="853" t="str">
        <f t="shared" si="112"/>
        <v/>
      </c>
      <c r="BJ678" s="78" t="str">
        <f t="shared" si="113"/>
        <v/>
      </c>
      <c r="BK678" s="78" t="str">
        <f t="shared" si="114"/>
        <v>Kukri</v>
      </c>
      <c r="BL678" s="1256">
        <f>IF(OR($L678=BL$635,$L678="",$D678=$BN$634),MAX(BL$637:BL677)+1,0)</f>
        <v>0</v>
      </c>
      <c r="BM678" s="1257">
        <f>IF(OR($L678=BM$635,$L678="",$D678=$BN$634),MAX(BM$637:BM677)+1,0)</f>
        <v>0</v>
      </c>
      <c r="BN678" s="1258">
        <f>IF(OR($L678=BN$635,$L678="",$D678=$BN$634),MAX(BN$637:BN677)+1,0)</f>
        <v>33</v>
      </c>
      <c r="BO678" s="6225"/>
      <c r="BP678" s="853" t="str">
        <f t="shared" si="115"/>
        <v/>
      </c>
      <c r="BQ678" s="78" t="str">
        <f t="shared" si="116"/>
        <v/>
      </c>
      <c r="BR678" s="78" t="str">
        <f t="shared" si="117"/>
        <v>Kukri</v>
      </c>
      <c r="BS678" s="1256">
        <f>IF(OR($L678=BS$635,$L678="",$D678=$BU$634),MAX(BS$637:BS677)+1,0)</f>
        <v>0</v>
      </c>
      <c r="BT678" s="1257">
        <f>IF(OR($L678=BT$635,$L678="",$D678=$BU$634),MAX(BT$637:BT677)+1,0)</f>
        <v>0</v>
      </c>
      <c r="BU678" s="1258">
        <f>IF(OR($L678=BU$635,$L678="",$D678=$BU$634),MAX(BU$637:BU677)+1,0)</f>
        <v>33</v>
      </c>
    </row>
    <row r="679" spans="1:73" ht="12.75" customHeight="1" x14ac:dyDescent="0.2">
      <c r="A679" s="227">
        <v>679</v>
      </c>
      <c r="B679" s="5988"/>
      <c r="C679" s="1146"/>
      <c r="D679" s="2629" t="s">
        <v>2143</v>
      </c>
      <c r="E679" s="2633">
        <v>35</v>
      </c>
      <c r="F679" s="2628">
        <v>0</v>
      </c>
      <c r="G679" s="2628">
        <v>9</v>
      </c>
      <c r="H679" s="2628">
        <v>5</v>
      </c>
      <c r="I679" s="2628" t="s">
        <v>1551</v>
      </c>
      <c r="J679" s="2628" t="s">
        <v>1498</v>
      </c>
      <c r="K679" s="2878" t="s">
        <v>7261</v>
      </c>
      <c r="L679" s="2628" t="str">
        <f t="shared" si="118"/>
        <v>Mixta</v>
      </c>
      <c r="M679" s="2634">
        <v>12</v>
      </c>
      <c r="N679" s="2634">
        <v>2</v>
      </c>
      <c r="O679" s="2634">
        <v>25</v>
      </c>
      <c r="P679" s="2628"/>
      <c r="Q679" s="2628"/>
      <c r="R679" s="2628" t="s">
        <v>1456</v>
      </c>
      <c r="S679" s="2628" t="s">
        <v>1456</v>
      </c>
      <c r="T679" s="2628" t="s">
        <v>1456</v>
      </c>
      <c r="U679" s="2628"/>
      <c r="V679" s="2878" t="s">
        <v>2130</v>
      </c>
      <c r="W679" s="2878"/>
      <c r="X679" s="2879" t="str">
        <f t="shared" si="97"/>
        <v>Grande</v>
      </c>
      <c r="Y679" s="2618">
        <f t="shared" si="119"/>
        <v>0</v>
      </c>
      <c r="Z679" s="1265" t="str">
        <f t="shared" si="99"/>
        <v/>
      </c>
      <c r="AB679" s="853" t="s">
        <v>7005</v>
      </c>
      <c r="AC679" s="2859" t="s">
        <v>7004</v>
      </c>
      <c r="AD679" s="2909"/>
      <c r="AE679" s="1259"/>
      <c r="AG679" s="853" t="str">
        <f t="shared" si="100"/>
        <v/>
      </c>
      <c r="AH679" s="78" t="str">
        <f t="shared" si="101"/>
        <v/>
      </c>
      <c r="AI679" s="78" t="str">
        <f t="shared" si="102"/>
        <v>Látigo</v>
      </c>
      <c r="AJ679" s="1256">
        <f>IF(OR($L679=AJ$635,$L679="",$D679=$AL$634),MAX(AJ$637:AJ678)+1,0)</f>
        <v>0</v>
      </c>
      <c r="AK679" s="1257">
        <f>IF(OR($L679=AK$635,$L679="",$D679=$AL$634),MAX(AK$637:AK678)+1,0)</f>
        <v>4</v>
      </c>
      <c r="AL679" s="1258">
        <f>IF(OR($L679=AL$635,$L679="",$D679=$AL$634),MAX(AL$637:AL678)+1,0)</f>
        <v>0</v>
      </c>
      <c r="AM679" s="6225"/>
      <c r="AN679" s="853" t="str">
        <f t="shared" si="103"/>
        <v/>
      </c>
      <c r="AO679" s="78" t="str">
        <f t="shared" si="104"/>
        <v/>
      </c>
      <c r="AP679" s="78" t="str">
        <f t="shared" si="105"/>
        <v>Látigo</v>
      </c>
      <c r="AQ679" s="1256">
        <f>IF(OR($L679=AQ$635,$L679="",$D679=$AS$634),MAX(AQ$637:AQ678)+1,0)</f>
        <v>0</v>
      </c>
      <c r="AR679" s="1257">
        <f>IF(OR($L679=AR$635,$L679="",$D679=$AS$634),MAX(AR$637:AR678)+1,0)</f>
        <v>4</v>
      </c>
      <c r="AS679" s="1258">
        <f>IF(OR($L679=AS$635,$L679="",$D679=$AS$634),MAX(AS$637:AS678)+1,0)</f>
        <v>0</v>
      </c>
      <c r="AT679" s="6225"/>
      <c r="AU679" s="853" t="str">
        <f t="shared" si="106"/>
        <v/>
      </c>
      <c r="AV679" s="78" t="str">
        <f t="shared" si="107"/>
        <v/>
      </c>
      <c r="AW679" s="78" t="str">
        <f t="shared" si="108"/>
        <v>Látigo</v>
      </c>
      <c r="AX679" s="1256">
        <f>IF(OR($L679=AX$635,$L679="",$D679=$AZ$634),MAX(AX$637:AX678)+1,0)</f>
        <v>0</v>
      </c>
      <c r="AY679" s="1257">
        <f>IF(OR($L679=AY$635,$L679="",$D679=$AZ$634),MAX(AY$637:AY678)+1,0)</f>
        <v>4</v>
      </c>
      <c r="AZ679" s="1258">
        <f>IF(OR($L679=AZ$635,$L679="",$D679=$AZ$634),MAX(AZ$637:AZ678)+1,0)</f>
        <v>0</v>
      </c>
      <c r="BA679" s="6225"/>
      <c r="BB679" s="853" t="str">
        <f t="shared" si="109"/>
        <v/>
      </c>
      <c r="BC679" s="78" t="str">
        <f t="shared" si="110"/>
        <v/>
      </c>
      <c r="BD679" s="78" t="str">
        <f t="shared" si="111"/>
        <v>Látigo</v>
      </c>
      <c r="BE679" s="1256">
        <f>IF(OR($L679=BE$635,$L679="",$D679=$BG$634),MAX(BE$637:BE678)+1,0)</f>
        <v>0</v>
      </c>
      <c r="BF679" s="1257">
        <f>IF(OR($L679=BF$635,$L679="",$D679=$BG$634),MAX(BF$637:BF678)+1,0)</f>
        <v>4</v>
      </c>
      <c r="BG679" s="1258">
        <f>IF(OR($L679=BG$635,$L679="",$D679=$BG$634),MAX(BG$637:BG678)+1,0)</f>
        <v>0</v>
      </c>
      <c r="BH679" s="6225"/>
      <c r="BI679" s="853" t="str">
        <f t="shared" si="112"/>
        <v/>
      </c>
      <c r="BJ679" s="78" t="str">
        <f t="shared" si="113"/>
        <v/>
      </c>
      <c r="BK679" s="78" t="str">
        <f t="shared" si="114"/>
        <v>Látigo</v>
      </c>
      <c r="BL679" s="1256">
        <f>IF(OR($L679=BL$635,$L679="",$D679=$BN$634),MAX(BL$637:BL678)+1,0)</f>
        <v>0</v>
      </c>
      <c r="BM679" s="1257">
        <f>IF(OR($L679=BM$635,$L679="",$D679=$BN$634),MAX(BM$637:BM678)+1,0)</f>
        <v>4</v>
      </c>
      <c r="BN679" s="1258">
        <f>IF(OR($L679=BN$635,$L679="",$D679=$BN$634),MAX(BN$637:BN678)+1,0)</f>
        <v>0</v>
      </c>
      <c r="BO679" s="6225"/>
      <c r="BP679" s="853" t="str">
        <f t="shared" si="115"/>
        <v/>
      </c>
      <c r="BQ679" s="78" t="str">
        <f t="shared" si="116"/>
        <v/>
      </c>
      <c r="BR679" s="78" t="str">
        <f t="shared" si="117"/>
        <v>Látigo</v>
      </c>
      <c r="BS679" s="1256">
        <f>IF(OR($L679=BS$635,$L679="",$D679=$BU$634),MAX(BS$637:BS678)+1,0)</f>
        <v>0</v>
      </c>
      <c r="BT679" s="1257">
        <f>IF(OR($L679=BT$635,$L679="",$D679=$BU$634),MAX(BT$637:BT678)+1,0)</f>
        <v>4</v>
      </c>
      <c r="BU679" s="1258">
        <f>IF(OR($L679=BU$635,$L679="",$D679=$BU$634),MAX(BU$637:BU678)+1,0)</f>
        <v>0</v>
      </c>
    </row>
    <row r="680" spans="1:73" ht="12.75" customHeight="1" x14ac:dyDescent="0.2">
      <c r="A680" s="227">
        <v>680</v>
      </c>
      <c r="B680" s="5988"/>
      <c r="C680" s="1146"/>
      <c r="D680" s="2629" t="s">
        <v>6991</v>
      </c>
      <c r="E680" s="2633">
        <v>65</v>
      </c>
      <c r="F680" s="2628">
        <v>-20</v>
      </c>
      <c r="G680" s="2628">
        <v>11</v>
      </c>
      <c r="H680" s="2628">
        <v>7</v>
      </c>
      <c r="I680" s="2628" t="s">
        <v>1551</v>
      </c>
      <c r="J680" s="2628" t="s">
        <v>1552</v>
      </c>
      <c r="K680" s="2878" t="s">
        <v>7262</v>
      </c>
      <c r="L680" s="2628" t="str">
        <f t="shared" si="118"/>
        <v>Similar</v>
      </c>
      <c r="M680" s="2634">
        <v>13</v>
      </c>
      <c r="N680" s="2634">
        <v>3</v>
      </c>
      <c r="O680" s="2634">
        <v>20</v>
      </c>
      <c r="P680" s="2628"/>
      <c r="Q680" s="2628"/>
      <c r="R680" s="2628" t="s">
        <v>1456</v>
      </c>
      <c r="S680" s="2628" t="s">
        <v>1456</v>
      </c>
      <c r="T680" s="2628" t="s">
        <v>1456</v>
      </c>
      <c r="U680" s="2628"/>
      <c r="V680" s="2878" t="s">
        <v>1579</v>
      </c>
      <c r="W680" s="2878"/>
      <c r="X680" s="2879" t="str">
        <f t="shared" si="97"/>
        <v>Grande</v>
      </c>
      <c r="Y680" s="2618">
        <f t="shared" si="119"/>
        <v>0</v>
      </c>
      <c r="Z680" s="1265" t="str">
        <f t="shared" si="99"/>
        <v/>
      </c>
      <c r="AB680" s="853" t="s">
        <v>2148</v>
      </c>
      <c r="AC680" s="2859" t="s">
        <v>2186</v>
      </c>
      <c r="AD680" s="2909"/>
      <c r="AE680" s="1259"/>
      <c r="AG680" s="853" t="str">
        <f t="shared" si="100"/>
        <v/>
      </c>
      <c r="AH680" s="78" t="str">
        <f t="shared" si="101"/>
        <v/>
      </c>
      <c r="AI680" s="78" t="str">
        <f t="shared" si="102"/>
        <v>Lazo</v>
      </c>
      <c r="AJ680" s="1256">
        <f>IF(OR($L680=AJ$635,$L680="",$D680=$AL$634),MAX(AJ$637:AJ679)+1,0)</f>
        <v>7</v>
      </c>
      <c r="AK680" s="1257">
        <f>IF(OR($L680=AK$635,$L680="",$D680=$AL$634),MAX(AK$637:AK679)+1,0)</f>
        <v>0</v>
      </c>
      <c r="AL680" s="1258">
        <f>IF(OR($L680=AL$635,$L680="",$D680=$AL$634),MAX(AL$637:AL679)+1,0)</f>
        <v>0</v>
      </c>
      <c r="AM680" s="6225"/>
      <c r="AN680" s="853" t="str">
        <f t="shared" si="103"/>
        <v/>
      </c>
      <c r="AO680" s="78" t="str">
        <f t="shared" si="104"/>
        <v/>
      </c>
      <c r="AP680" s="78" t="str">
        <f t="shared" si="105"/>
        <v>Lazo</v>
      </c>
      <c r="AQ680" s="1256">
        <f>IF(OR($L680=AQ$635,$L680="",$D680=$AS$634),MAX(AQ$637:AQ679)+1,0)</f>
        <v>7</v>
      </c>
      <c r="AR680" s="1257">
        <f>IF(OR($L680=AR$635,$L680="",$D680=$AS$634),MAX(AR$637:AR679)+1,0)</f>
        <v>0</v>
      </c>
      <c r="AS680" s="1258">
        <f>IF(OR($L680=AS$635,$L680="",$D680=$AS$634),MAX(AS$637:AS679)+1,0)</f>
        <v>0</v>
      </c>
      <c r="AT680" s="6225"/>
      <c r="AU680" s="853" t="str">
        <f t="shared" si="106"/>
        <v/>
      </c>
      <c r="AV680" s="78" t="str">
        <f t="shared" si="107"/>
        <v/>
      </c>
      <c r="AW680" s="78" t="str">
        <f t="shared" si="108"/>
        <v>Lazo</v>
      </c>
      <c r="AX680" s="1256">
        <f>IF(OR($L680=AX$635,$L680="",$D680=$AZ$634),MAX(AX$637:AX679)+1,0)</f>
        <v>7</v>
      </c>
      <c r="AY680" s="1257">
        <f>IF(OR($L680=AY$635,$L680="",$D680=$AZ$634),MAX(AY$637:AY679)+1,0)</f>
        <v>0</v>
      </c>
      <c r="AZ680" s="1258">
        <f>IF(OR($L680=AZ$635,$L680="",$D680=$AZ$634),MAX(AZ$637:AZ679)+1,0)</f>
        <v>0</v>
      </c>
      <c r="BA680" s="6225"/>
      <c r="BB680" s="853" t="str">
        <f t="shared" si="109"/>
        <v/>
      </c>
      <c r="BC680" s="78" t="str">
        <f t="shared" si="110"/>
        <v/>
      </c>
      <c r="BD680" s="78" t="str">
        <f t="shared" si="111"/>
        <v>Lazo</v>
      </c>
      <c r="BE680" s="1256">
        <f>IF(OR($L680=BE$635,$L680="",$D680=$BG$634),MAX(BE$637:BE679)+1,0)</f>
        <v>7</v>
      </c>
      <c r="BF680" s="1257">
        <f>IF(OR($L680=BF$635,$L680="",$D680=$BG$634),MAX(BF$637:BF679)+1,0)</f>
        <v>0</v>
      </c>
      <c r="BG680" s="1258">
        <f>IF(OR($L680=BG$635,$L680="",$D680=$BG$634),MAX(BG$637:BG679)+1,0)</f>
        <v>0</v>
      </c>
      <c r="BH680" s="6225"/>
      <c r="BI680" s="853" t="str">
        <f t="shared" si="112"/>
        <v/>
      </c>
      <c r="BJ680" s="78" t="str">
        <f t="shared" si="113"/>
        <v/>
      </c>
      <c r="BK680" s="78" t="str">
        <f t="shared" si="114"/>
        <v>Lazo</v>
      </c>
      <c r="BL680" s="1256">
        <f>IF(OR($L680=BL$635,$L680="",$D680=$BN$634),MAX(BL$637:BL679)+1,0)</f>
        <v>7</v>
      </c>
      <c r="BM680" s="1257">
        <f>IF(OR($L680=BM$635,$L680="",$D680=$BN$634),MAX(BM$637:BM679)+1,0)</f>
        <v>0</v>
      </c>
      <c r="BN680" s="1258">
        <f>IF(OR($L680=BN$635,$L680="",$D680=$BN$634),MAX(BN$637:BN679)+1,0)</f>
        <v>0</v>
      </c>
      <c r="BO680" s="6225"/>
      <c r="BP680" s="853" t="str">
        <f t="shared" si="115"/>
        <v/>
      </c>
      <c r="BQ680" s="78" t="str">
        <f t="shared" si="116"/>
        <v/>
      </c>
      <c r="BR680" s="78" t="str">
        <f t="shared" si="117"/>
        <v>Lazo</v>
      </c>
      <c r="BS680" s="1256">
        <f>IF(OR($L680=BS$635,$L680="",$D680=$BU$634),MAX(BS$637:BS679)+1,0)</f>
        <v>7</v>
      </c>
      <c r="BT680" s="1257">
        <f>IF(OR($L680=BT$635,$L680="",$D680=$BU$634),MAX(BT$637:BT679)+1,0)</f>
        <v>0</v>
      </c>
      <c r="BU680" s="1258">
        <f>IF(OR($L680=BU$635,$L680="",$D680=$BU$634),MAX(BU$637:BU679)+1,0)</f>
        <v>0</v>
      </c>
    </row>
    <row r="681" spans="1:73" ht="12.75" customHeight="1" x14ac:dyDescent="0.2">
      <c r="A681" s="227">
        <v>681</v>
      </c>
      <c r="B681" s="5988"/>
      <c r="C681" s="1146"/>
      <c r="D681" s="2629" t="s">
        <v>2144</v>
      </c>
      <c r="E681" s="2633">
        <v>100</v>
      </c>
      <c r="F681" s="2628">
        <v>-70</v>
      </c>
      <c r="G681" s="2628">
        <v>11</v>
      </c>
      <c r="H681" s="2628">
        <v>9</v>
      </c>
      <c r="I681" s="2628" t="s">
        <v>1551</v>
      </c>
      <c r="J681" s="2628" t="s">
        <v>1498</v>
      </c>
      <c r="K681" s="2878" t="s">
        <v>7273</v>
      </c>
      <c r="L681" s="2628" t="str">
        <f t="shared" si="118"/>
        <v>Distinta</v>
      </c>
      <c r="M681" s="2634">
        <v>17</v>
      </c>
      <c r="N681" s="2634">
        <v>7</v>
      </c>
      <c r="O681" s="2634">
        <v>30</v>
      </c>
      <c r="P681" s="2628"/>
      <c r="Q681" s="2628"/>
      <c r="R681" s="2628" t="s">
        <v>1456</v>
      </c>
      <c r="S681" s="2628" t="s">
        <v>1456</v>
      </c>
      <c r="T681" s="2628" t="s">
        <v>1456</v>
      </c>
      <c r="U681" s="2628"/>
      <c r="V681" s="2878" t="s">
        <v>2130</v>
      </c>
      <c r="W681" s="2878"/>
      <c r="X681" s="2879" t="str">
        <f t="shared" si="97"/>
        <v>Grande</v>
      </c>
      <c r="Y681" s="2618">
        <f t="shared" si="119"/>
        <v>0</v>
      </c>
      <c r="Z681" s="1265" t="str">
        <f t="shared" si="99"/>
        <v/>
      </c>
      <c r="AB681" s="853" t="s">
        <v>7008</v>
      </c>
      <c r="AC681" s="2859" t="s">
        <v>2188</v>
      </c>
      <c r="AD681" s="2909"/>
      <c r="AE681" s="1259"/>
      <c r="AG681" s="853" t="str">
        <f t="shared" si="100"/>
        <v/>
      </c>
      <c r="AH681" s="78" t="str">
        <f t="shared" si="101"/>
        <v/>
      </c>
      <c r="AI681" s="78" t="str">
        <f t="shared" si="102"/>
        <v>Liu Xing Chui</v>
      </c>
      <c r="AJ681" s="1256">
        <f>IF(OR($L681=AJ$635,$L681="",$D681=$AL$634),MAX(AJ$637:AJ680)+1,0)</f>
        <v>0</v>
      </c>
      <c r="AK681" s="1257">
        <f>IF(OR($L681=AK$635,$L681="",$D681=$AL$634),MAX(AK$637:AK680)+1,0)</f>
        <v>0</v>
      </c>
      <c r="AL681" s="1258">
        <f>IF(OR($L681=AL$635,$L681="",$D681=$AL$634),MAX(AL$637:AL680)+1,0)</f>
        <v>34</v>
      </c>
      <c r="AM681" s="6225"/>
      <c r="AN681" s="853" t="str">
        <f t="shared" si="103"/>
        <v/>
      </c>
      <c r="AO681" s="78" t="str">
        <f t="shared" si="104"/>
        <v/>
      </c>
      <c r="AP681" s="78" t="str">
        <f t="shared" si="105"/>
        <v>Liu Xing Chui</v>
      </c>
      <c r="AQ681" s="1256">
        <f>IF(OR($L681=AQ$635,$L681="",$D681=$AS$634),MAX(AQ$637:AQ680)+1,0)</f>
        <v>0</v>
      </c>
      <c r="AR681" s="1257">
        <f>IF(OR($L681=AR$635,$L681="",$D681=$AS$634),MAX(AR$637:AR680)+1,0)</f>
        <v>0</v>
      </c>
      <c r="AS681" s="1258">
        <f>IF(OR($L681=AS$635,$L681="",$D681=$AS$634),MAX(AS$637:AS680)+1,0)</f>
        <v>34</v>
      </c>
      <c r="AT681" s="6225"/>
      <c r="AU681" s="853" t="str">
        <f t="shared" si="106"/>
        <v/>
      </c>
      <c r="AV681" s="78" t="str">
        <f t="shared" si="107"/>
        <v/>
      </c>
      <c r="AW681" s="78" t="str">
        <f t="shared" si="108"/>
        <v>Liu Xing Chui</v>
      </c>
      <c r="AX681" s="1256">
        <f>IF(OR($L681=AX$635,$L681="",$D681=$AZ$634),MAX(AX$637:AX680)+1,0)</f>
        <v>0</v>
      </c>
      <c r="AY681" s="1257">
        <f>IF(OR($L681=AY$635,$L681="",$D681=$AZ$634),MAX(AY$637:AY680)+1,0)</f>
        <v>0</v>
      </c>
      <c r="AZ681" s="1258">
        <f>IF(OR($L681=AZ$635,$L681="",$D681=$AZ$634),MAX(AZ$637:AZ680)+1,0)</f>
        <v>34</v>
      </c>
      <c r="BA681" s="6225"/>
      <c r="BB681" s="853" t="str">
        <f t="shared" si="109"/>
        <v/>
      </c>
      <c r="BC681" s="78" t="str">
        <f t="shared" si="110"/>
        <v/>
      </c>
      <c r="BD681" s="78" t="str">
        <f t="shared" si="111"/>
        <v>Liu Xing Chui</v>
      </c>
      <c r="BE681" s="1256">
        <f>IF(OR($L681=BE$635,$L681="",$D681=$BG$634),MAX(BE$637:BE680)+1,0)</f>
        <v>0</v>
      </c>
      <c r="BF681" s="1257">
        <f>IF(OR($L681=BF$635,$L681="",$D681=$BG$634),MAX(BF$637:BF680)+1,0)</f>
        <v>0</v>
      </c>
      <c r="BG681" s="1258">
        <f>IF(OR($L681=BG$635,$L681="",$D681=$BG$634),MAX(BG$637:BG680)+1,0)</f>
        <v>34</v>
      </c>
      <c r="BH681" s="6225"/>
      <c r="BI681" s="853" t="str">
        <f t="shared" si="112"/>
        <v/>
      </c>
      <c r="BJ681" s="78" t="str">
        <f t="shared" si="113"/>
        <v/>
      </c>
      <c r="BK681" s="78" t="str">
        <f t="shared" si="114"/>
        <v>Liu Xing Chui</v>
      </c>
      <c r="BL681" s="1256">
        <f>IF(OR($L681=BL$635,$L681="",$D681=$BN$634),MAX(BL$637:BL680)+1,0)</f>
        <v>0</v>
      </c>
      <c r="BM681" s="1257">
        <f>IF(OR($L681=BM$635,$L681="",$D681=$BN$634),MAX(BM$637:BM680)+1,0)</f>
        <v>0</v>
      </c>
      <c r="BN681" s="1258">
        <f>IF(OR($L681=BN$635,$L681="",$D681=$BN$634),MAX(BN$637:BN680)+1,0)</f>
        <v>34</v>
      </c>
      <c r="BO681" s="6225"/>
      <c r="BP681" s="853" t="str">
        <f t="shared" si="115"/>
        <v/>
      </c>
      <c r="BQ681" s="78" t="str">
        <f t="shared" si="116"/>
        <v/>
      </c>
      <c r="BR681" s="78" t="str">
        <f t="shared" si="117"/>
        <v>Liu Xing Chui</v>
      </c>
      <c r="BS681" s="1256">
        <f>IF(OR($L681=BS$635,$L681="",$D681=$BU$634),MAX(BS$637:BS680)+1,0)</f>
        <v>0</v>
      </c>
      <c r="BT681" s="1257">
        <f>IF(OR($L681=BT$635,$L681="",$D681=$BU$634),MAX(BT$637:BT680)+1,0)</f>
        <v>0</v>
      </c>
      <c r="BU681" s="1258">
        <f>IF(OR($L681=BU$635,$L681="",$D681=$BU$634),MAX(BU$637:BU680)+1,0)</f>
        <v>34</v>
      </c>
    </row>
    <row r="682" spans="1:73" ht="12.75" customHeight="1" x14ac:dyDescent="0.2">
      <c r="A682" s="227">
        <v>682</v>
      </c>
      <c r="B682" s="5988"/>
      <c r="C682" s="1146"/>
      <c r="D682" s="2629" t="s">
        <v>2146</v>
      </c>
      <c r="E682" s="2633">
        <v>70</v>
      </c>
      <c r="F682" s="2628">
        <v>-30</v>
      </c>
      <c r="G682" s="2628">
        <v>7</v>
      </c>
      <c r="H682" s="2628">
        <v>7</v>
      </c>
      <c r="I682" s="2628" t="s">
        <v>1551</v>
      </c>
      <c r="J682" s="2628" t="s">
        <v>1498</v>
      </c>
      <c r="K682" s="2878" t="s">
        <v>7274</v>
      </c>
      <c r="L682" s="2628" t="str">
        <f t="shared" si="118"/>
        <v>Distinta</v>
      </c>
      <c r="M682" s="2634">
        <v>15</v>
      </c>
      <c r="N682" s="2634">
        <v>5</v>
      </c>
      <c r="O682" s="2634">
        <v>25</v>
      </c>
      <c r="P682" s="2628"/>
      <c r="Q682" s="2628"/>
      <c r="R682" s="2634">
        <v>100</v>
      </c>
      <c r="S682" s="2628" t="s">
        <v>1456</v>
      </c>
      <c r="T682" s="2634">
        <v>5</v>
      </c>
      <c r="U682" s="2628"/>
      <c r="V682" s="2878" t="s">
        <v>8572</v>
      </c>
      <c r="W682" s="2878"/>
      <c r="X682" s="2879" t="str">
        <f t="shared" si="97"/>
        <v>Mediana</v>
      </c>
      <c r="Y682" s="2618">
        <f t="shared" si="119"/>
        <v>0</v>
      </c>
      <c r="Z682" s="1265" t="str">
        <f t="shared" si="99"/>
        <v/>
      </c>
      <c r="AB682" s="853" t="s">
        <v>7010</v>
      </c>
      <c r="AC682" s="2859" t="s">
        <v>7006</v>
      </c>
      <c r="AD682" s="2909"/>
      <c r="AE682" s="1259"/>
      <c r="AG682" s="853" t="str">
        <f t="shared" si="100"/>
        <v/>
      </c>
      <c r="AH682" s="78" t="str">
        <f t="shared" si="101"/>
        <v/>
      </c>
      <c r="AI682" s="78" t="str">
        <f t="shared" si="102"/>
        <v>Lujiaodao</v>
      </c>
      <c r="AJ682" s="1256">
        <f>IF(OR($L682=AJ$635,$L682="",$D682=$AL$634),MAX(AJ$637:AJ681)+1,0)</f>
        <v>0</v>
      </c>
      <c r="AK682" s="1257">
        <f>IF(OR($L682=AK$635,$L682="",$D682=$AL$634),MAX(AK$637:AK681)+1,0)</f>
        <v>0</v>
      </c>
      <c r="AL682" s="1258">
        <f>IF(OR($L682=AL$635,$L682="",$D682=$AL$634),MAX(AL$637:AL681)+1,0)</f>
        <v>35</v>
      </c>
      <c r="AM682" s="6225"/>
      <c r="AN682" s="853" t="str">
        <f t="shared" si="103"/>
        <v/>
      </c>
      <c r="AO682" s="78" t="str">
        <f t="shared" si="104"/>
        <v/>
      </c>
      <c r="AP682" s="78" t="str">
        <f t="shared" si="105"/>
        <v>Lujiaodao</v>
      </c>
      <c r="AQ682" s="1256">
        <f>IF(OR($L682=AQ$635,$L682="",$D682=$AS$634),MAX(AQ$637:AQ681)+1,0)</f>
        <v>0</v>
      </c>
      <c r="AR682" s="1257">
        <f>IF(OR($L682=AR$635,$L682="",$D682=$AS$634),MAX(AR$637:AR681)+1,0)</f>
        <v>0</v>
      </c>
      <c r="AS682" s="1258">
        <f>IF(OR($L682=AS$635,$L682="",$D682=$AS$634),MAX(AS$637:AS681)+1,0)</f>
        <v>35</v>
      </c>
      <c r="AT682" s="6225"/>
      <c r="AU682" s="853" t="str">
        <f t="shared" si="106"/>
        <v/>
      </c>
      <c r="AV682" s="78" t="str">
        <f t="shared" si="107"/>
        <v/>
      </c>
      <c r="AW682" s="78" t="str">
        <f t="shared" si="108"/>
        <v>Lujiaodao</v>
      </c>
      <c r="AX682" s="1256">
        <f>IF(OR($L682=AX$635,$L682="",$D682=$AZ$634),MAX(AX$637:AX681)+1,0)</f>
        <v>0</v>
      </c>
      <c r="AY682" s="1257">
        <f>IF(OR($L682=AY$635,$L682="",$D682=$AZ$634),MAX(AY$637:AY681)+1,0)</f>
        <v>0</v>
      </c>
      <c r="AZ682" s="1258">
        <f>IF(OR($L682=AZ$635,$L682="",$D682=$AZ$634),MAX(AZ$637:AZ681)+1,0)</f>
        <v>35</v>
      </c>
      <c r="BA682" s="6225"/>
      <c r="BB682" s="853" t="str">
        <f t="shared" si="109"/>
        <v/>
      </c>
      <c r="BC682" s="78" t="str">
        <f t="shared" si="110"/>
        <v/>
      </c>
      <c r="BD682" s="78" t="str">
        <f t="shared" si="111"/>
        <v>Lujiaodao</v>
      </c>
      <c r="BE682" s="1256">
        <f>IF(OR($L682=BE$635,$L682="",$D682=$BG$634),MAX(BE$637:BE681)+1,0)</f>
        <v>0</v>
      </c>
      <c r="BF682" s="1257">
        <f>IF(OR($L682=BF$635,$L682="",$D682=$BG$634),MAX(BF$637:BF681)+1,0)</f>
        <v>0</v>
      </c>
      <c r="BG682" s="1258">
        <f>IF(OR($L682=BG$635,$L682="",$D682=$BG$634),MAX(BG$637:BG681)+1,0)</f>
        <v>35</v>
      </c>
      <c r="BH682" s="6225"/>
      <c r="BI682" s="853" t="str">
        <f t="shared" si="112"/>
        <v/>
      </c>
      <c r="BJ682" s="78" t="str">
        <f t="shared" si="113"/>
        <v/>
      </c>
      <c r="BK682" s="78" t="str">
        <f t="shared" si="114"/>
        <v>Lujiaodao</v>
      </c>
      <c r="BL682" s="1256">
        <f>IF(OR($L682=BL$635,$L682="",$D682=$BN$634),MAX(BL$637:BL681)+1,0)</f>
        <v>0</v>
      </c>
      <c r="BM682" s="1257">
        <f>IF(OR($L682=BM$635,$L682="",$D682=$BN$634),MAX(BM$637:BM681)+1,0)</f>
        <v>0</v>
      </c>
      <c r="BN682" s="1258">
        <f>IF(OR($L682=BN$635,$L682="",$D682=$BN$634),MAX(BN$637:BN681)+1,0)</f>
        <v>35</v>
      </c>
      <c r="BO682" s="6225"/>
      <c r="BP682" s="853" t="str">
        <f t="shared" si="115"/>
        <v/>
      </c>
      <c r="BQ682" s="78" t="str">
        <f t="shared" si="116"/>
        <v/>
      </c>
      <c r="BR682" s="78" t="str">
        <f t="shared" si="117"/>
        <v>Lujiaodao</v>
      </c>
      <c r="BS682" s="1256">
        <f>IF(OR($L682=BS$635,$L682="",$D682=$BU$634),MAX(BS$637:BS681)+1,0)</f>
        <v>0</v>
      </c>
      <c r="BT682" s="1257">
        <f>IF(OR($L682=BT$635,$L682="",$D682=$BU$634),MAX(BT$637:BT681)+1,0)</f>
        <v>0</v>
      </c>
      <c r="BU682" s="1258">
        <f>IF(OR($L682=BU$635,$L682="",$D682=$BU$634),MAX(BU$637:BU681)+1,0)</f>
        <v>35</v>
      </c>
    </row>
    <row r="683" spans="1:73" ht="12.75" customHeight="1" x14ac:dyDescent="0.2">
      <c r="A683" s="227">
        <v>683</v>
      </c>
      <c r="B683" s="5988"/>
      <c r="C683" s="1146"/>
      <c r="D683" s="2629" t="s">
        <v>2147</v>
      </c>
      <c r="E683" s="2633">
        <v>45</v>
      </c>
      <c r="F683" s="2628">
        <v>0</v>
      </c>
      <c r="G683" s="2628">
        <v>5</v>
      </c>
      <c r="H683" s="2628">
        <v>5</v>
      </c>
      <c r="I683" s="2628" t="s">
        <v>1551</v>
      </c>
      <c r="J683" s="2628" t="s">
        <v>1456</v>
      </c>
      <c r="K683" s="2878" t="s">
        <v>7274</v>
      </c>
      <c r="L683" s="2628" t="str">
        <f t="shared" si="118"/>
        <v>Distinta</v>
      </c>
      <c r="M683" s="2634">
        <v>13</v>
      </c>
      <c r="N683" s="2634">
        <v>4</v>
      </c>
      <c r="O683" s="2634">
        <v>15</v>
      </c>
      <c r="P683" s="2628"/>
      <c r="Q683" s="2628"/>
      <c r="R683" s="2634">
        <v>80</v>
      </c>
      <c r="S683" s="2628" t="s">
        <v>1456</v>
      </c>
      <c r="T683" s="2634">
        <v>10</v>
      </c>
      <c r="U683" s="2628"/>
      <c r="V683" s="2878" t="s">
        <v>8573</v>
      </c>
      <c r="W683" s="2878"/>
      <c r="X683" s="2879" t="str">
        <f t="shared" si="97"/>
        <v>Mediana</v>
      </c>
      <c r="Y683" s="2618">
        <f t="shared" si="119"/>
        <v>0</v>
      </c>
      <c r="Z683" s="1265" t="str">
        <f t="shared" si="99"/>
        <v/>
      </c>
      <c r="AB683" s="853" t="s">
        <v>7011</v>
      </c>
      <c r="AC683" s="2859" t="s">
        <v>7007</v>
      </c>
      <c r="AD683" s="2909"/>
      <c r="AE683" s="1259"/>
      <c r="AG683" s="853" t="str">
        <f t="shared" si="100"/>
        <v/>
      </c>
      <c r="AH683" s="78" t="str">
        <f t="shared" si="101"/>
        <v/>
      </c>
      <c r="AI683" s="78" t="str">
        <f t="shared" si="102"/>
        <v>Mangual</v>
      </c>
      <c r="AJ683" s="1256">
        <f>IF(OR($L683=AJ$635,$L683="",$D683=$AL$634),MAX(AJ$637:AJ682)+1,0)</f>
        <v>0</v>
      </c>
      <c r="AK683" s="1257">
        <f>IF(OR($L683=AK$635,$L683="",$D683=$AL$634),MAX(AK$637:AK682)+1,0)</f>
        <v>0</v>
      </c>
      <c r="AL683" s="1258">
        <f>IF(OR($L683=AL$635,$L683="",$D683=$AL$634),MAX(AL$637:AL682)+1,0)</f>
        <v>36</v>
      </c>
      <c r="AM683" s="6225"/>
      <c r="AN683" s="853" t="str">
        <f t="shared" si="103"/>
        <v/>
      </c>
      <c r="AO683" s="78" t="str">
        <f t="shared" si="104"/>
        <v/>
      </c>
      <c r="AP683" s="78" t="str">
        <f t="shared" si="105"/>
        <v>Mangual</v>
      </c>
      <c r="AQ683" s="1256">
        <f>IF(OR($L683=AQ$635,$L683="",$D683=$AS$634),MAX(AQ$637:AQ682)+1,0)</f>
        <v>0</v>
      </c>
      <c r="AR683" s="1257">
        <f>IF(OR($L683=AR$635,$L683="",$D683=$AS$634),MAX(AR$637:AR682)+1,0)</f>
        <v>0</v>
      </c>
      <c r="AS683" s="1258">
        <f>IF(OR($L683=AS$635,$L683="",$D683=$AS$634),MAX(AS$637:AS682)+1,0)</f>
        <v>36</v>
      </c>
      <c r="AT683" s="6225"/>
      <c r="AU683" s="853" t="str">
        <f t="shared" si="106"/>
        <v/>
      </c>
      <c r="AV683" s="78" t="str">
        <f t="shared" si="107"/>
        <v/>
      </c>
      <c r="AW683" s="78" t="str">
        <f t="shared" si="108"/>
        <v>Mangual</v>
      </c>
      <c r="AX683" s="1256">
        <f>IF(OR($L683=AX$635,$L683="",$D683=$AZ$634),MAX(AX$637:AX682)+1,0)</f>
        <v>0</v>
      </c>
      <c r="AY683" s="1257">
        <f>IF(OR($L683=AY$635,$L683="",$D683=$AZ$634),MAX(AY$637:AY682)+1,0)</f>
        <v>0</v>
      </c>
      <c r="AZ683" s="1258">
        <f>IF(OR($L683=AZ$635,$L683="",$D683=$AZ$634),MAX(AZ$637:AZ682)+1,0)</f>
        <v>36</v>
      </c>
      <c r="BA683" s="6225"/>
      <c r="BB683" s="853" t="str">
        <f t="shared" si="109"/>
        <v/>
      </c>
      <c r="BC683" s="78" t="str">
        <f t="shared" si="110"/>
        <v/>
      </c>
      <c r="BD683" s="78" t="str">
        <f t="shared" si="111"/>
        <v>Mangual</v>
      </c>
      <c r="BE683" s="1256">
        <f>IF(OR($L683=BE$635,$L683="",$D683=$BG$634),MAX(BE$637:BE682)+1,0)</f>
        <v>0</v>
      </c>
      <c r="BF683" s="1257">
        <f>IF(OR($L683=BF$635,$L683="",$D683=$BG$634),MAX(BF$637:BF682)+1,0)</f>
        <v>0</v>
      </c>
      <c r="BG683" s="1258">
        <f>IF(OR($L683=BG$635,$L683="",$D683=$BG$634),MAX(BG$637:BG682)+1,0)</f>
        <v>36</v>
      </c>
      <c r="BH683" s="6225"/>
      <c r="BI683" s="853" t="str">
        <f t="shared" si="112"/>
        <v/>
      </c>
      <c r="BJ683" s="78" t="str">
        <f t="shared" si="113"/>
        <v/>
      </c>
      <c r="BK683" s="78" t="str">
        <f t="shared" si="114"/>
        <v>Mangual</v>
      </c>
      <c r="BL683" s="1256">
        <f>IF(OR($L683=BL$635,$L683="",$D683=$BN$634),MAX(BL$637:BL682)+1,0)</f>
        <v>0</v>
      </c>
      <c r="BM683" s="1257">
        <f>IF(OR($L683=BM$635,$L683="",$D683=$BN$634),MAX(BM$637:BM682)+1,0)</f>
        <v>0</v>
      </c>
      <c r="BN683" s="1258">
        <f>IF(OR($L683=BN$635,$L683="",$D683=$BN$634),MAX(BN$637:BN682)+1,0)</f>
        <v>36</v>
      </c>
      <c r="BO683" s="6225"/>
      <c r="BP683" s="853" t="str">
        <f t="shared" si="115"/>
        <v/>
      </c>
      <c r="BQ683" s="78" t="str">
        <f t="shared" si="116"/>
        <v/>
      </c>
      <c r="BR683" s="78" t="str">
        <f t="shared" si="117"/>
        <v>Mangual</v>
      </c>
      <c r="BS683" s="1256">
        <f>IF(OR($L683=BS$635,$L683="",$D683=$BU$634),MAX(BS$637:BS682)+1,0)</f>
        <v>0</v>
      </c>
      <c r="BT683" s="1257">
        <f>IF(OR($L683=BT$635,$L683="",$D683=$BU$634),MAX(BT$637:BT682)+1,0)</f>
        <v>0</v>
      </c>
      <c r="BU683" s="1258">
        <f>IF(OR($L683=BU$635,$L683="",$D683=$BU$634),MAX(BU$637:BU682)+1,0)</f>
        <v>36</v>
      </c>
    </row>
    <row r="684" spans="1:73" ht="12.75" customHeight="1" x14ac:dyDescent="0.2">
      <c r="A684" s="227">
        <v>684</v>
      </c>
      <c r="B684" s="5988"/>
      <c r="C684" s="1146"/>
      <c r="D684" s="2629" t="s">
        <v>7005</v>
      </c>
      <c r="E684" s="2633">
        <v>30</v>
      </c>
      <c r="F684" s="2628">
        <v>15</v>
      </c>
      <c r="G684" s="2628">
        <v>5</v>
      </c>
      <c r="H684" s="2628">
        <v>5</v>
      </c>
      <c r="I684" s="2628" t="s">
        <v>1551</v>
      </c>
      <c r="J684" s="2628" t="s">
        <v>1498</v>
      </c>
      <c r="K684" s="2878" t="s">
        <v>7267</v>
      </c>
      <c r="L684" s="2628" t="str">
        <f t="shared" si="118"/>
        <v>Distinta</v>
      </c>
      <c r="M684" s="2634">
        <v>10</v>
      </c>
      <c r="N684" s="2634">
        <v>-2</v>
      </c>
      <c r="O684" s="2634">
        <v>20</v>
      </c>
      <c r="P684" s="2628"/>
      <c r="Q684" s="2628"/>
      <c r="R684" s="2628" t="s">
        <v>1456</v>
      </c>
      <c r="S684" s="2628" t="s">
        <v>1456</v>
      </c>
      <c r="T684" s="2628" t="s">
        <v>1456</v>
      </c>
      <c r="U684" s="2628"/>
      <c r="V684" s="2878" t="s">
        <v>7032</v>
      </c>
      <c r="W684" s="2878"/>
      <c r="X684" s="2879" t="str">
        <f t="shared" si="97"/>
        <v>Pequeña</v>
      </c>
      <c r="Y684" s="2618">
        <f t="shared" si="119"/>
        <v>0</v>
      </c>
      <c r="Z684" s="1265" t="str">
        <f t="shared" si="99"/>
        <v/>
      </c>
      <c r="AB684" s="853" t="s">
        <v>7012</v>
      </c>
      <c r="AC684" s="2859" t="s">
        <v>7009</v>
      </c>
      <c r="AD684" s="2909"/>
      <c r="AE684" s="1259"/>
      <c r="AG684" s="853" t="str">
        <f t="shared" si="100"/>
        <v/>
      </c>
      <c r="AH684" s="78" t="str">
        <f t="shared" si="101"/>
        <v/>
      </c>
      <c r="AI684" s="78" t="str">
        <f t="shared" si="102"/>
        <v>Martillo de guerra</v>
      </c>
      <c r="AJ684" s="1256">
        <f>IF(OR($L684=AJ$635,$L684="",$D684=$AL$634),MAX(AJ$637:AJ683)+1,0)</f>
        <v>0</v>
      </c>
      <c r="AK684" s="1257">
        <f>IF(OR($L684=AK$635,$L684="",$D684=$AL$634),MAX(AK$637:AK683)+1,0)</f>
        <v>0</v>
      </c>
      <c r="AL684" s="1258">
        <f>IF(OR($L684=AL$635,$L684="",$D684=$AL$634),MAX(AL$637:AL683)+1,0)</f>
        <v>37</v>
      </c>
      <c r="AM684" s="6225"/>
      <c r="AN684" s="853" t="str">
        <f t="shared" si="103"/>
        <v/>
      </c>
      <c r="AO684" s="78" t="str">
        <f t="shared" si="104"/>
        <v/>
      </c>
      <c r="AP684" s="78" t="str">
        <f t="shared" si="105"/>
        <v>Martillo de guerra</v>
      </c>
      <c r="AQ684" s="1256">
        <f>IF(OR($L684=AQ$635,$L684="",$D684=$AS$634),MAX(AQ$637:AQ683)+1,0)</f>
        <v>0</v>
      </c>
      <c r="AR684" s="1257">
        <f>IF(OR($L684=AR$635,$L684="",$D684=$AS$634),MAX(AR$637:AR683)+1,0)</f>
        <v>0</v>
      </c>
      <c r="AS684" s="1258">
        <f>IF(OR($L684=AS$635,$L684="",$D684=$AS$634),MAX(AS$637:AS683)+1,0)</f>
        <v>37</v>
      </c>
      <c r="AT684" s="6225"/>
      <c r="AU684" s="853" t="str">
        <f t="shared" si="106"/>
        <v/>
      </c>
      <c r="AV684" s="78" t="str">
        <f t="shared" si="107"/>
        <v/>
      </c>
      <c r="AW684" s="78" t="str">
        <f t="shared" si="108"/>
        <v>Martillo de guerra</v>
      </c>
      <c r="AX684" s="1256">
        <f>IF(OR($L684=AX$635,$L684="",$D684=$AZ$634),MAX(AX$637:AX683)+1,0)</f>
        <v>0</v>
      </c>
      <c r="AY684" s="1257">
        <f>IF(OR($L684=AY$635,$L684="",$D684=$AZ$634),MAX(AY$637:AY683)+1,0)</f>
        <v>0</v>
      </c>
      <c r="AZ684" s="1258">
        <f>IF(OR($L684=AZ$635,$L684="",$D684=$AZ$634),MAX(AZ$637:AZ683)+1,0)</f>
        <v>37</v>
      </c>
      <c r="BA684" s="6225"/>
      <c r="BB684" s="853" t="str">
        <f t="shared" si="109"/>
        <v/>
      </c>
      <c r="BC684" s="78" t="str">
        <f t="shared" si="110"/>
        <v/>
      </c>
      <c r="BD684" s="78" t="str">
        <f t="shared" si="111"/>
        <v>Martillo de guerra</v>
      </c>
      <c r="BE684" s="1256">
        <f>IF(OR($L684=BE$635,$L684="",$D684=$BG$634),MAX(BE$637:BE683)+1,0)</f>
        <v>0</v>
      </c>
      <c r="BF684" s="1257">
        <f>IF(OR($L684=BF$635,$L684="",$D684=$BG$634),MAX(BF$637:BF683)+1,0)</f>
        <v>0</v>
      </c>
      <c r="BG684" s="1258">
        <f>IF(OR($L684=BG$635,$L684="",$D684=$BG$634),MAX(BG$637:BG683)+1,0)</f>
        <v>37</v>
      </c>
      <c r="BH684" s="6225"/>
      <c r="BI684" s="853" t="str">
        <f t="shared" si="112"/>
        <v/>
      </c>
      <c r="BJ684" s="78" t="str">
        <f t="shared" si="113"/>
        <v/>
      </c>
      <c r="BK684" s="78" t="str">
        <f t="shared" si="114"/>
        <v>Martillo de guerra</v>
      </c>
      <c r="BL684" s="1256">
        <f>IF(OR($L684=BL$635,$L684="",$D684=$BN$634),MAX(BL$637:BL683)+1,0)</f>
        <v>0</v>
      </c>
      <c r="BM684" s="1257">
        <f>IF(OR($L684=BM$635,$L684="",$D684=$BN$634),MAX(BM$637:BM683)+1,0)</f>
        <v>0</v>
      </c>
      <c r="BN684" s="1258">
        <f>IF(OR($L684=BN$635,$L684="",$D684=$BN$634),MAX(BN$637:BN683)+1,0)</f>
        <v>37</v>
      </c>
      <c r="BO684" s="6225"/>
      <c r="BP684" s="853" t="str">
        <f t="shared" si="115"/>
        <v/>
      </c>
      <c r="BQ684" s="78" t="str">
        <f t="shared" si="116"/>
        <v/>
      </c>
      <c r="BR684" s="78" t="str">
        <f t="shared" si="117"/>
        <v>Martillo de guerra</v>
      </c>
      <c r="BS684" s="1256">
        <f>IF(OR($L684=BS$635,$L684="",$D684=$BU$634),MAX(BS$637:BS683)+1,0)</f>
        <v>0</v>
      </c>
      <c r="BT684" s="1257">
        <f>IF(OR($L684=BT$635,$L684="",$D684=$BU$634),MAX(BT$637:BT683)+1,0)</f>
        <v>0</v>
      </c>
      <c r="BU684" s="1258">
        <f>IF(OR($L684=BU$635,$L684="",$D684=$BU$634),MAX(BU$637:BU683)+1,0)</f>
        <v>37</v>
      </c>
    </row>
    <row r="685" spans="1:73" ht="12.75" customHeight="1" x14ac:dyDescent="0.2">
      <c r="A685" s="227">
        <v>685</v>
      </c>
      <c r="B685" s="5988"/>
      <c r="C685" s="1146"/>
      <c r="D685" s="2629" t="s">
        <v>2148</v>
      </c>
      <c r="E685" s="2633">
        <v>35</v>
      </c>
      <c r="F685" s="2628">
        <v>5</v>
      </c>
      <c r="G685" s="2628">
        <v>4</v>
      </c>
      <c r="H685" s="2628">
        <v>4</v>
      </c>
      <c r="I685" s="2628" t="s">
        <v>1552</v>
      </c>
      <c r="J685" s="2628" t="s">
        <v>1456</v>
      </c>
      <c r="K685" s="2878" t="s">
        <v>7262</v>
      </c>
      <c r="L685" s="2628" t="str">
        <f t="shared" si="118"/>
        <v>Similar</v>
      </c>
      <c r="M685" s="2634">
        <v>10</v>
      </c>
      <c r="N685" s="2634">
        <v>-2</v>
      </c>
      <c r="O685" s="2634">
        <v>20</v>
      </c>
      <c r="P685" s="2628"/>
      <c r="Q685" s="2628"/>
      <c r="R685" s="2634">
        <v>80</v>
      </c>
      <c r="S685" s="2628" t="s">
        <v>1456</v>
      </c>
      <c r="T685" s="2634">
        <v>30</v>
      </c>
      <c r="U685" s="2628"/>
      <c r="V685" s="2878" t="s">
        <v>8572</v>
      </c>
      <c r="W685" s="2878"/>
      <c r="X685" s="2879" t="str">
        <f t="shared" si="97"/>
        <v>Grande</v>
      </c>
      <c r="Y685" s="2618">
        <f t="shared" si="119"/>
        <v>0</v>
      </c>
      <c r="Z685" s="1265" t="str">
        <f t="shared" si="99"/>
        <v/>
      </c>
      <c r="AB685" s="853" t="s">
        <v>2149</v>
      </c>
      <c r="AC685" s="2859" t="s">
        <v>2226</v>
      </c>
      <c r="AD685" s="2909"/>
      <c r="AE685" s="1259"/>
      <c r="AG685" s="853" t="str">
        <f t="shared" si="100"/>
        <v/>
      </c>
      <c r="AH685" s="78" t="str">
        <f t="shared" si="101"/>
        <v/>
      </c>
      <c r="AI685" s="78" t="str">
        <f t="shared" si="102"/>
        <v>Mayal</v>
      </c>
      <c r="AJ685" s="1256">
        <f>IF(OR($L685=AJ$635,$L685="",$D685=$AL$634),MAX(AJ$637:AJ684)+1,0)</f>
        <v>8</v>
      </c>
      <c r="AK685" s="1257">
        <f>IF(OR($L685=AK$635,$L685="",$D685=$AL$634),MAX(AK$637:AK684)+1,0)</f>
        <v>0</v>
      </c>
      <c r="AL685" s="1258">
        <f>IF(OR($L685=AL$635,$L685="",$D685=$AL$634),MAX(AL$637:AL684)+1,0)</f>
        <v>0</v>
      </c>
      <c r="AM685" s="6225"/>
      <c r="AN685" s="853" t="str">
        <f t="shared" si="103"/>
        <v/>
      </c>
      <c r="AO685" s="78" t="str">
        <f t="shared" si="104"/>
        <v/>
      </c>
      <c r="AP685" s="78" t="str">
        <f t="shared" si="105"/>
        <v>Mayal</v>
      </c>
      <c r="AQ685" s="1256">
        <f>IF(OR($L685=AQ$635,$L685="",$D685=$AS$634),MAX(AQ$637:AQ684)+1,0)</f>
        <v>8</v>
      </c>
      <c r="AR685" s="1257">
        <f>IF(OR($L685=AR$635,$L685="",$D685=$AS$634),MAX(AR$637:AR684)+1,0)</f>
        <v>0</v>
      </c>
      <c r="AS685" s="1258">
        <f>IF(OR($L685=AS$635,$L685="",$D685=$AS$634),MAX(AS$637:AS684)+1,0)</f>
        <v>0</v>
      </c>
      <c r="AT685" s="6225"/>
      <c r="AU685" s="853" t="str">
        <f t="shared" si="106"/>
        <v/>
      </c>
      <c r="AV685" s="78" t="str">
        <f t="shared" si="107"/>
        <v/>
      </c>
      <c r="AW685" s="78" t="str">
        <f t="shared" si="108"/>
        <v>Mayal</v>
      </c>
      <c r="AX685" s="1256">
        <f>IF(OR($L685=AX$635,$L685="",$D685=$AZ$634),MAX(AX$637:AX684)+1,0)</f>
        <v>8</v>
      </c>
      <c r="AY685" s="1257">
        <f>IF(OR($L685=AY$635,$L685="",$D685=$AZ$634),MAX(AY$637:AY684)+1,0)</f>
        <v>0</v>
      </c>
      <c r="AZ685" s="1258">
        <f>IF(OR($L685=AZ$635,$L685="",$D685=$AZ$634),MAX(AZ$637:AZ684)+1,0)</f>
        <v>0</v>
      </c>
      <c r="BA685" s="6225"/>
      <c r="BB685" s="853" t="str">
        <f t="shared" si="109"/>
        <v/>
      </c>
      <c r="BC685" s="78" t="str">
        <f t="shared" si="110"/>
        <v/>
      </c>
      <c r="BD685" s="78" t="str">
        <f t="shared" si="111"/>
        <v>Mayal</v>
      </c>
      <c r="BE685" s="1256">
        <f>IF(OR($L685=BE$635,$L685="",$D685=$BG$634),MAX(BE$637:BE684)+1,0)</f>
        <v>8</v>
      </c>
      <c r="BF685" s="1257">
        <f>IF(OR($L685=BF$635,$L685="",$D685=$BG$634),MAX(BF$637:BF684)+1,0)</f>
        <v>0</v>
      </c>
      <c r="BG685" s="1258">
        <f>IF(OR($L685=BG$635,$L685="",$D685=$BG$634),MAX(BG$637:BG684)+1,0)</f>
        <v>0</v>
      </c>
      <c r="BH685" s="6225"/>
      <c r="BI685" s="853" t="str">
        <f t="shared" si="112"/>
        <v/>
      </c>
      <c r="BJ685" s="78" t="str">
        <f t="shared" si="113"/>
        <v/>
      </c>
      <c r="BK685" s="78" t="str">
        <f t="shared" si="114"/>
        <v>Mayal</v>
      </c>
      <c r="BL685" s="1256">
        <f>IF(OR($L685=BL$635,$L685="",$D685=$BN$634),MAX(BL$637:BL684)+1,0)</f>
        <v>8</v>
      </c>
      <c r="BM685" s="1257">
        <f>IF(OR($L685=BM$635,$L685="",$D685=$BN$634),MAX(BM$637:BM684)+1,0)</f>
        <v>0</v>
      </c>
      <c r="BN685" s="1258">
        <f>IF(OR($L685=BN$635,$L685="",$D685=$BN$634),MAX(BN$637:BN684)+1,0)</f>
        <v>0</v>
      </c>
      <c r="BO685" s="6225"/>
      <c r="BP685" s="853" t="str">
        <f t="shared" si="115"/>
        <v/>
      </c>
      <c r="BQ685" s="78" t="str">
        <f t="shared" si="116"/>
        <v/>
      </c>
      <c r="BR685" s="78" t="str">
        <f t="shared" si="117"/>
        <v>Mayal</v>
      </c>
      <c r="BS685" s="1256">
        <f>IF(OR($L685=BS$635,$L685="",$D685=$BU$634),MAX(BS$637:BS684)+1,0)</f>
        <v>8</v>
      </c>
      <c r="BT685" s="1257">
        <f>IF(OR($L685=BT$635,$L685="",$D685=$BU$634),MAX(BT$637:BT684)+1,0)</f>
        <v>0</v>
      </c>
      <c r="BU685" s="1258">
        <f>IF(OR($L685=BU$635,$L685="",$D685=$BU$634),MAX(BU$637:BU684)+1,0)</f>
        <v>0</v>
      </c>
    </row>
    <row r="686" spans="1:73" ht="12.75" customHeight="1" x14ac:dyDescent="0.2">
      <c r="A686" s="227">
        <v>686</v>
      </c>
      <c r="B686" s="5988"/>
      <c r="C686" s="1146"/>
      <c r="D686" s="2629" t="s">
        <v>7008</v>
      </c>
      <c r="E686" s="2633">
        <v>45</v>
      </c>
      <c r="F686" s="2628">
        <v>10</v>
      </c>
      <c r="G686" s="2628">
        <v>5</v>
      </c>
      <c r="H686" s="2628">
        <v>5</v>
      </c>
      <c r="I686" s="2628" t="s">
        <v>1551</v>
      </c>
      <c r="J686" s="2628" t="s">
        <v>1456</v>
      </c>
      <c r="K686" s="2878" t="s">
        <v>7267</v>
      </c>
      <c r="L686" s="2628" t="str">
        <f t="shared" si="118"/>
        <v>Distinta</v>
      </c>
      <c r="M686" s="2634">
        <v>13</v>
      </c>
      <c r="N686" s="2634">
        <v>2</v>
      </c>
      <c r="O686" s="2634">
        <v>20</v>
      </c>
      <c r="P686" s="2628"/>
      <c r="Q686" s="2628"/>
      <c r="R686" s="2628" t="s">
        <v>1456</v>
      </c>
      <c r="S686" s="2628" t="s">
        <v>1456</v>
      </c>
      <c r="T686" s="2628" t="s">
        <v>1456</v>
      </c>
      <c r="U686" s="2628"/>
      <c r="V686" s="2878" t="s">
        <v>1456</v>
      </c>
      <c r="W686" s="2878"/>
      <c r="X686" s="2879" t="str">
        <f t="shared" si="97"/>
        <v>Pequeña</v>
      </c>
      <c r="Y686" s="2618">
        <f t="shared" si="119"/>
        <v>0</v>
      </c>
      <c r="Z686" s="1265" t="str">
        <f t="shared" si="99"/>
        <v/>
      </c>
      <c r="AB686" s="853" t="s">
        <v>2150</v>
      </c>
      <c r="AC686" s="2859" t="s">
        <v>10085</v>
      </c>
      <c r="AD686" s="2909"/>
      <c r="AE686" s="1259"/>
      <c r="AG686" s="853" t="str">
        <f t="shared" si="100"/>
        <v/>
      </c>
      <c r="AH686" s="78" t="str">
        <f t="shared" si="101"/>
        <v/>
      </c>
      <c r="AI686" s="78" t="str">
        <f t="shared" si="102"/>
        <v>Maza Barra</v>
      </c>
      <c r="AJ686" s="1256">
        <f>IF(OR($L686=AJ$635,$L686="",$D686=$AL$634),MAX(AJ$637:AJ685)+1,0)</f>
        <v>0</v>
      </c>
      <c r="AK686" s="1257">
        <f>IF(OR($L686=AK$635,$L686="",$D686=$AL$634),MAX(AK$637:AK685)+1,0)</f>
        <v>0</v>
      </c>
      <c r="AL686" s="1258">
        <f>IF(OR($L686=AL$635,$L686="",$D686=$AL$634),MAX(AL$637:AL685)+1,0)</f>
        <v>38</v>
      </c>
      <c r="AM686" s="6225"/>
      <c r="AN686" s="853" t="str">
        <f t="shared" si="103"/>
        <v/>
      </c>
      <c r="AO686" s="78" t="str">
        <f t="shared" si="104"/>
        <v/>
      </c>
      <c r="AP686" s="78" t="str">
        <f t="shared" si="105"/>
        <v>Maza Barra</v>
      </c>
      <c r="AQ686" s="1256">
        <f>IF(OR($L686=AQ$635,$L686="",$D686=$AS$634),MAX(AQ$637:AQ685)+1,0)</f>
        <v>0</v>
      </c>
      <c r="AR686" s="1257">
        <f>IF(OR($L686=AR$635,$L686="",$D686=$AS$634),MAX(AR$637:AR685)+1,0)</f>
        <v>0</v>
      </c>
      <c r="AS686" s="1258">
        <f>IF(OR($L686=AS$635,$L686="",$D686=$AS$634),MAX(AS$637:AS685)+1,0)</f>
        <v>38</v>
      </c>
      <c r="AT686" s="6225"/>
      <c r="AU686" s="853" t="str">
        <f t="shared" si="106"/>
        <v/>
      </c>
      <c r="AV686" s="78" t="str">
        <f t="shared" si="107"/>
        <v/>
      </c>
      <c r="AW686" s="78" t="str">
        <f t="shared" si="108"/>
        <v>Maza Barra</v>
      </c>
      <c r="AX686" s="1256">
        <f>IF(OR($L686=AX$635,$L686="",$D686=$AZ$634),MAX(AX$637:AX685)+1,0)</f>
        <v>0</v>
      </c>
      <c r="AY686" s="1257">
        <f>IF(OR($L686=AY$635,$L686="",$D686=$AZ$634),MAX(AY$637:AY685)+1,0)</f>
        <v>0</v>
      </c>
      <c r="AZ686" s="1258">
        <f>IF(OR($L686=AZ$635,$L686="",$D686=$AZ$634),MAX(AZ$637:AZ685)+1,0)</f>
        <v>38</v>
      </c>
      <c r="BA686" s="6225"/>
      <c r="BB686" s="853" t="str">
        <f t="shared" si="109"/>
        <v/>
      </c>
      <c r="BC686" s="78" t="str">
        <f t="shared" si="110"/>
        <v/>
      </c>
      <c r="BD686" s="78" t="str">
        <f t="shared" si="111"/>
        <v>Maza Barra</v>
      </c>
      <c r="BE686" s="1256">
        <f>IF(OR($L686=BE$635,$L686="",$D686=$BG$634),MAX(BE$637:BE685)+1,0)</f>
        <v>0</v>
      </c>
      <c r="BF686" s="1257">
        <f>IF(OR($L686=BF$635,$L686="",$D686=$BG$634),MAX(BF$637:BF685)+1,0)</f>
        <v>0</v>
      </c>
      <c r="BG686" s="1258">
        <f>IF(OR($L686=BG$635,$L686="",$D686=$BG$634),MAX(BG$637:BG685)+1,0)</f>
        <v>38</v>
      </c>
      <c r="BH686" s="6225"/>
      <c r="BI686" s="853" t="str">
        <f t="shared" si="112"/>
        <v/>
      </c>
      <c r="BJ686" s="78" t="str">
        <f t="shared" si="113"/>
        <v/>
      </c>
      <c r="BK686" s="78" t="str">
        <f t="shared" si="114"/>
        <v>Maza Barra</v>
      </c>
      <c r="BL686" s="1256">
        <f>IF(OR($L686=BL$635,$L686="",$D686=$BN$634),MAX(BL$637:BL685)+1,0)</f>
        <v>0</v>
      </c>
      <c r="BM686" s="1257">
        <f>IF(OR($L686=BM$635,$L686="",$D686=$BN$634),MAX(BM$637:BM685)+1,0)</f>
        <v>0</v>
      </c>
      <c r="BN686" s="1258">
        <f>IF(OR($L686=BN$635,$L686="",$D686=$BN$634),MAX(BN$637:BN685)+1,0)</f>
        <v>38</v>
      </c>
      <c r="BO686" s="6225"/>
      <c r="BP686" s="853" t="str">
        <f t="shared" si="115"/>
        <v/>
      </c>
      <c r="BQ686" s="78" t="str">
        <f t="shared" si="116"/>
        <v/>
      </c>
      <c r="BR686" s="78" t="str">
        <f t="shared" si="117"/>
        <v>Maza Barra</v>
      </c>
      <c r="BS686" s="1256">
        <f>IF(OR($L686=BS$635,$L686="",$D686=$BU$634),MAX(BS$637:BS685)+1,0)</f>
        <v>0</v>
      </c>
      <c r="BT686" s="1257">
        <f>IF(OR($L686=BT$635,$L686="",$D686=$BU$634),MAX(BT$637:BT685)+1,0)</f>
        <v>0</v>
      </c>
      <c r="BU686" s="1258">
        <f>IF(OR($L686=BU$635,$L686="",$D686=$BU$634),MAX(BU$637:BU685)+1,0)</f>
        <v>38</v>
      </c>
    </row>
    <row r="687" spans="1:73" ht="12.75" customHeight="1" x14ac:dyDescent="0.2">
      <c r="A687" s="227">
        <v>687</v>
      </c>
      <c r="B687" s="5988"/>
      <c r="C687" s="1146"/>
      <c r="D687" s="2629" t="s">
        <v>7010</v>
      </c>
      <c r="E687" s="2633">
        <v>25</v>
      </c>
      <c r="F687" s="2628">
        <v>20</v>
      </c>
      <c r="G687" s="2628">
        <v>4</v>
      </c>
      <c r="H687" s="2628">
        <v>4</v>
      </c>
      <c r="I687" s="2628" t="s">
        <v>1551</v>
      </c>
      <c r="J687" s="2628" t="s">
        <v>1498</v>
      </c>
      <c r="K687" s="2878" t="s">
        <v>7267</v>
      </c>
      <c r="L687" s="2628" t="str">
        <f t="shared" si="118"/>
        <v>Distinta</v>
      </c>
      <c r="M687" s="2634">
        <v>10</v>
      </c>
      <c r="N687" s="2634">
        <v>-2</v>
      </c>
      <c r="O687" s="2634">
        <v>15</v>
      </c>
      <c r="P687" s="2628"/>
      <c r="Q687" s="2628"/>
      <c r="R687" s="2628" t="s">
        <v>1456</v>
      </c>
      <c r="S687" s="2628" t="s">
        <v>1456</v>
      </c>
      <c r="T687" s="2628" t="s">
        <v>1456</v>
      </c>
      <c r="U687" s="2628"/>
      <c r="V687" s="2878" t="s">
        <v>7032</v>
      </c>
      <c r="W687" s="2878"/>
      <c r="X687" s="2879" t="str">
        <f t="shared" si="97"/>
        <v>Pequeña</v>
      </c>
      <c r="Y687" s="2618">
        <f t="shared" si="119"/>
        <v>0</v>
      </c>
      <c r="Z687" s="1265" t="str">
        <f t="shared" si="99"/>
        <v/>
      </c>
      <c r="AB687" s="853" t="s">
        <v>2152</v>
      </c>
      <c r="AC687" s="2859" t="s">
        <v>2231</v>
      </c>
      <c r="AD687" s="2909"/>
      <c r="AE687" s="1259"/>
      <c r="AG687" s="853" t="str">
        <f t="shared" si="100"/>
        <v/>
      </c>
      <c r="AH687" s="78" t="str">
        <f t="shared" si="101"/>
        <v/>
      </c>
      <c r="AI687" s="78" t="str">
        <f t="shared" si="102"/>
        <v>Maza ligera</v>
      </c>
      <c r="AJ687" s="1256">
        <f>IF(OR($L687=AJ$635,$L687="",$D687=$AL$634),MAX(AJ$637:AJ686)+1,0)</f>
        <v>0</v>
      </c>
      <c r="AK687" s="1257">
        <f>IF(OR($L687=AK$635,$L687="",$D687=$AL$634),MAX(AK$637:AK686)+1,0)</f>
        <v>0</v>
      </c>
      <c r="AL687" s="1258">
        <f>IF(OR($L687=AL$635,$L687="",$D687=$AL$634),MAX(AL$637:AL686)+1,0)</f>
        <v>39</v>
      </c>
      <c r="AM687" s="6225"/>
      <c r="AN687" s="853" t="str">
        <f t="shared" si="103"/>
        <v/>
      </c>
      <c r="AO687" s="78" t="str">
        <f t="shared" si="104"/>
        <v/>
      </c>
      <c r="AP687" s="78" t="str">
        <f t="shared" si="105"/>
        <v>Maza ligera</v>
      </c>
      <c r="AQ687" s="1256">
        <f>IF(OR($L687=AQ$635,$L687="",$D687=$AS$634),MAX(AQ$637:AQ686)+1,0)</f>
        <v>0</v>
      </c>
      <c r="AR687" s="1257">
        <f>IF(OR($L687=AR$635,$L687="",$D687=$AS$634),MAX(AR$637:AR686)+1,0)</f>
        <v>0</v>
      </c>
      <c r="AS687" s="1258">
        <f>IF(OR($L687=AS$635,$L687="",$D687=$AS$634),MAX(AS$637:AS686)+1,0)</f>
        <v>39</v>
      </c>
      <c r="AT687" s="6225"/>
      <c r="AU687" s="853" t="str">
        <f t="shared" si="106"/>
        <v/>
      </c>
      <c r="AV687" s="78" t="str">
        <f t="shared" si="107"/>
        <v/>
      </c>
      <c r="AW687" s="78" t="str">
        <f t="shared" si="108"/>
        <v>Maza ligera</v>
      </c>
      <c r="AX687" s="1256">
        <f>IF(OR($L687=AX$635,$L687="",$D687=$AZ$634),MAX(AX$637:AX686)+1,0)</f>
        <v>0</v>
      </c>
      <c r="AY687" s="1257">
        <f>IF(OR($L687=AY$635,$L687="",$D687=$AZ$634),MAX(AY$637:AY686)+1,0)</f>
        <v>0</v>
      </c>
      <c r="AZ687" s="1258">
        <f>IF(OR($L687=AZ$635,$L687="",$D687=$AZ$634),MAX(AZ$637:AZ686)+1,0)</f>
        <v>39</v>
      </c>
      <c r="BA687" s="6225"/>
      <c r="BB687" s="853" t="str">
        <f t="shared" si="109"/>
        <v/>
      </c>
      <c r="BC687" s="78" t="str">
        <f t="shared" si="110"/>
        <v/>
      </c>
      <c r="BD687" s="78" t="str">
        <f t="shared" si="111"/>
        <v>Maza ligera</v>
      </c>
      <c r="BE687" s="1256">
        <f>IF(OR($L687=BE$635,$L687="",$D687=$BG$634),MAX(BE$637:BE686)+1,0)</f>
        <v>0</v>
      </c>
      <c r="BF687" s="1257">
        <f>IF(OR($L687=BF$635,$L687="",$D687=$BG$634),MAX(BF$637:BF686)+1,0)</f>
        <v>0</v>
      </c>
      <c r="BG687" s="1258">
        <f>IF(OR($L687=BG$635,$L687="",$D687=$BG$634),MAX(BG$637:BG686)+1,0)</f>
        <v>39</v>
      </c>
      <c r="BH687" s="6225"/>
      <c r="BI687" s="853" t="str">
        <f t="shared" si="112"/>
        <v/>
      </c>
      <c r="BJ687" s="78" t="str">
        <f t="shared" si="113"/>
        <v/>
      </c>
      <c r="BK687" s="78" t="str">
        <f t="shared" si="114"/>
        <v>Maza ligera</v>
      </c>
      <c r="BL687" s="1256">
        <f>IF(OR($L687=BL$635,$L687="",$D687=$BN$634),MAX(BL$637:BL686)+1,0)</f>
        <v>0</v>
      </c>
      <c r="BM687" s="1257">
        <f>IF(OR($L687=BM$635,$L687="",$D687=$BN$634),MAX(BM$637:BM686)+1,0)</f>
        <v>0</v>
      </c>
      <c r="BN687" s="1258">
        <f>IF(OR($L687=BN$635,$L687="",$D687=$BN$634),MAX(BN$637:BN686)+1,0)</f>
        <v>39</v>
      </c>
      <c r="BO687" s="6225"/>
      <c r="BP687" s="853" t="str">
        <f t="shared" si="115"/>
        <v/>
      </c>
      <c r="BQ687" s="78" t="str">
        <f t="shared" si="116"/>
        <v/>
      </c>
      <c r="BR687" s="78" t="str">
        <f t="shared" si="117"/>
        <v>Maza ligera</v>
      </c>
      <c r="BS687" s="1256">
        <f>IF(OR($L687=BS$635,$L687="",$D687=$BU$634),MAX(BS$637:BS686)+1,0)</f>
        <v>0</v>
      </c>
      <c r="BT687" s="1257">
        <f>IF(OR($L687=BT$635,$L687="",$D687=$BU$634),MAX(BT$637:BT686)+1,0)</f>
        <v>0</v>
      </c>
      <c r="BU687" s="1258">
        <f>IF(OR($L687=BU$635,$L687="",$D687=$BU$634),MAX(BU$637:BU686)+1,0)</f>
        <v>39</v>
      </c>
    </row>
    <row r="688" spans="1:73" ht="12.75" customHeight="1" x14ac:dyDescent="0.2">
      <c r="A688" s="227">
        <v>688</v>
      </c>
      <c r="B688" s="5988"/>
      <c r="C688" s="1146"/>
      <c r="D688" s="2629" t="s">
        <v>7011</v>
      </c>
      <c r="E688" s="2633">
        <v>60</v>
      </c>
      <c r="F688" s="2628">
        <v>-30</v>
      </c>
      <c r="G688" s="2628">
        <v>8</v>
      </c>
      <c r="H688" s="2628">
        <v>8</v>
      </c>
      <c r="I688" s="2628" t="s">
        <v>1552</v>
      </c>
      <c r="J688" s="2628" t="s">
        <v>1456</v>
      </c>
      <c r="K688" s="2878" t="s">
        <v>7265</v>
      </c>
      <c r="L688" s="2628" t="str">
        <f t="shared" si="118"/>
        <v>Distinta</v>
      </c>
      <c r="M688" s="2634">
        <v>9</v>
      </c>
      <c r="N688" s="2634">
        <v>2</v>
      </c>
      <c r="O688" s="2634">
        <v>20</v>
      </c>
      <c r="P688" s="2628"/>
      <c r="Q688" s="2628"/>
      <c r="R688" s="2628" t="s">
        <v>1456</v>
      </c>
      <c r="S688" s="2628" t="s">
        <v>1456</v>
      </c>
      <c r="T688" s="2628" t="s">
        <v>1456</v>
      </c>
      <c r="U688" s="2628"/>
      <c r="V688" s="2878" t="s">
        <v>2151</v>
      </c>
      <c r="W688" s="2878"/>
      <c r="X688" s="2879" t="str">
        <f t="shared" si="97"/>
        <v>Mediana</v>
      </c>
      <c r="Y688" s="2618">
        <f t="shared" si="119"/>
        <v>0</v>
      </c>
      <c r="Z688" s="1265" t="str">
        <f t="shared" si="99"/>
        <v/>
      </c>
      <c r="AB688" s="853" t="s">
        <v>7013</v>
      </c>
      <c r="AC688" s="2859" t="s">
        <v>2235</v>
      </c>
      <c r="AD688" s="2909"/>
      <c r="AE688" s="1259"/>
      <c r="AG688" s="853" t="str">
        <f t="shared" si="100"/>
        <v/>
      </c>
      <c r="AH688" s="78" t="str">
        <f t="shared" si="101"/>
        <v/>
      </c>
      <c r="AI688" s="78" t="str">
        <f t="shared" si="102"/>
        <v>Maza pesada</v>
      </c>
      <c r="AJ688" s="1256">
        <f>IF(OR($L688=AJ$635,$L688="",$D688=$AL$634),MAX(AJ$637:AJ687)+1,0)</f>
        <v>0</v>
      </c>
      <c r="AK688" s="1257">
        <f>IF(OR($L688=AK$635,$L688="",$D688=$AL$634),MAX(AK$637:AK687)+1,0)</f>
        <v>0</v>
      </c>
      <c r="AL688" s="1258">
        <f>IF(OR($L688=AL$635,$L688="",$D688=$AL$634),MAX(AL$637:AL687)+1,0)</f>
        <v>40</v>
      </c>
      <c r="AM688" s="6225"/>
      <c r="AN688" s="853" t="str">
        <f t="shared" si="103"/>
        <v/>
      </c>
      <c r="AO688" s="78" t="str">
        <f t="shared" si="104"/>
        <v/>
      </c>
      <c r="AP688" s="78" t="str">
        <f t="shared" si="105"/>
        <v>Maza pesada</v>
      </c>
      <c r="AQ688" s="1256">
        <f>IF(OR($L688=AQ$635,$L688="",$D688=$AS$634),MAX(AQ$637:AQ687)+1,0)</f>
        <v>0</v>
      </c>
      <c r="AR688" s="1257">
        <f>IF(OR($L688=AR$635,$L688="",$D688=$AS$634),MAX(AR$637:AR687)+1,0)</f>
        <v>0</v>
      </c>
      <c r="AS688" s="1258">
        <f>IF(OR($L688=AS$635,$L688="",$D688=$AS$634),MAX(AS$637:AS687)+1,0)</f>
        <v>40</v>
      </c>
      <c r="AT688" s="6225"/>
      <c r="AU688" s="853" t="str">
        <f t="shared" si="106"/>
        <v/>
      </c>
      <c r="AV688" s="78" t="str">
        <f t="shared" si="107"/>
        <v/>
      </c>
      <c r="AW688" s="78" t="str">
        <f t="shared" si="108"/>
        <v>Maza pesada</v>
      </c>
      <c r="AX688" s="1256">
        <f>IF(OR($L688=AX$635,$L688="",$D688=$AZ$634),MAX(AX$637:AX687)+1,0)</f>
        <v>0</v>
      </c>
      <c r="AY688" s="1257">
        <f>IF(OR($L688=AY$635,$L688="",$D688=$AZ$634),MAX(AY$637:AY687)+1,0)</f>
        <v>0</v>
      </c>
      <c r="AZ688" s="1258">
        <f>IF(OR($L688=AZ$635,$L688="",$D688=$AZ$634),MAX(AZ$637:AZ687)+1,0)</f>
        <v>40</v>
      </c>
      <c r="BA688" s="6225"/>
      <c r="BB688" s="853" t="str">
        <f t="shared" si="109"/>
        <v/>
      </c>
      <c r="BC688" s="78" t="str">
        <f t="shared" si="110"/>
        <v/>
      </c>
      <c r="BD688" s="78" t="str">
        <f t="shared" si="111"/>
        <v>Maza pesada</v>
      </c>
      <c r="BE688" s="1256">
        <f>IF(OR($L688=BE$635,$L688="",$D688=$BG$634),MAX(BE$637:BE687)+1,0)</f>
        <v>0</v>
      </c>
      <c r="BF688" s="1257">
        <f>IF(OR($L688=BF$635,$L688="",$D688=$BG$634),MAX(BF$637:BF687)+1,0)</f>
        <v>0</v>
      </c>
      <c r="BG688" s="1258">
        <f>IF(OR($L688=BG$635,$L688="",$D688=$BG$634),MAX(BG$637:BG687)+1,0)</f>
        <v>40</v>
      </c>
      <c r="BH688" s="6225"/>
      <c r="BI688" s="853" t="str">
        <f t="shared" si="112"/>
        <v/>
      </c>
      <c r="BJ688" s="78" t="str">
        <f t="shared" si="113"/>
        <v/>
      </c>
      <c r="BK688" s="78" t="str">
        <f t="shared" si="114"/>
        <v>Maza pesada</v>
      </c>
      <c r="BL688" s="1256">
        <f>IF(OR($L688=BL$635,$L688="",$D688=$BN$634),MAX(BL$637:BL687)+1,0)</f>
        <v>0</v>
      </c>
      <c r="BM688" s="1257">
        <f>IF(OR($L688=BM$635,$L688="",$D688=$BN$634),MAX(BM$637:BM687)+1,0)</f>
        <v>0</v>
      </c>
      <c r="BN688" s="1258">
        <f>IF(OR($L688=BN$635,$L688="",$D688=$BN$634),MAX(BN$637:BN687)+1,0)</f>
        <v>40</v>
      </c>
      <c r="BO688" s="6225"/>
      <c r="BP688" s="853" t="str">
        <f t="shared" si="115"/>
        <v/>
      </c>
      <c r="BQ688" s="78" t="str">
        <f t="shared" si="116"/>
        <v/>
      </c>
      <c r="BR688" s="78" t="str">
        <f t="shared" si="117"/>
        <v>Maza pesada</v>
      </c>
      <c r="BS688" s="1256">
        <f>IF(OR($L688=BS$635,$L688="",$D688=$BU$634),MAX(BS$637:BS687)+1,0)</f>
        <v>0</v>
      </c>
      <c r="BT688" s="1257">
        <f>IF(OR($L688=BT$635,$L688="",$D688=$BU$634),MAX(BT$637:BT687)+1,0)</f>
        <v>0</v>
      </c>
      <c r="BU688" s="1258">
        <f>IF(OR($L688=BU$635,$L688="",$D688=$BU$634),MAX(BU$637:BU687)+1,0)</f>
        <v>40</v>
      </c>
    </row>
    <row r="689" spans="1:73" ht="12.75" customHeight="1" x14ac:dyDescent="0.2">
      <c r="A689" s="227">
        <v>689</v>
      </c>
      <c r="B689" s="5988"/>
      <c r="C689" s="1146"/>
      <c r="D689" s="2629" t="s">
        <v>7012</v>
      </c>
      <c r="E689" s="2633">
        <v>35</v>
      </c>
      <c r="F689" s="2628">
        <v>10</v>
      </c>
      <c r="G689" s="2628">
        <v>6</v>
      </c>
      <c r="H689" s="2628">
        <v>6</v>
      </c>
      <c r="I689" s="2628" t="s">
        <v>1551</v>
      </c>
      <c r="J689" s="2628" t="s">
        <v>1456</v>
      </c>
      <c r="K689" s="2878" t="s">
        <v>7267</v>
      </c>
      <c r="L689" s="2628" t="str">
        <f t="shared" si="118"/>
        <v>Distinta</v>
      </c>
      <c r="M689" s="2634">
        <v>12</v>
      </c>
      <c r="N689" s="2634">
        <v>3</v>
      </c>
      <c r="O689" s="2634">
        <v>20</v>
      </c>
      <c r="P689" s="2628"/>
      <c r="Q689" s="2628"/>
      <c r="R689" s="2628" t="s">
        <v>1456</v>
      </c>
      <c r="S689" s="2628" t="s">
        <v>1456</v>
      </c>
      <c r="T689" s="2628" t="s">
        <v>1456</v>
      </c>
      <c r="U689" s="2628"/>
      <c r="V689" s="2878" t="s">
        <v>1456</v>
      </c>
      <c r="W689" s="2878"/>
      <c r="X689" s="2879" t="str">
        <f t="shared" si="97"/>
        <v>Pequeña</v>
      </c>
      <c r="Y689" s="2618">
        <f t="shared" si="119"/>
        <v>0</v>
      </c>
      <c r="Z689" s="1265" t="str">
        <f t="shared" si="99"/>
        <v/>
      </c>
      <c r="AB689" s="853" t="s">
        <v>2156</v>
      </c>
      <c r="AC689" s="2859" t="s">
        <v>2236</v>
      </c>
      <c r="AD689" s="2909"/>
      <c r="AE689" s="1259"/>
      <c r="AG689" s="853" t="str">
        <f t="shared" si="100"/>
        <v/>
      </c>
      <c r="AH689" s="78" t="str">
        <f t="shared" si="101"/>
        <v/>
      </c>
      <c r="AI689" s="78" t="str">
        <f t="shared" si="102"/>
        <v>Montante</v>
      </c>
      <c r="AJ689" s="1256">
        <f>IF(OR($L689=AJ$635,$L689="",$D689=$AL$634),MAX(AJ$637:AJ688)+1,0)</f>
        <v>0</v>
      </c>
      <c r="AK689" s="1257">
        <f>IF(OR($L689=AK$635,$L689="",$D689=$AL$634),MAX(AK$637:AK688)+1,0)</f>
        <v>0</v>
      </c>
      <c r="AL689" s="1258">
        <f>IF(OR($L689=AL$635,$L689="",$D689=$AL$634),MAX(AL$637:AL688)+1,0)</f>
        <v>41</v>
      </c>
      <c r="AM689" s="6225"/>
      <c r="AN689" s="853" t="str">
        <f t="shared" si="103"/>
        <v/>
      </c>
      <c r="AO689" s="78" t="str">
        <f t="shared" si="104"/>
        <v/>
      </c>
      <c r="AP689" s="78" t="str">
        <f t="shared" si="105"/>
        <v>Montante</v>
      </c>
      <c r="AQ689" s="1256">
        <f>IF(OR($L689=AQ$635,$L689="",$D689=$AS$634),MAX(AQ$637:AQ688)+1,0)</f>
        <v>0</v>
      </c>
      <c r="AR689" s="1257">
        <f>IF(OR($L689=AR$635,$L689="",$D689=$AS$634),MAX(AR$637:AR688)+1,0)</f>
        <v>0</v>
      </c>
      <c r="AS689" s="1258">
        <f>IF(OR($L689=AS$635,$L689="",$D689=$AS$634),MAX(AS$637:AS688)+1,0)</f>
        <v>41</v>
      </c>
      <c r="AT689" s="6225"/>
      <c r="AU689" s="853" t="str">
        <f t="shared" si="106"/>
        <v/>
      </c>
      <c r="AV689" s="78" t="str">
        <f t="shared" si="107"/>
        <v/>
      </c>
      <c r="AW689" s="78" t="str">
        <f t="shared" si="108"/>
        <v>Montante</v>
      </c>
      <c r="AX689" s="1256">
        <f>IF(OR($L689=AX$635,$L689="",$D689=$AZ$634),MAX(AX$637:AX688)+1,0)</f>
        <v>0</v>
      </c>
      <c r="AY689" s="1257">
        <f>IF(OR($L689=AY$635,$L689="",$D689=$AZ$634),MAX(AY$637:AY688)+1,0)</f>
        <v>0</v>
      </c>
      <c r="AZ689" s="1258">
        <f>IF(OR($L689=AZ$635,$L689="",$D689=$AZ$634),MAX(AZ$637:AZ688)+1,0)</f>
        <v>41</v>
      </c>
      <c r="BA689" s="6225"/>
      <c r="BB689" s="853" t="str">
        <f t="shared" si="109"/>
        <v/>
      </c>
      <c r="BC689" s="78" t="str">
        <f t="shared" si="110"/>
        <v/>
      </c>
      <c r="BD689" s="78" t="str">
        <f t="shared" si="111"/>
        <v>Montante</v>
      </c>
      <c r="BE689" s="1256">
        <f>IF(OR($L689=BE$635,$L689="",$D689=$BG$634),MAX(BE$637:BE688)+1,0)</f>
        <v>0</v>
      </c>
      <c r="BF689" s="1257">
        <f>IF(OR($L689=BF$635,$L689="",$D689=$BG$634),MAX(BF$637:BF688)+1,0)</f>
        <v>0</v>
      </c>
      <c r="BG689" s="1258">
        <f>IF(OR($L689=BG$635,$L689="",$D689=$BG$634),MAX(BG$637:BG688)+1,0)</f>
        <v>41</v>
      </c>
      <c r="BH689" s="6225"/>
      <c r="BI689" s="853" t="str">
        <f t="shared" si="112"/>
        <v/>
      </c>
      <c r="BJ689" s="78" t="str">
        <f t="shared" si="113"/>
        <v/>
      </c>
      <c r="BK689" s="78" t="str">
        <f t="shared" si="114"/>
        <v>Montante</v>
      </c>
      <c r="BL689" s="1256">
        <f>IF(OR($L689=BL$635,$L689="",$D689=$BN$634),MAX(BL$637:BL688)+1,0)</f>
        <v>0</v>
      </c>
      <c r="BM689" s="1257">
        <f>IF(OR($L689=BM$635,$L689="",$D689=$BN$634),MAX(BM$637:BM688)+1,0)</f>
        <v>0</v>
      </c>
      <c r="BN689" s="1258">
        <f>IF(OR($L689=BN$635,$L689="",$D689=$BN$634),MAX(BN$637:BN688)+1,0)</f>
        <v>41</v>
      </c>
      <c r="BO689" s="6225"/>
      <c r="BP689" s="853" t="str">
        <f t="shared" si="115"/>
        <v/>
      </c>
      <c r="BQ689" s="78" t="str">
        <f t="shared" si="116"/>
        <v/>
      </c>
      <c r="BR689" s="78" t="str">
        <f t="shared" si="117"/>
        <v>Montante</v>
      </c>
      <c r="BS689" s="1256">
        <f>IF(OR($L689=BS$635,$L689="",$D689=$BU$634),MAX(BS$637:BS688)+1,0)</f>
        <v>0</v>
      </c>
      <c r="BT689" s="1257">
        <f>IF(OR($L689=BT$635,$L689="",$D689=$BU$634),MAX(BT$637:BT688)+1,0)</f>
        <v>0</v>
      </c>
      <c r="BU689" s="1258">
        <f>IF(OR($L689=BU$635,$L689="",$D689=$BU$634),MAX(BU$637:BU688)+1,0)</f>
        <v>41</v>
      </c>
    </row>
    <row r="690" spans="1:73" ht="12.75" customHeight="1" x14ac:dyDescent="0.2">
      <c r="A690" s="227">
        <v>690</v>
      </c>
      <c r="B690" s="5988"/>
      <c r="C690" s="1146"/>
      <c r="D690" s="2629" t="s">
        <v>2149</v>
      </c>
      <c r="E690" s="2633">
        <v>40</v>
      </c>
      <c r="F690" s="2628">
        <v>5</v>
      </c>
      <c r="G690" s="2628">
        <v>6</v>
      </c>
      <c r="H690" s="2628">
        <v>4</v>
      </c>
      <c r="I690" s="2628" t="s">
        <v>1552</v>
      </c>
      <c r="J690" s="2628" t="s">
        <v>1456</v>
      </c>
      <c r="K690" s="2878" t="s">
        <v>7262</v>
      </c>
      <c r="L690" s="2628" t="str">
        <f t="shared" si="118"/>
        <v>Similar</v>
      </c>
      <c r="M690" s="2634">
        <v>13</v>
      </c>
      <c r="N690" s="2634">
        <v>2</v>
      </c>
      <c r="O690" s="2634">
        <v>25</v>
      </c>
      <c r="P690" s="2628"/>
      <c r="Q690" s="2628"/>
      <c r="R690" s="2634">
        <v>80</v>
      </c>
      <c r="S690" s="2628" t="s">
        <v>1456</v>
      </c>
      <c r="T690" s="2634">
        <v>30</v>
      </c>
      <c r="U690" s="2628"/>
      <c r="V690" s="2878" t="s">
        <v>8574</v>
      </c>
      <c r="W690" s="2878"/>
      <c r="X690" s="2879" t="str">
        <f t="shared" si="97"/>
        <v>Grande</v>
      </c>
      <c r="Y690" s="2618">
        <f t="shared" si="119"/>
        <v>0</v>
      </c>
      <c r="Z690" s="1265" t="str">
        <f t="shared" si="99"/>
        <v/>
      </c>
      <c r="AB690" s="853" t="s">
        <v>2158</v>
      </c>
      <c r="AC690" s="2859" t="s">
        <v>2238</v>
      </c>
      <c r="AD690" s="2909"/>
      <c r="AE690" s="1259"/>
      <c r="AG690" s="853" t="str">
        <f t="shared" si="100"/>
        <v/>
      </c>
      <c r="AH690" s="78" t="str">
        <f t="shared" si="101"/>
        <v/>
      </c>
      <c r="AI690" s="78" t="str">
        <f t="shared" si="102"/>
        <v>Pata</v>
      </c>
      <c r="AJ690" s="1256">
        <f>IF(OR($L690=AJ$635,$L690="",$D690=$AL$634),MAX(AJ$637:AJ689)+1,0)</f>
        <v>9</v>
      </c>
      <c r="AK690" s="1257">
        <f>IF(OR($L690=AK$635,$L690="",$D690=$AL$634),MAX(AK$637:AK689)+1,0)</f>
        <v>0</v>
      </c>
      <c r="AL690" s="1258">
        <f>IF(OR($L690=AL$635,$L690="",$D690=$AL$634),MAX(AL$637:AL689)+1,0)</f>
        <v>0</v>
      </c>
      <c r="AM690" s="6225"/>
      <c r="AN690" s="853" t="str">
        <f t="shared" si="103"/>
        <v/>
      </c>
      <c r="AO690" s="78" t="str">
        <f t="shared" si="104"/>
        <v/>
      </c>
      <c r="AP690" s="78" t="str">
        <f t="shared" si="105"/>
        <v>Pata</v>
      </c>
      <c r="AQ690" s="1256">
        <f>IF(OR($L690=AQ$635,$L690="",$D690=$AS$634),MAX(AQ$637:AQ689)+1,0)</f>
        <v>9</v>
      </c>
      <c r="AR690" s="1257">
        <f>IF(OR($L690=AR$635,$L690="",$D690=$AS$634),MAX(AR$637:AR689)+1,0)</f>
        <v>0</v>
      </c>
      <c r="AS690" s="1258">
        <f>IF(OR($L690=AS$635,$L690="",$D690=$AS$634),MAX(AS$637:AS689)+1,0)</f>
        <v>0</v>
      </c>
      <c r="AT690" s="6225"/>
      <c r="AU690" s="853" t="str">
        <f t="shared" si="106"/>
        <v/>
      </c>
      <c r="AV690" s="78" t="str">
        <f t="shared" si="107"/>
        <v/>
      </c>
      <c r="AW690" s="78" t="str">
        <f t="shared" si="108"/>
        <v>Pata</v>
      </c>
      <c r="AX690" s="1256">
        <f>IF(OR($L690=AX$635,$L690="",$D690=$AZ$634),MAX(AX$637:AX689)+1,0)</f>
        <v>9</v>
      </c>
      <c r="AY690" s="1257">
        <f>IF(OR($L690=AY$635,$L690="",$D690=$AZ$634),MAX(AY$637:AY689)+1,0)</f>
        <v>0</v>
      </c>
      <c r="AZ690" s="1258">
        <f>IF(OR($L690=AZ$635,$L690="",$D690=$AZ$634),MAX(AZ$637:AZ689)+1,0)</f>
        <v>0</v>
      </c>
      <c r="BA690" s="6225"/>
      <c r="BB690" s="853" t="str">
        <f t="shared" si="109"/>
        <v/>
      </c>
      <c r="BC690" s="78" t="str">
        <f t="shared" si="110"/>
        <v/>
      </c>
      <c r="BD690" s="78" t="str">
        <f t="shared" si="111"/>
        <v>Pata</v>
      </c>
      <c r="BE690" s="1256">
        <f>IF(OR($L690=BE$635,$L690="",$D690=$BG$634),MAX(BE$637:BE689)+1,0)</f>
        <v>9</v>
      </c>
      <c r="BF690" s="1257">
        <f>IF(OR($L690=BF$635,$L690="",$D690=$BG$634),MAX(BF$637:BF689)+1,0)</f>
        <v>0</v>
      </c>
      <c r="BG690" s="1258">
        <f>IF(OR($L690=BG$635,$L690="",$D690=$BG$634),MAX(BG$637:BG689)+1,0)</f>
        <v>0</v>
      </c>
      <c r="BH690" s="6225"/>
      <c r="BI690" s="853" t="str">
        <f t="shared" si="112"/>
        <v/>
      </c>
      <c r="BJ690" s="78" t="str">
        <f t="shared" si="113"/>
        <v/>
      </c>
      <c r="BK690" s="78" t="str">
        <f t="shared" si="114"/>
        <v>Pata</v>
      </c>
      <c r="BL690" s="1256">
        <f>IF(OR($L690=BL$635,$L690="",$D690=$BN$634),MAX(BL$637:BL689)+1,0)</f>
        <v>9</v>
      </c>
      <c r="BM690" s="1257">
        <f>IF(OR($L690=BM$635,$L690="",$D690=$BN$634),MAX(BM$637:BM689)+1,0)</f>
        <v>0</v>
      </c>
      <c r="BN690" s="1258">
        <f>IF(OR($L690=BN$635,$L690="",$D690=$BN$634),MAX(BN$637:BN689)+1,0)</f>
        <v>0</v>
      </c>
      <c r="BO690" s="6225"/>
      <c r="BP690" s="853" t="str">
        <f t="shared" si="115"/>
        <v/>
      </c>
      <c r="BQ690" s="78" t="str">
        <f t="shared" si="116"/>
        <v/>
      </c>
      <c r="BR690" s="78" t="str">
        <f t="shared" si="117"/>
        <v>Pata</v>
      </c>
      <c r="BS690" s="1256">
        <f>IF(OR($L690=BS$635,$L690="",$D690=$BU$634),MAX(BS$637:BS689)+1,0)</f>
        <v>9</v>
      </c>
      <c r="BT690" s="1257">
        <f>IF(OR($L690=BT$635,$L690="",$D690=$BU$634),MAX(BT$637:BT689)+1,0)</f>
        <v>0</v>
      </c>
      <c r="BU690" s="1258">
        <f>IF(OR($L690=BU$635,$L690="",$D690=$BU$634),MAX(BU$637:BU689)+1,0)</f>
        <v>0</v>
      </c>
    </row>
    <row r="691" spans="1:73" ht="12.75" customHeight="1" x14ac:dyDescent="0.2">
      <c r="A691" s="227">
        <v>691</v>
      </c>
      <c r="B691" s="5988"/>
      <c r="C691" s="1146"/>
      <c r="D691" s="2629" t="s">
        <v>2150</v>
      </c>
      <c r="E691" s="2633">
        <v>80</v>
      </c>
      <c r="F691" s="2628">
        <v>-30</v>
      </c>
      <c r="G691" s="2628">
        <v>8</v>
      </c>
      <c r="H691" s="2628">
        <v>8</v>
      </c>
      <c r="I691" s="2628" t="s">
        <v>1552</v>
      </c>
      <c r="J691" s="2628" t="s">
        <v>1456</v>
      </c>
      <c r="K691" s="2878" t="s">
        <v>7262</v>
      </c>
      <c r="L691" s="2628" t="str">
        <f t="shared" si="118"/>
        <v>Similar</v>
      </c>
      <c r="M691" s="2634">
        <v>12</v>
      </c>
      <c r="N691" s="2634">
        <v>7</v>
      </c>
      <c r="O691" s="2634">
        <v>25</v>
      </c>
      <c r="P691" s="2628"/>
      <c r="Q691" s="2628"/>
      <c r="R691" s="2628" t="s">
        <v>1456</v>
      </c>
      <c r="S691" s="2628" t="s">
        <v>1456</v>
      </c>
      <c r="T691" s="2628" t="s">
        <v>1456</v>
      </c>
      <c r="U691" s="2628"/>
      <c r="V691" s="2878" t="s">
        <v>2151</v>
      </c>
      <c r="W691" s="2878"/>
      <c r="X691" s="2879" t="str">
        <f t="shared" si="97"/>
        <v>Grande</v>
      </c>
      <c r="Y691" s="2618">
        <f t="shared" si="119"/>
        <v>0</v>
      </c>
      <c r="Z691" s="1265" t="str">
        <f t="shared" si="99"/>
        <v/>
      </c>
      <c r="AB691" s="853" t="s">
        <v>2159</v>
      </c>
      <c r="AC691" s="2859" t="s">
        <v>2239</v>
      </c>
      <c r="AD691" s="2909"/>
      <c r="AE691" s="1259"/>
      <c r="AG691" s="853" t="str">
        <f t="shared" si="100"/>
        <v/>
      </c>
      <c r="AH691" s="78" t="str">
        <f t="shared" si="101"/>
        <v/>
      </c>
      <c r="AI691" s="78" t="str">
        <f t="shared" si="102"/>
        <v>Red</v>
      </c>
      <c r="AJ691" s="1256">
        <f>IF(OR($L691=AJ$635,$L691="",$D691=$AL$634),MAX(AJ$637:AJ690)+1,0)</f>
        <v>10</v>
      </c>
      <c r="AK691" s="1257">
        <f>IF(OR($L691=AK$635,$L691="",$D691=$AL$634),MAX(AK$637:AK690)+1,0)</f>
        <v>0</v>
      </c>
      <c r="AL691" s="1258">
        <f>IF(OR($L691=AL$635,$L691="",$D691=$AL$634),MAX(AL$637:AL690)+1,0)</f>
        <v>0</v>
      </c>
      <c r="AM691" s="6225"/>
      <c r="AN691" s="853" t="str">
        <f t="shared" si="103"/>
        <v/>
      </c>
      <c r="AO691" s="78" t="str">
        <f t="shared" si="104"/>
        <v/>
      </c>
      <c r="AP691" s="78" t="str">
        <f t="shared" si="105"/>
        <v>Red</v>
      </c>
      <c r="AQ691" s="1256">
        <f>IF(OR($L691=AQ$635,$L691="",$D691=$AS$634),MAX(AQ$637:AQ690)+1,0)</f>
        <v>10</v>
      </c>
      <c r="AR691" s="1257">
        <f>IF(OR($L691=AR$635,$L691="",$D691=$AS$634),MAX(AR$637:AR690)+1,0)</f>
        <v>0</v>
      </c>
      <c r="AS691" s="1258">
        <f>IF(OR($L691=AS$635,$L691="",$D691=$AS$634),MAX(AS$637:AS690)+1,0)</f>
        <v>0</v>
      </c>
      <c r="AT691" s="6225"/>
      <c r="AU691" s="853" t="str">
        <f t="shared" si="106"/>
        <v/>
      </c>
      <c r="AV691" s="78" t="str">
        <f t="shared" si="107"/>
        <v/>
      </c>
      <c r="AW691" s="78" t="str">
        <f t="shared" si="108"/>
        <v>Red</v>
      </c>
      <c r="AX691" s="1256">
        <f>IF(OR($L691=AX$635,$L691="",$D691=$AZ$634),MAX(AX$637:AX690)+1,0)</f>
        <v>10</v>
      </c>
      <c r="AY691" s="1257">
        <f>IF(OR($L691=AY$635,$L691="",$D691=$AZ$634),MAX(AY$637:AY690)+1,0)</f>
        <v>0</v>
      </c>
      <c r="AZ691" s="1258">
        <f>IF(OR($L691=AZ$635,$L691="",$D691=$AZ$634),MAX(AZ$637:AZ690)+1,0)</f>
        <v>0</v>
      </c>
      <c r="BA691" s="6225"/>
      <c r="BB691" s="853" t="str">
        <f t="shared" si="109"/>
        <v/>
      </c>
      <c r="BC691" s="78" t="str">
        <f t="shared" si="110"/>
        <v/>
      </c>
      <c r="BD691" s="78" t="str">
        <f t="shared" si="111"/>
        <v>Red</v>
      </c>
      <c r="BE691" s="1256">
        <f>IF(OR($L691=BE$635,$L691="",$D691=$BG$634),MAX(BE$637:BE690)+1,0)</f>
        <v>10</v>
      </c>
      <c r="BF691" s="1257">
        <f>IF(OR($L691=BF$635,$L691="",$D691=$BG$634),MAX(BF$637:BF690)+1,0)</f>
        <v>0</v>
      </c>
      <c r="BG691" s="1258">
        <f>IF(OR($L691=BG$635,$L691="",$D691=$BG$634),MAX(BG$637:BG690)+1,0)</f>
        <v>0</v>
      </c>
      <c r="BH691" s="6225"/>
      <c r="BI691" s="853" t="str">
        <f t="shared" si="112"/>
        <v/>
      </c>
      <c r="BJ691" s="78" t="str">
        <f t="shared" si="113"/>
        <v/>
      </c>
      <c r="BK691" s="78" t="str">
        <f t="shared" si="114"/>
        <v>Red</v>
      </c>
      <c r="BL691" s="1256">
        <f>IF(OR($L691=BL$635,$L691="",$D691=$BN$634),MAX(BL$637:BL690)+1,0)</f>
        <v>10</v>
      </c>
      <c r="BM691" s="1257">
        <f>IF(OR($L691=BM$635,$L691="",$D691=$BN$634),MAX(BM$637:BM690)+1,0)</f>
        <v>0</v>
      </c>
      <c r="BN691" s="1258">
        <f>IF(OR($L691=BN$635,$L691="",$D691=$BN$634),MAX(BN$637:BN690)+1,0)</f>
        <v>0</v>
      </c>
      <c r="BO691" s="6225"/>
      <c r="BP691" s="853" t="str">
        <f t="shared" si="115"/>
        <v/>
      </c>
      <c r="BQ691" s="78" t="str">
        <f t="shared" si="116"/>
        <v/>
      </c>
      <c r="BR691" s="78" t="str">
        <f t="shared" si="117"/>
        <v>Red</v>
      </c>
      <c r="BS691" s="1256">
        <f>IF(OR($L691=BS$635,$L691="",$D691=$BU$634),MAX(BS$637:BS690)+1,0)</f>
        <v>10</v>
      </c>
      <c r="BT691" s="1257">
        <f>IF(OR($L691=BT$635,$L691="",$D691=$BU$634),MAX(BT$637:BT690)+1,0)</f>
        <v>0</v>
      </c>
      <c r="BU691" s="1258">
        <f>IF(OR($L691=BU$635,$L691="",$D691=$BU$634),MAX(BU$637:BU690)+1,0)</f>
        <v>0</v>
      </c>
    </row>
    <row r="692" spans="1:73" ht="12.75" customHeight="1" x14ac:dyDescent="0.2">
      <c r="A692" s="227">
        <v>692</v>
      </c>
      <c r="B692" s="5988"/>
      <c r="C692" s="1146"/>
      <c r="D692" s="2629" t="s">
        <v>2152</v>
      </c>
      <c r="E692" s="2633">
        <v>35</v>
      </c>
      <c r="F692" s="2628">
        <v>-20</v>
      </c>
      <c r="G692" s="2628">
        <v>4</v>
      </c>
      <c r="H692" s="2628">
        <v>4</v>
      </c>
      <c r="I692" s="2628" t="s">
        <v>1551</v>
      </c>
      <c r="J692" s="2628" t="s">
        <v>1498</v>
      </c>
      <c r="K692" s="2878" t="s">
        <v>7266</v>
      </c>
      <c r="L692" s="2628" t="str">
        <f t="shared" si="118"/>
        <v>Distinta</v>
      </c>
      <c r="M692" s="2634">
        <v>9</v>
      </c>
      <c r="N692" s="2634">
        <v>-3</v>
      </c>
      <c r="O692" s="2634">
        <v>20</v>
      </c>
      <c r="P692" s="2628"/>
      <c r="Q692" s="2628"/>
      <c r="R692" s="2628" t="s">
        <v>1456</v>
      </c>
      <c r="S692" s="2628" t="s">
        <v>1456</v>
      </c>
      <c r="T692" s="2628" t="s">
        <v>1456</v>
      </c>
      <c r="U692" s="2628"/>
      <c r="V692" s="2878" t="s">
        <v>2153</v>
      </c>
      <c r="W692" s="2878"/>
      <c r="X692" s="2879" t="str">
        <f t="shared" si="97"/>
        <v>Mediana</v>
      </c>
      <c r="Y692" s="2618">
        <f t="shared" si="119"/>
        <v>0</v>
      </c>
      <c r="Z692" s="1265" t="str">
        <f t="shared" si="99"/>
        <v/>
      </c>
      <c r="AB692" s="853" t="s">
        <v>6995</v>
      </c>
      <c r="AC692" s="2859" t="s">
        <v>2249</v>
      </c>
      <c r="AD692" s="2909"/>
      <c r="AE692" s="1259"/>
      <c r="AG692" s="853" t="str">
        <f t="shared" si="100"/>
        <v/>
      </c>
      <c r="AH692" s="78" t="str">
        <f t="shared" si="101"/>
        <v/>
      </c>
      <c r="AI692" s="78" t="str">
        <f t="shared" si="102"/>
        <v>Sable</v>
      </c>
      <c r="AJ692" s="1256">
        <f>IF(OR($L692=AJ$635,$L692="",$D692=$AL$634),MAX(AJ$637:AJ691)+1,0)</f>
        <v>0</v>
      </c>
      <c r="AK692" s="1257">
        <f>IF(OR($L692=AK$635,$L692="",$D692=$AL$634),MAX(AK$637:AK691)+1,0)</f>
        <v>0</v>
      </c>
      <c r="AL692" s="1258">
        <f>IF(OR($L692=AL$635,$L692="",$D692=$AL$634),MAX(AL$637:AL691)+1,0)</f>
        <v>42</v>
      </c>
      <c r="AM692" s="6225"/>
      <c r="AN692" s="853" t="str">
        <f t="shared" si="103"/>
        <v/>
      </c>
      <c r="AO692" s="78" t="str">
        <f t="shared" si="104"/>
        <v/>
      </c>
      <c r="AP692" s="78" t="str">
        <f t="shared" si="105"/>
        <v>Sable</v>
      </c>
      <c r="AQ692" s="1256">
        <f>IF(OR($L692=AQ$635,$L692="",$D692=$AS$634),MAX(AQ$637:AQ691)+1,0)</f>
        <v>0</v>
      </c>
      <c r="AR692" s="1257">
        <f>IF(OR($L692=AR$635,$L692="",$D692=$AS$634),MAX(AR$637:AR691)+1,0)</f>
        <v>0</v>
      </c>
      <c r="AS692" s="1258">
        <f>IF(OR($L692=AS$635,$L692="",$D692=$AS$634),MAX(AS$637:AS691)+1,0)</f>
        <v>42</v>
      </c>
      <c r="AT692" s="6225"/>
      <c r="AU692" s="853" t="str">
        <f t="shared" si="106"/>
        <v/>
      </c>
      <c r="AV692" s="78" t="str">
        <f t="shared" si="107"/>
        <v/>
      </c>
      <c r="AW692" s="78" t="str">
        <f t="shared" si="108"/>
        <v>Sable</v>
      </c>
      <c r="AX692" s="1256">
        <f>IF(OR($L692=AX$635,$L692="",$D692=$AZ$634),MAX(AX$637:AX691)+1,0)</f>
        <v>0</v>
      </c>
      <c r="AY692" s="1257">
        <f>IF(OR($L692=AY$635,$L692="",$D692=$AZ$634),MAX(AY$637:AY691)+1,0)</f>
        <v>0</v>
      </c>
      <c r="AZ692" s="1258">
        <f>IF(OR($L692=AZ$635,$L692="",$D692=$AZ$634),MAX(AZ$637:AZ691)+1,0)</f>
        <v>42</v>
      </c>
      <c r="BA692" s="6225"/>
      <c r="BB692" s="853" t="str">
        <f t="shared" si="109"/>
        <v/>
      </c>
      <c r="BC692" s="78" t="str">
        <f t="shared" si="110"/>
        <v/>
      </c>
      <c r="BD692" s="78" t="str">
        <f t="shared" si="111"/>
        <v>Sable</v>
      </c>
      <c r="BE692" s="1256">
        <f>IF(OR($L692=BE$635,$L692="",$D692=$BG$634),MAX(BE$637:BE691)+1,0)</f>
        <v>0</v>
      </c>
      <c r="BF692" s="1257">
        <f>IF(OR($L692=BF$635,$L692="",$D692=$BG$634),MAX(BF$637:BF691)+1,0)</f>
        <v>0</v>
      </c>
      <c r="BG692" s="1258">
        <f>IF(OR($L692=BG$635,$L692="",$D692=$BG$634),MAX(BG$637:BG691)+1,0)</f>
        <v>42</v>
      </c>
      <c r="BH692" s="6225"/>
      <c r="BI692" s="853" t="str">
        <f t="shared" si="112"/>
        <v/>
      </c>
      <c r="BJ692" s="78" t="str">
        <f t="shared" si="113"/>
        <v/>
      </c>
      <c r="BK692" s="78" t="str">
        <f t="shared" si="114"/>
        <v>Sable</v>
      </c>
      <c r="BL692" s="1256">
        <f>IF(OR($L692=BL$635,$L692="",$D692=$BN$634),MAX(BL$637:BL691)+1,0)</f>
        <v>0</v>
      </c>
      <c r="BM692" s="1257">
        <f>IF(OR($L692=BM$635,$L692="",$D692=$BN$634),MAX(BM$637:BM691)+1,0)</f>
        <v>0</v>
      </c>
      <c r="BN692" s="1258">
        <f>IF(OR($L692=BN$635,$L692="",$D692=$BN$634),MAX(BN$637:BN691)+1,0)</f>
        <v>42</v>
      </c>
      <c r="BO692" s="6225"/>
      <c r="BP692" s="853" t="str">
        <f t="shared" si="115"/>
        <v/>
      </c>
      <c r="BQ692" s="78" t="str">
        <f t="shared" si="116"/>
        <v/>
      </c>
      <c r="BR692" s="78" t="str">
        <f t="shared" si="117"/>
        <v>Sable</v>
      </c>
      <c r="BS692" s="1256">
        <f>IF(OR($L692=BS$635,$L692="",$D692=$BU$634),MAX(BS$637:BS691)+1,0)</f>
        <v>0</v>
      </c>
      <c r="BT692" s="1257">
        <f>IF(OR($L692=BT$635,$L692="",$D692=$BU$634),MAX(BT$637:BT691)+1,0)</f>
        <v>0</v>
      </c>
      <c r="BU692" s="1258">
        <f>IF(OR($L692=BU$635,$L692="",$D692=$BU$634),MAX(BU$637:BU691)+1,0)</f>
        <v>42</v>
      </c>
    </row>
    <row r="693" spans="1:73" ht="12.75" customHeight="1" x14ac:dyDescent="0.2">
      <c r="A693" s="227">
        <v>693</v>
      </c>
      <c r="B693" s="5988"/>
      <c r="C693" s="1146"/>
      <c r="D693" s="2629" t="s">
        <v>2154</v>
      </c>
      <c r="E693" s="2633">
        <f>5-Bono_Fue*2</f>
        <v>5</v>
      </c>
      <c r="F693" s="2628">
        <v>10</v>
      </c>
      <c r="G693" s="2628" t="s">
        <v>1456</v>
      </c>
      <c r="H693" s="2628">
        <v>4</v>
      </c>
      <c r="I693" s="2628" t="s">
        <v>1498</v>
      </c>
      <c r="J693" s="2628" t="s">
        <v>1456</v>
      </c>
      <c r="K693" s="2878" t="s">
        <v>7266</v>
      </c>
      <c r="L693" s="2628" t="str">
        <f t="shared" si="118"/>
        <v>Distinta</v>
      </c>
      <c r="M693" s="2634">
        <v>9</v>
      </c>
      <c r="N693" s="2634">
        <v>-4</v>
      </c>
      <c r="O693" s="2634">
        <v>20</v>
      </c>
      <c r="P693" s="2628"/>
      <c r="Q693" s="2628"/>
      <c r="R693" s="2628" t="s">
        <v>1456</v>
      </c>
      <c r="S693" s="2628" t="s">
        <v>1456</v>
      </c>
      <c r="T693" s="2628" t="s">
        <v>1456</v>
      </c>
      <c r="U693" s="2628"/>
      <c r="V693" s="2878" t="s">
        <v>2155</v>
      </c>
      <c r="W693" s="2878"/>
      <c r="X693" s="2879" t="str">
        <f t="shared" si="97"/>
        <v>Mediana</v>
      </c>
      <c r="Y693" s="2618">
        <f t="shared" si="119"/>
        <v>0</v>
      </c>
      <c r="Z693" s="1265" t="str">
        <f t="shared" si="99"/>
        <v/>
      </c>
      <c r="AB693" s="853" t="s">
        <v>2160</v>
      </c>
      <c r="AC693" s="2859" t="s">
        <v>2233</v>
      </c>
      <c r="AD693" s="2909"/>
      <c r="AE693" s="1259"/>
      <c r="AG693" s="853" t="str">
        <f t="shared" si="100"/>
        <v/>
      </c>
      <c r="AH693" s="78" t="str">
        <f t="shared" si="101"/>
        <v/>
      </c>
      <c r="AI693" s="78" t="str">
        <f t="shared" si="102"/>
        <v>Shang Gou</v>
      </c>
      <c r="AJ693" s="1256">
        <f>IF(OR($L693=AJ$635,$L693="",$D693=$AL$634),MAX(AJ$637:AJ692)+1,0)</f>
        <v>0</v>
      </c>
      <c r="AK693" s="1257">
        <f>IF(OR($L693=AK$635,$L693="",$D693=$AL$634),MAX(AK$637:AK692)+1,0)</f>
        <v>0</v>
      </c>
      <c r="AL693" s="1258">
        <f>IF(OR($L693=AL$635,$L693="",$D693=$AL$634),MAX(AL$637:AL692)+1,0)</f>
        <v>43</v>
      </c>
      <c r="AM693" s="6225"/>
      <c r="AN693" s="853" t="str">
        <f t="shared" si="103"/>
        <v/>
      </c>
      <c r="AO693" s="78" t="str">
        <f t="shared" si="104"/>
        <v/>
      </c>
      <c r="AP693" s="78" t="str">
        <f t="shared" si="105"/>
        <v>Shang Gou</v>
      </c>
      <c r="AQ693" s="1256">
        <f>IF(OR($L693=AQ$635,$L693="",$D693=$AS$634),MAX(AQ$637:AQ692)+1,0)</f>
        <v>0</v>
      </c>
      <c r="AR693" s="1257">
        <f>IF(OR($L693=AR$635,$L693="",$D693=$AS$634),MAX(AR$637:AR692)+1,0)</f>
        <v>0</v>
      </c>
      <c r="AS693" s="1258">
        <f>IF(OR($L693=AS$635,$L693="",$D693=$AS$634),MAX(AS$637:AS692)+1,0)</f>
        <v>43</v>
      </c>
      <c r="AT693" s="6225"/>
      <c r="AU693" s="853" t="str">
        <f t="shared" si="106"/>
        <v/>
      </c>
      <c r="AV693" s="78" t="str">
        <f t="shared" si="107"/>
        <v/>
      </c>
      <c r="AW693" s="78" t="str">
        <f t="shared" si="108"/>
        <v>Shang Gou</v>
      </c>
      <c r="AX693" s="1256">
        <f>IF(OR($L693=AX$635,$L693="",$D693=$AZ$634),MAX(AX$637:AX692)+1,0)</f>
        <v>0</v>
      </c>
      <c r="AY693" s="1257">
        <f>IF(OR($L693=AY$635,$L693="",$D693=$AZ$634),MAX(AY$637:AY692)+1,0)</f>
        <v>0</v>
      </c>
      <c r="AZ693" s="1258">
        <f>IF(OR($L693=AZ$635,$L693="",$D693=$AZ$634),MAX(AZ$637:AZ692)+1,0)</f>
        <v>43</v>
      </c>
      <c r="BA693" s="6225"/>
      <c r="BB693" s="853" t="str">
        <f t="shared" si="109"/>
        <v/>
      </c>
      <c r="BC693" s="78" t="str">
        <f t="shared" si="110"/>
        <v/>
      </c>
      <c r="BD693" s="78" t="str">
        <f t="shared" si="111"/>
        <v>Shang Gou</v>
      </c>
      <c r="BE693" s="1256">
        <f>IF(OR($L693=BE$635,$L693="",$D693=$BG$634),MAX(BE$637:BE692)+1,0)</f>
        <v>0</v>
      </c>
      <c r="BF693" s="1257">
        <f>IF(OR($L693=BF$635,$L693="",$D693=$BG$634),MAX(BF$637:BF692)+1,0)</f>
        <v>0</v>
      </c>
      <c r="BG693" s="1258">
        <f>IF(OR($L693=BG$635,$L693="",$D693=$BG$634),MAX(BG$637:BG692)+1,0)</f>
        <v>43</v>
      </c>
      <c r="BH693" s="6225"/>
      <c r="BI693" s="853" t="str">
        <f t="shared" si="112"/>
        <v/>
      </c>
      <c r="BJ693" s="78" t="str">
        <f t="shared" si="113"/>
        <v/>
      </c>
      <c r="BK693" s="78" t="str">
        <f t="shared" si="114"/>
        <v>Shang Gou</v>
      </c>
      <c r="BL693" s="1256">
        <f>IF(OR($L693=BL$635,$L693="",$D693=$BN$634),MAX(BL$637:BL692)+1,0)</f>
        <v>0</v>
      </c>
      <c r="BM693" s="1257">
        <f>IF(OR($L693=BM$635,$L693="",$D693=$BN$634),MAX(BM$637:BM692)+1,0)</f>
        <v>0</v>
      </c>
      <c r="BN693" s="1258">
        <f>IF(OR($L693=BN$635,$L693="",$D693=$BN$634),MAX(BN$637:BN692)+1,0)</f>
        <v>43</v>
      </c>
      <c r="BO693" s="6225"/>
      <c r="BP693" s="853" t="str">
        <f t="shared" si="115"/>
        <v/>
      </c>
      <c r="BQ693" s="78" t="str">
        <f t="shared" si="116"/>
        <v/>
      </c>
      <c r="BR693" s="78" t="str">
        <f t="shared" si="117"/>
        <v>Shang Gou</v>
      </c>
      <c r="BS693" s="1256">
        <f>IF(OR($L693=BS$635,$L693="",$D693=$BU$634),MAX(BS$637:BS692)+1,0)</f>
        <v>0</v>
      </c>
      <c r="BT693" s="1257">
        <f>IF(OR($L693=BT$635,$L693="",$D693=$BU$634),MAX(BT$637:BT692)+1,0)</f>
        <v>0</v>
      </c>
      <c r="BU693" s="1258">
        <f>IF(OR($L693=BU$635,$L693="",$D693=$BU$634),MAX(BU$637:BU692)+1,0)</f>
        <v>43</v>
      </c>
    </row>
    <row r="694" spans="1:73" ht="12.75" customHeight="1" x14ac:dyDescent="0.2">
      <c r="A694" s="227">
        <v>694</v>
      </c>
      <c r="B694" s="5988"/>
      <c r="C694" s="1146"/>
      <c r="D694" s="2629" t="s">
        <v>6994</v>
      </c>
      <c r="E694" s="2633">
        <v>30</v>
      </c>
      <c r="F694" s="2628">
        <v>15</v>
      </c>
      <c r="G694" s="2628">
        <v>5</v>
      </c>
      <c r="H694" s="2628">
        <v>5</v>
      </c>
      <c r="I694" s="2628" t="s">
        <v>1498</v>
      </c>
      <c r="J694" s="2628" t="s">
        <v>1456</v>
      </c>
      <c r="K694" s="2878" t="s">
        <v>7266</v>
      </c>
      <c r="L694" s="2628" t="str">
        <f t="shared" si="118"/>
        <v>Distinta</v>
      </c>
      <c r="M694" s="2634">
        <v>8</v>
      </c>
      <c r="N694" s="2634">
        <v>1</v>
      </c>
      <c r="O694" s="2634">
        <v>15</v>
      </c>
      <c r="P694" s="2628"/>
      <c r="Q694" s="2628"/>
      <c r="R694" s="2628" t="s">
        <v>1456</v>
      </c>
      <c r="S694" s="2628" t="s">
        <v>1456</v>
      </c>
      <c r="T694" s="2628" t="s">
        <v>1456</v>
      </c>
      <c r="U694" s="2628"/>
      <c r="V694" s="2878" t="s">
        <v>7033</v>
      </c>
      <c r="W694" s="2878"/>
      <c r="X694" s="2879" t="str">
        <f t="shared" si="97"/>
        <v>Mediana</v>
      </c>
      <c r="Y694" s="2618">
        <f t="shared" si="119"/>
        <v>0</v>
      </c>
      <c r="Z694" s="1265" t="str">
        <f t="shared" si="99"/>
        <v/>
      </c>
      <c r="AB694" s="853" t="s">
        <v>2161</v>
      </c>
      <c r="AC694" s="2859"/>
      <c r="AD694" s="2909"/>
      <c r="AE694" s="1259"/>
      <c r="AG694" s="853" t="str">
        <f t="shared" si="100"/>
        <v/>
      </c>
      <c r="AH694" s="78" t="str">
        <f t="shared" si="101"/>
        <v/>
      </c>
      <c r="AI694" s="78" t="str">
        <f t="shared" si="102"/>
        <v>Spatha</v>
      </c>
      <c r="AJ694" s="1256">
        <f>IF(OR($L694=AJ$635,$L694="",$D694=$AL$634),MAX(AJ$637:AJ693)+1,0)</f>
        <v>0</v>
      </c>
      <c r="AK694" s="1257">
        <f>IF(OR($L694=AK$635,$L694="",$D694=$AL$634),MAX(AK$637:AK693)+1,0)</f>
        <v>0</v>
      </c>
      <c r="AL694" s="1258">
        <f>IF(OR($L694=AL$635,$L694="",$D694=$AL$634),MAX(AL$637:AL693)+1,0)</f>
        <v>44</v>
      </c>
      <c r="AM694" s="6225"/>
      <c r="AN694" s="853" t="str">
        <f t="shared" si="103"/>
        <v/>
      </c>
      <c r="AO694" s="78" t="str">
        <f t="shared" si="104"/>
        <v/>
      </c>
      <c r="AP694" s="78" t="str">
        <f t="shared" si="105"/>
        <v>Spatha</v>
      </c>
      <c r="AQ694" s="1256">
        <f>IF(OR($L694=AQ$635,$L694="",$D694=$AS$634),MAX(AQ$637:AQ693)+1,0)</f>
        <v>0</v>
      </c>
      <c r="AR694" s="1257">
        <f>IF(OR($L694=AR$635,$L694="",$D694=$AS$634),MAX(AR$637:AR693)+1,0)</f>
        <v>0</v>
      </c>
      <c r="AS694" s="1258">
        <f>IF(OR($L694=AS$635,$L694="",$D694=$AS$634),MAX(AS$637:AS693)+1,0)</f>
        <v>44</v>
      </c>
      <c r="AT694" s="6225"/>
      <c r="AU694" s="853" t="str">
        <f t="shared" si="106"/>
        <v/>
      </c>
      <c r="AV694" s="78" t="str">
        <f t="shared" si="107"/>
        <v/>
      </c>
      <c r="AW694" s="78" t="str">
        <f t="shared" si="108"/>
        <v>Spatha</v>
      </c>
      <c r="AX694" s="1256">
        <f>IF(OR($L694=AX$635,$L694="",$D694=$AZ$634),MAX(AX$637:AX693)+1,0)</f>
        <v>0</v>
      </c>
      <c r="AY694" s="1257">
        <f>IF(OR($L694=AY$635,$L694="",$D694=$AZ$634),MAX(AY$637:AY693)+1,0)</f>
        <v>0</v>
      </c>
      <c r="AZ694" s="1258">
        <f>IF(OR($L694=AZ$635,$L694="",$D694=$AZ$634),MAX(AZ$637:AZ693)+1,0)</f>
        <v>44</v>
      </c>
      <c r="BA694" s="6225"/>
      <c r="BB694" s="853" t="str">
        <f t="shared" si="109"/>
        <v/>
      </c>
      <c r="BC694" s="78" t="str">
        <f t="shared" si="110"/>
        <v/>
      </c>
      <c r="BD694" s="78" t="str">
        <f t="shared" si="111"/>
        <v>Spatha</v>
      </c>
      <c r="BE694" s="1256">
        <f>IF(OR($L694=BE$635,$L694="",$D694=$BG$634),MAX(BE$637:BE693)+1,0)</f>
        <v>0</v>
      </c>
      <c r="BF694" s="1257">
        <f>IF(OR($L694=BF$635,$L694="",$D694=$BG$634),MAX(BF$637:BF693)+1,0)</f>
        <v>0</v>
      </c>
      <c r="BG694" s="1258">
        <f>IF(OR($L694=BG$635,$L694="",$D694=$BG$634),MAX(BG$637:BG693)+1,0)</f>
        <v>44</v>
      </c>
      <c r="BH694" s="6225"/>
      <c r="BI694" s="853" t="str">
        <f t="shared" si="112"/>
        <v/>
      </c>
      <c r="BJ694" s="78" t="str">
        <f t="shared" si="113"/>
        <v/>
      </c>
      <c r="BK694" s="78" t="str">
        <f t="shared" si="114"/>
        <v>Spatha</v>
      </c>
      <c r="BL694" s="1256">
        <f>IF(OR($L694=BL$635,$L694="",$D694=$BN$634),MAX(BL$637:BL693)+1,0)</f>
        <v>0</v>
      </c>
      <c r="BM694" s="1257">
        <f>IF(OR($L694=BM$635,$L694="",$D694=$BN$634),MAX(BM$637:BM693)+1,0)</f>
        <v>0</v>
      </c>
      <c r="BN694" s="1258">
        <f>IF(OR($L694=BN$635,$L694="",$D694=$BN$634),MAX(BN$637:BN693)+1,0)</f>
        <v>44</v>
      </c>
      <c r="BO694" s="6225"/>
      <c r="BP694" s="853" t="str">
        <f t="shared" si="115"/>
        <v/>
      </c>
      <c r="BQ694" s="78" t="str">
        <f t="shared" si="116"/>
        <v/>
      </c>
      <c r="BR694" s="78" t="str">
        <f t="shared" si="117"/>
        <v>Spatha</v>
      </c>
      <c r="BS694" s="1256">
        <f>IF(OR($L694=BS$635,$L694="",$D694=$BU$634),MAX(BS$637:BS693)+1,0)</f>
        <v>0</v>
      </c>
      <c r="BT694" s="1257">
        <f>IF(OR($L694=BT$635,$L694="",$D694=$BU$634),MAX(BT$637:BT693)+1,0)</f>
        <v>0</v>
      </c>
      <c r="BU694" s="1258">
        <f>IF(OR($L694=BU$635,$L694="",$D694=$BU$634),MAX(BU$637:BU693)+1,0)</f>
        <v>44</v>
      </c>
    </row>
    <row r="695" spans="1:73" ht="12.75" customHeight="1" x14ac:dyDescent="0.2">
      <c r="A695" s="227">
        <v>695</v>
      </c>
      <c r="B695" s="5988"/>
      <c r="C695" s="1146"/>
      <c r="D695" s="2629" t="s">
        <v>7013</v>
      </c>
      <c r="E695" s="2633">
        <v>25</v>
      </c>
      <c r="F695" s="2628">
        <v>20</v>
      </c>
      <c r="G695" s="2628">
        <v>5</v>
      </c>
      <c r="H695" s="2628">
        <v>5</v>
      </c>
      <c r="I695" s="2628" t="s">
        <v>1551</v>
      </c>
      <c r="J695" s="2628" t="s">
        <v>1456</v>
      </c>
      <c r="K695" s="2878" t="s">
        <v>7267</v>
      </c>
      <c r="L695" s="2628" t="str">
        <f t="shared" si="118"/>
        <v>Distinta</v>
      </c>
      <c r="M695" s="2634">
        <v>12</v>
      </c>
      <c r="N695" s="2634">
        <v>5</v>
      </c>
      <c r="O695" s="2634">
        <v>15</v>
      </c>
      <c r="P695" s="2628"/>
      <c r="Q695" s="2628"/>
      <c r="R695" s="2628" t="s">
        <v>1456</v>
      </c>
      <c r="S695" s="2628" t="s">
        <v>1456</v>
      </c>
      <c r="T695" s="2628" t="s">
        <v>1456</v>
      </c>
      <c r="U695" s="2628"/>
      <c r="V695" s="2878" t="s">
        <v>7034</v>
      </c>
      <c r="W695" s="2878"/>
      <c r="X695" s="2879" t="str">
        <f t="shared" si="97"/>
        <v>Pequeña</v>
      </c>
      <c r="Y695" s="2618">
        <f t="shared" si="119"/>
        <v>0</v>
      </c>
      <c r="Z695" s="1265" t="str">
        <f t="shared" si="99"/>
        <v/>
      </c>
      <c r="AB695" s="853" t="s">
        <v>7014</v>
      </c>
      <c r="AC695" s="2859"/>
      <c r="AD695" s="2909"/>
      <c r="AE695" s="1259"/>
      <c r="AG695" s="853" t="str">
        <f t="shared" si="100"/>
        <v/>
      </c>
      <c r="AH695" s="78" t="str">
        <f t="shared" si="101"/>
        <v/>
      </c>
      <c r="AI695" s="78" t="str">
        <f t="shared" si="102"/>
        <v>Turcus</v>
      </c>
      <c r="AJ695" s="1256">
        <f>IF(OR($L695=AJ$635,$L695="",$D695=$AL$634),MAX(AJ$637:AJ694)+1,0)</f>
        <v>0</v>
      </c>
      <c r="AK695" s="1257">
        <f>IF(OR($L695=AK$635,$L695="",$D695=$AL$634),MAX(AK$637:AK694)+1,0)</f>
        <v>0</v>
      </c>
      <c r="AL695" s="1258">
        <f>IF(OR($L695=AL$635,$L695="",$D695=$AL$634),MAX(AL$637:AL694)+1,0)</f>
        <v>45</v>
      </c>
      <c r="AM695" s="6225"/>
      <c r="AN695" s="853" t="str">
        <f t="shared" si="103"/>
        <v/>
      </c>
      <c r="AO695" s="78" t="str">
        <f t="shared" si="104"/>
        <v/>
      </c>
      <c r="AP695" s="78" t="str">
        <f t="shared" si="105"/>
        <v>Turcus</v>
      </c>
      <c r="AQ695" s="1256">
        <f>IF(OR($L695=AQ$635,$L695="",$D695=$AS$634),MAX(AQ$637:AQ694)+1,0)</f>
        <v>0</v>
      </c>
      <c r="AR695" s="1257">
        <f>IF(OR($L695=AR$635,$L695="",$D695=$AS$634),MAX(AR$637:AR694)+1,0)</f>
        <v>0</v>
      </c>
      <c r="AS695" s="1258">
        <f>IF(OR($L695=AS$635,$L695="",$D695=$AS$634),MAX(AS$637:AS694)+1,0)</f>
        <v>45</v>
      </c>
      <c r="AT695" s="6225"/>
      <c r="AU695" s="853" t="str">
        <f t="shared" si="106"/>
        <v/>
      </c>
      <c r="AV695" s="78" t="str">
        <f t="shared" si="107"/>
        <v/>
      </c>
      <c r="AW695" s="78" t="str">
        <f t="shared" si="108"/>
        <v>Turcus</v>
      </c>
      <c r="AX695" s="1256">
        <f>IF(OR($L695=AX$635,$L695="",$D695=$AZ$634),MAX(AX$637:AX694)+1,0)</f>
        <v>0</v>
      </c>
      <c r="AY695" s="1257">
        <f>IF(OR($L695=AY$635,$L695="",$D695=$AZ$634),MAX(AY$637:AY694)+1,0)</f>
        <v>0</v>
      </c>
      <c r="AZ695" s="1258">
        <f>IF(OR($L695=AZ$635,$L695="",$D695=$AZ$634),MAX(AZ$637:AZ694)+1,0)</f>
        <v>45</v>
      </c>
      <c r="BA695" s="6225"/>
      <c r="BB695" s="853" t="str">
        <f t="shared" si="109"/>
        <v/>
      </c>
      <c r="BC695" s="78" t="str">
        <f t="shared" si="110"/>
        <v/>
      </c>
      <c r="BD695" s="78" t="str">
        <f t="shared" si="111"/>
        <v>Turcus</v>
      </c>
      <c r="BE695" s="1256">
        <f>IF(OR($L695=BE$635,$L695="",$D695=$BG$634),MAX(BE$637:BE694)+1,0)</f>
        <v>0</v>
      </c>
      <c r="BF695" s="1257">
        <f>IF(OR($L695=BF$635,$L695="",$D695=$BG$634),MAX(BF$637:BF694)+1,0)</f>
        <v>0</v>
      </c>
      <c r="BG695" s="1258">
        <f>IF(OR($L695=BG$635,$L695="",$D695=$BG$634),MAX(BG$637:BG694)+1,0)</f>
        <v>45</v>
      </c>
      <c r="BH695" s="6225"/>
      <c r="BI695" s="853" t="str">
        <f t="shared" si="112"/>
        <v/>
      </c>
      <c r="BJ695" s="78" t="str">
        <f t="shared" si="113"/>
        <v/>
      </c>
      <c r="BK695" s="78" t="str">
        <f t="shared" si="114"/>
        <v>Turcus</v>
      </c>
      <c r="BL695" s="1256">
        <f>IF(OR($L695=BL$635,$L695="",$D695=$BN$634),MAX(BL$637:BL694)+1,0)</f>
        <v>0</v>
      </c>
      <c r="BM695" s="1257">
        <f>IF(OR($L695=BM$635,$L695="",$D695=$BN$634),MAX(BM$637:BM694)+1,0)</f>
        <v>0</v>
      </c>
      <c r="BN695" s="1258">
        <f>IF(OR($L695=BN$635,$L695="",$D695=$BN$634),MAX(BN$637:BN694)+1,0)</f>
        <v>45</v>
      </c>
      <c r="BO695" s="6225"/>
      <c r="BP695" s="853" t="str">
        <f t="shared" si="115"/>
        <v/>
      </c>
      <c r="BQ695" s="78" t="str">
        <f t="shared" si="116"/>
        <v/>
      </c>
      <c r="BR695" s="78" t="str">
        <f t="shared" si="117"/>
        <v>Turcus</v>
      </c>
      <c r="BS695" s="1256">
        <f>IF(OR($L695=BS$635,$L695="",$D695=$BU$634),MAX(BS$637:BS694)+1,0)</f>
        <v>0</v>
      </c>
      <c r="BT695" s="1257">
        <f>IF(OR($L695=BT$635,$L695="",$D695=$BU$634),MAX(BT$637:BT694)+1,0)</f>
        <v>0</v>
      </c>
      <c r="BU695" s="1258">
        <f>IF(OR($L695=BU$635,$L695="",$D695=$BU$634),MAX(BU$637:BU694)+1,0)</f>
        <v>45</v>
      </c>
    </row>
    <row r="696" spans="1:73" ht="12.75" customHeight="1" x14ac:dyDescent="0.2">
      <c r="A696" s="227">
        <v>696</v>
      </c>
      <c r="B696" s="5988"/>
      <c r="C696" s="1146"/>
      <c r="D696" s="2629" t="s">
        <v>2156</v>
      </c>
      <c r="E696" s="2633">
        <v>80</v>
      </c>
      <c r="F696" s="2628">
        <v>-50</v>
      </c>
      <c r="G696" s="2628">
        <v>10</v>
      </c>
      <c r="H696" s="2628">
        <v>8</v>
      </c>
      <c r="I696" s="2628" t="s">
        <v>1498</v>
      </c>
      <c r="J696" s="2628" t="s">
        <v>1456</v>
      </c>
      <c r="K696" s="2878" t="s">
        <v>7275</v>
      </c>
      <c r="L696" s="2628" t="str">
        <f t="shared" si="118"/>
        <v>Distinta</v>
      </c>
      <c r="M696" s="2634">
        <v>14</v>
      </c>
      <c r="N696" s="2634">
        <v>6</v>
      </c>
      <c r="O696" s="2634">
        <v>20</v>
      </c>
      <c r="P696" s="2628"/>
      <c r="Q696" s="2628"/>
      <c r="R696" s="2628" t="s">
        <v>1456</v>
      </c>
      <c r="S696" s="2628" t="s">
        <v>1456</v>
      </c>
      <c r="T696" s="2628" t="s">
        <v>1456</v>
      </c>
      <c r="U696" s="2628"/>
      <c r="V696" s="2878" t="s">
        <v>2157</v>
      </c>
      <c r="W696" s="2878"/>
      <c r="X696" s="2879" t="str">
        <f t="shared" si="97"/>
        <v>Grande</v>
      </c>
      <c r="Y696" s="2618">
        <f t="shared" si="119"/>
        <v>0</v>
      </c>
      <c r="Z696" s="1265" t="str">
        <f t="shared" si="99"/>
        <v/>
      </c>
      <c r="AB696" s="853" t="s">
        <v>6998</v>
      </c>
      <c r="AC696" s="2859"/>
      <c r="AD696" s="2909"/>
      <c r="AE696" s="1259"/>
      <c r="AG696" s="853" t="str">
        <f t="shared" si="100"/>
        <v/>
      </c>
      <c r="AH696" s="78" t="str">
        <f t="shared" si="101"/>
        <v/>
      </c>
      <c r="AI696" s="78" t="str">
        <f t="shared" si="102"/>
        <v>Urumi</v>
      </c>
      <c r="AJ696" s="1256">
        <f>IF(OR($L696=AJ$635,$L696="",$D696=$AL$634),MAX(AJ$637:AJ695)+1,0)</f>
        <v>0</v>
      </c>
      <c r="AK696" s="1257">
        <f>IF(OR($L696=AK$635,$L696="",$D696=$AL$634),MAX(AK$637:AK695)+1,0)</f>
        <v>0</v>
      </c>
      <c r="AL696" s="1258">
        <f>IF(OR($L696=AL$635,$L696="",$D696=$AL$634),MAX(AL$637:AL695)+1,0)</f>
        <v>46</v>
      </c>
      <c r="AM696" s="6225"/>
      <c r="AN696" s="853" t="str">
        <f t="shared" si="103"/>
        <v/>
      </c>
      <c r="AO696" s="78" t="str">
        <f t="shared" si="104"/>
        <v/>
      </c>
      <c r="AP696" s="78" t="str">
        <f t="shared" si="105"/>
        <v>Urumi</v>
      </c>
      <c r="AQ696" s="1256">
        <f>IF(OR($L696=AQ$635,$L696="",$D696=$AS$634),MAX(AQ$637:AQ695)+1,0)</f>
        <v>0</v>
      </c>
      <c r="AR696" s="1257">
        <f>IF(OR($L696=AR$635,$L696="",$D696=$AS$634),MAX(AR$637:AR695)+1,0)</f>
        <v>0</v>
      </c>
      <c r="AS696" s="1258">
        <f>IF(OR($L696=AS$635,$L696="",$D696=$AS$634),MAX(AS$637:AS695)+1,0)</f>
        <v>46</v>
      </c>
      <c r="AT696" s="6225"/>
      <c r="AU696" s="853" t="str">
        <f t="shared" si="106"/>
        <v/>
      </c>
      <c r="AV696" s="78" t="str">
        <f t="shared" si="107"/>
        <v/>
      </c>
      <c r="AW696" s="78" t="str">
        <f t="shared" si="108"/>
        <v>Urumi</v>
      </c>
      <c r="AX696" s="1256">
        <f>IF(OR($L696=AX$635,$L696="",$D696=$AZ$634),MAX(AX$637:AX695)+1,0)</f>
        <v>0</v>
      </c>
      <c r="AY696" s="1257">
        <f>IF(OR($L696=AY$635,$L696="",$D696=$AZ$634),MAX(AY$637:AY695)+1,0)</f>
        <v>0</v>
      </c>
      <c r="AZ696" s="1258">
        <f>IF(OR($L696=AZ$635,$L696="",$D696=$AZ$634),MAX(AZ$637:AZ695)+1,0)</f>
        <v>46</v>
      </c>
      <c r="BA696" s="6225"/>
      <c r="BB696" s="853" t="str">
        <f t="shared" si="109"/>
        <v/>
      </c>
      <c r="BC696" s="78" t="str">
        <f t="shared" si="110"/>
        <v/>
      </c>
      <c r="BD696" s="78" t="str">
        <f t="shared" si="111"/>
        <v>Urumi</v>
      </c>
      <c r="BE696" s="1256">
        <f>IF(OR($L696=BE$635,$L696="",$D696=$BG$634),MAX(BE$637:BE695)+1,0)</f>
        <v>0</v>
      </c>
      <c r="BF696" s="1257">
        <f>IF(OR($L696=BF$635,$L696="",$D696=$BG$634),MAX(BF$637:BF695)+1,0)</f>
        <v>0</v>
      </c>
      <c r="BG696" s="1258">
        <f>IF(OR($L696=BG$635,$L696="",$D696=$BG$634),MAX(BG$637:BG695)+1,0)</f>
        <v>46</v>
      </c>
      <c r="BH696" s="6225"/>
      <c r="BI696" s="853" t="str">
        <f t="shared" si="112"/>
        <v/>
      </c>
      <c r="BJ696" s="78" t="str">
        <f t="shared" si="113"/>
        <v/>
      </c>
      <c r="BK696" s="78" t="str">
        <f t="shared" si="114"/>
        <v>Urumi</v>
      </c>
      <c r="BL696" s="1256">
        <f>IF(OR($L696=BL$635,$L696="",$D696=$BN$634),MAX(BL$637:BL695)+1,0)</f>
        <v>0</v>
      </c>
      <c r="BM696" s="1257">
        <f>IF(OR($L696=BM$635,$L696="",$D696=$BN$634),MAX(BM$637:BM695)+1,0)</f>
        <v>0</v>
      </c>
      <c r="BN696" s="1258">
        <f>IF(OR($L696=BN$635,$L696="",$D696=$BN$634),MAX(BN$637:BN695)+1,0)</f>
        <v>46</v>
      </c>
      <c r="BO696" s="6225"/>
      <c r="BP696" s="853" t="str">
        <f t="shared" si="115"/>
        <v/>
      </c>
      <c r="BQ696" s="78" t="str">
        <f t="shared" si="116"/>
        <v/>
      </c>
      <c r="BR696" s="78" t="str">
        <f t="shared" si="117"/>
        <v>Urumi</v>
      </c>
      <c r="BS696" s="1256">
        <f>IF(OR($L696=BS$635,$L696="",$D696=$BU$634),MAX(BS$637:BS695)+1,0)</f>
        <v>0</v>
      </c>
      <c r="BT696" s="1257">
        <f>IF(OR($L696=BT$635,$L696="",$D696=$BU$634),MAX(BT$637:BT695)+1,0)</f>
        <v>0</v>
      </c>
      <c r="BU696" s="1258">
        <f>IF(OR($L696=BU$635,$L696="",$D696=$BU$634),MAX(BU$637:BU695)+1,0)</f>
        <v>46</v>
      </c>
    </row>
    <row r="697" spans="1:73" ht="12.75" customHeight="1" x14ac:dyDescent="0.2">
      <c r="A697" s="227">
        <v>697</v>
      </c>
      <c r="B697" s="5988"/>
      <c r="C697" s="1146"/>
      <c r="D697" s="2629" t="s">
        <v>2158</v>
      </c>
      <c r="E697" s="2633">
        <v>50</v>
      </c>
      <c r="F697" s="2628">
        <v>-5</v>
      </c>
      <c r="G697" s="2628">
        <v>6</v>
      </c>
      <c r="H697" s="2628">
        <v>6</v>
      </c>
      <c r="I697" s="2628" t="s">
        <v>1498</v>
      </c>
      <c r="J697" s="2628" t="s">
        <v>1456</v>
      </c>
      <c r="K697" s="2878" t="s">
        <v>7268</v>
      </c>
      <c r="L697" s="2628" t="str">
        <f t="shared" si="118"/>
        <v>Distinta</v>
      </c>
      <c r="M697" s="2634">
        <v>15</v>
      </c>
      <c r="N697" s="2634">
        <v>4</v>
      </c>
      <c r="O697" s="2634">
        <v>15</v>
      </c>
      <c r="P697" s="2628"/>
      <c r="Q697" s="2628"/>
      <c r="R697" s="2628" t="s">
        <v>1456</v>
      </c>
      <c r="S697" s="2628" t="s">
        <v>1456</v>
      </c>
      <c r="T697" s="2628" t="s">
        <v>1456</v>
      </c>
      <c r="U697" s="2628"/>
      <c r="V697" s="2878" t="s">
        <v>1456</v>
      </c>
      <c r="W697" s="2878"/>
      <c r="X697" s="2879" t="str">
        <f t="shared" si="97"/>
        <v>Mediana</v>
      </c>
      <c r="Y697" s="2618">
        <f t="shared" si="119"/>
        <v>0</v>
      </c>
      <c r="Z697" s="1265" t="str">
        <f t="shared" si="99"/>
        <v/>
      </c>
      <c r="AB697" s="853" t="s">
        <v>2162</v>
      </c>
      <c r="AC697" s="2859"/>
      <c r="AD697" s="2909"/>
      <c r="AE697" s="1259"/>
      <c r="AG697" s="853" t="str">
        <f t="shared" si="100"/>
        <v/>
      </c>
      <c r="AH697" s="78" t="str">
        <f t="shared" si="101"/>
        <v/>
      </c>
      <c r="AI697" s="78" t="str">
        <f t="shared" si="102"/>
        <v>&gt; ESCUDOS</v>
      </c>
      <c r="AJ697" s="1256">
        <f>IF(OR($L697=AJ$635,$L697="",$D697=$AL$634),MAX(AJ$637:AJ696)+1,0)</f>
        <v>0</v>
      </c>
      <c r="AK697" s="1257">
        <f>IF(OR($L697=AK$635,$L697="",$D697=$AL$634),MAX(AK$637:AK696)+1,0)</f>
        <v>0</v>
      </c>
      <c r="AL697" s="1258">
        <f>IF(OR($L697=AL$635,$L697="",$D697=$AL$634),MAX(AL$637:AL696)+1,0)</f>
        <v>47</v>
      </c>
      <c r="AM697" s="6225"/>
      <c r="AN697" s="853" t="str">
        <f t="shared" si="103"/>
        <v/>
      </c>
      <c r="AO697" s="78" t="str">
        <f t="shared" si="104"/>
        <v/>
      </c>
      <c r="AP697" s="78" t="str">
        <f t="shared" si="105"/>
        <v>&gt; ESCUDOS</v>
      </c>
      <c r="AQ697" s="1256">
        <f>IF(OR($L697=AQ$635,$L697="",$D697=$AS$634),MAX(AQ$637:AQ696)+1,0)</f>
        <v>0</v>
      </c>
      <c r="AR697" s="1257">
        <f>IF(OR($L697=AR$635,$L697="",$D697=$AS$634),MAX(AR$637:AR696)+1,0)</f>
        <v>0</v>
      </c>
      <c r="AS697" s="1258">
        <f>IF(OR($L697=AS$635,$L697="",$D697=$AS$634),MAX(AS$637:AS696)+1,0)</f>
        <v>47</v>
      </c>
      <c r="AT697" s="6225"/>
      <c r="AU697" s="853" t="str">
        <f t="shared" si="106"/>
        <v/>
      </c>
      <c r="AV697" s="78" t="str">
        <f t="shared" si="107"/>
        <v/>
      </c>
      <c r="AW697" s="78" t="str">
        <f t="shared" si="108"/>
        <v>&gt; ESCUDOS</v>
      </c>
      <c r="AX697" s="1256">
        <f>IF(OR($L697=AX$635,$L697="",$D697=$AZ$634),MAX(AX$637:AX696)+1,0)</f>
        <v>0</v>
      </c>
      <c r="AY697" s="1257">
        <f>IF(OR($L697=AY$635,$L697="",$D697=$AZ$634),MAX(AY$637:AY696)+1,0)</f>
        <v>0</v>
      </c>
      <c r="AZ697" s="1258">
        <f>IF(OR($L697=AZ$635,$L697="",$D697=$AZ$634),MAX(AZ$637:AZ696)+1,0)</f>
        <v>47</v>
      </c>
      <c r="BA697" s="6225"/>
      <c r="BB697" s="853" t="str">
        <f t="shared" si="109"/>
        <v/>
      </c>
      <c r="BC697" s="78" t="str">
        <f t="shared" si="110"/>
        <v/>
      </c>
      <c r="BD697" s="78" t="str">
        <f t="shared" si="111"/>
        <v>&gt; ESCUDOS</v>
      </c>
      <c r="BE697" s="1256">
        <f>IF(OR($L697=BE$635,$L697="",$D697=$BG$634),MAX(BE$637:BE696)+1,0)</f>
        <v>0</v>
      </c>
      <c r="BF697" s="1257">
        <f>IF(OR($L697=BF$635,$L697="",$D697=$BG$634),MAX(BF$637:BF696)+1,0)</f>
        <v>0</v>
      </c>
      <c r="BG697" s="1258">
        <f>IF(OR($L697=BG$635,$L697="",$D697=$BG$634),MAX(BG$637:BG696)+1,0)</f>
        <v>47</v>
      </c>
      <c r="BH697" s="6225"/>
      <c r="BI697" s="853" t="str">
        <f t="shared" si="112"/>
        <v/>
      </c>
      <c r="BJ697" s="78" t="str">
        <f t="shared" si="113"/>
        <v/>
      </c>
      <c r="BK697" s="78" t="str">
        <f t="shared" si="114"/>
        <v>&gt; ESCUDOS</v>
      </c>
      <c r="BL697" s="1256">
        <f>IF(OR($L697=BL$635,$L697="",$D697=$BN$634),MAX(BL$637:BL696)+1,0)</f>
        <v>0</v>
      </c>
      <c r="BM697" s="1257">
        <f>IF(OR($L697=BM$635,$L697="",$D697=$BN$634),MAX(BM$637:BM696)+1,0)</f>
        <v>0</v>
      </c>
      <c r="BN697" s="1258">
        <f>IF(OR($L697=BN$635,$L697="",$D697=$BN$634),MAX(BN$637:BN696)+1,0)</f>
        <v>47</v>
      </c>
      <c r="BO697" s="6225"/>
      <c r="BP697" s="853" t="str">
        <f t="shared" si="115"/>
        <v/>
      </c>
      <c r="BQ697" s="78" t="str">
        <f t="shared" si="116"/>
        <v/>
      </c>
      <c r="BR697" s="78" t="str">
        <f t="shared" si="117"/>
        <v>&gt; ESCUDOS</v>
      </c>
      <c r="BS697" s="1256">
        <f>IF(OR($L697=BS$635,$L697="",$D697=$BU$634),MAX(BS$637:BS696)+1,0)</f>
        <v>0</v>
      </c>
      <c r="BT697" s="1257">
        <f>IF(OR($L697=BT$635,$L697="",$D697=$BU$634),MAX(BT$637:BT696)+1,0)</f>
        <v>0</v>
      </c>
      <c r="BU697" s="1258">
        <f>IF(OR($L697=BU$635,$L697="",$D697=$BU$634),MAX(BU$637:BU696)+1,0)</f>
        <v>47</v>
      </c>
    </row>
    <row r="698" spans="1:73" ht="12.75" customHeight="1" x14ac:dyDescent="0.2">
      <c r="A698" s="227">
        <v>698</v>
      </c>
      <c r="B698" s="5988"/>
      <c r="C698" s="1146"/>
      <c r="D698" s="2629" t="s">
        <v>2159</v>
      </c>
      <c r="E698" s="2633">
        <v>40</v>
      </c>
      <c r="F698" s="2628">
        <v>0</v>
      </c>
      <c r="G698" s="2628">
        <v>6</v>
      </c>
      <c r="H698" s="2628">
        <v>6</v>
      </c>
      <c r="I698" s="2628" t="s">
        <v>1498</v>
      </c>
      <c r="J698" s="2628" t="s">
        <v>1456</v>
      </c>
      <c r="K698" s="2878" t="s">
        <v>7276</v>
      </c>
      <c r="L698" s="2628" t="str">
        <f t="shared" si="118"/>
        <v>Distinta</v>
      </c>
      <c r="M698" s="2634">
        <v>13</v>
      </c>
      <c r="N698" s="2634">
        <v>4</v>
      </c>
      <c r="O698" s="2634">
        <v>15</v>
      </c>
      <c r="P698" s="2628"/>
      <c r="Q698" s="2628"/>
      <c r="R698" s="2628" t="s">
        <v>1456</v>
      </c>
      <c r="S698" s="2628" t="s">
        <v>1456</v>
      </c>
      <c r="T698" s="2628" t="s">
        <v>1456</v>
      </c>
      <c r="U698" s="2628"/>
      <c r="V698" s="2878" t="s">
        <v>2157</v>
      </c>
      <c r="W698" s="2878"/>
      <c r="X698" s="2879" t="str">
        <f t="shared" si="97"/>
        <v>Mediana</v>
      </c>
      <c r="Y698" s="2618">
        <f t="shared" si="119"/>
        <v>0</v>
      </c>
      <c r="Z698" s="1265" t="str">
        <f t="shared" si="99"/>
        <v/>
      </c>
      <c r="AB698" s="853" t="s">
        <v>2163</v>
      </c>
      <c r="AC698" s="2859"/>
      <c r="AD698" s="2909"/>
      <c r="AE698" s="1259"/>
      <c r="AG698" s="853" t="str">
        <f t="shared" si="100"/>
        <v/>
      </c>
      <c r="AH698" s="78" t="str">
        <f t="shared" si="101"/>
        <v/>
      </c>
      <c r="AI698" s="78" t="str">
        <f t="shared" si="102"/>
        <v>Escudo corporal</v>
      </c>
      <c r="AJ698" s="1256">
        <f>IF(OR($L698=AJ$635,$L698="",$D698=$AL$634),MAX(AJ$637:AJ697)+1,0)</f>
        <v>0</v>
      </c>
      <c r="AK698" s="1257">
        <f>IF(OR($L698=AK$635,$L698="",$D698=$AL$634),MAX(AK$637:AK697)+1,0)</f>
        <v>0</v>
      </c>
      <c r="AL698" s="1258">
        <f>IF(OR($L698=AL$635,$L698="",$D698=$AL$634),MAX(AL$637:AL697)+1,0)</f>
        <v>48</v>
      </c>
      <c r="AM698" s="6225"/>
      <c r="AN698" s="853" t="str">
        <f t="shared" si="103"/>
        <v/>
      </c>
      <c r="AO698" s="78" t="str">
        <f t="shared" si="104"/>
        <v/>
      </c>
      <c r="AP698" s="78" t="str">
        <f t="shared" si="105"/>
        <v>Escudo corporal</v>
      </c>
      <c r="AQ698" s="1256">
        <f>IF(OR($L698=AQ$635,$L698="",$D698=$AS$634),MAX(AQ$637:AQ697)+1,0)</f>
        <v>0</v>
      </c>
      <c r="AR698" s="1257">
        <f>IF(OR($L698=AR$635,$L698="",$D698=$AS$634),MAX(AR$637:AR697)+1,0)</f>
        <v>0</v>
      </c>
      <c r="AS698" s="1258">
        <f>IF(OR($L698=AS$635,$L698="",$D698=$AS$634),MAX(AS$637:AS697)+1,0)</f>
        <v>48</v>
      </c>
      <c r="AT698" s="6225"/>
      <c r="AU698" s="853" t="str">
        <f t="shared" si="106"/>
        <v/>
      </c>
      <c r="AV698" s="78" t="str">
        <f t="shared" si="107"/>
        <v/>
      </c>
      <c r="AW698" s="78" t="str">
        <f t="shared" si="108"/>
        <v>Escudo corporal</v>
      </c>
      <c r="AX698" s="1256">
        <f>IF(OR($L698=AX$635,$L698="",$D698=$AZ$634),MAX(AX$637:AX697)+1,0)</f>
        <v>0</v>
      </c>
      <c r="AY698" s="1257">
        <f>IF(OR($L698=AY$635,$L698="",$D698=$AZ$634),MAX(AY$637:AY697)+1,0)</f>
        <v>0</v>
      </c>
      <c r="AZ698" s="1258">
        <f>IF(OR($L698=AZ$635,$L698="",$D698=$AZ$634),MAX(AZ$637:AZ697)+1,0)</f>
        <v>48</v>
      </c>
      <c r="BA698" s="6225"/>
      <c r="BB698" s="853" t="str">
        <f t="shared" si="109"/>
        <v/>
      </c>
      <c r="BC698" s="78" t="str">
        <f t="shared" si="110"/>
        <v/>
      </c>
      <c r="BD698" s="78" t="str">
        <f t="shared" si="111"/>
        <v>Escudo corporal</v>
      </c>
      <c r="BE698" s="1256">
        <f>IF(OR($L698=BE$635,$L698="",$D698=$BG$634),MAX(BE$637:BE697)+1,0)</f>
        <v>0</v>
      </c>
      <c r="BF698" s="1257">
        <f>IF(OR($L698=BF$635,$L698="",$D698=$BG$634),MAX(BF$637:BF697)+1,0)</f>
        <v>0</v>
      </c>
      <c r="BG698" s="1258">
        <f>IF(OR($L698=BG$635,$L698="",$D698=$BG$634),MAX(BG$637:BG697)+1,0)</f>
        <v>48</v>
      </c>
      <c r="BH698" s="6225"/>
      <c r="BI698" s="853" t="str">
        <f t="shared" si="112"/>
        <v/>
      </c>
      <c r="BJ698" s="78" t="str">
        <f t="shared" si="113"/>
        <v/>
      </c>
      <c r="BK698" s="78" t="str">
        <f t="shared" si="114"/>
        <v>Escudo corporal</v>
      </c>
      <c r="BL698" s="1256">
        <f>IF(OR($L698=BL$635,$L698="",$D698=$BN$634),MAX(BL$637:BL697)+1,0)</f>
        <v>0</v>
      </c>
      <c r="BM698" s="1257">
        <f>IF(OR($L698=BM$635,$L698="",$D698=$BN$634),MAX(BM$637:BM697)+1,0)</f>
        <v>0</v>
      </c>
      <c r="BN698" s="1258">
        <f>IF(OR($L698=BN$635,$L698="",$D698=$BN$634),MAX(BN$637:BN697)+1,0)</f>
        <v>48</v>
      </c>
      <c r="BO698" s="6225"/>
      <c r="BP698" s="853" t="str">
        <f t="shared" si="115"/>
        <v/>
      </c>
      <c r="BQ698" s="78" t="str">
        <f t="shared" si="116"/>
        <v/>
      </c>
      <c r="BR698" s="78" t="str">
        <f t="shared" si="117"/>
        <v>Escudo corporal</v>
      </c>
      <c r="BS698" s="1256">
        <f>IF(OR($L698=BS$635,$L698="",$D698=$BU$634),MAX(BS$637:BS697)+1,0)</f>
        <v>0</v>
      </c>
      <c r="BT698" s="1257">
        <f>IF(OR($L698=BT$635,$L698="",$D698=$BU$634),MAX(BT$637:BT697)+1,0)</f>
        <v>0</v>
      </c>
      <c r="BU698" s="1258">
        <f>IF(OR($L698=BU$635,$L698="",$D698=$BU$634),MAX(BU$637:BU697)+1,0)</f>
        <v>48</v>
      </c>
    </row>
    <row r="699" spans="1:73" ht="12.75" customHeight="1" x14ac:dyDescent="0.2">
      <c r="A699" s="227">
        <v>699</v>
      </c>
      <c r="B699" s="5988"/>
      <c r="C699" s="1146"/>
      <c r="D699" s="2629" t="s">
        <v>6995</v>
      </c>
      <c r="E699" s="2633">
        <v>50</v>
      </c>
      <c r="F699" s="2628">
        <v>0</v>
      </c>
      <c r="G699" s="2628">
        <v>7</v>
      </c>
      <c r="H699" s="2628">
        <v>6</v>
      </c>
      <c r="I699" s="2628" t="s">
        <v>1498</v>
      </c>
      <c r="J699" s="2628" t="s">
        <v>1456</v>
      </c>
      <c r="K699" s="2878" t="s">
        <v>7268</v>
      </c>
      <c r="L699" s="2628" t="str">
        <f t="shared" si="118"/>
        <v>Distinta</v>
      </c>
      <c r="M699" s="2634">
        <v>14</v>
      </c>
      <c r="N699" s="2634">
        <v>4</v>
      </c>
      <c r="O699" s="2634">
        <v>20</v>
      </c>
      <c r="P699" s="2628"/>
      <c r="Q699" s="2628"/>
      <c r="R699" s="2628" t="s">
        <v>1456</v>
      </c>
      <c r="S699" s="2628" t="s">
        <v>1456</v>
      </c>
      <c r="T699" s="2628" t="s">
        <v>1456</v>
      </c>
      <c r="U699" s="2628"/>
      <c r="V699" s="2878" t="s">
        <v>2130</v>
      </c>
      <c r="W699" s="2878"/>
      <c r="X699" s="2879" t="str">
        <f t="shared" si="97"/>
        <v>Mediana</v>
      </c>
      <c r="Y699" s="2618">
        <f t="shared" si="119"/>
        <v>0</v>
      </c>
      <c r="Z699" s="1265" t="str">
        <f t="shared" si="99"/>
        <v/>
      </c>
      <c r="AB699" s="853" t="s">
        <v>7015</v>
      </c>
      <c r="AC699" s="2859"/>
      <c r="AD699" s="2909"/>
      <c r="AE699" s="1259"/>
      <c r="AG699" s="853" t="str">
        <f t="shared" si="100"/>
        <v/>
      </c>
      <c r="AH699" s="78" t="str">
        <f t="shared" si="101"/>
        <v/>
      </c>
      <c r="AI699" s="78" t="str">
        <f t="shared" si="102"/>
        <v>Escudo medio</v>
      </c>
      <c r="AJ699" s="1256">
        <f>IF(OR($L699=AJ$635,$L699="",$D699=$AL$634),MAX(AJ$637:AJ698)+1,0)</f>
        <v>0</v>
      </c>
      <c r="AK699" s="1257">
        <f>IF(OR($L699=AK$635,$L699="",$D699=$AL$634),MAX(AK$637:AK698)+1,0)</f>
        <v>0</v>
      </c>
      <c r="AL699" s="1258">
        <f>IF(OR($L699=AL$635,$L699="",$D699=$AL$634),MAX(AL$637:AL698)+1,0)</f>
        <v>49</v>
      </c>
      <c r="AM699" s="6225"/>
      <c r="AN699" s="853" t="str">
        <f t="shared" si="103"/>
        <v/>
      </c>
      <c r="AO699" s="78" t="str">
        <f t="shared" si="104"/>
        <v/>
      </c>
      <c r="AP699" s="78" t="str">
        <f t="shared" si="105"/>
        <v>Escudo medio</v>
      </c>
      <c r="AQ699" s="1256">
        <f>IF(OR($L699=AQ$635,$L699="",$D699=$AS$634),MAX(AQ$637:AQ698)+1,0)</f>
        <v>0</v>
      </c>
      <c r="AR699" s="1257">
        <f>IF(OR($L699=AR$635,$L699="",$D699=$AS$634),MAX(AR$637:AR698)+1,0)</f>
        <v>0</v>
      </c>
      <c r="AS699" s="1258">
        <f>IF(OR($L699=AS$635,$L699="",$D699=$AS$634),MAX(AS$637:AS698)+1,0)</f>
        <v>49</v>
      </c>
      <c r="AT699" s="6225"/>
      <c r="AU699" s="853" t="str">
        <f t="shared" si="106"/>
        <v/>
      </c>
      <c r="AV699" s="78" t="str">
        <f t="shared" si="107"/>
        <v/>
      </c>
      <c r="AW699" s="78" t="str">
        <f t="shared" si="108"/>
        <v>Escudo medio</v>
      </c>
      <c r="AX699" s="1256">
        <f>IF(OR($L699=AX$635,$L699="",$D699=$AZ$634),MAX(AX$637:AX698)+1,0)</f>
        <v>0</v>
      </c>
      <c r="AY699" s="1257">
        <f>IF(OR($L699=AY$635,$L699="",$D699=$AZ$634),MAX(AY$637:AY698)+1,0)</f>
        <v>0</v>
      </c>
      <c r="AZ699" s="1258">
        <f>IF(OR($L699=AZ$635,$L699="",$D699=$AZ$634),MAX(AZ$637:AZ698)+1,0)</f>
        <v>49</v>
      </c>
      <c r="BA699" s="6225"/>
      <c r="BB699" s="853" t="str">
        <f t="shared" si="109"/>
        <v/>
      </c>
      <c r="BC699" s="78" t="str">
        <f t="shared" si="110"/>
        <v/>
      </c>
      <c r="BD699" s="78" t="str">
        <f t="shared" si="111"/>
        <v>Escudo medio</v>
      </c>
      <c r="BE699" s="1256">
        <f>IF(OR($L699=BE$635,$L699="",$D699=$BG$634),MAX(BE$637:BE698)+1,0)</f>
        <v>0</v>
      </c>
      <c r="BF699" s="1257">
        <f>IF(OR($L699=BF$635,$L699="",$D699=$BG$634),MAX(BF$637:BF698)+1,0)</f>
        <v>0</v>
      </c>
      <c r="BG699" s="1258">
        <f>IF(OR($L699=BG$635,$L699="",$D699=$BG$634),MAX(BG$637:BG698)+1,0)</f>
        <v>49</v>
      </c>
      <c r="BH699" s="6225"/>
      <c r="BI699" s="853" t="str">
        <f t="shared" si="112"/>
        <v/>
      </c>
      <c r="BJ699" s="78" t="str">
        <f t="shared" si="113"/>
        <v/>
      </c>
      <c r="BK699" s="78" t="str">
        <f t="shared" si="114"/>
        <v>Escudo medio</v>
      </c>
      <c r="BL699" s="1256">
        <f>IF(OR($L699=BL$635,$L699="",$D699=$BN$634),MAX(BL$637:BL698)+1,0)</f>
        <v>0</v>
      </c>
      <c r="BM699" s="1257">
        <f>IF(OR($L699=BM$635,$L699="",$D699=$BN$634),MAX(BM$637:BM698)+1,0)</f>
        <v>0</v>
      </c>
      <c r="BN699" s="1258">
        <f>IF(OR($L699=BN$635,$L699="",$D699=$BN$634),MAX(BN$637:BN698)+1,0)</f>
        <v>49</v>
      </c>
      <c r="BO699" s="6225"/>
      <c r="BP699" s="853" t="str">
        <f t="shared" si="115"/>
        <v/>
      </c>
      <c r="BQ699" s="78" t="str">
        <f t="shared" si="116"/>
        <v/>
      </c>
      <c r="BR699" s="78" t="str">
        <f t="shared" si="117"/>
        <v>Escudo medio</v>
      </c>
      <c r="BS699" s="1256">
        <f>IF(OR($L699=BS$635,$L699="",$D699=$BU$634),MAX(BS$637:BS698)+1,0)</f>
        <v>0</v>
      </c>
      <c r="BT699" s="1257">
        <f>IF(OR($L699=BT$635,$L699="",$D699=$BU$634),MAX(BT$637:BT698)+1,0)</f>
        <v>0</v>
      </c>
      <c r="BU699" s="1258">
        <f>IF(OR($L699=BU$635,$L699="",$D699=$BU$634),MAX(BU$637:BU698)+1,0)</f>
        <v>49</v>
      </c>
    </row>
    <row r="700" spans="1:73" ht="12.75" customHeight="1" x14ac:dyDescent="0.2">
      <c r="A700" s="227">
        <v>700</v>
      </c>
      <c r="B700" s="5988"/>
      <c r="C700" s="1146"/>
      <c r="D700" s="2629" t="s">
        <v>2160</v>
      </c>
      <c r="E700" s="2633">
        <v>40</v>
      </c>
      <c r="F700" s="2628">
        <v>0</v>
      </c>
      <c r="G700" s="2628">
        <v>6</v>
      </c>
      <c r="H700" s="2628">
        <v>6</v>
      </c>
      <c r="I700" s="2628" t="s">
        <v>1498</v>
      </c>
      <c r="J700" s="2628" t="s">
        <v>1456</v>
      </c>
      <c r="K700" s="2878" t="s">
        <v>7268</v>
      </c>
      <c r="L700" s="2628" t="str">
        <f t="shared" si="118"/>
        <v>Distinta</v>
      </c>
      <c r="M700" s="2634">
        <v>14</v>
      </c>
      <c r="N700" s="2634">
        <v>4</v>
      </c>
      <c r="O700" s="2634">
        <v>15</v>
      </c>
      <c r="P700" s="2628"/>
      <c r="Q700" s="2628"/>
      <c r="R700" s="2628" t="s">
        <v>1456</v>
      </c>
      <c r="S700" s="2628" t="s">
        <v>1456</v>
      </c>
      <c r="T700" s="2628" t="s">
        <v>1456</v>
      </c>
      <c r="U700" s="2628"/>
      <c r="V700" s="2878" t="s">
        <v>1456</v>
      </c>
      <c r="W700" s="2878"/>
      <c r="X700" s="2879" t="str">
        <f t="shared" si="97"/>
        <v>Mediana</v>
      </c>
      <c r="Y700" s="2618">
        <f t="shared" si="119"/>
        <v>0</v>
      </c>
      <c r="Z700" s="1265" t="str">
        <f t="shared" si="99"/>
        <v/>
      </c>
      <c r="AB700" s="853" t="s">
        <v>7016</v>
      </c>
      <c r="AC700" s="2859"/>
      <c r="AD700" s="2909"/>
      <c r="AE700" s="1259"/>
      <c r="AG700" s="853" t="str">
        <f t="shared" si="100"/>
        <v/>
      </c>
      <c r="AH700" s="78" t="str">
        <f t="shared" si="101"/>
        <v/>
      </c>
      <c r="AI700" s="78" t="str">
        <f t="shared" si="102"/>
        <v>Rodela</v>
      </c>
      <c r="AJ700" s="1256">
        <f>IF(OR($L700=AJ$635,$L700="",$D700=$AL$634),MAX(AJ$637:AJ699)+1,0)</f>
        <v>0</v>
      </c>
      <c r="AK700" s="1257">
        <f>IF(OR($L700=AK$635,$L700="",$D700=$AL$634),MAX(AK$637:AK699)+1,0)</f>
        <v>0</v>
      </c>
      <c r="AL700" s="1258">
        <f>IF(OR($L700=AL$635,$L700="",$D700=$AL$634),MAX(AL$637:AL699)+1,0)</f>
        <v>50</v>
      </c>
      <c r="AM700" s="6225"/>
      <c r="AN700" s="853" t="str">
        <f t="shared" si="103"/>
        <v/>
      </c>
      <c r="AO700" s="78" t="str">
        <f t="shared" si="104"/>
        <v/>
      </c>
      <c r="AP700" s="78" t="str">
        <f t="shared" si="105"/>
        <v>Rodela</v>
      </c>
      <c r="AQ700" s="1256">
        <f>IF(OR($L700=AQ$635,$L700="",$D700=$AS$634),MAX(AQ$637:AQ699)+1,0)</f>
        <v>0</v>
      </c>
      <c r="AR700" s="1257">
        <f>IF(OR($L700=AR$635,$L700="",$D700=$AS$634),MAX(AR$637:AR699)+1,0)</f>
        <v>0</v>
      </c>
      <c r="AS700" s="1258">
        <f>IF(OR($L700=AS$635,$L700="",$D700=$AS$634),MAX(AS$637:AS699)+1,0)</f>
        <v>50</v>
      </c>
      <c r="AT700" s="6225"/>
      <c r="AU700" s="853" t="str">
        <f t="shared" si="106"/>
        <v/>
      </c>
      <c r="AV700" s="78" t="str">
        <f t="shared" si="107"/>
        <v/>
      </c>
      <c r="AW700" s="78" t="str">
        <f t="shared" si="108"/>
        <v>Rodela</v>
      </c>
      <c r="AX700" s="1256">
        <f>IF(OR($L700=AX$635,$L700="",$D700=$AZ$634),MAX(AX$637:AX699)+1,0)</f>
        <v>0</v>
      </c>
      <c r="AY700" s="1257">
        <f>IF(OR($L700=AY$635,$L700="",$D700=$AZ$634),MAX(AY$637:AY699)+1,0)</f>
        <v>0</v>
      </c>
      <c r="AZ700" s="1258">
        <f>IF(OR($L700=AZ$635,$L700="",$D700=$AZ$634),MAX(AZ$637:AZ699)+1,0)</f>
        <v>50</v>
      </c>
      <c r="BA700" s="6225"/>
      <c r="BB700" s="853" t="str">
        <f t="shared" si="109"/>
        <v/>
      </c>
      <c r="BC700" s="78" t="str">
        <f t="shared" si="110"/>
        <v/>
      </c>
      <c r="BD700" s="78" t="str">
        <f t="shared" si="111"/>
        <v>Rodela</v>
      </c>
      <c r="BE700" s="1256">
        <f>IF(OR($L700=BE$635,$L700="",$D700=$BG$634),MAX(BE$637:BE699)+1,0)</f>
        <v>0</v>
      </c>
      <c r="BF700" s="1257">
        <f>IF(OR($L700=BF$635,$L700="",$D700=$BG$634),MAX(BF$637:BF699)+1,0)</f>
        <v>0</v>
      </c>
      <c r="BG700" s="1258">
        <f>IF(OR($L700=BG$635,$L700="",$D700=$BG$634),MAX(BG$637:BG699)+1,0)</f>
        <v>50</v>
      </c>
      <c r="BH700" s="6225"/>
      <c r="BI700" s="853" t="str">
        <f t="shared" si="112"/>
        <v/>
      </c>
      <c r="BJ700" s="78" t="str">
        <f t="shared" si="113"/>
        <v/>
      </c>
      <c r="BK700" s="78" t="str">
        <f t="shared" si="114"/>
        <v>Rodela</v>
      </c>
      <c r="BL700" s="1256">
        <f>IF(OR($L700=BL$635,$L700="",$D700=$BN$634),MAX(BL$637:BL699)+1,0)</f>
        <v>0</v>
      </c>
      <c r="BM700" s="1257">
        <f>IF(OR($L700=BM$635,$L700="",$D700=$BN$634),MAX(BM$637:BM699)+1,0)</f>
        <v>0</v>
      </c>
      <c r="BN700" s="1258">
        <f>IF(OR($L700=BN$635,$L700="",$D700=$BN$634),MAX(BN$637:BN699)+1,0)</f>
        <v>50</v>
      </c>
      <c r="BO700" s="6225"/>
      <c r="BP700" s="853" t="str">
        <f t="shared" si="115"/>
        <v/>
      </c>
      <c r="BQ700" s="78" t="str">
        <f t="shared" si="116"/>
        <v/>
      </c>
      <c r="BR700" s="78" t="str">
        <f t="shared" si="117"/>
        <v>Rodela</v>
      </c>
      <c r="BS700" s="1256">
        <f>IF(OR($L700=BS$635,$L700="",$D700=$BU$634),MAX(BS$637:BS699)+1,0)</f>
        <v>0</v>
      </c>
      <c r="BT700" s="1257">
        <f>IF(OR($L700=BT$635,$L700="",$D700=$BU$634),MAX(BT$637:BT699)+1,0)</f>
        <v>0</v>
      </c>
      <c r="BU700" s="1258">
        <f>IF(OR($L700=BU$635,$L700="",$D700=$BU$634),MAX(BU$637:BU699)+1,0)</f>
        <v>50</v>
      </c>
    </row>
    <row r="701" spans="1:73" ht="12.75" customHeight="1" x14ac:dyDescent="0.2">
      <c r="A701" s="227">
        <v>701</v>
      </c>
      <c r="B701" s="5988"/>
      <c r="C701" s="1146"/>
      <c r="D701" s="2629" t="s">
        <v>2161</v>
      </c>
      <c r="E701" s="2633">
        <v>60</v>
      </c>
      <c r="F701" s="2628">
        <v>-15</v>
      </c>
      <c r="G701" s="2628">
        <v>10</v>
      </c>
      <c r="H701" s="2628">
        <v>6</v>
      </c>
      <c r="I701" s="2628" t="s">
        <v>1498</v>
      </c>
      <c r="J701" s="2628" t="s">
        <v>1456</v>
      </c>
      <c r="K701" s="2878" t="s">
        <v>7275</v>
      </c>
      <c r="L701" s="2628" t="str">
        <f t="shared" si="118"/>
        <v>Distinta</v>
      </c>
      <c r="M701" s="2634">
        <v>16</v>
      </c>
      <c r="N701" s="2634">
        <v>5</v>
      </c>
      <c r="O701" s="2634">
        <v>15</v>
      </c>
      <c r="P701" s="2628"/>
      <c r="Q701" s="2628"/>
      <c r="R701" s="2628" t="s">
        <v>1456</v>
      </c>
      <c r="S701" s="2628" t="s">
        <v>1456</v>
      </c>
      <c r="T701" s="2628" t="s">
        <v>1456</v>
      </c>
      <c r="U701" s="2628"/>
      <c r="V701" s="2878" t="s">
        <v>2130</v>
      </c>
      <c r="W701" s="2878"/>
      <c r="X701" s="2879" t="str">
        <f t="shared" si="97"/>
        <v>Grande</v>
      </c>
      <c r="Y701" s="2618">
        <f t="shared" si="119"/>
        <v>0</v>
      </c>
      <c r="Z701" s="1265" t="str">
        <f t="shared" si="99"/>
        <v/>
      </c>
      <c r="AB701" s="853" t="s">
        <v>2164</v>
      </c>
      <c r="AC701" s="2859"/>
      <c r="AD701" s="2909"/>
      <c r="AE701" s="1259"/>
      <c r="AG701" s="853" t="str">
        <f t="shared" si="100"/>
        <v/>
      </c>
      <c r="AH701" s="78" t="str">
        <f t="shared" si="101"/>
        <v/>
      </c>
      <c r="AI701" s="78" t="str">
        <f t="shared" si="102"/>
        <v>&gt; ARMAS EXÓTICAS</v>
      </c>
      <c r="AJ701" s="1256">
        <f>IF(OR($L701=AJ$635,$L701="",$D701=$AL$634),MAX(AJ$637:AJ700)+1,0)</f>
        <v>0</v>
      </c>
      <c r="AK701" s="1257">
        <f>IF(OR($L701=AK$635,$L701="",$D701=$AL$634),MAX(AK$637:AK700)+1,0)</f>
        <v>0</v>
      </c>
      <c r="AL701" s="1258">
        <f>IF(OR($L701=AL$635,$L701="",$D701=$AL$634),MAX(AL$637:AL700)+1,0)</f>
        <v>51</v>
      </c>
      <c r="AM701" s="6225"/>
      <c r="AN701" s="853" t="str">
        <f t="shared" si="103"/>
        <v/>
      </c>
      <c r="AO701" s="78" t="str">
        <f t="shared" si="104"/>
        <v/>
      </c>
      <c r="AP701" s="78" t="str">
        <f t="shared" si="105"/>
        <v>&gt; ARMAS EXÓTICAS</v>
      </c>
      <c r="AQ701" s="1256">
        <f>IF(OR($L701=AQ$635,$L701="",$D701=$AS$634),MAX(AQ$637:AQ700)+1,0)</f>
        <v>0</v>
      </c>
      <c r="AR701" s="1257">
        <f>IF(OR($L701=AR$635,$L701="",$D701=$AS$634),MAX(AR$637:AR700)+1,0)</f>
        <v>0</v>
      </c>
      <c r="AS701" s="1258">
        <f>IF(OR($L701=AS$635,$L701="",$D701=$AS$634),MAX(AS$637:AS700)+1,0)</f>
        <v>51</v>
      </c>
      <c r="AT701" s="6225"/>
      <c r="AU701" s="853" t="str">
        <f t="shared" si="106"/>
        <v/>
      </c>
      <c r="AV701" s="78" t="str">
        <f t="shared" si="107"/>
        <v/>
      </c>
      <c r="AW701" s="78" t="str">
        <f t="shared" si="108"/>
        <v>&gt; ARMAS EXÓTICAS</v>
      </c>
      <c r="AX701" s="1256">
        <f>IF(OR($L701=AX$635,$L701="",$D701=$AZ$634),MAX(AX$637:AX700)+1,0)</f>
        <v>0</v>
      </c>
      <c r="AY701" s="1257">
        <f>IF(OR($L701=AY$635,$L701="",$D701=$AZ$634),MAX(AY$637:AY700)+1,0)</f>
        <v>0</v>
      </c>
      <c r="AZ701" s="1258">
        <f>IF(OR($L701=AZ$635,$L701="",$D701=$AZ$634),MAX(AZ$637:AZ700)+1,0)</f>
        <v>51</v>
      </c>
      <c r="BA701" s="6225"/>
      <c r="BB701" s="853" t="str">
        <f t="shared" si="109"/>
        <v/>
      </c>
      <c r="BC701" s="78" t="str">
        <f t="shared" si="110"/>
        <v/>
      </c>
      <c r="BD701" s="78" t="str">
        <f t="shared" si="111"/>
        <v>&gt; ARMAS EXÓTICAS</v>
      </c>
      <c r="BE701" s="1256">
        <f>IF(OR($L701=BE$635,$L701="",$D701=$BG$634),MAX(BE$637:BE700)+1,0)</f>
        <v>0</v>
      </c>
      <c r="BF701" s="1257">
        <f>IF(OR($L701=BF$635,$L701="",$D701=$BG$634),MAX(BF$637:BF700)+1,0)</f>
        <v>0</v>
      </c>
      <c r="BG701" s="1258">
        <f>IF(OR($L701=BG$635,$L701="",$D701=$BG$634),MAX(BG$637:BG700)+1,0)</f>
        <v>51</v>
      </c>
      <c r="BH701" s="6225"/>
      <c r="BI701" s="853" t="str">
        <f t="shared" si="112"/>
        <v/>
      </c>
      <c r="BJ701" s="78" t="str">
        <f t="shared" si="113"/>
        <v/>
      </c>
      <c r="BK701" s="78" t="str">
        <f t="shared" si="114"/>
        <v>&gt; ARMAS EXÓTICAS</v>
      </c>
      <c r="BL701" s="1256">
        <f>IF(OR($L701=BL$635,$L701="",$D701=$BN$634),MAX(BL$637:BL700)+1,0)</f>
        <v>0</v>
      </c>
      <c r="BM701" s="1257">
        <f>IF(OR($L701=BM$635,$L701="",$D701=$BN$634),MAX(BM$637:BM700)+1,0)</f>
        <v>0</v>
      </c>
      <c r="BN701" s="1258">
        <f>IF(OR($L701=BN$635,$L701="",$D701=$BN$634),MAX(BN$637:BN700)+1,0)</f>
        <v>51</v>
      </c>
      <c r="BO701" s="6225"/>
      <c r="BP701" s="853" t="str">
        <f t="shared" si="115"/>
        <v/>
      </c>
      <c r="BQ701" s="78" t="str">
        <f t="shared" si="116"/>
        <v/>
      </c>
      <c r="BR701" s="78" t="str">
        <f t="shared" si="117"/>
        <v>&gt; ARMAS EXÓTICAS</v>
      </c>
      <c r="BS701" s="1256">
        <f>IF(OR($L701=BS$635,$L701="",$D701=$BU$634),MAX(BS$637:BS700)+1,0)</f>
        <v>0</v>
      </c>
      <c r="BT701" s="1257">
        <f>IF(OR($L701=BT$635,$L701="",$D701=$BU$634),MAX(BT$637:BT700)+1,0)</f>
        <v>0</v>
      </c>
      <c r="BU701" s="1258">
        <f>IF(OR($L701=BU$635,$L701="",$D701=$BU$634),MAX(BU$637:BU700)+1,0)</f>
        <v>51</v>
      </c>
    </row>
    <row r="702" spans="1:73" ht="12.75" customHeight="1" x14ac:dyDescent="0.2">
      <c r="A702" s="227">
        <v>702</v>
      </c>
      <c r="B702" s="5988"/>
      <c r="C702" s="1146"/>
      <c r="D702" s="2629" t="s">
        <v>6996</v>
      </c>
      <c r="E702" s="2633">
        <v>80</v>
      </c>
      <c r="F702" s="2628">
        <v>-50</v>
      </c>
      <c r="G702" s="2628">
        <v>11</v>
      </c>
      <c r="H702" s="2628">
        <v>8</v>
      </c>
      <c r="I702" s="2628" t="s">
        <v>1552</v>
      </c>
      <c r="J702" s="2628" t="s">
        <v>1551</v>
      </c>
      <c r="K702" s="2878" t="s">
        <v>7269</v>
      </c>
      <c r="L702" s="2628" t="str">
        <f t="shared" si="118"/>
        <v>Distinta</v>
      </c>
      <c r="M702" s="2634">
        <v>18</v>
      </c>
      <c r="N702" s="2634">
        <v>5</v>
      </c>
      <c r="O702" s="2634">
        <v>25</v>
      </c>
      <c r="P702" s="2628"/>
      <c r="Q702" s="2628"/>
      <c r="R702" s="2628" t="s">
        <v>1456</v>
      </c>
      <c r="S702" s="2628" t="s">
        <v>1456</v>
      </c>
      <c r="T702" s="2628" t="s">
        <v>1456</v>
      </c>
      <c r="U702" s="2628"/>
      <c r="V702" s="2878" t="s">
        <v>1579</v>
      </c>
      <c r="W702" s="2878"/>
      <c r="X702" s="2879" t="str">
        <f t="shared" si="97"/>
        <v>Grande</v>
      </c>
      <c r="Y702" s="2618">
        <f t="shared" si="119"/>
        <v>0</v>
      </c>
      <c r="Z702" s="1265" t="str">
        <f t="shared" ref="Z702:Z733" si="120">IF(AND(K702&lt;&gt;"Natural/-",ISNUMBER(SEARCH(D702&amp;",",Armas_Conocidas))),", "&amp;K702,"")</f>
        <v/>
      </c>
      <c r="AB702" s="853" t="s">
        <v>2165</v>
      </c>
      <c r="AC702" s="2859"/>
      <c r="AD702" s="2909"/>
      <c r="AE702" s="1259"/>
      <c r="AG702" s="853" t="str">
        <f t="shared" ref="AG702:AG733" si="121">IF(ISNA(INDEX(Lista_Armas,MATCH($A65,AJ$638:AJ$774,0))),"",INDEX(Lista_Armas,MATCH($A65,AJ$638:AJ$774,0)))</f>
        <v/>
      </c>
      <c r="AH702" s="78" t="str">
        <f t="shared" ref="AH702:AH733" si="122">IF(ISNA(INDEX(Lista_Armas,MATCH($A65,AK$638:AK$774,0))),"",INDEX(Lista_Armas,MATCH($A65,AK$638:AK$774,0)))</f>
        <v/>
      </c>
      <c r="AI702" s="78" t="str">
        <f t="shared" ref="AI702:AI733" si="123">IF(ISNA(INDEX(Lista_Armas,MATCH($A65,AL$638:AL$774,0))),"",INDEX(Lista_Armas,MATCH($A65,AL$638:AL$774,0)))</f>
        <v>Abanico de combate</v>
      </c>
      <c r="AJ702" s="1256">
        <f>IF(OR($L702=AJ$635,$L702="",$D702=$AL$634),MAX(AJ$637:AJ701)+1,0)</f>
        <v>0</v>
      </c>
      <c r="AK702" s="1257">
        <f>IF(OR($L702=AK$635,$L702="",$D702=$AL$634),MAX(AK$637:AK701)+1,0)</f>
        <v>0</v>
      </c>
      <c r="AL702" s="1258">
        <f>IF(OR($L702=AL$635,$L702="",$D702=$AL$634),MAX(AL$637:AL701)+1,0)</f>
        <v>52</v>
      </c>
      <c r="AM702" s="6225"/>
      <c r="AN702" s="853" t="str">
        <f t="shared" ref="AN702:AN733" si="124">IF(ISNA(INDEX(Lista_Armas,MATCH($A65,AQ$638:AQ$774,0))),"",INDEX(Lista_Armas,MATCH($A65,AQ$638:AQ$774,0)))</f>
        <v/>
      </c>
      <c r="AO702" s="78" t="str">
        <f t="shared" ref="AO702:AO733" si="125">IF(ISNA(INDEX(Lista_Armas,MATCH($A65,AR$638:AR$774,0))),"",INDEX(Lista_Armas,MATCH($A65,AR$638:AR$774,0)))</f>
        <v/>
      </c>
      <c r="AP702" s="78" t="str">
        <f t="shared" ref="AP702:AP733" si="126">IF(ISNA(INDEX(Lista_Armas,MATCH($A65,AS$638:AS$774,0))),"",INDEX(Lista_Armas,MATCH($A65,AS$638:AS$774,0)))</f>
        <v>Abanico de combate</v>
      </c>
      <c r="AQ702" s="1256">
        <f>IF(OR($L702=AQ$635,$L702="",$D702=$AS$634),MAX(AQ$637:AQ701)+1,0)</f>
        <v>0</v>
      </c>
      <c r="AR702" s="1257">
        <f>IF(OR($L702=AR$635,$L702="",$D702=$AS$634),MAX(AR$637:AR701)+1,0)</f>
        <v>0</v>
      </c>
      <c r="AS702" s="1258">
        <f>IF(OR($L702=AS$635,$L702="",$D702=$AS$634),MAX(AS$637:AS701)+1,0)</f>
        <v>52</v>
      </c>
      <c r="AT702" s="6225"/>
      <c r="AU702" s="853" t="str">
        <f t="shared" ref="AU702:AU733" si="127">IF(ISNA(INDEX(Lista_Armas,MATCH($A65,AX$638:AX$774,0))),"",INDEX(Lista_Armas,MATCH($A65,AX$638:AX$774,0)))</f>
        <v/>
      </c>
      <c r="AV702" s="78" t="str">
        <f t="shared" ref="AV702:AV733" si="128">IF(ISNA(INDEX(Lista_Armas,MATCH($A65,AY$638:AY$774,0))),"",INDEX(Lista_Armas,MATCH($A65,AY$638:AY$774,0)))</f>
        <v/>
      </c>
      <c r="AW702" s="78" t="str">
        <f t="shared" ref="AW702:AW733" si="129">IF(ISNA(INDEX(Lista_Armas,MATCH($A65,AZ$638:AZ$774,0))),"",INDEX(Lista_Armas,MATCH($A65,AZ$638:AZ$774,0)))</f>
        <v>Abanico de combate</v>
      </c>
      <c r="AX702" s="1256">
        <f>IF(OR($L702=AX$635,$L702="",$D702=$AZ$634),MAX(AX$637:AX701)+1,0)</f>
        <v>0</v>
      </c>
      <c r="AY702" s="1257">
        <f>IF(OR($L702=AY$635,$L702="",$D702=$AZ$634),MAX(AY$637:AY701)+1,0)</f>
        <v>0</v>
      </c>
      <c r="AZ702" s="1258">
        <f>IF(OR($L702=AZ$635,$L702="",$D702=$AZ$634),MAX(AZ$637:AZ701)+1,0)</f>
        <v>52</v>
      </c>
      <c r="BA702" s="6225"/>
      <c r="BB702" s="853" t="str">
        <f t="shared" ref="BB702:BB733" si="130">IF(ISNA(INDEX(Lista_Armas,MATCH($A65,BE$638:BE$774,0))),"",INDEX(Lista_Armas,MATCH($A65,BE$638:BE$774,0)))</f>
        <v/>
      </c>
      <c r="BC702" s="78" t="str">
        <f t="shared" ref="BC702:BC733" si="131">IF(ISNA(INDEX(Lista_Armas,MATCH($A65,BF$638:BF$774,0))),"",INDEX(Lista_Armas,MATCH($A65,BF$638:BF$774,0)))</f>
        <v/>
      </c>
      <c r="BD702" s="78" t="str">
        <f t="shared" ref="BD702:BD733" si="132">IF(ISNA(INDEX(Lista_Armas,MATCH($A65,BG$638:BG$774,0))),"",INDEX(Lista_Armas,MATCH($A65,BG$638:BG$774,0)))</f>
        <v>Abanico de combate</v>
      </c>
      <c r="BE702" s="1256">
        <f>IF(OR($L702=BE$635,$L702="",$D702=$BG$634),MAX(BE$637:BE701)+1,0)</f>
        <v>0</v>
      </c>
      <c r="BF702" s="1257">
        <f>IF(OR($L702=BF$635,$L702="",$D702=$BG$634),MAX(BF$637:BF701)+1,0)</f>
        <v>0</v>
      </c>
      <c r="BG702" s="1258">
        <f>IF(OR($L702=BG$635,$L702="",$D702=$BG$634),MAX(BG$637:BG701)+1,0)</f>
        <v>52</v>
      </c>
      <c r="BH702" s="6225"/>
      <c r="BI702" s="853" t="str">
        <f t="shared" ref="BI702:BI733" si="133">IF(ISNA(INDEX(Lista_Armas,MATCH($A65,BL$638:BL$774,0))),"",INDEX(Lista_Armas,MATCH($A65,BL$638:BL$774,0)))</f>
        <v/>
      </c>
      <c r="BJ702" s="78" t="str">
        <f t="shared" ref="BJ702:BJ733" si="134">IF(ISNA(INDEX(Lista_Armas,MATCH($A65,BM$638:BM$774,0))),"",INDEX(Lista_Armas,MATCH($A65,BM$638:BM$774,0)))</f>
        <v/>
      </c>
      <c r="BK702" s="78" t="str">
        <f t="shared" ref="BK702:BK733" si="135">IF(ISNA(INDEX(Lista_Armas,MATCH($A65,BN$638:BN$774,0))),"",INDEX(Lista_Armas,MATCH($A65,BN$638:BN$774,0)))</f>
        <v>Abanico de combate</v>
      </c>
      <c r="BL702" s="1256">
        <f>IF(OR($L702=BL$635,$L702="",$D702=$BN$634),MAX(BL$637:BL701)+1,0)</f>
        <v>0</v>
      </c>
      <c r="BM702" s="1257">
        <f>IF(OR($L702=BM$635,$L702="",$D702=$BN$634),MAX(BM$637:BM701)+1,0)</f>
        <v>0</v>
      </c>
      <c r="BN702" s="1258">
        <f>IF(OR($L702=BN$635,$L702="",$D702=$BN$634),MAX(BN$637:BN701)+1,0)</f>
        <v>52</v>
      </c>
      <c r="BO702" s="6225"/>
      <c r="BP702" s="853" t="str">
        <f t="shared" ref="BP702:BP733" si="136">IF(ISNA(INDEX(Lista_Armas,MATCH($A65,BS$638:BS$774,0))),"",INDEX(Lista_Armas,MATCH($A65,BS$638:BS$774,0)))</f>
        <v/>
      </c>
      <c r="BQ702" s="78" t="str">
        <f t="shared" ref="BQ702:BQ733" si="137">IF(ISNA(INDEX(Lista_Armas,MATCH($A65,BT$638:BT$774,0))),"",INDEX(Lista_Armas,MATCH($A65,BT$638:BT$774,0)))</f>
        <v/>
      </c>
      <c r="BR702" s="78" t="str">
        <f t="shared" ref="BR702:BR733" si="138">IF(ISNA(INDEX(Lista_Armas,MATCH($A65,BU$638:BU$774,0))),"",INDEX(Lista_Armas,MATCH($A65,BU$638:BU$774,0)))</f>
        <v>Abanico de combate</v>
      </c>
      <c r="BS702" s="1256">
        <f>IF(OR($L702=BS$635,$L702="",$D702=$BU$634),MAX(BS$637:BS701)+1,0)</f>
        <v>0</v>
      </c>
      <c r="BT702" s="1257">
        <f>IF(OR($L702=BT$635,$L702="",$D702=$BU$634),MAX(BT$637:BT701)+1,0)</f>
        <v>0</v>
      </c>
      <c r="BU702" s="1258">
        <f>IF(OR($L702=BU$635,$L702="",$D702=$BU$634),MAX(BU$637:BU701)+1,0)</f>
        <v>52</v>
      </c>
    </row>
    <row r="703" spans="1:73" ht="12.75" customHeight="1" x14ac:dyDescent="0.2">
      <c r="A703" s="227">
        <v>703</v>
      </c>
      <c r="B703" s="5988"/>
      <c r="C703" s="1146"/>
      <c r="D703" s="2629" t="s">
        <v>7014</v>
      </c>
      <c r="E703" s="2633">
        <v>40</v>
      </c>
      <c r="F703" s="2628">
        <v>15</v>
      </c>
      <c r="G703" s="2628">
        <v>6</v>
      </c>
      <c r="H703" s="2628" t="s">
        <v>1456</v>
      </c>
      <c r="I703" s="2628" t="s">
        <v>1551</v>
      </c>
      <c r="J703" s="2628" t="s">
        <v>1552</v>
      </c>
      <c r="K703" s="2878" t="s">
        <v>7267</v>
      </c>
      <c r="L703" s="2628" t="str">
        <f t="shared" si="118"/>
        <v>Distinta</v>
      </c>
      <c r="M703" s="2634">
        <v>13</v>
      </c>
      <c r="N703" s="2634">
        <v>2</v>
      </c>
      <c r="O703" s="2634">
        <v>20</v>
      </c>
      <c r="P703" s="2628"/>
      <c r="Q703" s="2628"/>
      <c r="R703" s="2628" t="s">
        <v>1456</v>
      </c>
      <c r="S703" s="2628" t="s">
        <v>1456</v>
      </c>
      <c r="T703" s="2628" t="s">
        <v>1456</v>
      </c>
      <c r="U703" s="2628"/>
      <c r="V703" s="2878" t="s">
        <v>2134</v>
      </c>
      <c r="W703" s="2878"/>
      <c r="X703" s="2879" t="str">
        <f t="shared" si="97"/>
        <v>Pequeña</v>
      </c>
      <c r="Y703" s="2618">
        <f t="shared" si="119"/>
        <v>0</v>
      </c>
      <c r="Z703" s="1265" t="str">
        <f t="shared" si="120"/>
        <v/>
      </c>
      <c r="AB703" s="564" t="s">
        <v>7017</v>
      </c>
      <c r="AC703" s="2859"/>
      <c r="AD703" s="2859"/>
      <c r="AE703" s="837"/>
      <c r="AG703" s="853" t="str">
        <f t="shared" si="121"/>
        <v/>
      </c>
      <c r="AH703" s="78" t="str">
        <f t="shared" si="122"/>
        <v/>
      </c>
      <c r="AI703" s="78" t="str">
        <f t="shared" si="123"/>
        <v>Bumerán</v>
      </c>
      <c r="AJ703" s="1256">
        <f>IF(OR($L703=AJ$635,$L703="",$D703=$AL$634),MAX(AJ$637:AJ702)+1,0)</f>
        <v>0</v>
      </c>
      <c r="AK703" s="1257">
        <f>IF(OR($L703=AK$635,$L703="",$D703=$AL$634),MAX(AK$637:AK702)+1,0)</f>
        <v>0</v>
      </c>
      <c r="AL703" s="1258">
        <f>IF(OR($L703=AL$635,$L703="",$D703=$AL$634),MAX(AL$637:AL702)+1,0)</f>
        <v>53</v>
      </c>
      <c r="AM703" s="6225"/>
      <c r="AN703" s="853" t="str">
        <f t="shared" si="124"/>
        <v/>
      </c>
      <c r="AO703" s="78" t="str">
        <f t="shared" si="125"/>
        <v/>
      </c>
      <c r="AP703" s="78" t="str">
        <f t="shared" si="126"/>
        <v>Bumerán</v>
      </c>
      <c r="AQ703" s="1256">
        <f>IF(OR($L703=AQ$635,$L703="",$D703=$AS$634),MAX(AQ$637:AQ702)+1,0)</f>
        <v>0</v>
      </c>
      <c r="AR703" s="1257">
        <f>IF(OR($L703=AR$635,$L703="",$D703=$AS$634),MAX(AR$637:AR702)+1,0)</f>
        <v>0</v>
      </c>
      <c r="AS703" s="1258">
        <f>IF(OR($L703=AS$635,$L703="",$D703=$AS$634),MAX(AS$637:AS702)+1,0)</f>
        <v>53</v>
      </c>
      <c r="AT703" s="6225"/>
      <c r="AU703" s="853" t="str">
        <f t="shared" si="127"/>
        <v/>
      </c>
      <c r="AV703" s="78" t="str">
        <f t="shared" si="128"/>
        <v/>
      </c>
      <c r="AW703" s="78" t="str">
        <f t="shared" si="129"/>
        <v>Bumerán</v>
      </c>
      <c r="AX703" s="1256">
        <f>IF(OR($L703=AX$635,$L703="",$D703=$AZ$634),MAX(AX$637:AX702)+1,0)</f>
        <v>0</v>
      </c>
      <c r="AY703" s="1257">
        <f>IF(OR($L703=AY$635,$L703="",$D703=$AZ$634),MAX(AY$637:AY702)+1,0)</f>
        <v>0</v>
      </c>
      <c r="AZ703" s="1258">
        <f>IF(OR($L703=AZ$635,$L703="",$D703=$AZ$634),MAX(AZ$637:AZ702)+1,0)</f>
        <v>53</v>
      </c>
      <c r="BA703" s="6225"/>
      <c r="BB703" s="853" t="str">
        <f t="shared" si="130"/>
        <v/>
      </c>
      <c r="BC703" s="78" t="str">
        <f t="shared" si="131"/>
        <v/>
      </c>
      <c r="BD703" s="78" t="str">
        <f t="shared" si="132"/>
        <v>Bumerán</v>
      </c>
      <c r="BE703" s="1256">
        <f>IF(OR($L703=BE$635,$L703="",$D703=$BG$634),MAX(BE$637:BE702)+1,0)</f>
        <v>0</v>
      </c>
      <c r="BF703" s="1257">
        <f>IF(OR($L703=BF$635,$L703="",$D703=$BG$634),MAX(BF$637:BF702)+1,0)</f>
        <v>0</v>
      </c>
      <c r="BG703" s="1258">
        <f>IF(OR($L703=BG$635,$L703="",$D703=$BG$634),MAX(BG$637:BG702)+1,0)</f>
        <v>53</v>
      </c>
      <c r="BH703" s="6225"/>
      <c r="BI703" s="853" t="str">
        <f t="shared" si="133"/>
        <v/>
      </c>
      <c r="BJ703" s="78" t="str">
        <f t="shared" si="134"/>
        <v/>
      </c>
      <c r="BK703" s="78" t="str">
        <f t="shared" si="135"/>
        <v>Bumerán</v>
      </c>
      <c r="BL703" s="1256">
        <f>IF(OR($L703=BL$635,$L703="",$D703=$BN$634),MAX(BL$637:BL702)+1,0)</f>
        <v>0</v>
      </c>
      <c r="BM703" s="1257">
        <f>IF(OR($L703=BM$635,$L703="",$D703=$BN$634),MAX(BM$637:BM702)+1,0)</f>
        <v>0</v>
      </c>
      <c r="BN703" s="1258">
        <f>IF(OR($L703=BN$635,$L703="",$D703=$BN$634),MAX(BN$637:BN702)+1,0)</f>
        <v>53</v>
      </c>
      <c r="BO703" s="6225"/>
      <c r="BP703" s="853" t="str">
        <f t="shared" si="136"/>
        <v/>
      </c>
      <c r="BQ703" s="78" t="str">
        <f t="shared" si="137"/>
        <v/>
      </c>
      <c r="BR703" s="78" t="str">
        <f t="shared" si="138"/>
        <v>Bumerán</v>
      </c>
      <c r="BS703" s="1256">
        <f>IF(OR($L703=BS$635,$L703="",$D703=$BU$634),MAX(BS$637:BS702)+1,0)</f>
        <v>0</v>
      </c>
      <c r="BT703" s="1257">
        <f>IF(OR($L703=BT$635,$L703="",$D703=$BU$634),MAX(BT$637:BT702)+1,0)</f>
        <v>0</v>
      </c>
      <c r="BU703" s="1258">
        <f>IF(OR($L703=BU$635,$L703="",$D703=$BU$634),MAX(BU$637:BU702)+1,0)</f>
        <v>53</v>
      </c>
    </row>
    <row r="704" spans="1:73" ht="12.75" customHeight="1" x14ac:dyDescent="0.2">
      <c r="A704" s="227">
        <v>704</v>
      </c>
      <c r="B704" s="5988"/>
      <c r="C704" s="1146"/>
      <c r="D704" s="2629" t="s">
        <v>6997</v>
      </c>
      <c r="E704" s="2633">
        <v>60</v>
      </c>
      <c r="F704" s="2628">
        <v>-30</v>
      </c>
      <c r="G704" s="2628" t="s">
        <v>1456</v>
      </c>
      <c r="H704" s="2628">
        <v>6</v>
      </c>
      <c r="I704" s="2628" t="s">
        <v>1552</v>
      </c>
      <c r="J704" s="2628" t="s">
        <v>1456</v>
      </c>
      <c r="K704" s="2878" t="s">
        <v>7262</v>
      </c>
      <c r="L704" s="2628" t="str">
        <f t="shared" si="118"/>
        <v>Similar</v>
      </c>
      <c r="M704" s="2634">
        <v>12</v>
      </c>
      <c r="N704" s="2634">
        <v>4</v>
      </c>
      <c r="O704" s="2634">
        <v>15</v>
      </c>
      <c r="P704" s="2628"/>
      <c r="Q704" s="2628"/>
      <c r="R704" s="2628" t="s">
        <v>1456</v>
      </c>
      <c r="S704" s="2628" t="s">
        <v>1456</v>
      </c>
      <c r="T704" s="2628" t="s">
        <v>1456</v>
      </c>
      <c r="U704" s="2628"/>
      <c r="V704" s="2878" t="s">
        <v>7035</v>
      </c>
      <c r="W704" s="2878"/>
      <c r="X704" s="2879" t="str">
        <f t="shared" si="97"/>
        <v>Grande</v>
      </c>
      <c r="Y704" s="2618">
        <f t="shared" si="119"/>
        <v>0</v>
      </c>
      <c r="Z704" s="1265" t="str">
        <f t="shared" si="120"/>
        <v/>
      </c>
      <c r="AB704" s="564" t="s">
        <v>6999</v>
      </c>
      <c r="AC704" s="2859"/>
      <c r="AD704" s="2859"/>
      <c r="AE704" s="837"/>
      <c r="AG704" s="853" t="str">
        <f t="shared" si="121"/>
        <v/>
      </c>
      <c r="AH704" s="78" t="str">
        <f t="shared" si="122"/>
        <v/>
      </c>
      <c r="AI704" s="78" t="str">
        <f t="shared" si="123"/>
        <v>Cuervo</v>
      </c>
      <c r="AJ704" s="1256">
        <f>IF(OR($L704=AJ$635,$L704="",$D704=$AL$634),MAX(AJ$637:AJ703)+1,0)</f>
        <v>11</v>
      </c>
      <c r="AK704" s="1257">
        <f>IF(OR($L704=AK$635,$L704="",$D704=$AL$634),MAX(AK$637:AK703)+1,0)</f>
        <v>0</v>
      </c>
      <c r="AL704" s="1258">
        <f>IF(OR($L704=AL$635,$L704="",$D704=$AL$634),MAX(AL$637:AL703)+1,0)</f>
        <v>0</v>
      </c>
      <c r="AM704" s="6225"/>
      <c r="AN704" s="853" t="str">
        <f t="shared" si="124"/>
        <v/>
      </c>
      <c r="AO704" s="78" t="str">
        <f t="shared" si="125"/>
        <v/>
      </c>
      <c r="AP704" s="78" t="str">
        <f t="shared" si="126"/>
        <v>Cuervo</v>
      </c>
      <c r="AQ704" s="1256">
        <f>IF(OR($L704=AQ$635,$L704="",$D704=$AS$634),MAX(AQ$637:AQ703)+1,0)</f>
        <v>11</v>
      </c>
      <c r="AR704" s="1257">
        <f>IF(OR($L704=AR$635,$L704="",$D704=$AS$634),MAX(AR$637:AR703)+1,0)</f>
        <v>0</v>
      </c>
      <c r="AS704" s="1258">
        <f>IF(OR($L704=AS$635,$L704="",$D704=$AS$634),MAX(AS$637:AS703)+1,0)</f>
        <v>0</v>
      </c>
      <c r="AT704" s="6225"/>
      <c r="AU704" s="853" t="str">
        <f t="shared" si="127"/>
        <v/>
      </c>
      <c r="AV704" s="78" t="str">
        <f t="shared" si="128"/>
        <v/>
      </c>
      <c r="AW704" s="78" t="str">
        <f t="shared" si="129"/>
        <v>Cuervo</v>
      </c>
      <c r="AX704" s="1256">
        <f>IF(OR($L704=AX$635,$L704="",$D704=$AZ$634),MAX(AX$637:AX703)+1,0)</f>
        <v>11</v>
      </c>
      <c r="AY704" s="1257">
        <f>IF(OR($L704=AY$635,$L704="",$D704=$AZ$634),MAX(AY$637:AY703)+1,0)</f>
        <v>0</v>
      </c>
      <c r="AZ704" s="1258">
        <f>IF(OR($L704=AZ$635,$L704="",$D704=$AZ$634),MAX(AZ$637:AZ703)+1,0)</f>
        <v>0</v>
      </c>
      <c r="BA704" s="6225"/>
      <c r="BB704" s="853" t="str">
        <f t="shared" si="130"/>
        <v/>
      </c>
      <c r="BC704" s="78" t="str">
        <f t="shared" si="131"/>
        <v/>
      </c>
      <c r="BD704" s="78" t="str">
        <f t="shared" si="132"/>
        <v>Cuervo</v>
      </c>
      <c r="BE704" s="1256">
        <f>IF(OR($L704=BE$635,$L704="",$D704=$BG$634),MAX(BE$637:BE703)+1,0)</f>
        <v>11</v>
      </c>
      <c r="BF704" s="1257">
        <f>IF(OR($L704=BF$635,$L704="",$D704=$BG$634),MAX(BF$637:BF703)+1,0)</f>
        <v>0</v>
      </c>
      <c r="BG704" s="1258">
        <f>IF(OR($L704=BG$635,$L704="",$D704=$BG$634),MAX(BG$637:BG703)+1,0)</f>
        <v>0</v>
      </c>
      <c r="BH704" s="6225"/>
      <c r="BI704" s="853" t="str">
        <f t="shared" si="133"/>
        <v/>
      </c>
      <c r="BJ704" s="78" t="str">
        <f t="shared" si="134"/>
        <v/>
      </c>
      <c r="BK704" s="78" t="str">
        <f t="shared" si="135"/>
        <v>Cuervo</v>
      </c>
      <c r="BL704" s="1256">
        <f>IF(OR($L704=BL$635,$L704="",$D704=$BN$634),MAX(BL$637:BL703)+1,0)</f>
        <v>11</v>
      </c>
      <c r="BM704" s="1257">
        <f>IF(OR($L704=BM$635,$L704="",$D704=$BN$634),MAX(BM$637:BM703)+1,0)</f>
        <v>0</v>
      </c>
      <c r="BN704" s="1258">
        <f>IF(OR($L704=BN$635,$L704="",$D704=$BN$634),MAX(BN$637:BN703)+1,0)</f>
        <v>0</v>
      </c>
      <c r="BO704" s="6225"/>
      <c r="BP704" s="853" t="str">
        <f t="shared" si="136"/>
        <v/>
      </c>
      <c r="BQ704" s="78" t="str">
        <f t="shared" si="137"/>
        <v/>
      </c>
      <c r="BR704" s="78" t="str">
        <f t="shared" si="138"/>
        <v>Cuervo</v>
      </c>
      <c r="BS704" s="1256">
        <f>IF(OR($L704=BS$635,$L704="",$D704=$BU$634),MAX(BS$637:BS703)+1,0)</f>
        <v>11</v>
      </c>
      <c r="BT704" s="1257">
        <f>IF(OR($L704=BT$635,$L704="",$D704=$BU$634),MAX(BT$637:BT703)+1,0)</f>
        <v>0</v>
      </c>
      <c r="BU704" s="1258">
        <f>IF(OR($L704=BU$635,$L704="",$D704=$BU$634),MAX(BU$637:BU703)+1,0)</f>
        <v>0</v>
      </c>
    </row>
    <row r="705" spans="1:73" ht="12.75" customHeight="1" x14ac:dyDescent="0.2">
      <c r="A705" s="227">
        <v>705</v>
      </c>
      <c r="B705" s="5988"/>
      <c r="C705" s="1146"/>
      <c r="D705" s="2629" t="s">
        <v>6998</v>
      </c>
      <c r="E705" s="2633">
        <v>40</v>
      </c>
      <c r="F705" s="2628">
        <v>-5</v>
      </c>
      <c r="G705" s="2628">
        <v>7</v>
      </c>
      <c r="H705" s="2628">
        <v>6</v>
      </c>
      <c r="I705" s="2628" t="s">
        <v>1551</v>
      </c>
      <c r="J705" s="2628" t="s">
        <v>1498</v>
      </c>
      <c r="K705" s="2878" t="s">
        <v>7262</v>
      </c>
      <c r="L705" s="2628" t="str">
        <f t="shared" si="118"/>
        <v>Similar</v>
      </c>
      <c r="M705" s="2634">
        <v>12</v>
      </c>
      <c r="N705" s="2634">
        <v>2</v>
      </c>
      <c r="O705" s="2634">
        <v>20</v>
      </c>
      <c r="P705" s="2628"/>
      <c r="Q705" s="2628"/>
      <c r="R705" s="2628" t="s">
        <v>1456</v>
      </c>
      <c r="S705" s="2628" t="s">
        <v>1456</v>
      </c>
      <c r="T705" s="2628" t="s">
        <v>1456</v>
      </c>
      <c r="U705" s="2628"/>
      <c r="V705" s="2878" t="s">
        <v>2130</v>
      </c>
      <c r="W705" s="2878"/>
      <c r="X705" s="2879" t="str">
        <f t="shared" si="97"/>
        <v>Grande</v>
      </c>
      <c r="Y705" s="2618">
        <f t="shared" si="119"/>
        <v>0</v>
      </c>
      <c r="Z705" s="1265" t="str">
        <f t="shared" si="120"/>
        <v/>
      </c>
      <c r="AB705" s="564" t="s">
        <v>2167</v>
      </c>
      <c r="AC705" s="2859"/>
      <c r="AD705" s="2859"/>
      <c r="AE705" s="837"/>
      <c r="AG705" s="853" t="str">
        <f t="shared" si="121"/>
        <v/>
      </c>
      <c r="AH705" s="78" t="str">
        <f t="shared" si="122"/>
        <v/>
      </c>
      <c r="AI705" s="78" t="str">
        <f t="shared" si="123"/>
        <v>Garras</v>
      </c>
      <c r="AJ705" s="1256">
        <f>IF(OR($L705=AJ$635,$L705="",$D705=$AL$634),MAX(AJ$637:AJ704)+1,0)</f>
        <v>12</v>
      </c>
      <c r="AK705" s="1257">
        <f>IF(OR($L705=AK$635,$L705="",$D705=$AL$634),MAX(AK$637:AK704)+1,0)</f>
        <v>0</v>
      </c>
      <c r="AL705" s="1258">
        <f>IF(OR($L705=AL$635,$L705="",$D705=$AL$634),MAX(AL$637:AL704)+1,0)</f>
        <v>0</v>
      </c>
      <c r="AM705" s="6225"/>
      <c r="AN705" s="853" t="str">
        <f t="shared" si="124"/>
        <v/>
      </c>
      <c r="AO705" s="78" t="str">
        <f t="shared" si="125"/>
        <v/>
      </c>
      <c r="AP705" s="78" t="str">
        <f t="shared" si="126"/>
        <v>Garras</v>
      </c>
      <c r="AQ705" s="1256">
        <f>IF(OR($L705=AQ$635,$L705="",$D705=$AS$634),MAX(AQ$637:AQ704)+1,0)</f>
        <v>12</v>
      </c>
      <c r="AR705" s="1257">
        <f>IF(OR($L705=AR$635,$L705="",$D705=$AS$634),MAX(AR$637:AR704)+1,0)</f>
        <v>0</v>
      </c>
      <c r="AS705" s="1258">
        <f>IF(OR($L705=AS$635,$L705="",$D705=$AS$634),MAX(AS$637:AS704)+1,0)</f>
        <v>0</v>
      </c>
      <c r="AT705" s="6225"/>
      <c r="AU705" s="853" t="str">
        <f t="shared" si="127"/>
        <v/>
      </c>
      <c r="AV705" s="78" t="str">
        <f t="shared" si="128"/>
        <v/>
      </c>
      <c r="AW705" s="78" t="str">
        <f t="shared" si="129"/>
        <v>Garras</v>
      </c>
      <c r="AX705" s="1256">
        <f>IF(OR($L705=AX$635,$L705="",$D705=$AZ$634),MAX(AX$637:AX704)+1,0)</f>
        <v>12</v>
      </c>
      <c r="AY705" s="1257">
        <f>IF(OR($L705=AY$635,$L705="",$D705=$AZ$634),MAX(AY$637:AY704)+1,0)</f>
        <v>0</v>
      </c>
      <c r="AZ705" s="1258">
        <f>IF(OR($L705=AZ$635,$L705="",$D705=$AZ$634),MAX(AZ$637:AZ704)+1,0)</f>
        <v>0</v>
      </c>
      <c r="BA705" s="6225"/>
      <c r="BB705" s="853" t="str">
        <f t="shared" si="130"/>
        <v/>
      </c>
      <c r="BC705" s="78" t="str">
        <f t="shared" si="131"/>
        <v/>
      </c>
      <c r="BD705" s="78" t="str">
        <f t="shared" si="132"/>
        <v>Garras</v>
      </c>
      <c r="BE705" s="1256">
        <f>IF(OR($L705=BE$635,$L705="",$D705=$BG$634),MAX(BE$637:BE704)+1,0)</f>
        <v>12</v>
      </c>
      <c r="BF705" s="1257">
        <f>IF(OR($L705=BF$635,$L705="",$D705=$BG$634),MAX(BF$637:BF704)+1,0)</f>
        <v>0</v>
      </c>
      <c r="BG705" s="1258">
        <f>IF(OR($L705=BG$635,$L705="",$D705=$BG$634),MAX(BG$637:BG704)+1,0)</f>
        <v>0</v>
      </c>
      <c r="BH705" s="6225"/>
      <c r="BI705" s="853" t="str">
        <f t="shared" si="133"/>
        <v/>
      </c>
      <c r="BJ705" s="78" t="str">
        <f t="shared" si="134"/>
        <v/>
      </c>
      <c r="BK705" s="78" t="str">
        <f t="shared" si="135"/>
        <v>Garras</v>
      </c>
      <c r="BL705" s="1256">
        <f>IF(OR($L705=BL$635,$L705="",$D705=$BN$634),MAX(BL$637:BL704)+1,0)</f>
        <v>12</v>
      </c>
      <c r="BM705" s="1257">
        <f>IF(OR($L705=BM$635,$L705="",$D705=$BN$634),MAX(BM$637:BM704)+1,0)</f>
        <v>0</v>
      </c>
      <c r="BN705" s="1258">
        <f>IF(OR($L705=BN$635,$L705="",$D705=$BN$634),MAX(BN$637:BN704)+1,0)</f>
        <v>0</v>
      </c>
      <c r="BO705" s="6225"/>
      <c r="BP705" s="853" t="str">
        <f t="shared" si="136"/>
        <v/>
      </c>
      <c r="BQ705" s="78" t="str">
        <f t="shared" si="137"/>
        <v/>
      </c>
      <c r="BR705" s="78" t="str">
        <f t="shared" si="138"/>
        <v>Garras</v>
      </c>
      <c r="BS705" s="1256">
        <f>IF(OR($L705=BS$635,$L705="",$D705=$BU$634),MAX(BS$637:BS704)+1,0)</f>
        <v>12</v>
      </c>
      <c r="BT705" s="1257">
        <f>IF(OR($L705=BT$635,$L705="",$D705=$BU$634),MAX(BT$637:BT704)+1,0)</f>
        <v>0</v>
      </c>
      <c r="BU705" s="1258">
        <f>IF(OR($L705=BU$635,$L705="",$D705=$BU$634),MAX(BU$637:BU704)+1,0)</f>
        <v>0</v>
      </c>
    </row>
    <row r="706" spans="1:73" ht="12.75" customHeight="1" x14ac:dyDescent="0.2">
      <c r="A706" s="227">
        <v>706</v>
      </c>
      <c r="B706" s="5988"/>
      <c r="C706" s="1146"/>
      <c r="D706" s="2629" t="s">
        <v>2162</v>
      </c>
      <c r="E706" s="2633">
        <v>5</v>
      </c>
      <c r="F706" s="2628">
        <v>0</v>
      </c>
      <c r="G706" s="2628">
        <v>4</v>
      </c>
      <c r="H706" s="2628">
        <v>4</v>
      </c>
      <c r="I706" s="2628" t="s">
        <v>1498</v>
      </c>
      <c r="J706" s="2628" t="s">
        <v>1551</v>
      </c>
      <c r="K706" s="2878" t="s">
        <v>7266</v>
      </c>
      <c r="L706" s="2628" t="str">
        <f t="shared" si="118"/>
        <v>Distinta</v>
      </c>
      <c r="M706" s="2634">
        <v>13</v>
      </c>
      <c r="N706" s="2634">
        <v>-4</v>
      </c>
      <c r="O706" s="2634">
        <v>15</v>
      </c>
      <c r="P706" s="2628"/>
      <c r="Q706" s="2628"/>
      <c r="R706" s="2634">
        <v>100</v>
      </c>
      <c r="S706" s="2628" t="s">
        <v>1456</v>
      </c>
      <c r="T706" s="2628">
        <v>5</v>
      </c>
      <c r="U706" s="2628"/>
      <c r="V706" s="2878" t="s">
        <v>8575</v>
      </c>
      <c r="W706" s="2878"/>
      <c r="X706" s="2879" t="str">
        <f t="shared" si="97"/>
        <v>Mediana</v>
      </c>
      <c r="Y706" s="2618">
        <f t="shared" si="119"/>
        <v>0</v>
      </c>
      <c r="Z706" s="1265" t="str">
        <f t="shared" si="120"/>
        <v/>
      </c>
      <c r="AB706" s="564" t="s">
        <v>2168</v>
      </c>
      <c r="AC706" s="2859"/>
      <c r="AD706" s="2859"/>
      <c r="AE706" s="837"/>
      <c r="AG706" s="853" t="str">
        <f t="shared" si="121"/>
        <v/>
      </c>
      <c r="AH706" s="78" t="str">
        <f t="shared" si="122"/>
        <v/>
      </c>
      <c r="AI706" s="78" t="str">
        <f t="shared" si="123"/>
        <v>Katana</v>
      </c>
      <c r="AJ706" s="1256">
        <f>IF(OR($L706=AJ$635,$L706="",$D706=$AL$634),MAX(AJ$637:AJ705)+1,0)</f>
        <v>0</v>
      </c>
      <c r="AK706" s="1257">
        <f>IF(OR($L706=AK$635,$L706="",$D706=$AL$634),MAX(AK$637:AK705)+1,0)</f>
        <v>0</v>
      </c>
      <c r="AL706" s="1258">
        <f>IF(OR($L706=AL$635,$L706="",$D706=$AL$634),MAX(AL$637:AL705)+1,0)</f>
        <v>54</v>
      </c>
      <c r="AM706" s="6225"/>
      <c r="AN706" s="853" t="str">
        <f t="shared" si="124"/>
        <v/>
      </c>
      <c r="AO706" s="78" t="str">
        <f t="shared" si="125"/>
        <v/>
      </c>
      <c r="AP706" s="78" t="str">
        <f t="shared" si="126"/>
        <v>Katana</v>
      </c>
      <c r="AQ706" s="1256">
        <f>IF(OR($L706=AQ$635,$L706="",$D706=$AS$634),MAX(AQ$637:AQ705)+1,0)</f>
        <v>0</v>
      </c>
      <c r="AR706" s="1257">
        <f>IF(OR($L706=AR$635,$L706="",$D706=$AS$634),MAX(AR$637:AR705)+1,0)</f>
        <v>0</v>
      </c>
      <c r="AS706" s="1258">
        <f>IF(OR($L706=AS$635,$L706="",$D706=$AS$634),MAX(AS$637:AS705)+1,0)</f>
        <v>54</v>
      </c>
      <c r="AT706" s="6225"/>
      <c r="AU706" s="853" t="str">
        <f t="shared" si="127"/>
        <v/>
      </c>
      <c r="AV706" s="78" t="str">
        <f t="shared" si="128"/>
        <v/>
      </c>
      <c r="AW706" s="78" t="str">
        <f t="shared" si="129"/>
        <v>Katana</v>
      </c>
      <c r="AX706" s="1256">
        <f>IF(OR($L706=AX$635,$L706="",$D706=$AZ$634),MAX(AX$637:AX705)+1,0)</f>
        <v>0</v>
      </c>
      <c r="AY706" s="1257">
        <f>IF(OR($L706=AY$635,$L706="",$D706=$AZ$634),MAX(AY$637:AY705)+1,0)</f>
        <v>0</v>
      </c>
      <c r="AZ706" s="1258">
        <f>IF(OR($L706=AZ$635,$L706="",$D706=$AZ$634),MAX(AZ$637:AZ705)+1,0)</f>
        <v>54</v>
      </c>
      <c r="BA706" s="6225"/>
      <c r="BB706" s="853" t="str">
        <f t="shared" si="130"/>
        <v/>
      </c>
      <c r="BC706" s="78" t="str">
        <f t="shared" si="131"/>
        <v/>
      </c>
      <c r="BD706" s="78" t="str">
        <f t="shared" si="132"/>
        <v>Katana</v>
      </c>
      <c r="BE706" s="1256">
        <f>IF(OR($L706=BE$635,$L706="",$D706=$BG$634),MAX(BE$637:BE705)+1,0)</f>
        <v>0</v>
      </c>
      <c r="BF706" s="1257">
        <f>IF(OR($L706=BF$635,$L706="",$D706=$BG$634),MAX(BF$637:BF705)+1,0)</f>
        <v>0</v>
      </c>
      <c r="BG706" s="1258">
        <f>IF(OR($L706=BG$635,$L706="",$D706=$BG$634),MAX(BG$637:BG705)+1,0)</f>
        <v>54</v>
      </c>
      <c r="BH706" s="6225"/>
      <c r="BI706" s="853" t="str">
        <f t="shared" si="133"/>
        <v/>
      </c>
      <c r="BJ706" s="78" t="str">
        <f t="shared" si="134"/>
        <v/>
      </c>
      <c r="BK706" s="78" t="str">
        <f t="shared" si="135"/>
        <v>Katana</v>
      </c>
      <c r="BL706" s="1256">
        <f>IF(OR($L706=BL$635,$L706="",$D706=$BN$634),MAX(BL$637:BL705)+1,0)</f>
        <v>0</v>
      </c>
      <c r="BM706" s="1257">
        <f>IF(OR($L706=BM$635,$L706="",$D706=$BN$634),MAX(BM$637:BM705)+1,0)</f>
        <v>0</v>
      </c>
      <c r="BN706" s="1258">
        <f>IF(OR($L706=BN$635,$L706="",$D706=$BN$634),MAX(BN$637:BN705)+1,0)</f>
        <v>54</v>
      </c>
      <c r="BO706" s="6225"/>
      <c r="BP706" s="853" t="str">
        <f t="shared" si="136"/>
        <v/>
      </c>
      <c r="BQ706" s="78" t="str">
        <f t="shared" si="137"/>
        <v/>
      </c>
      <c r="BR706" s="78" t="str">
        <f t="shared" si="138"/>
        <v>Katana</v>
      </c>
      <c r="BS706" s="1256">
        <f>IF(OR($L706=BS$635,$L706="",$D706=$BU$634),MAX(BS$637:BS705)+1,0)</f>
        <v>0</v>
      </c>
      <c r="BT706" s="1257">
        <f>IF(OR($L706=BT$635,$L706="",$D706=$BU$634),MAX(BT$637:BT705)+1,0)</f>
        <v>0</v>
      </c>
      <c r="BU706" s="1258">
        <f>IF(OR($L706=BU$635,$L706="",$D706=$BU$634),MAX(BU$637:BU705)+1,0)</f>
        <v>54</v>
      </c>
    </row>
    <row r="707" spans="1:73" ht="12.75" customHeight="1" x14ac:dyDescent="0.2">
      <c r="A707" s="227">
        <v>707</v>
      </c>
      <c r="B707" s="5988"/>
      <c r="C707" s="1146"/>
      <c r="D707" s="2629" t="s">
        <v>2163</v>
      </c>
      <c r="E707" s="2633">
        <v>45</v>
      </c>
      <c r="F707" s="2628">
        <v>10</v>
      </c>
      <c r="G707" s="2628">
        <v>6</v>
      </c>
      <c r="H707" s="2628">
        <v>6</v>
      </c>
      <c r="I707" s="2628" t="s">
        <v>1551</v>
      </c>
      <c r="J707" s="2628" t="s">
        <v>1552</v>
      </c>
      <c r="K707" s="2878" t="s">
        <v>7265</v>
      </c>
      <c r="L707" s="2628" t="str">
        <f t="shared" si="118"/>
        <v>Distinta</v>
      </c>
      <c r="M707" s="2634">
        <v>12</v>
      </c>
      <c r="N707" s="2634">
        <v>3</v>
      </c>
      <c r="O707" s="2634">
        <v>20</v>
      </c>
      <c r="P707" s="2628"/>
      <c r="Q707" s="2628"/>
      <c r="R707" s="2628" t="s">
        <v>1456</v>
      </c>
      <c r="S707" s="2628" t="s">
        <v>1456</v>
      </c>
      <c r="T707" s="2628" t="s">
        <v>1456</v>
      </c>
      <c r="U707" s="2628"/>
      <c r="V707" s="2878" t="s">
        <v>1456</v>
      </c>
      <c r="W707" s="2878"/>
      <c r="X707" s="2879" t="str">
        <f t="shared" si="97"/>
        <v>Mediana</v>
      </c>
      <c r="Y707" s="2618">
        <f t="shared" si="119"/>
        <v>0</v>
      </c>
      <c r="Z707" s="1265" t="str">
        <f t="shared" si="120"/>
        <v/>
      </c>
      <c r="AB707" s="564" t="s">
        <v>2170</v>
      </c>
      <c r="AC707" s="2859"/>
      <c r="AD707" s="2859"/>
      <c r="AE707" s="837"/>
      <c r="AG707" s="853" t="str">
        <f t="shared" si="121"/>
        <v/>
      </c>
      <c r="AH707" s="78" t="str">
        <f t="shared" si="122"/>
        <v/>
      </c>
      <c r="AI707" s="78" t="str">
        <f t="shared" si="123"/>
        <v>Katana de doble hoja</v>
      </c>
      <c r="AJ707" s="1256">
        <f>IF(OR($L707=AJ$635,$L707="",$D707=$AL$634),MAX(AJ$637:AJ706)+1,0)</f>
        <v>0</v>
      </c>
      <c r="AK707" s="1257">
        <f>IF(OR($L707=AK$635,$L707="",$D707=$AL$634),MAX(AK$637:AK706)+1,0)</f>
        <v>0</v>
      </c>
      <c r="AL707" s="1258">
        <f>IF(OR($L707=AL$635,$L707="",$D707=$AL$634),MAX(AL$637:AL706)+1,0)</f>
        <v>55</v>
      </c>
      <c r="AM707" s="6225"/>
      <c r="AN707" s="853" t="str">
        <f t="shared" si="124"/>
        <v/>
      </c>
      <c r="AO707" s="78" t="str">
        <f t="shared" si="125"/>
        <v/>
      </c>
      <c r="AP707" s="78" t="str">
        <f t="shared" si="126"/>
        <v>Katana de doble hoja</v>
      </c>
      <c r="AQ707" s="1256">
        <f>IF(OR($L707=AQ$635,$L707="",$D707=$AS$634),MAX(AQ$637:AQ706)+1,0)</f>
        <v>0</v>
      </c>
      <c r="AR707" s="1257">
        <f>IF(OR($L707=AR$635,$L707="",$D707=$AS$634),MAX(AR$637:AR706)+1,0)</f>
        <v>0</v>
      </c>
      <c r="AS707" s="1258">
        <f>IF(OR($L707=AS$635,$L707="",$D707=$AS$634),MAX(AS$637:AS706)+1,0)</f>
        <v>55</v>
      </c>
      <c r="AT707" s="6225"/>
      <c r="AU707" s="853" t="str">
        <f t="shared" si="127"/>
        <v/>
      </c>
      <c r="AV707" s="78" t="str">
        <f t="shared" si="128"/>
        <v/>
      </c>
      <c r="AW707" s="78" t="str">
        <f t="shared" si="129"/>
        <v>Katana de doble hoja</v>
      </c>
      <c r="AX707" s="1256">
        <f>IF(OR($L707=AX$635,$L707="",$D707=$AZ$634),MAX(AX$637:AX706)+1,0)</f>
        <v>0</v>
      </c>
      <c r="AY707" s="1257">
        <f>IF(OR($L707=AY$635,$L707="",$D707=$AZ$634),MAX(AY$637:AY706)+1,0)</f>
        <v>0</v>
      </c>
      <c r="AZ707" s="1258">
        <f>IF(OR($L707=AZ$635,$L707="",$D707=$AZ$634),MAX(AZ$637:AZ706)+1,0)</f>
        <v>55</v>
      </c>
      <c r="BA707" s="6225"/>
      <c r="BB707" s="853" t="str">
        <f t="shared" si="130"/>
        <v/>
      </c>
      <c r="BC707" s="78" t="str">
        <f t="shared" si="131"/>
        <v/>
      </c>
      <c r="BD707" s="78" t="str">
        <f t="shared" si="132"/>
        <v>Katana de doble hoja</v>
      </c>
      <c r="BE707" s="1256">
        <f>IF(OR($L707=BE$635,$L707="",$D707=$BG$634),MAX(BE$637:BE706)+1,0)</f>
        <v>0</v>
      </c>
      <c r="BF707" s="1257">
        <f>IF(OR($L707=BF$635,$L707="",$D707=$BG$634),MAX(BF$637:BF706)+1,0)</f>
        <v>0</v>
      </c>
      <c r="BG707" s="1258">
        <f>IF(OR($L707=BG$635,$L707="",$D707=$BG$634),MAX(BG$637:BG706)+1,0)</f>
        <v>55</v>
      </c>
      <c r="BH707" s="6225"/>
      <c r="BI707" s="853" t="str">
        <f t="shared" si="133"/>
        <v/>
      </c>
      <c r="BJ707" s="78" t="str">
        <f t="shared" si="134"/>
        <v/>
      </c>
      <c r="BK707" s="78" t="str">
        <f t="shared" si="135"/>
        <v>Katana de doble hoja</v>
      </c>
      <c r="BL707" s="1256">
        <f>IF(OR($L707=BL$635,$L707="",$D707=$BN$634),MAX(BL$637:BL706)+1,0)</f>
        <v>0</v>
      </c>
      <c r="BM707" s="1257">
        <f>IF(OR($L707=BM$635,$L707="",$D707=$BN$634),MAX(BM$637:BM706)+1,0)</f>
        <v>0</v>
      </c>
      <c r="BN707" s="1258">
        <f>IF(OR($L707=BN$635,$L707="",$D707=$BN$634),MAX(BN$637:BN706)+1,0)</f>
        <v>55</v>
      </c>
      <c r="BO707" s="6225"/>
      <c r="BP707" s="853" t="str">
        <f t="shared" si="136"/>
        <v/>
      </c>
      <c r="BQ707" s="78" t="str">
        <f t="shared" si="137"/>
        <v/>
      </c>
      <c r="BR707" s="78" t="str">
        <f t="shared" si="138"/>
        <v>Katana de doble hoja</v>
      </c>
      <c r="BS707" s="1256">
        <f>IF(OR($L707=BS$635,$L707="",$D707=$BU$634),MAX(BS$637:BS706)+1,0)</f>
        <v>0</v>
      </c>
      <c r="BT707" s="1257">
        <f>IF(OR($L707=BT$635,$L707="",$D707=$BU$634),MAX(BT$637:BT706)+1,0)</f>
        <v>0</v>
      </c>
      <c r="BU707" s="1258">
        <f>IF(OR($L707=BU$635,$L707="",$D707=$BU$634),MAX(BU$637:BU706)+1,0)</f>
        <v>55</v>
      </c>
    </row>
    <row r="708" spans="1:73" ht="12.75" customHeight="1" x14ac:dyDescent="0.2">
      <c r="A708" s="227">
        <v>708</v>
      </c>
      <c r="B708" s="5988"/>
      <c r="C708" s="1146"/>
      <c r="D708" s="2629" t="s">
        <v>7015</v>
      </c>
      <c r="E708" s="2633">
        <v>40</v>
      </c>
      <c r="F708" s="2628">
        <v>5</v>
      </c>
      <c r="G708" s="2628">
        <v>5</v>
      </c>
      <c r="H708" s="2628">
        <v>5</v>
      </c>
      <c r="I708" s="2628" t="s">
        <v>1551</v>
      </c>
      <c r="J708" s="2628" t="s">
        <v>1456</v>
      </c>
      <c r="K708" s="2878" t="s">
        <v>7265</v>
      </c>
      <c r="L708" s="2628" t="str">
        <f t="shared" ref="L708:L714" si="139">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34">
        <v>12</v>
      </c>
      <c r="N708" s="2634">
        <v>1</v>
      </c>
      <c r="O708" s="2634">
        <v>20</v>
      </c>
      <c r="P708" s="2628"/>
      <c r="Q708" s="2628"/>
      <c r="R708" s="2628" t="s">
        <v>1456</v>
      </c>
      <c r="S708" s="2628" t="s">
        <v>1456</v>
      </c>
      <c r="T708" s="2628" t="s">
        <v>1456</v>
      </c>
      <c r="U708" s="2628"/>
      <c r="V708" s="2878" t="s">
        <v>7036</v>
      </c>
      <c r="W708" s="2878"/>
      <c r="X708" s="2879" t="str">
        <f t="shared" si="97"/>
        <v>Mediana</v>
      </c>
      <c r="Y708" s="2618">
        <f t="shared" ref="Y708:Y714" si="140">Bono_Fue</f>
        <v>0</v>
      </c>
      <c r="Z708" s="1265" t="str">
        <f t="shared" si="120"/>
        <v/>
      </c>
      <c r="AB708" s="564" t="s">
        <v>2171</v>
      </c>
      <c r="AC708" s="2859"/>
      <c r="AD708" s="2859"/>
      <c r="AE708" s="837"/>
      <c r="AG708" s="853" t="str">
        <f t="shared" si="121"/>
        <v/>
      </c>
      <c r="AH708" s="78" t="str">
        <f t="shared" si="122"/>
        <v/>
      </c>
      <c r="AI708" s="78" t="str">
        <f t="shared" si="123"/>
        <v>Katar</v>
      </c>
      <c r="AJ708" s="1256">
        <f>IF(OR($L708=AJ$635,$L708="",$D708=$AL$634),MAX(AJ$637:AJ707)+1,0)</f>
        <v>0</v>
      </c>
      <c r="AK708" s="1257">
        <f>IF(OR($L708=AK$635,$L708="",$D708=$AL$634),MAX(AK$637:AK707)+1,0)</f>
        <v>0</v>
      </c>
      <c r="AL708" s="1258">
        <f>IF(OR($L708=AL$635,$L708="",$D708=$AL$634),MAX(AL$637:AL707)+1,0)</f>
        <v>56</v>
      </c>
      <c r="AM708" s="6225"/>
      <c r="AN708" s="853" t="str">
        <f t="shared" si="124"/>
        <v/>
      </c>
      <c r="AO708" s="78" t="str">
        <f t="shared" si="125"/>
        <v/>
      </c>
      <c r="AP708" s="78" t="str">
        <f t="shared" si="126"/>
        <v>Katar</v>
      </c>
      <c r="AQ708" s="1256">
        <f>IF(OR($L708=AQ$635,$L708="",$D708=$AS$634),MAX(AQ$637:AQ707)+1,0)</f>
        <v>0</v>
      </c>
      <c r="AR708" s="1257">
        <f>IF(OR($L708=AR$635,$L708="",$D708=$AS$634),MAX(AR$637:AR707)+1,0)</f>
        <v>0</v>
      </c>
      <c r="AS708" s="1258">
        <f>IF(OR($L708=AS$635,$L708="",$D708=$AS$634),MAX(AS$637:AS707)+1,0)</f>
        <v>56</v>
      </c>
      <c r="AT708" s="6225"/>
      <c r="AU708" s="853" t="str">
        <f t="shared" si="127"/>
        <v/>
      </c>
      <c r="AV708" s="78" t="str">
        <f t="shared" si="128"/>
        <v/>
      </c>
      <c r="AW708" s="78" t="str">
        <f t="shared" si="129"/>
        <v>Katar</v>
      </c>
      <c r="AX708" s="1256">
        <f>IF(OR($L708=AX$635,$L708="",$D708=$AZ$634),MAX(AX$637:AX707)+1,0)</f>
        <v>0</v>
      </c>
      <c r="AY708" s="1257">
        <f>IF(OR($L708=AY$635,$L708="",$D708=$AZ$634),MAX(AY$637:AY707)+1,0)</f>
        <v>0</v>
      </c>
      <c r="AZ708" s="1258">
        <f>IF(OR($L708=AZ$635,$L708="",$D708=$AZ$634),MAX(AZ$637:AZ707)+1,0)</f>
        <v>56</v>
      </c>
      <c r="BA708" s="6225"/>
      <c r="BB708" s="853" t="str">
        <f t="shared" si="130"/>
        <v/>
      </c>
      <c r="BC708" s="78" t="str">
        <f t="shared" si="131"/>
        <v/>
      </c>
      <c r="BD708" s="78" t="str">
        <f t="shared" si="132"/>
        <v>Katar</v>
      </c>
      <c r="BE708" s="1256">
        <f>IF(OR($L708=BE$635,$L708="",$D708=$BG$634),MAX(BE$637:BE707)+1,0)</f>
        <v>0</v>
      </c>
      <c r="BF708" s="1257">
        <f>IF(OR($L708=BF$635,$L708="",$D708=$BG$634),MAX(BF$637:BF707)+1,0)</f>
        <v>0</v>
      </c>
      <c r="BG708" s="1258">
        <f>IF(OR($L708=BG$635,$L708="",$D708=$BG$634),MAX(BG$637:BG707)+1,0)</f>
        <v>56</v>
      </c>
      <c r="BH708" s="6225"/>
      <c r="BI708" s="853" t="str">
        <f t="shared" si="133"/>
        <v/>
      </c>
      <c r="BJ708" s="78" t="str">
        <f t="shared" si="134"/>
        <v/>
      </c>
      <c r="BK708" s="78" t="str">
        <f t="shared" si="135"/>
        <v>Katar</v>
      </c>
      <c r="BL708" s="1256">
        <f>IF(OR($L708=BL$635,$L708="",$D708=$BN$634),MAX(BL$637:BL707)+1,0)</f>
        <v>0</v>
      </c>
      <c r="BM708" s="1257">
        <f>IF(OR($L708=BM$635,$L708="",$D708=$BN$634),MAX(BM$637:BM707)+1,0)</f>
        <v>0</v>
      </c>
      <c r="BN708" s="1258">
        <f>IF(OR($L708=BN$635,$L708="",$D708=$BN$634),MAX(BN$637:BN707)+1,0)</f>
        <v>56</v>
      </c>
      <c r="BO708" s="6225"/>
      <c r="BP708" s="853" t="str">
        <f t="shared" si="136"/>
        <v/>
      </c>
      <c r="BQ708" s="78" t="str">
        <f t="shared" si="137"/>
        <v/>
      </c>
      <c r="BR708" s="78" t="str">
        <f t="shared" si="138"/>
        <v>Katar</v>
      </c>
      <c r="BS708" s="1256">
        <f>IF(OR($L708=BS$635,$L708="",$D708=$BU$634),MAX(BS$637:BS707)+1,0)</f>
        <v>0</v>
      </c>
      <c r="BT708" s="1257">
        <f>IF(OR($L708=BT$635,$L708="",$D708=$BU$634),MAX(BT$637:BT707)+1,0)</f>
        <v>0</v>
      </c>
      <c r="BU708" s="1258">
        <f>IF(OR($L708=BU$635,$L708="",$D708=$BU$634),MAX(BU$637:BU707)+1,0)</f>
        <v>56</v>
      </c>
    </row>
    <row r="709" spans="1:73" ht="12.75" customHeight="1" x14ac:dyDescent="0.2">
      <c r="A709" s="227">
        <v>709</v>
      </c>
      <c r="B709" s="5988"/>
      <c r="C709" s="1146"/>
      <c r="D709" s="2629" t="s">
        <v>7016</v>
      </c>
      <c r="E709" s="2633">
        <v>45</v>
      </c>
      <c r="F709" s="2628">
        <v>5</v>
      </c>
      <c r="G709" s="2628">
        <v>6</v>
      </c>
      <c r="H709" s="2628">
        <v>6</v>
      </c>
      <c r="I709" s="2628" t="s">
        <v>1552</v>
      </c>
      <c r="J709" s="2628" t="s">
        <v>1551</v>
      </c>
      <c r="K709" s="2878" t="s">
        <v>7265</v>
      </c>
      <c r="L709" s="2628" t="str">
        <f t="shared" si="139"/>
        <v>Distinta</v>
      </c>
      <c r="M709" s="2634">
        <v>14</v>
      </c>
      <c r="N709" s="2634">
        <v>3</v>
      </c>
      <c r="O709" s="2634">
        <v>20</v>
      </c>
      <c r="P709" s="2628"/>
      <c r="Q709" s="2628"/>
      <c r="R709" s="2628" t="s">
        <v>1456</v>
      </c>
      <c r="S709" s="2628" t="s">
        <v>1456</v>
      </c>
      <c r="T709" s="2628" t="s">
        <v>1456</v>
      </c>
      <c r="U709" s="2628"/>
      <c r="V709" s="2878" t="s">
        <v>1456</v>
      </c>
      <c r="W709" s="2878"/>
      <c r="X709" s="2879" t="str">
        <f t="shared" ref="X709:X714" si="141">IF(K709="/","",IF(OR(ISNUMBER(FIND("Mandoble",K709)),ISNUMBER(FIND("Asta",K709))),"Grande",IF(ISNUMBER(FIND("Corta",K709)),"Pequeña","Mediana")))</f>
        <v>Mediana</v>
      </c>
      <c r="Y709" s="2618">
        <f t="shared" si="140"/>
        <v>0</v>
      </c>
      <c r="Z709" s="1265" t="str">
        <f t="shared" si="120"/>
        <v/>
      </c>
      <c r="AB709" s="853" t="s">
        <v>2172</v>
      </c>
      <c r="AC709" s="2859"/>
      <c r="AD709" s="2859"/>
      <c r="AE709" s="837"/>
      <c r="AG709" s="853" t="str">
        <f t="shared" si="121"/>
        <v/>
      </c>
      <c r="AH709" s="78" t="str">
        <f t="shared" si="122"/>
        <v/>
      </c>
      <c r="AI709" s="78" t="str">
        <f t="shared" si="123"/>
        <v>Kusari-Gama</v>
      </c>
      <c r="AJ709" s="1256">
        <f>IF(OR($L709=AJ$635,$L709="",$D709=$AL$634),MAX(AJ$637:AJ708)+1,0)</f>
        <v>0</v>
      </c>
      <c r="AK709" s="1257">
        <f>IF(OR($L709=AK$635,$L709="",$D709=$AL$634),MAX(AK$637:AK708)+1,0)</f>
        <v>0</v>
      </c>
      <c r="AL709" s="1258">
        <f>IF(OR($L709=AL$635,$L709="",$D709=$AL$634),MAX(AL$637:AL708)+1,0)</f>
        <v>57</v>
      </c>
      <c r="AM709" s="6225"/>
      <c r="AN709" s="853" t="str">
        <f t="shared" si="124"/>
        <v/>
      </c>
      <c r="AO709" s="78" t="str">
        <f t="shared" si="125"/>
        <v/>
      </c>
      <c r="AP709" s="78" t="str">
        <f t="shared" si="126"/>
        <v>Kusari-Gama</v>
      </c>
      <c r="AQ709" s="1256">
        <f>IF(OR($L709=AQ$635,$L709="",$D709=$AS$634),MAX(AQ$637:AQ708)+1,0)</f>
        <v>0</v>
      </c>
      <c r="AR709" s="1257">
        <f>IF(OR($L709=AR$635,$L709="",$D709=$AS$634),MAX(AR$637:AR708)+1,0)</f>
        <v>0</v>
      </c>
      <c r="AS709" s="1258">
        <f>IF(OR($L709=AS$635,$L709="",$D709=$AS$634),MAX(AS$637:AS708)+1,0)</f>
        <v>57</v>
      </c>
      <c r="AT709" s="6225"/>
      <c r="AU709" s="853" t="str">
        <f t="shared" si="127"/>
        <v/>
      </c>
      <c r="AV709" s="78" t="str">
        <f t="shared" si="128"/>
        <v/>
      </c>
      <c r="AW709" s="78" t="str">
        <f t="shared" si="129"/>
        <v>Kusari-Gama</v>
      </c>
      <c r="AX709" s="1256">
        <f>IF(OR($L709=AX$635,$L709="",$D709=$AZ$634),MAX(AX$637:AX708)+1,0)</f>
        <v>0</v>
      </c>
      <c r="AY709" s="1257">
        <f>IF(OR($L709=AY$635,$L709="",$D709=$AZ$634),MAX(AY$637:AY708)+1,0)</f>
        <v>0</v>
      </c>
      <c r="AZ709" s="1258">
        <f>IF(OR($L709=AZ$635,$L709="",$D709=$AZ$634),MAX(AZ$637:AZ708)+1,0)</f>
        <v>57</v>
      </c>
      <c r="BA709" s="6225"/>
      <c r="BB709" s="853" t="str">
        <f t="shared" si="130"/>
        <v/>
      </c>
      <c r="BC709" s="78" t="str">
        <f t="shared" si="131"/>
        <v/>
      </c>
      <c r="BD709" s="78" t="str">
        <f t="shared" si="132"/>
        <v>Kusari-Gama</v>
      </c>
      <c r="BE709" s="1256">
        <f>IF(OR($L709=BE$635,$L709="",$D709=$BG$634),MAX(BE$637:BE708)+1,0)</f>
        <v>0</v>
      </c>
      <c r="BF709" s="1257">
        <f>IF(OR($L709=BF$635,$L709="",$D709=$BG$634),MAX(BF$637:BF708)+1,0)</f>
        <v>0</v>
      </c>
      <c r="BG709" s="1258">
        <f>IF(OR($L709=BG$635,$L709="",$D709=$BG$634),MAX(BG$637:BG708)+1,0)</f>
        <v>57</v>
      </c>
      <c r="BH709" s="6225"/>
      <c r="BI709" s="853" t="str">
        <f t="shared" si="133"/>
        <v/>
      </c>
      <c r="BJ709" s="78" t="str">
        <f t="shared" si="134"/>
        <v/>
      </c>
      <c r="BK709" s="78" t="str">
        <f t="shared" si="135"/>
        <v>Kusari-Gama</v>
      </c>
      <c r="BL709" s="1256">
        <f>IF(OR($L709=BL$635,$L709="",$D709=$BN$634),MAX(BL$637:BL708)+1,0)</f>
        <v>0</v>
      </c>
      <c r="BM709" s="1257">
        <f>IF(OR($L709=BM$635,$L709="",$D709=$BN$634),MAX(BM$637:BM708)+1,0)</f>
        <v>0</v>
      </c>
      <c r="BN709" s="1258">
        <f>IF(OR($L709=BN$635,$L709="",$D709=$BN$634),MAX(BN$637:BN708)+1,0)</f>
        <v>57</v>
      </c>
      <c r="BO709" s="6225"/>
      <c r="BP709" s="853" t="str">
        <f t="shared" si="136"/>
        <v/>
      </c>
      <c r="BQ709" s="78" t="str">
        <f t="shared" si="137"/>
        <v/>
      </c>
      <c r="BR709" s="78" t="str">
        <f t="shared" si="138"/>
        <v>Kusari-Gama</v>
      </c>
      <c r="BS709" s="1256">
        <f>IF(OR($L709=BS$635,$L709="",$D709=$BU$634),MAX(BS$637:BS708)+1,0)</f>
        <v>0</v>
      </c>
      <c r="BT709" s="1257">
        <f>IF(OR($L709=BT$635,$L709="",$D709=$BU$634),MAX(BT$637:BT708)+1,0)</f>
        <v>0</v>
      </c>
      <c r="BU709" s="1258">
        <f>IF(OR($L709=BU$635,$L709="",$D709=$BU$634),MAX(BU$637:BU708)+1,0)</f>
        <v>57</v>
      </c>
    </row>
    <row r="710" spans="1:73" ht="12.75" customHeight="1" x14ac:dyDescent="0.2">
      <c r="A710" s="227">
        <v>710</v>
      </c>
      <c r="B710" s="5988"/>
      <c r="C710" s="1146"/>
      <c r="D710" s="2629" t="s">
        <v>2164</v>
      </c>
      <c r="E710" s="2633">
        <v>40</v>
      </c>
      <c r="F710" s="2628">
        <v>-10</v>
      </c>
      <c r="G710" s="2628">
        <v>7</v>
      </c>
      <c r="H710" s="2628">
        <v>6</v>
      </c>
      <c r="I710" s="2628" t="s">
        <v>1552</v>
      </c>
      <c r="J710" s="2628" t="s">
        <v>1456</v>
      </c>
      <c r="K710" s="2878" t="s">
        <v>7262</v>
      </c>
      <c r="L710" s="2628" t="str">
        <f t="shared" si="139"/>
        <v>Similar</v>
      </c>
      <c r="M710" s="2634">
        <v>12</v>
      </c>
      <c r="N710" s="2634">
        <v>3</v>
      </c>
      <c r="O710" s="2634">
        <v>15</v>
      </c>
      <c r="P710" s="2628"/>
      <c r="Q710" s="2628"/>
      <c r="R710" s="2634">
        <v>100</v>
      </c>
      <c r="S710" s="2628" t="s">
        <v>1456</v>
      </c>
      <c r="T710" s="2628">
        <v>15</v>
      </c>
      <c r="U710" s="2628"/>
      <c r="V710" s="2878" t="s">
        <v>8576</v>
      </c>
      <c r="W710" s="2878"/>
      <c r="X710" s="2879" t="str">
        <f t="shared" si="141"/>
        <v>Grande</v>
      </c>
      <c r="Y710" s="2618">
        <f t="shared" si="140"/>
        <v>0</v>
      </c>
      <c r="Z710" s="1265" t="str">
        <f t="shared" si="120"/>
        <v/>
      </c>
      <c r="AB710" s="853" t="s">
        <v>2173</v>
      </c>
      <c r="AC710" s="2859"/>
      <c r="AD710" s="2859"/>
      <c r="AE710" s="837"/>
      <c r="AG710" s="853" t="str">
        <f t="shared" si="121"/>
        <v/>
      </c>
      <c r="AH710" s="78" t="str">
        <f t="shared" si="122"/>
        <v/>
      </c>
      <c r="AI710" s="78" t="str">
        <f t="shared" si="123"/>
        <v>Nodachi</v>
      </c>
      <c r="AJ710" s="1256">
        <f>IF(OR($L710=AJ$635,$L710="",$D710=$AL$634),MAX(AJ$637:AJ709)+1,0)</f>
        <v>13</v>
      </c>
      <c r="AK710" s="1257">
        <f>IF(OR($L710=AK$635,$L710="",$D710=$AL$634),MAX(AK$637:AK709)+1,0)</f>
        <v>0</v>
      </c>
      <c r="AL710" s="1258">
        <f>IF(OR($L710=AL$635,$L710="",$D710=$AL$634),MAX(AL$637:AL709)+1,0)</f>
        <v>0</v>
      </c>
      <c r="AM710" s="6225"/>
      <c r="AN710" s="853" t="str">
        <f t="shared" si="124"/>
        <v/>
      </c>
      <c r="AO710" s="78" t="str">
        <f t="shared" si="125"/>
        <v/>
      </c>
      <c r="AP710" s="78" t="str">
        <f t="shared" si="126"/>
        <v>Nodachi</v>
      </c>
      <c r="AQ710" s="1256">
        <f>IF(OR($L710=AQ$635,$L710="",$D710=$AS$634),MAX(AQ$637:AQ709)+1,0)</f>
        <v>13</v>
      </c>
      <c r="AR710" s="1257">
        <f>IF(OR($L710=AR$635,$L710="",$D710=$AS$634),MAX(AR$637:AR709)+1,0)</f>
        <v>0</v>
      </c>
      <c r="AS710" s="1258">
        <f>IF(OR($L710=AS$635,$L710="",$D710=$AS$634),MAX(AS$637:AS709)+1,0)</f>
        <v>0</v>
      </c>
      <c r="AT710" s="6225"/>
      <c r="AU710" s="853" t="str">
        <f t="shared" si="127"/>
        <v/>
      </c>
      <c r="AV710" s="78" t="str">
        <f t="shared" si="128"/>
        <v/>
      </c>
      <c r="AW710" s="78" t="str">
        <f t="shared" si="129"/>
        <v>Nodachi</v>
      </c>
      <c r="AX710" s="1256">
        <f>IF(OR($L710=AX$635,$L710="",$D710=$AZ$634),MAX(AX$637:AX709)+1,0)</f>
        <v>13</v>
      </c>
      <c r="AY710" s="1257">
        <f>IF(OR($L710=AY$635,$L710="",$D710=$AZ$634),MAX(AY$637:AY709)+1,0)</f>
        <v>0</v>
      </c>
      <c r="AZ710" s="1258">
        <f>IF(OR($L710=AZ$635,$L710="",$D710=$AZ$634),MAX(AZ$637:AZ709)+1,0)</f>
        <v>0</v>
      </c>
      <c r="BA710" s="6225"/>
      <c r="BB710" s="853" t="str">
        <f t="shared" si="130"/>
        <v/>
      </c>
      <c r="BC710" s="78" t="str">
        <f t="shared" si="131"/>
        <v/>
      </c>
      <c r="BD710" s="78" t="str">
        <f t="shared" si="132"/>
        <v>Nodachi</v>
      </c>
      <c r="BE710" s="1256">
        <f>IF(OR($L710=BE$635,$L710="",$D710=$BG$634),MAX(BE$637:BE709)+1,0)</f>
        <v>13</v>
      </c>
      <c r="BF710" s="1257">
        <f>IF(OR($L710=BF$635,$L710="",$D710=$BG$634),MAX(BF$637:BF709)+1,0)</f>
        <v>0</v>
      </c>
      <c r="BG710" s="1258">
        <f>IF(OR($L710=BG$635,$L710="",$D710=$BG$634),MAX(BG$637:BG709)+1,0)</f>
        <v>0</v>
      </c>
      <c r="BH710" s="6225"/>
      <c r="BI710" s="853" t="str">
        <f t="shared" si="133"/>
        <v/>
      </c>
      <c r="BJ710" s="78" t="str">
        <f t="shared" si="134"/>
        <v/>
      </c>
      <c r="BK710" s="78" t="str">
        <f t="shared" si="135"/>
        <v>Nodachi</v>
      </c>
      <c r="BL710" s="1256">
        <f>IF(OR($L710=BL$635,$L710="",$D710=$BN$634),MAX(BL$637:BL709)+1,0)</f>
        <v>13</v>
      </c>
      <c r="BM710" s="1257">
        <f>IF(OR($L710=BM$635,$L710="",$D710=$BN$634),MAX(BM$637:BM709)+1,0)</f>
        <v>0</v>
      </c>
      <c r="BN710" s="1258">
        <f>IF(OR($L710=BN$635,$L710="",$D710=$BN$634),MAX(BN$637:BN709)+1,0)</f>
        <v>0</v>
      </c>
      <c r="BO710" s="6225"/>
      <c r="BP710" s="853" t="str">
        <f t="shared" si="136"/>
        <v/>
      </c>
      <c r="BQ710" s="78" t="str">
        <f t="shared" si="137"/>
        <v/>
      </c>
      <c r="BR710" s="78" t="str">
        <f t="shared" si="138"/>
        <v>Nodachi</v>
      </c>
      <c r="BS710" s="1256">
        <f>IF(OR($L710=BS$635,$L710="",$D710=$BU$634),MAX(BS$637:BS709)+1,0)</f>
        <v>13</v>
      </c>
      <c r="BT710" s="1257">
        <f>IF(OR($L710=BT$635,$L710="",$D710=$BU$634),MAX(BT$637:BT709)+1,0)</f>
        <v>0</v>
      </c>
      <c r="BU710" s="1258">
        <f>IF(OR($L710=BU$635,$L710="",$D710=$BU$634),MAX(BU$637:BU709)+1,0)</f>
        <v>0</v>
      </c>
    </row>
    <row r="711" spans="1:73" ht="12.75" customHeight="1" x14ac:dyDescent="0.2">
      <c r="A711" s="227">
        <v>711</v>
      </c>
      <c r="B711" s="5988"/>
      <c r="C711" s="1146"/>
      <c r="D711" s="2629" t="s">
        <v>2165</v>
      </c>
      <c r="E711" s="2628">
        <v>40</v>
      </c>
      <c r="F711" s="2628">
        <v>0</v>
      </c>
      <c r="G711" s="2628">
        <v>6</v>
      </c>
      <c r="H711" s="2628">
        <v>6</v>
      </c>
      <c r="I711" s="2628" t="s">
        <v>1551</v>
      </c>
      <c r="J711" s="2628" t="s">
        <v>1456</v>
      </c>
      <c r="K711" s="2878" t="s">
        <v>7264</v>
      </c>
      <c r="L711" s="2628" t="str">
        <f t="shared" si="139"/>
        <v>Distinta</v>
      </c>
      <c r="M711" s="2634">
        <v>9</v>
      </c>
      <c r="N711" s="2634">
        <v>2</v>
      </c>
      <c r="O711" s="2634">
        <v>20</v>
      </c>
      <c r="P711" s="2628"/>
      <c r="Q711" s="2628"/>
      <c r="R711" s="2634">
        <v>80</v>
      </c>
      <c r="S711" s="2628" t="s">
        <v>1456</v>
      </c>
      <c r="T711" s="2628">
        <v>30</v>
      </c>
      <c r="U711" s="2628"/>
      <c r="V711" s="2878" t="s">
        <v>8577</v>
      </c>
      <c r="W711" s="2878"/>
      <c r="X711" s="2879" t="str">
        <f t="shared" si="141"/>
        <v>Mediana</v>
      </c>
      <c r="Y711" s="2618">
        <f t="shared" si="140"/>
        <v>0</v>
      </c>
      <c r="Z711" s="1265" t="str">
        <f t="shared" si="120"/>
        <v/>
      </c>
      <c r="AB711" s="564" t="s">
        <v>7001</v>
      </c>
      <c r="AC711" s="2859"/>
      <c r="AD711" s="2859"/>
      <c r="AE711" s="837"/>
      <c r="AG711" s="853" t="str">
        <f t="shared" si="121"/>
        <v/>
      </c>
      <c r="AH711" s="78" t="str">
        <f t="shared" si="122"/>
        <v/>
      </c>
      <c r="AI711" s="78" t="str">
        <f t="shared" si="123"/>
        <v>Nunchaku</v>
      </c>
      <c r="AJ711" s="1256">
        <f>IF(OR($L711=AJ$635,$L711="",$D711=$AL$634),MAX(AJ$637:AJ710)+1,0)</f>
        <v>0</v>
      </c>
      <c r="AK711" s="1257">
        <f>IF(OR($L711=AK$635,$L711="",$D711=$AL$634),MAX(AK$637:AK710)+1,0)</f>
        <v>0</v>
      </c>
      <c r="AL711" s="1258">
        <f>IF(OR($L711=AL$635,$L711="",$D711=$AL$634),MAX(AL$637:AL710)+1,0)</f>
        <v>58</v>
      </c>
      <c r="AM711" s="6225"/>
      <c r="AN711" s="853" t="str">
        <f t="shared" si="124"/>
        <v/>
      </c>
      <c r="AO711" s="78" t="str">
        <f t="shared" si="125"/>
        <v/>
      </c>
      <c r="AP711" s="78" t="str">
        <f t="shared" si="126"/>
        <v>Nunchaku</v>
      </c>
      <c r="AQ711" s="1256">
        <f>IF(OR($L711=AQ$635,$L711="",$D711=$AS$634),MAX(AQ$637:AQ710)+1,0)</f>
        <v>0</v>
      </c>
      <c r="AR711" s="1257">
        <f>IF(OR($L711=AR$635,$L711="",$D711=$AS$634),MAX(AR$637:AR710)+1,0)</f>
        <v>0</v>
      </c>
      <c r="AS711" s="1258">
        <f>IF(OR($L711=AS$635,$L711="",$D711=$AS$634),MAX(AS$637:AS710)+1,0)</f>
        <v>58</v>
      </c>
      <c r="AT711" s="6225"/>
      <c r="AU711" s="853" t="str">
        <f t="shared" si="127"/>
        <v/>
      </c>
      <c r="AV711" s="78" t="str">
        <f t="shared" si="128"/>
        <v/>
      </c>
      <c r="AW711" s="78" t="str">
        <f t="shared" si="129"/>
        <v>Nunchaku</v>
      </c>
      <c r="AX711" s="1256">
        <f>IF(OR($L711=AX$635,$L711="",$D711=$AZ$634),MAX(AX$637:AX710)+1,0)</f>
        <v>0</v>
      </c>
      <c r="AY711" s="1257">
        <f>IF(OR($L711=AY$635,$L711="",$D711=$AZ$634),MAX(AY$637:AY710)+1,0)</f>
        <v>0</v>
      </c>
      <c r="AZ711" s="1258">
        <f>IF(OR($L711=AZ$635,$L711="",$D711=$AZ$634),MAX(AZ$637:AZ710)+1,0)</f>
        <v>58</v>
      </c>
      <c r="BA711" s="6225"/>
      <c r="BB711" s="853" t="str">
        <f t="shared" si="130"/>
        <v/>
      </c>
      <c r="BC711" s="78" t="str">
        <f t="shared" si="131"/>
        <v/>
      </c>
      <c r="BD711" s="78" t="str">
        <f t="shared" si="132"/>
        <v>Nunchaku</v>
      </c>
      <c r="BE711" s="1256">
        <f>IF(OR($L711=BE$635,$L711="",$D711=$BG$634),MAX(BE$637:BE710)+1,0)</f>
        <v>0</v>
      </c>
      <c r="BF711" s="1257">
        <f>IF(OR($L711=BF$635,$L711="",$D711=$BG$634),MAX(BF$637:BF710)+1,0)</f>
        <v>0</v>
      </c>
      <c r="BG711" s="1258">
        <f>IF(OR($L711=BG$635,$L711="",$D711=$BG$634),MAX(BG$637:BG710)+1,0)</f>
        <v>58</v>
      </c>
      <c r="BH711" s="6225"/>
      <c r="BI711" s="853" t="str">
        <f t="shared" si="133"/>
        <v/>
      </c>
      <c r="BJ711" s="78" t="str">
        <f t="shared" si="134"/>
        <v/>
      </c>
      <c r="BK711" s="78" t="str">
        <f t="shared" si="135"/>
        <v>Nunchaku</v>
      </c>
      <c r="BL711" s="1256">
        <f>IF(OR($L711=BL$635,$L711="",$D711=$BN$634),MAX(BL$637:BL710)+1,0)</f>
        <v>0</v>
      </c>
      <c r="BM711" s="1257">
        <f>IF(OR($L711=BM$635,$L711="",$D711=$BN$634),MAX(BM$637:BM710)+1,0)</f>
        <v>0</v>
      </c>
      <c r="BN711" s="1258">
        <f>IF(OR($L711=BN$635,$L711="",$D711=$BN$634),MAX(BN$637:BN710)+1,0)</f>
        <v>58</v>
      </c>
      <c r="BO711" s="6225"/>
      <c r="BP711" s="853" t="str">
        <f t="shared" si="136"/>
        <v/>
      </c>
      <c r="BQ711" s="78" t="str">
        <f t="shared" si="137"/>
        <v/>
      </c>
      <c r="BR711" s="78" t="str">
        <f t="shared" si="138"/>
        <v>Nunchaku</v>
      </c>
      <c r="BS711" s="1256">
        <f>IF(OR($L711=BS$635,$L711="",$D711=$BU$634),MAX(BS$637:BS710)+1,0)</f>
        <v>0</v>
      </c>
      <c r="BT711" s="1257">
        <f>IF(OR($L711=BT$635,$L711="",$D711=$BU$634),MAX(BT$637:BT710)+1,0)</f>
        <v>0</v>
      </c>
      <c r="BU711" s="1258">
        <f>IF(OR($L711=BU$635,$L711="",$D711=$BU$634),MAX(BU$637:BU710)+1,0)</f>
        <v>58</v>
      </c>
    </row>
    <row r="712" spans="1:73" ht="12.75" customHeight="1" x14ac:dyDescent="0.2">
      <c r="A712" s="227">
        <v>712</v>
      </c>
      <c r="B712" s="5988"/>
      <c r="C712" s="1146"/>
      <c r="D712" s="2629" t="s">
        <v>7017</v>
      </c>
      <c r="E712" s="2633">
        <v>25</v>
      </c>
      <c r="F712" s="2628">
        <v>15</v>
      </c>
      <c r="G712" s="2628">
        <v>4</v>
      </c>
      <c r="H712" s="2628">
        <v>4</v>
      </c>
      <c r="I712" s="2628" t="s">
        <v>1551</v>
      </c>
      <c r="J712" s="2628" t="s">
        <v>1456</v>
      </c>
      <c r="K712" s="2878" t="s">
        <v>7266</v>
      </c>
      <c r="L712" s="2628" t="str">
        <f t="shared" si="139"/>
        <v>Distinta</v>
      </c>
      <c r="M712" s="2634">
        <v>7</v>
      </c>
      <c r="N712" s="2634">
        <v>-3</v>
      </c>
      <c r="O712" s="2634">
        <v>15</v>
      </c>
      <c r="P712" s="2628"/>
      <c r="Q712" s="2628"/>
      <c r="R712" s="2628" t="s">
        <v>1456</v>
      </c>
      <c r="S712" s="2628" t="s">
        <v>1456</v>
      </c>
      <c r="T712" s="2628" t="s">
        <v>1456</v>
      </c>
      <c r="U712" s="2628"/>
      <c r="V712" s="2878" t="s">
        <v>2183</v>
      </c>
      <c r="W712" s="2878"/>
      <c r="X712" s="2879" t="str">
        <f t="shared" si="141"/>
        <v>Mediana</v>
      </c>
      <c r="Y712" s="2618">
        <f t="shared" si="140"/>
        <v>0</v>
      </c>
      <c r="Z712" s="1265" t="str">
        <f t="shared" si="120"/>
        <v/>
      </c>
      <c r="AB712" s="564" t="s">
        <v>10161</v>
      </c>
      <c r="AC712" s="2859"/>
      <c r="AD712" s="2859"/>
      <c r="AE712" s="837"/>
      <c r="AG712" s="853" t="str">
        <f t="shared" si="121"/>
        <v/>
      </c>
      <c r="AH712" s="78" t="str">
        <f t="shared" si="122"/>
        <v/>
      </c>
      <c r="AI712" s="78" t="str">
        <f t="shared" si="123"/>
        <v>Quebradora</v>
      </c>
      <c r="AJ712" s="1256">
        <f>IF(OR($L712=AJ$635,$L712="",$D712=$AL$634),MAX(AJ$637:AJ711)+1,0)</f>
        <v>0</v>
      </c>
      <c r="AK712" s="1257">
        <f>IF(OR($L712=AK$635,$L712="",$D712=$AL$634),MAX(AK$637:AK711)+1,0)</f>
        <v>0</v>
      </c>
      <c r="AL712" s="1258">
        <f>IF(OR($L712=AL$635,$L712="",$D712=$AL$634),MAX(AL$637:AL711)+1,0)</f>
        <v>59</v>
      </c>
      <c r="AM712" s="6225"/>
      <c r="AN712" s="853" t="str">
        <f t="shared" si="124"/>
        <v/>
      </c>
      <c r="AO712" s="78" t="str">
        <f t="shared" si="125"/>
        <v/>
      </c>
      <c r="AP712" s="78" t="str">
        <f t="shared" si="126"/>
        <v>Quebradora</v>
      </c>
      <c r="AQ712" s="1256">
        <f>IF(OR($L712=AQ$635,$L712="",$D712=$AS$634),MAX(AQ$637:AQ711)+1,0)</f>
        <v>0</v>
      </c>
      <c r="AR712" s="1257">
        <f>IF(OR($L712=AR$635,$L712="",$D712=$AS$634),MAX(AR$637:AR711)+1,0)</f>
        <v>0</v>
      </c>
      <c r="AS712" s="1258">
        <f>IF(OR($L712=AS$635,$L712="",$D712=$AS$634),MAX(AS$637:AS711)+1,0)</f>
        <v>59</v>
      </c>
      <c r="AT712" s="6225"/>
      <c r="AU712" s="853" t="str">
        <f t="shared" si="127"/>
        <v/>
      </c>
      <c r="AV712" s="78" t="str">
        <f t="shared" si="128"/>
        <v/>
      </c>
      <c r="AW712" s="78" t="str">
        <f t="shared" si="129"/>
        <v>Quebradora</v>
      </c>
      <c r="AX712" s="1256">
        <f>IF(OR($L712=AX$635,$L712="",$D712=$AZ$634),MAX(AX$637:AX711)+1,0)</f>
        <v>0</v>
      </c>
      <c r="AY712" s="1257">
        <f>IF(OR($L712=AY$635,$L712="",$D712=$AZ$634),MAX(AY$637:AY711)+1,0)</f>
        <v>0</v>
      </c>
      <c r="AZ712" s="1258">
        <f>IF(OR($L712=AZ$635,$L712="",$D712=$AZ$634),MAX(AZ$637:AZ711)+1,0)</f>
        <v>59</v>
      </c>
      <c r="BA712" s="6225"/>
      <c r="BB712" s="853" t="str">
        <f t="shared" si="130"/>
        <v/>
      </c>
      <c r="BC712" s="78" t="str">
        <f t="shared" si="131"/>
        <v/>
      </c>
      <c r="BD712" s="78" t="str">
        <f t="shared" si="132"/>
        <v>Quebradora</v>
      </c>
      <c r="BE712" s="1256">
        <f>IF(OR($L712=BE$635,$L712="",$D712=$BG$634),MAX(BE$637:BE711)+1,0)</f>
        <v>0</v>
      </c>
      <c r="BF712" s="1257">
        <f>IF(OR($L712=BF$635,$L712="",$D712=$BG$634),MAX(BF$637:BF711)+1,0)</f>
        <v>0</v>
      </c>
      <c r="BG712" s="1258">
        <f>IF(OR($L712=BG$635,$L712="",$D712=$BG$634),MAX(BG$637:BG711)+1,0)</f>
        <v>59</v>
      </c>
      <c r="BH712" s="6225"/>
      <c r="BI712" s="853" t="str">
        <f t="shared" si="133"/>
        <v/>
      </c>
      <c r="BJ712" s="78" t="str">
        <f t="shared" si="134"/>
        <v/>
      </c>
      <c r="BK712" s="78" t="str">
        <f t="shared" si="135"/>
        <v>Quebradora</v>
      </c>
      <c r="BL712" s="1256">
        <f>IF(OR($L712=BL$635,$L712="",$D712=$BN$634),MAX(BL$637:BL711)+1,0)</f>
        <v>0</v>
      </c>
      <c r="BM712" s="1257">
        <f>IF(OR($L712=BM$635,$L712="",$D712=$BN$634),MAX(BM$637:BM711)+1,0)</f>
        <v>0</v>
      </c>
      <c r="BN712" s="1258">
        <f>IF(OR($L712=BN$635,$L712="",$D712=$BN$634),MAX(BN$637:BN711)+1,0)</f>
        <v>59</v>
      </c>
      <c r="BO712" s="6225"/>
      <c r="BP712" s="853" t="str">
        <f t="shared" si="136"/>
        <v/>
      </c>
      <c r="BQ712" s="78" t="str">
        <f t="shared" si="137"/>
        <v/>
      </c>
      <c r="BR712" s="78" t="str">
        <f t="shared" si="138"/>
        <v>Quebradora</v>
      </c>
      <c r="BS712" s="1256">
        <f>IF(OR($L712=BS$635,$L712="",$D712=$BU$634),MAX(BS$637:BS711)+1,0)</f>
        <v>0</v>
      </c>
      <c r="BT712" s="1257">
        <f>IF(OR($L712=BT$635,$L712="",$D712=$BU$634),MAX(BT$637:BT711)+1,0)</f>
        <v>0</v>
      </c>
      <c r="BU712" s="1258">
        <f>IF(OR($L712=BU$635,$L712="",$D712=$BU$634),MAX(BU$637:BU711)+1,0)</f>
        <v>59</v>
      </c>
    </row>
    <row r="713" spans="1:73" ht="12.75" customHeight="1" x14ac:dyDescent="0.2">
      <c r="A713" s="227">
        <v>713</v>
      </c>
      <c r="B713" s="5988"/>
      <c r="C713" s="1146"/>
      <c r="D713" s="2629" t="s">
        <v>6999</v>
      </c>
      <c r="E713" s="2633">
        <v>40</v>
      </c>
      <c r="F713" s="2628">
        <v>0</v>
      </c>
      <c r="G713" s="2628">
        <v>8</v>
      </c>
      <c r="H713" s="2628">
        <v>5</v>
      </c>
      <c r="I713" s="2628" t="s">
        <v>1551</v>
      </c>
      <c r="J713" s="2628" t="s">
        <v>1498</v>
      </c>
      <c r="K713" s="2878" t="s">
        <v>7277</v>
      </c>
      <c r="L713" s="2628" t="str">
        <f t="shared" si="139"/>
        <v>Mixta</v>
      </c>
      <c r="M713" s="2634">
        <v>11</v>
      </c>
      <c r="N713" s="2634">
        <v>2</v>
      </c>
      <c r="O713" s="2634">
        <v>20</v>
      </c>
      <c r="P713" s="2628"/>
      <c r="Q713" s="2628"/>
      <c r="R713" s="2628" t="s">
        <v>1456</v>
      </c>
      <c r="S713" s="2628" t="s">
        <v>1456</v>
      </c>
      <c r="T713" s="2628" t="s">
        <v>1456</v>
      </c>
      <c r="U713" s="2628"/>
      <c r="V713" s="2878" t="s">
        <v>2130</v>
      </c>
      <c r="W713" s="2878"/>
      <c r="X713" s="2879" t="str">
        <f t="shared" si="141"/>
        <v>Grande</v>
      </c>
      <c r="Y713" s="2618">
        <f t="shared" si="140"/>
        <v>0</v>
      </c>
      <c r="Z713" s="1265" t="str">
        <f t="shared" si="120"/>
        <v/>
      </c>
      <c r="AB713" s="564" t="s">
        <v>2176</v>
      </c>
      <c r="AC713" s="2859"/>
      <c r="AD713" s="2859"/>
      <c r="AE713" s="837"/>
      <c r="AG713" s="853" t="str">
        <f t="shared" si="121"/>
        <v/>
      </c>
      <c r="AH713" s="78" t="str">
        <f t="shared" si="122"/>
        <v/>
      </c>
      <c r="AI713" s="78" t="str">
        <f t="shared" si="123"/>
        <v>Sai</v>
      </c>
      <c r="AJ713" s="1256">
        <f>IF(OR($L713=AJ$635,$L713="",$D713=$AL$634),MAX(AJ$637:AJ712)+1,0)</f>
        <v>0</v>
      </c>
      <c r="AK713" s="1257">
        <f>IF(OR($L713=AK$635,$L713="",$D713=$AL$634),MAX(AK$637:AK712)+1,0)</f>
        <v>5</v>
      </c>
      <c r="AL713" s="1258">
        <f>IF(OR($L713=AL$635,$L713="",$D713=$AL$634),MAX(AL$637:AL712)+1,0)</f>
        <v>0</v>
      </c>
      <c r="AM713" s="6225"/>
      <c r="AN713" s="853" t="str">
        <f t="shared" si="124"/>
        <v/>
      </c>
      <c r="AO713" s="78" t="str">
        <f t="shared" si="125"/>
        <v/>
      </c>
      <c r="AP713" s="78" t="str">
        <f t="shared" si="126"/>
        <v>Sai</v>
      </c>
      <c r="AQ713" s="1256">
        <f>IF(OR($L713=AQ$635,$L713="",$D713=$AS$634),MAX(AQ$637:AQ712)+1,0)</f>
        <v>0</v>
      </c>
      <c r="AR713" s="1257">
        <f>IF(OR($L713=AR$635,$L713="",$D713=$AS$634),MAX(AR$637:AR712)+1,0)</f>
        <v>5</v>
      </c>
      <c r="AS713" s="1258">
        <f>IF(OR($L713=AS$635,$L713="",$D713=$AS$634),MAX(AS$637:AS712)+1,0)</f>
        <v>0</v>
      </c>
      <c r="AT713" s="6225"/>
      <c r="AU713" s="853" t="str">
        <f t="shared" si="127"/>
        <v/>
      </c>
      <c r="AV713" s="78" t="str">
        <f t="shared" si="128"/>
        <v/>
      </c>
      <c r="AW713" s="78" t="str">
        <f t="shared" si="129"/>
        <v>Sai</v>
      </c>
      <c r="AX713" s="1256">
        <f>IF(OR($L713=AX$635,$L713="",$D713=$AZ$634),MAX(AX$637:AX712)+1,0)</f>
        <v>0</v>
      </c>
      <c r="AY713" s="1257">
        <f>IF(OR($L713=AY$635,$L713="",$D713=$AZ$634),MAX(AY$637:AY712)+1,0)</f>
        <v>5</v>
      </c>
      <c r="AZ713" s="1258">
        <f>IF(OR($L713=AZ$635,$L713="",$D713=$AZ$634),MAX(AZ$637:AZ712)+1,0)</f>
        <v>0</v>
      </c>
      <c r="BA713" s="6225"/>
      <c r="BB713" s="853" t="str">
        <f t="shared" si="130"/>
        <v/>
      </c>
      <c r="BC713" s="78" t="str">
        <f t="shared" si="131"/>
        <v/>
      </c>
      <c r="BD713" s="78" t="str">
        <f t="shared" si="132"/>
        <v>Sai</v>
      </c>
      <c r="BE713" s="1256">
        <f>IF(OR($L713=BE$635,$L713="",$D713=$BG$634),MAX(BE$637:BE712)+1,0)</f>
        <v>0</v>
      </c>
      <c r="BF713" s="1257">
        <f>IF(OR($L713=BF$635,$L713="",$D713=$BG$634),MAX(BF$637:BF712)+1,0)</f>
        <v>5</v>
      </c>
      <c r="BG713" s="1258">
        <f>IF(OR($L713=BG$635,$L713="",$D713=$BG$634),MAX(BG$637:BG712)+1,0)</f>
        <v>0</v>
      </c>
      <c r="BH713" s="6225"/>
      <c r="BI713" s="853" t="str">
        <f t="shared" si="133"/>
        <v/>
      </c>
      <c r="BJ713" s="78" t="str">
        <f t="shared" si="134"/>
        <v/>
      </c>
      <c r="BK713" s="78" t="str">
        <f t="shared" si="135"/>
        <v>Sai</v>
      </c>
      <c r="BL713" s="1256">
        <f>IF(OR($L713=BL$635,$L713="",$D713=$BN$634),MAX(BL$637:BL712)+1,0)</f>
        <v>0</v>
      </c>
      <c r="BM713" s="1257">
        <f>IF(OR($L713=BM$635,$L713="",$D713=$BN$634),MAX(BM$637:BM712)+1,0)</f>
        <v>5</v>
      </c>
      <c r="BN713" s="1258">
        <f>IF(OR($L713=BN$635,$L713="",$D713=$BN$634),MAX(BN$637:BN712)+1,0)</f>
        <v>0</v>
      </c>
      <c r="BO713" s="6225"/>
      <c r="BP713" s="853" t="str">
        <f t="shared" si="136"/>
        <v/>
      </c>
      <c r="BQ713" s="78" t="str">
        <f t="shared" si="137"/>
        <v/>
      </c>
      <c r="BR713" s="78" t="str">
        <f t="shared" si="138"/>
        <v>Sai</v>
      </c>
      <c r="BS713" s="1256">
        <f>IF(OR($L713=BS$635,$L713="",$D713=$BU$634),MAX(BS$637:BS712)+1,0)</f>
        <v>0</v>
      </c>
      <c r="BT713" s="1257">
        <f>IF(OR($L713=BT$635,$L713="",$D713=$BU$634),MAX(BT$637:BT712)+1,0)</f>
        <v>5</v>
      </c>
      <c r="BU713" s="1258">
        <f>IF(OR($L713=BU$635,$L713="",$D713=$BU$634),MAX(BU$637:BU712)+1,0)</f>
        <v>0</v>
      </c>
    </row>
    <row r="714" spans="1:73" ht="12.75" customHeight="1" x14ac:dyDescent="0.2">
      <c r="A714" s="227">
        <v>714</v>
      </c>
      <c r="B714" s="5988"/>
      <c r="C714" s="1146"/>
      <c r="D714" s="2629" t="s">
        <v>2166</v>
      </c>
      <c r="E714" s="2633">
        <v>30</v>
      </c>
      <c r="F714" s="2628">
        <v>10</v>
      </c>
      <c r="G714" s="2628">
        <v>4</v>
      </c>
      <c r="H714" s="2628">
        <v>4</v>
      </c>
      <c r="I714" s="2628" t="s">
        <v>1498</v>
      </c>
      <c r="J714" s="2628" t="s">
        <v>1456</v>
      </c>
      <c r="K714" s="2878" t="s">
        <v>7262</v>
      </c>
      <c r="L714" s="2628" t="str">
        <f t="shared" si="139"/>
        <v>Similar</v>
      </c>
      <c r="M714" s="2634">
        <v>11</v>
      </c>
      <c r="N714" s="2634">
        <v>0</v>
      </c>
      <c r="O714" s="2634">
        <v>30</v>
      </c>
      <c r="P714" s="2628"/>
      <c r="Q714" s="2628"/>
      <c r="R714" s="2628" t="s">
        <v>1456</v>
      </c>
      <c r="S714" s="2628" t="s">
        <v>1456</v>
      </c>
      <c r="T714" s="2628" t="s">
        <v>1456</v>
      </c>
      <c r="U714" s="2628"/>
      <c r="V714" s="2878" t="s">
        <v>1579</v>
      </c>
      <c r="W714" s="2878"/>
      <c r="X714" s="2879" t="str">
        <f t="shared" si="141"/>
        <v>Grande</v>
      </c>
      <c r="Y714" s="2618">
        <f t="shared" si="140"/>
        <v>0</v>
      </c>
      <c r="Z714" s="1265" t="str">
        <f t="shared" si="120"/>
        <v/>
      </c>
      <c r="AB714" s="564" t="s">
        <v>2178</v>
      </c>
      <c r="AC714" s="2859"/>
      <c r="AD714" s="2859"/>
      <c r="AE714" s="837"/>
      <c r="AG714" s="853" t="str">
        <f t="shared" si="121"/>
        <v/>
      </c>
      <c r="AH714" s="78" t="str">
        <f t="shared" si="122"/>
        <v/>
      </c>
      <c r="AI714" s="78" t="str">
        <f t="shared" si="123"/>
        <v>Shuko</v>
      </c>
      <c r="AJ714" s="1256">
        <f>IF(OR($L714=AJ$635,$L714="",$D714=$AL$634),MAX(AJ$637:AJ713)+1,0)</f>
        <v>14</v>
      </c>
      <c r="AK714" s="1257">
        <f>IF(OR($L714=AK$635,$L714="",$D714=$AL$634),MAX(AK$637:AK713)+1,0)</f>
        <v>0</v>
      </c>
      <c r="AL714" s="1258">
        <f>IF(OR($L714=AL$635,$L714="",$D714=$AL$634),MAX(AL$637:AL713)+1,0)</f>
        <v>0</v>
      </c>
      <c r="AM714" s="6225"/>
      <c r="AN714" s="853" t="str">
        <f t="shared" si="124"/>
        <v/>
      </c>
      <c r="AO714" s="78" t="str">
        <f t="shared" si="125"/>
        <v/>
      </c>
      <c r="AP714" s="78" t="str">
        <f t="shared" si="126"/>
        <v>Shuko</v>
      </c>
      <c r="AQ714" s="1256">
        <f>IF(OR($L714=AQ$635,$L714="",$D714=$AS$634),MAX(AQ$637:AQ713)+1,0)</f>
        <v>14</v>
      </c>
      <c r="AR714" s="1257">
        <f>IF(OR($L714=AR$635,$L714="",$D714=$AS$634),MAX(AR$637:AR713)+1,0)</f>
        <v>0</v>
      </c>
      <c r="AS714" s="1258">
        <f>IF(OR($L714=AS$635,$L714="",$D714=$AS$634),MAX(AS$637:AS713)+1,0)</f>
        <v>0</v>
      </c>
      <c r="AT714" s="6225"/>
      <c r="AU714" s="853" t="str">
        <f t="shared" si="127"/>
        <v/>
      </c>
      <c r="AV714" s="78" t="str">
        <f t="shared" si="128"/>
        <v/>
      </c>
      <c r="AW714" s="78" t="str">
        <f t="shared" si="129"/>
        <v>Shuko</v>
      </c>
      <c r="AX714" s="1256">
        <f>IF(OR($L714=AX$635,$L714="",$D714=$AZ$634),MAX(AX$637:AX713)+1,0)</f>
        <v>14</v>
      </c>
      <c r="AY714" s="1257">
        <f>IF(OR($L714=AY$635,$L714="",$D714=$AZ$634),MAX(AY$637:AY713)+1,0)</f>
        <v>0</v>
      </c>
      <c r="AZ714" s="1258">
        <f>IF(OR($L714=AZ$635,$L714="",$D714=$AZ$634),MAX(AZ$637:AZ713)+1,0)</f>
        <v>0</v>
      </c>
      <c r="BA714" s="6225"/>
      <c r="BB714" s="853" t="str">
        <f t="shared" si="130"/>
        <v/>
      </c>
      <c r="BC714" s="78" t="str">
        <f t="shared" si="131"/>
        <v/>
      </c>
      <c r="BD714" s="78" t="str">
        <f t="shared" si="132"/>
        <v>Shuko</v>
      </c>
      <c r="BE714" s="1256">
        <f>IF(OR($L714=BE$635,$L714="",$D714=$BG$634),MAX(BE$637:BE713)+1,0)</f>
        <v>14</v>
      </c>
      <c r="BF714" s="1257">
        <f>IF(OR($L714=BF$635,$L714="",$D714=$BG$634),MAX(BF$637:BF713)+1,0)</f>
        <v>0</v>
      </c>
      <c r="BG714" s="1258">
        <f>IF(OR($L714=BG$635,$L714="",$D714=$BG$634),MAX(BG$637:BG713)+1,0)</f>
        <v>0</v>
      </c>
      <c r="BH714" s="6225"/>
      <c r="BI714" s="853" t="str">
        <f t="shared" si="133"/>
        <v/>
      </c>
      <c r="BJ714" s="78" t="str">
        <f t="shared" si="134"/>
        <v/>
      </c>
      <c r="BK714" s="78" t="str">
        <f t="shared" si="135"/>
        <v>Shuko</v>
      </c>
      <c r="BL714" s="1256">
        <f>IF(OR($L714=BL$635,$L714="",$D714=$BN$634),MAX(BL$637:BL713)+1,0)</f>
        <v>14</v>
      </c>
      <c r="BM714" s="1257">
        <f>IF(OR($L714=BM$635,$L714="",$D714=$BN$634),MAX(BM$637:BM713)+1,0)</f>
        <v>0</v>
      </c>
      <c r="BN714" s="1258">
        <f>IF(OR($L714=BN$635,$L714="",$D714=$BN$634),MAX(BN$637:BN713)+1,0)</f>
        <v>0</v>
      </c>
      <c r="BO714" s="6225"/>
      <c r="BP714" s="853" t="str">
        <f t="shared" si="136"/>
        <v/>
      </c>
      <c r="BQ714" s="78" t="str">
        <f t="shared" si="137"/>
        <v/>
      </c>
      <c r="BR714" s="78" t="str">
        <f t="shared" si="138"/>
        <v>Shuko</v>
      </c>
      <c r="BS714" s="1256">
        <f>IF(OR($L714=BS$635,$L714="",$D714=$BU$634),MAX(BS$637:BS713)+1,0)</f>
        <v>14</v>
      </c>
      <c r="BT714" s="1257">
        <f>IF(OR($L714=BT$635,$L714="",$D714=$BU$634),MAX(BT$637:BT713)+1,0)</f>
        <v>0</v>
      </c>
      <c r="BU714" s="1258">
        <f>IF(OR($L714=BU$635,$L714="",$D714=$BU$634),MAX(BU$637:BU713)+1,0)</f>
        <v>0</v>
      </c>
    </row>
    <row r="715" spans="1:73" ht="12.75" customHeight="1" x14ac:dyDescent="0.2">
      <c r="A715" s="227">
        <v>715</v>
      </c>
      <c r="B715" s="5988"/>
      <c r="C715" s="1146"/>
      <c r="D715" s="2629" t="s">
        <v>2167</v>
      </c>
      <c r="E715" s="2626"/>
      <c r="F715" s="2626"/>
      <c r="G715" s="2626"/>
      <c r="H715" s="2626"/>
      <c r="I715" s="2626"/>
      <c r="J715" s="2626"/>
      <c r="K715" s="2622" t="s">
        <v>7260</v>
      </c>
      <c r="L715" s="2628"/>
      <c r="M715" s="2626"/>
      <c r="N715" s="2626"/>
      <c r="O715" s="2626"/>
      <c r="P715" s="2626"/>
      <c r="Q715" s="2626"/>
      <c r="R715" s="2626"/>
      <c r="S715" s="2626"/>
      <c r="T715" s="2626"/>
      <c r="U715" s="2626"/>
      <c r="V715" s="2622"/>
      <c r="W715" s="2622"/>
      <c r="X715" s="2623"/>
      <c r="Y715" s="1149"/>
      <c r="Z715" s="1265" t="str">
        <f t="shared" si="120"/>
        <v/>
      </c>
      <c r="AB715" s="564" t="s">
        <v>7018</v>
      </c>
      <c r="AC715" s="2859"/>
      <c r="AD715" s="2859"/>
      <c r="AE715" s="837"/>
      <c r="AG715" s="853" t="str">
        <f t="shared" si="121"/>
        <v/>
      </c>
      <c r="AH715" s="78" t="str">
        <f t="shared" si="122"/>
        <v/>
      </c>
      <c r="AI715" s="78" t="str">
        <f t="shared" si="123"/>
        <v>Shuriken</v>
      </c>
      <c r="AJ715" s="1256">
        <f>IF(OR($L715=AJ$635,$L715="",$D715=$AL$634),MAX(AJ$637:AJ714)+1,0)</f>
        <v>15</v>
      </c>
      <c r="AK715" s="1257">
        <f>IF(OR($L715=AK$635,$L715="",$D715=$AL$634),MAX(AK$637:AK714)+1,0)</f>
        <v>6</v>
      </c>
      <c r="AL715" s="1258">
        <f>IF(OR($L715=AL$635,$L715="",$D715=$AL$634),MAX(AL$637:AL714)+1,0)</f>
        <v>60</v>
      </c>
      <c r="AM715" s="6225"/>
      <c r="AN715" s="853" t="str">
        <f t="shared" si="124"/>
        <v/>
      </c>
      <c r="AO715" s="78" t="str">
        <f t="shared" si="125"/>
        <v/>
      </c>
      <c r="AP715" s="78" t="str">
        <f t="shared" si="126"/>
        <v>Shuriken</v>
      </c>
      <c r="AQ715" s="1256">
        <f>IF(OR($L715=AQ$635,$L715="",$D715=$AS$634),MAX(AQ$637:AQ714)+1,0)</f>
        <v>15</v>
      </c>
      <c r="AR715" s="1257">
        <f>IF(OR($L715=AR$635,$L715="",$D715=$AS$634),MAX(AR$637:AR714)+1,0)</f>
        <v>6</v>
      </c>
      <c r="AS715" s="1258">
        <f>IF(OR($L715=AS$635,$L715="",$D715=$AS$634),MAX(AS$637:AS714)+1,0)</f>
        <v>60</v>
      </c>
      <c r="AT715" s="6225"/>
      <c r="AU715" s="853" t="str">
        <f t="shared" si="127"/>
        <v/>
      </c>
      <c r="AV715" s="78" t="str">
        <f t="shared" si="128"/>
        <v/>
      </c>
      <c r="AW715" s="78" t="str">
        <f t="shared" si="129"/>
        <v>Shuriken</v>
      </c>
      <c r="AX715" s="1256">
        <f>IF(OR($L715=AX$635,$L715="",$D715=$AZ$634),MAX(AX$637:AX714)+1,0)</f>
        <v>15</v>
      </c>
      <c r="AY715" s="1257">
        <f>IF(OR($L715=AY$635,$L715="",$D715=$AZ$634),MAX(AY$637:AY714)+1,0)</f>
        <v>6</v>
      </c>
      <c r="AZ715" s="1258">
        <f>IF(OR($L715=AZ$635,$L715="",$D715=$AZ$634),MAX(AZ$637:AZ714)+1,0)</f>
        <v>60</v>
      </c>
      <c r="BA715" s="6225"/>
      <c r="BB715" s="853" t="str">
        <f t="shared" si="130"/>
        <v/>
      </c>
      <c r="BC715" s="78" t="str">
        <f t="shared" si="131"/>
        <v/>
      </c>
      <c r="BD715" s="78" t="str">
        <f t="shared" si="132"/>
        <v>Shuriken</v>
      </c>
      <c r="BE715" s="1256">
        <f>IF(OR($L715=BE$635,$L715="",$D715=$BG$634),MAX(BE$637:BE714)+1,0)</f>
        <v>15</v>
      </c>
      <c r="BF715" s="1257">
        <f>IF(OR($L715=BF$635,$L715="",$D715=$BG$634),MAX(BF$637:BF714)+1,0)</f>
        <v>6</v>
      </c>
      <c r="BG715" s="1258">
        <f>IF(OR($L715=BG$635,$L715="",$D715=$BG$634),MAX(BG$637:BG714)+1,0)</f>
        <v>60</v>
      </c>
      <c r="BH715" s="6225"/>
      <c r="BI715" s="853" t="str">
        <f t="shared" si="133"/>
        <v/>
      </c>
      <c r="BJ715" s="78" t="str">
        <f t="shared" si="134"/>
        <v/>
      </c>
      <c r="BK715" s="78" t="str">
        <f t="shared" si="135"/>
        <v>Shuriken</v>
      </c>
      <c r="BL715" s="1256">
        <f>IF(OR($L715=BL$635,$L715="",$D715=$BN$634),MAX(BL$637:BL714)+1,0)</f>
        <v>15</v>
      </c>
      <c r="BM715" s="1257">
        <f>IF(OR($L715=BM$635,$L715="",$D715=$BN$634),MAX(BM$637:BM714)+1,0)</f>
        <v>6</v>
      </c>
      <c r="BN715" s="1258">
        <f>IF(OR($L715=BN$635,$L715="",$D715=$BN$634),MAX(BN$637:BN714)+1,0)</f>
        <v>60</v>
      </c>
      <c r="BO715" s="6225"/>
      <c r="BP715" s="853" t="str">
        <f t="shared" si="136"/>
        <v/>
      </c>
      <c r="BQ715" s="78" t="str">
        <f t="shared" si="137"/>
        <v/>
      </c>
      <c r="BR715" s="78" t="str">
        <f t="shared" si="138"/>
        <v>Shuriken</v>
      </c>
      <c r="BS715" s="1256">
        <f>IF(OR($L715=BS$635,$L715="",$D715=$BU$634),MAX(BS$637:BS714)+1,0)</f>
        <v>15</v>
      </c>
      <c r="BT715" s="1257">
        <f>IF(OR($L715=BT$635,$L715="",$D715=$BU$634),MAX(BT$637:BT714)+1,0)</f>
        <v>6</v>
      </c>
      <c r="BU715" s="1258">
        <f>IF(OR($L715=BU$635,$L715="",$D715=$BU$634),MAX(BU$637:BU714)+1,0)</f>
        <v>60</v>
      </c>
    </row>
    <row r="716" spans="1:73" ht="12.75" customHeight="1" x14ac:dyDescent="0.2">
      <c r="A716" s="227">
        <v>716</v>
      </c>
      <c r="B716" s="5988"/>
      <c r="C716" s="1146"/>
      <c r="D716" s="2629" t="s">
        <v>2168</v>
      </c>
      <c r="E716" s="2633">
        <v>25</v>
      </c>
      <c r="F716" s="2628">
        <v>-40</v>
      </c>
      <c r="G716" s="2628">
        <v>10</v>
      </c>
      <c r="H716" s="2628">
        <v>10</v>
      </c>
      <c r="I716" s="2628" t="s">
        <v>1498</v>
      </c>
      <c r="J716" s="2628" t="s">
        <v>1456</v>
      </c>
      <c r="K716" s="2878" t="s">
        <v>7278</v>
      </c>
      <c r="L716" s="2628"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34">
        <v>18</v>
      </c>
      <c r="N716" s="2634">
        <v>1</v>
      </c>
      <c r="O716" s="2634">
        <v>25</v>
      </c>
      <c r="P716" s="2634">
        <v>30</v>
      </c>
      <c r="Q716" s="2634">
        <f>IF(COUNTIF(Compra_TablasEstilo,"Tabla de Esquiva con Escudo")&gt;0,P716,15)</f>
        <v>15</v>
      </c>
      <c r="R716" s="2628" t="s">
        <v>1456</v>
      </c>
      <c r="S716" s="2628" t="s">
        <v>1456</v>
      </c>
      <c r="T716" s="2628" t="s">
        <v>1456</v>
      </c>
      <c r="U716" s="2628"/>
      <c r="V716" s="2624" t="str">
        <f>"Escudo. -"&amp;P716&amp;" HP/-"&amp;Q716&amp;" HE si se usa para atacar."</f>
        <v>Escudo. -30 HP/-15 HE si se usa para atacar.</v>
      </c>
      <c r="W716" s="2624"/>
      <c r="X716" s="2625"/>
      <c r="Y716" s="2618">
        <f>Bono_Fue</f>
        <v>0</v>
      </c>
      <c r="Z716" s="1265" t="str">
        <f t="shared" si="120"/>
        <v/>
      </c>
      <c r="AB716" s="853" t="s">
        <v>7019</v>
      </c>
      <c r="AC716" s="2859"/>
      <c r="AD716" s="2859"/>
      <c r="AE716" s="837"/>
      <c r="AG716" s="853" t="str">
        <f t="shared" si="121"/>
        <v/>
      </c>
      <c r="AH716" s="78" t="str">
        <f t="shared" si="122"/>
        <v/>
      </c>
      <c r="AI716" s="78" t="str">
        <f t="shared" si="123"/>
        <v>Tanto</v>
      </c>
      <c r="AJ716" s="1256">
        <f>IF(OR($L716=AJ$635,$L716="",$D716=$AL$634),MAX(AJ$637:AJ715)+1,0)</f>
        <v>0</v>
      </c>
      <c r="AK716" s="1257">
        <f>IF(OR($L716=AK$635,$L716="",$D716=$AL$634),MAX(AK$637:AK715)+1,0)</f>
        <v>0</v>
      </c>
      <c r="AL716" s="1258">
        <f>IF(OR($L716=AL$635,$L716="",$D716=$AL$634),MAX(AL$637:AL715)+1,0)</f>
        <v>61</v>
      </c>
      <c r="AM716" s="6225"/>
      <c r="AN716" s="853" t="str">
        <f t="shared" si="124"/>
        <v/>
      </c>
      <c r="AO716" s="78" t="str">
        <f t="shared" si="125"/>
        <v/>
      </c>
      <c r="AP716" s="78" t="str">
        <f t="shared" si="126"/>
        <v>Tanto</v>
      </c>
      <c r="AQ716" s="1256">
        <f>IF(OR($L716=AQ$635,$L716="",$D716=$AS$634),MAX(AQ$637:AQ715)+1,0)</f>
        <v>0</v>
      </c>
      <c r="AR716" s="1257">
        <f>IF(OR($L716=AR$635,$L716="",$D716=$AS$634),MAX(AR$637:AR715)+1,0)</f>
        <v>0</v>
      </c>
      <c r="AS716" s="1258">
        <f>IF(OR($L716=AS$635,$L716="",$D716=$AS$634),MAX(AS$637:AS715)+1,0)</f>
        <v>61</v>
      </c>
      <c r="AT716" s="6225"/>
      <c r="AU716" s="853" t="str">
        <f t="shared" si="127"/>
        <v/>
      </c>
      <c r="AV716" s="78" t="str">
        <f t="shared" si="128"/>
        <v/>
      </c>
      <c r="AW716" s="78" t="str">
        <f t="shared" si="129"/>
        <v>Tanto</v>
      </c>
      <c r="AX716" s="1256">
        <f>IF(OR($L716=AX$635,$L716="",$D716=$AZ$634),MAX(AX$637:AX715)+1,0)</f>
        <v>0</v>
      </c>
      <c r="AY716" s="1257">
        <f>IF(OR($L716=AY$635,$L716="",$D716=$AZ$634),MAX(AY$637:AY715)+1,0)</f>
        <v>0</v>
      </c>
      <c r="AZ716" s="1258">
        <f>IF(OR($L716=AZ$635,$L716="",$D716=$AZ$634),MAX(AZ$637:AZ715)+1,0)</f>
        <v>61</v>
      </c>
      <c r="BA716" s="6225"/>
      <c r="BB716" s="853" t="str">
        <f t="shared" si="130"/>
        <v/>
      </c>
      <c r="BC716" s="78" t="str">
        <f t="shared" si="131"/>
        <v/>
      </c>
      <c r="BD716" s="78" t="str">
        <f t="shared" si="132"/>
        <v>Tanto</v>
      </c>
      <c r="BE716" s="1256">
        <f>IF(OR($L716=BE$635,$L716="",$D716=$BG$634),MAX(BE$637:BE715)+1,0)</f>
        <v>0</v>
      </c>
      <c r="BF716" s="1257">
        <f>IF(OR($L716=BF$635,$L716="",$D716=$BG$634),MAX(BF$637:BF715)+1,0)</f>
        <v>0</v>
      </c>
      <c r="BG716" s="1258">
        <f>IF(OR($L716=BG$635,$L716="",$D716=$BG$634),MAX(BG$637:BG715)+1,0)</f>
        <v>61</v>
      </c>
      <c r="BH716" s="6225"/>
      <c r="BI716" s="853" t="str">
        <f t="shared" si="133"/>
        <v/>
      </c>
      <c r="BJ716" s="78" t="str">
        <f t="shared" si="134"/>
        <v/>
      </c>
      <c r="BK716" s="78" t="str">
        <f t="shared" si="135"/>
        <v>Tanto</v>
      </c>
      <c r="BL716" s="1256">
        <f>IF(OR($L716=BL$635,$L716="",$D716=$BN$634),MAX(BL$637:BL715)+1,0)</f>
        <v>0</v>
      </c>
      <c r="BM716" s="1257">
        <f>IF(OR($L716=BM$635,$L716="",$D716=$BN$634),MAX(BM$637:BM715)+1,0)</f>
        <v>0</v>
      </c>
      <c r="BN716" s="1258">
        <f>IF(OR($L716=BN$635,$L716="",$D716=$BN$634),MAX(BN$637:BN715)+1,0)</f>
        <v>61</v>
      </c>
      <c r="BO716" s="6225"/>
      <c r="BP716" s="853" t="str">
        <f t="shared" si="136"/>
        <v/>
      </c>
      <c r="BQ716" s="78" t="str">
        <f t="shared" si="137"/>
        <v/>
      </c>
      <c r="BR716" s="78" t="str">
        <f t="shared" si="138"/>
        <v>Tanto</v>
      </c>
      <c r="BS716" s="1256">
        <f>IF(OR($L716=BS$635,$L716="",$D716=$BU$634),MAX(BS$637:BS715)+1,0)</f>
        <v>0</v>
      </c>
      <c r="BT716" s="1257">
        <f>IF(OR($L716=BT$635,$L716="",$D716=$BU$634),MAX(BT$637:BT715)+1,0)</f>
        <v>0</v>
      </c>
      <c r="BU716" s="1258">
        <f>IF(OR($L716=BU$635,$L716="",$D716=$BU$634),MAX(BU$637:BU715)+1,0)</f>
        <v>61</v>
      </c>
    </row>
    <row r="717" spans="1:73" ht="12.75" customHeight="1" x14ac:dyDescent="0.2">
      <c r="A717" s="227">
        <v>717</v>
      </c>
      <c r="B717" s="5988"/>
      <c r="C717" s="1146"/>
      <c r="D717" s="2629" t="s">
        <v>2170</v>
      </c>
      <c r="E717" s="2633">
        <v>20</v>
      </c>
      <c r="F717" s="2628">
        <v>-25</v>
      </c>
      <c r="G717" s="2628">
        <v>7</v>
      </c>
      <c r="H717" s="2628">
        <v>7</v>
      </c>
      <c r="I717" s="2628" t="s">
        <v>1498</v>
      </c>
      <c r="J717" s="2628" t="s">
        <v>1456</v>
      </c>
      <c r="K717" s="2878" t="s">
        <v>7278</v>
      </c>
      <c r="L717" s="2628"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34">
        <v>16</v>
      </c>
      <c r="N717" s="2634">
        <v>0</v>
      </c>
      <c r="O717" s="2634">
        <v>25</v>
      </c>
      <c r="P717" s="2634">
        <v>20</v>
      </c>
      <c r="Q717" s="2634">
        <f>IF(COUNTIF(Compra_TablasEstilo,"Tabla de Esquiva con Escudo")&gt;0,P717,10)</f>
        <v>10</v>
      </c>
      <c r="R717" s="2628" t="s">
        <v>1456</v>
      </c>
      <c r="S717" s="2628" t="s">
        <v>1456</v>
      </c>
      <c r="T717" s="2628" t="s">
        <v>1456</v>
      </c>
      <c r="U717" s="2628"/>
      <c r="V717" s="2624" t="str">
        <f>"Escudo. -"&amp;P717&amp;" HP/-"&amp;Q717&amp;" HE si se usa para atacar."</f>
        <v>Escudo. -20 HP/-10 HE si se usa para atacar.</v>
      </c>
      <c r="W717" s="2624"/>
      <c r="X717" s="2625"/>
      <c r="Y717" s="2618">
        <f>Bono_Fue</f>
        <v>0</v>
      </c>
      <c r="Z717" s="1265" t="str">
        <f t="shared" si="120"/>
        <v/>
      </c>
      <c r="AB717" s="564" t="s">
        <v>2179</v>
      </c>
      <c r="AC717" s="2859"/>
      <c r="AD717" s="2859"/>
      <c r="AE717" s="837"/>
      <c r="AG717" s="853" t="str">
        <f t="shared" si="121"/>
        <v/>
      </c>
      <c r="AH717" s="78" t="str">
        <f t="shared" si="122"/>
        <v/>
      </c>
      <c r="AI717" s="78" t="str">
        <f t="shared" si="123"/>
        <v>Tonfa</v>
      </c>
      <c r="AJ717" s="1256">
        <f>IF(OR($L717=AJ$635,$L717="",$D717=$AL$634),MAX(AJ$637:AJ716)+1,0)</f>
        <v>0</v>
      </c>
      <c r="AK717" s="1257">
        <f>IF(OR($L717=AK$635,$L717="",$D717=$AL$634),MAX(AK$637:AK716)+1,0)</f>
        <v>0</v>
      </c>
      <c r="AL717" s="1258">
        <f>IF(OR($L717=AL$635,$L717="",$D717=$AL$634),MAX(AL$637:AL716)+1,0)</f>
        <v>62</v>
      </c>
      <c r="AM717" s="6225"/>
      <c r="AN717" s="853" t="str">
        <f t="shared" si="124"/>
        <v/>
      </c>
      <c r="AO717" s="78" t="str">
        <f t="shared" si="125"/>
        <v/>
      </c>
      <c r="AP717" s="78" t="str">
        <f t="shared" si="126"/>
        <v>Tonfa</v>
      </c>
      <c r="AQ717" s="1256">
        <f>IF(OR($L717=AQ$635,$L717="",$D717=$AS$634),MAX(AQ$637:AQ716)+1,0)</f>
        <v>0</v>
      </c>
      <c r="AR717" s="1257">
        <f>IF(OR($L717=AR$635,$L717="",$D717=$AS$634),MAX(AR$637:AR716)+1,0)</f>
        <v>0</v>
      </c>
      <c r="AS717" s="1258">
        <f>IF(OR($L717=AS$635,$L717="",$D717=$AS$634),MAX(AS$637:AS716)+1,0)</f>
        <v>62</v>
      </c>
      <c r="AT717" s="6225"/>
      <c r="AU717" s="853" t="str">
        <f t="shared" si="127"/>
        <v/>
      </c>
      <c r="AV717" s="78" t="str">
        <f t="shared" si="128"/>
        <v/>
      </c>
      <c r="AW717" s="78" t="str">
        <f t="shared" si="129"/>
        <v>Tonfa</v>
      </c>
      <c r="AX717" s="1256">
        <f>IF(OR($L717=AX$635,$L717="",$D717=$AZ$634),MAX(AX$637:AX716)+1,0)</f>
        <v>0</v>
      </c>
      <c r="AY717" s="1257">
        <f>IF(OR($L717=AY$635,$L717="",$D717=$AZ$634),MAX(AY$637:AY716)+1,0)</f>
        <v>0</v>
      </c>
      <c r="AZ717" s="1258">
        <f>IF(OR($L717=AZ$635,$L717="",$D717=$AZ$634),MAX(AZ$637:AZ716)+1,0)</f>
        <v>62</v>
      </c>
      <c r="BA717" s="6225"/>
      <c r="BB717" s="853" t="str">
        <f t="shared" si="130"/>
        <v/>
      </c>
      <c r="BC717" s="78" t="str">
        <f t="shared" si="131"/>
        <v/>
      </c>
      <c r="BD717" s="78" t="str">
        <f t="shared" si="132"/>
        <v>Tonfa</v>
      </c>
      <c r="BE717" s="1256">
        <f>IF(OR($L717=BE$635,$L717="",$D717=$BG$634),MAX(BE$637:BE716)+1,0)</f>
        <v>0</v>
      </c>
      <c r="BF717" s="1257">
        <f>IF(OR($L717=BF$635,$L717="",$D717=$BG$634),MAX(BF$637:BF716)+1,0)</f>
        <v>0</v>
      </c>
      <c r="BG717" s="1258">
        <f>IF(OR($L717=BG$635,$L717="",$D717=$BG$634),MAX(BG$637:BG716)+1,0)</f>
        <v>62</v>
      </c>
      <c r="BH717" s="6225"/>
      <c r="BI717" s="853" t="str">
        <f t="shared" si="133"/>
        <v/>
      </c>
      <c r="BJ717" s="78" t="str">
        <f t="shared" si="134"/>
        <v/>
      </c>
      <c r="BK717" s="78" t="str">
        <f t="shared" si="135"/>
        <v>Tonfa</v>
      </c>
      <c r="BL717" s="1256">
        <f>IF(OR($L717=BL$635,$L717="",$D717=$BN$634),MAX(BL$637:BL716)+1,0)</f>
        <v>0</v>
      </c>
      <c r="BM717" s="1257">
        <f>IF(OR($L717=BM$635,$L717="",$D717=$BN$634),MAX(BM$637:BM716)+1,0)</f>
        <v>0</v>
      </c>
      <c r="BN717" s="1258">
        <f>IF(OR($L717=BN$635,$L717="",$D717=$BN$634),MAX(BN$637:BN716)+1,0)</f>
        <v>62</v>
      </c>
      <c r="BO717" s="6225"/>
      <c r="BP717" s="853" t="str">
        <f t="shared" si="136"/>
        <v/>
      </c>
      <c r="BQ717" s="78" t="str">
        <f t="shared" si="137"/>
        <v/>
      </c>
      <c r="BR717" s="78" t="str">
        <f t="shared" si="138"/>
        <v>Tonfa</v>
      </c>
      <c r="BS717" s="1256">
        <f>IF(OR($L717=BS$635,$L717="",$D717=$BU$634),MAX(BS$637:BS716)+1,0)</f>
        <v>0</v>
      </c>
      <c r="BT717" s="1257">
        <f>IF(OR($L717=BT$635,$L717="",$D717=$BU$634),MAX(BT$637:BT716)+1,0)</f>
        <v>0</v>
      </c>
      <c r="BU717" s="1258">
        <f>IF(OR($L717=BU$635,$L717="",$D717=$BU$634),MAX(BU$637:BU716)+1,0)</f>
        <v>62</v>
      </c>
    </row>
    <row r="718" spans="1:73" ht="12.75" customHeight="1" x14ac:dyDescent="0.2">
      <c r="A718" s="227">
        <v>718</v>
      </c>
      <c r="B718" s="5988"/>
      <c r="C718" s="1146"/>
      <c r="D718" s="2629" t="s">
        <v>2171</v>
      </c>
      <c r="E718" s="2633">
        <v>15</v>
      </c>
      <c r="F718" s="2628">
        <v>-15</v>
      </c>
      <c r="G718" s="2628">
        <v>5</v>
      </c>
      <c r="H718" s="2628">
        <v>5</v>
      </c>
      <c r="I718" s="2628" t="s">
        <v>1498</v>
      </c>
      <c r="J718" s="2628" t="s">
        <v>1456</v>
      </c>
      <c r="K718" s="2878" t="s">
        <v>7278</v>
      </c>
      <c r="L718" s="2628"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34">
        <v>14</v>
      </c>
      <c r="N718" s="2634">
        <v>0</v>
      </c>
      <c r="O718" s="2634">
        <v>20</v>
      </c>
      <c r="P718" s="2634">
        <v>10</v>
      </c>
      <c r="Q718" s="2634">
        <f>IF(COUNTIF(Compra_TablasEstilo,"Tabla de Esquiva con Escudo")&gt;0,P718,5)</f>
        <v>5</v>
      </c>
      <c r="R718" s="2628" t="s">
        <v>1456</v>
      </c>
      <c r="S718" s="2628" t="s">
        <v>1456</v>
      </c>
      <c r="T718" s="2628" t="s">
        <v>1456</v>
      </c>
      <c r="U718" s="2628"/>
      <c r="V718" s="2624" t="str">
        <f>"Escudo. -"&amp;P718&amp;" HP/-"&amp;Q718&amp;" HE si se usa para atacar."</f>
        <v>Escudo. -10 HP/-5 HE si se usa para atacar.</v>
      </c>
      <c r="W718" s="2624"/>
      <c r="X718" s="2625"/>
      <c r="Y718" s="2618">
        <f>Bono_Fue</f>
        <v>0</v>
      </c>
      <c r="Z718" s="1265" t="str">
        <f t="shared" si="120"/>
        <v/>
      </c>
      <c r="AB718" s="564" t="s">
        <v>2182</v>
      </c>
      <c r="AC718" s="2859"/>
      <c r="AD718" s="2859"/>
      <c r="AE718" s="837"/>
      <c r="AG718" s="853" t="str">
        <f t="shared" si="121"/>
        <v/>
      </c>
      <c r="AH718" s="78" t="str">
        <f t="shared" si="122"/>
        <v/>
      </c>
      <c r="AI718" s="78" t="str">
        <f t="shared" si="123"/>
        <v>Boku-to</v>
      </c>
      <c r="AJ718" s="1256">
        <f>IF(OR($L718=AJ$635,$L718="",$D718=$AL$634),MAX(AJ$637:AJ717)+1,0)</f>
        <v>0</v>
      </c>
      <c r="AK718" s="1257">
        <f>IF(OR($L718=AK$635,$L718="",$D718=$AL$634),MAX(AK$637:AK717)+1,0)</f>
        <v>0</v>
      </c>
      <c r="AL718" s="1258">
        <f>IF(OR($L718=AL$635,$L718="",$D718=$AL$634),MAX(AL$637:AL717)+1,0)</f>
        <v>63</v>
      </c>
      <c r="AM718" s="6225"/>
      <c r="AN718" s="853" t="str">
        <f t="shared" si="124"/>
        <v/>
      </c>
      <c r="AO718" s="78" t="str">
        <f t="shared" si="125"/>
        <v/>
      </c>
      <c r="AP718" s="78" t="str">
        <f t="shared" si="126"/>
        <v>Boku-to</v>
      </c>
      <c r="AQ718" s="1256">
        <f>IF(OR($L718=AQ$635,$L718="",$D718=$AS$634),MAX(AQ$637:AQ717)+1,0)</f>
        <v>0</v>
      </c>
      <c r="AR718" s="1257">
        <f>IF(OR($L718=AR$635,$L718="",$D718=$AS$634),MAX(AR$637:AR717)+1,0)</f>
        <v>0</v>
      </c>
      <c r="AS718" s="1258">
        <f>IF(OR($L718=AS$635,$L718="",$D718=$AS$634),MAX(AS$637:AS717)+1,0)</f>
        <v>63</v>
      </c>
      <c r="AT718" s="6225"/>
      <c r="AU718" s="853" t="str">
        <f t="shared" si="127"/>
        <v/>
      </c>
      <c r="AV718" s="78" t="str">
        <f t="shared" si="128"/>
        <v/>
      </c>
      <c r="AW718" s="78" t="str">
        <f t="shared" si="129"/>
        <v>Boku-to</v>
      </c>
      <c r="AX718" s="1256">
        <f>IF(OR($L718=AX$635,$L718="",$D718=$AZ$634),MAX(AX$637:AX717)+1,0)</f>
        <v>0</v>
      </c>
      <c r="AY718" s="1257">
        <f>IF(OR($L718=AY$635,$L718="",$D718=$AZ$634),MAX(AY$637:AY717)+1,0)</f>
        <v>0</v>
      </c>
      <c r="AZ718" s="1258">
        <f>IF(OR($L718=AZ$635,$L718="",$D718=$AZ$634),MAX(AZ$637:AZ717)+1,0)</f>
        <v>63</v>
      </c>
      <c r="BA718" s="6225"/>
      <c r="BB718" s="853" t="str">
        <f t="shared" si="130"/>
        <v/>
      </c>
      <c r="BC718" s="78" t="str">
        <f t="shared" si="131"/>
        <v/>
      </c>
      <c r="BD718" s="78" t="str">
        <f t="shared" si="132"/>
        <v>Boku-to</v>
      </c>
      <c r="BE718" s="1256">
        <f>IF(OR($L718=BE$635,$L718="",$D718=$BG$634),MAX(BE$637:BE717)+1,0)</f>
        <v>0</v>
      </c>
      <c r="BF718" s="1257">
        <f>IF(OR($L718=BF$635,$L718="",$D718=$BG$634),MAX(BF$637:BF717)+1,0)</f>
        <v>0</v>
      </c>
      <c r="BG718" s="1258">
        <f>IF(OR($L718=BG$635,$L718="",$D718=$BG$634),MAX(BG$637:BG717)+1,0)</f>
        <v>63</v>
      </c>
      <c r="BH718" s="6225"/>
      <c r="BI718" s="853" t="str">
        <f t="shared" si="133"/>
        <v/>
      </c>
      <c r="BJ718" s="78" t="str">
        <f t="shared" si="134"/>
        <v/>
      </c>
      <c r="BK718" s="78" t="str">
        <f t="shared" si="135"/>
        <v>Boku-to</v>
      </c>
      <c r="BL718" s="1256">
        <f>IF(OR($L718=BL$635,$L718="",$D718=$BN$634),MAX(BL$637:BL717)+1,0)</f>
        <v>0</v>
      </c>
      <c r="BM718" s="1257">
        <f>IF(OR($L718=BM$635,$L718="",$D718=$BN$634),MAX(BM$637:BM717)+1,0)</f>
        <v>0</v>
      </c>
      <c r="BN718" s="1258">
        <f>IF(OR($L718=BN$635,$L718="",$D718=$BN$634),MAX(BN$637:BN717)+1,0)</f>
        <v>63</v>
      </c>
      <c r="BO718" s="6225"/>
      <c r="BP718" s="853" t="str">
        <f t="shared" si="136"/>
        <v/>
      </c>
      <c r="BQ718" s="78" t="str">
        <f t="shared" si="137"/>
        <v/>
      </c>
      <c r="BR718" s="78" t="str">
        <f t="shared" si="138"/>
        <v>Boku-to</v>
      </c>
      <c r="BS718" s="1256">
        <f>IF(OR($L718=BS$635,$L718="",$D718=$BU$634),MAX(BS$637:BS717)+1,0)</f>
        <v>0</v>
      </c>
      <c r="BT718" s="1257">
        <f>IF(OR($L718=BT$635,$L718="",$D718=$BU$634),MAX(BT$637:BT717)+1,0)</f>
        <v>0</v>
      </c>
      <c r="BU718" s="1258">
        <f>IF(OR($L718=BU$635,$L718="",$D718=$BU$634),MAX(BU$637:BU717)+1,0)</f>
        <v>63</v>
      </c>
    </row>
    <row r="719" spans="1:73" ht="12.75" customHeight="1" x14ac:dyDescent="0.2">
      <c r="A719" s="227">
        <v>719</v>
      </c>
      <c r="B719" s="5988"/>
      <c r="C719" s="1146"/>
      <c r="D719" s="2629" t="s">
        <v>2172</v>
      </c>
      <c r="E719" s="2626"/>
      <c r="F719" s="2626"/>
      <c r="G719" s="2626"/>
      <c r="H719" s="2626"/>
      <c r="I719" s="2626"/>
      <c r="J719" s="2626"/>
      <c r="K719" s="2622" t="s">
        <v>7260</v>
      </c>
      <c r="L719" s="2628"/>
      <c r="M719" s="2626"/>
      <c r="N719" s="2626"/>
      <c r="O719" s="2626"/>
      <c r="P719" s="2626"/>
      <c r="Q719" s="2626"/>
      <c r="R719" s="2626"/>
      <c r="S719" s="2626"/>
      <c r="T719" s="2626"/>
      <c r="U719" s="2626"/>
      <c r="V719" s="2622"/>
      <c r="W719" s="2622"/>
      <c r="X719" s="2623"/>
      <c r="Y719" s="1149"/>
      <c r="Z719" s="1265" t="str">
        <f t="shared" si="120"/>
        <v/>
      </c>
      <c r="AB719" s="853" t="s">
        <v>7020</v>
      </c>
      <c r="AC719" s="2859"/>
      <c r="AD719" s="2859"/>
      <c r="AE719" s="837"/>
      <c r="AG719" s="853" t="str">
        <f t="shared" si="121"/>
        <v/>
      </c>
      <c r="AH719" s="78" t="str">
        <f t="shared" si="122"/>
        <v/>
      </c>
      <c r="AI719" s="78" t="str">
        <f t="shared" si="123"/>
        <v>Jutte</v>
      </c>
      <c r="AJ719" s="1256">
        <f>IF(OR($L719=AJ$635,$L719="",$D719=$AL$634),MAX(AJ$637:AJ718)+1,0)</f>
        <v>16</v>
      </c>
      <c r="AK719" s="1257">
        <f>IF(OR($L719=AK$635,$L719="",$D719=$AL$634),MAX(AK$637:AK718)+1,0)</f>
        <v>7</v>
      </c>
      <c r="AL719" s="1258">
        <f>IF(OR($L719=AL$635,$L719="",$D719=$AL$634),MAX(AL$637:AL718)+1,0)</f>
        <v>64</v>
      </c>
      <c r="AM719" s="6225"/>
      <c r="AN719" s="853" t="str">
        <f t="shared" si="124"/>
        <v/>
      </c>
      <c r="AO719" s="78" t="str">
        <f t="shared" si="125"/>
        <v/>
      </c>
      <c r="AP719" s="78" t="str">
        <f t="shared" si="126"/>
        <v>Jutte</v>
      </c>
      <c r="AQ719" s="1256">
        <f>IF(OR($L719=AQ$635,$L719="",$D719=$AS$634),MAX(AQ$637:AQ718)+1,0)</f>
        <v>16</v>
      </c>
      <c r="AR719" s="1257">
        <f>IF(OR($L719=AR$635,$L719="",$D719=$AS$634),MAX(AR$637:AR718)+1,0)</f>
        <v>7</v>
      </c>
      <c r="AS719" s="1258">
        <f>IF(OR($L719=AS$635,$L719="",$D719=$AS$634),MAX(AS$637:AS718)+1,0)</f>
        <v>64</v>
      </c>
      <c r="AT719" s="6225"/>
      <c r="AU719" s="853" t="str">
        <f t="shared" si="127"/>
        <v/>
      </c>
      <c r="AV719" s="78" t="str">
        <f t="shared" si="128"/>
        <v/>
      </c>
      <c r="AW719" s="78" t="str">
        <f t="shared" si="129"/>
        <v>Jutte</v>
      </c>
      <c r="AX719" s="1256">
        <f>IF(OR($L719=AX$635,$L719="",$D719=$AZ$634),MAX(AX$637:AX718)+1,0)</f>
        <v>16</v>
      </c>
      <c r="AY719" s="1257">
        <f>IF(OR($L719=AY$635,$L719="",$D719=$AZ$634),MAX(AY$637:AY718)+1,0)</f>
        <v>7</v>
      </c>
      <c r="AZ719" s="1258">
        <f>IF(OR($L719=AZ$635,$L719="",$D719=$AZ$634),MAX(AZ$637:AZ718)+1,0)</f>
        <v>64</v>
      </c>
      <c r="BA719" s="6225"/>
      <c r="BB719" s="853" t="str">
        <f t="shared" si="130"/>
        <v/>
      </c>
      <c r="BC719" s="78" t="str">
        <f t="shared" si="131"/>
        <v/>
      </c>
      <c r="BD719" s="78" t="str">
        <f t="shared" si="132"/>
        <v>Jutte</v>
      </c>
      <c r="BE719" s="1256">
        <f>IF(OR($L719=BE$635,$L719="",$D719=$BG$634),MAX(BE$637:BE718)+1,0)</f>
        <v>16</v>
      </c>
      <c r="BF719" s="1257">
        <f>IF(OR($L719=BF$635,$L719="",$D719=$BG$634),MAX(BF$637:BF718)+1,0)</f>
        <v>7</v>
      </c>
      <c r="BG719" s="1258">
        <f>IF(OR($L719=BG$635,$L719="",$D719=$BG$634),MAX(BG$637:BG718)+1,0)</f>
        <v>64</v>
      </c>
      <c r="BH719" s="6225"/>
      <c r="BI719" s="853" t="str">
        <f t="shared" si="133"/>
        <v/>
      </c>
      <c r="BJ719" s="78" t="str">
        <f t="shared" si="134"/>
        <v/>
      </c>
      <c r="BK719" s="78" t="str">
        <f t="shared" si="135"/>
        <v>Jutte</v>
      </c>
      <c r="BL719" s="1256">
        <f>IF(OR($L719=BL$635,$L719="",$D719=$BN$634),MAX(BL$637:BL718)+1,0)</f>
        <v>16</v>
      </c>
      <c r="BM719" s="1257">
        <f>IF(OR($L719=BM$635,$L719="",$D719=$BN$634),MAX(BM$637:BM718)+1,0)</f>
        <v>7</v>
      </c>
      <c r="BN719" s="1258">
        <f>IF(OR($L719=BN$635,$L719="",$D719=$BN$634),MAX(BN$637:BN718)+1,0)</f>
        <v>64</v>
      </c>
      <c r="BO719" s="6225"/>
      <c r="BP719" s="853" t="str">
        <f t="shared" si="136"/>
        <v/>
      </c>
      <c r="BQ719" s="78" t="str">
        <f t="shared" si="137"/>
        <v/>
      </c>
      <c r="BR719" s="78" t="str">
        <f t="shared" si="138"/>
        <v>Jutte</v>
      </c>
      <c r="BS719" s="1256">
        <f>IF(OR($L719=BS$635,$L719="",$D719=$BU$634),MAX(BS$637:BS718)+1,0)</f>
        <v>16</v>
      </c>
      <c r="BT719" s="1257">
        <f>IF(OR($L719=BT$635,$L719="",$D719=$BU$634),MAX(BT$637:BT718)+1,0)</f>
        <v>7</v>
      </c>
      <c r="BU719" s="1258">
        <f>IF(OR($L719=BU$635,$L719="",$D719=$BU$634),MAX(BU$637:BU718)+1,0)</f>
        <v>64</v>
      </c>
    </row>
    <row r="720" spans="1:73" ht="12.75" customHeight="1" x14ac:dyDescent="0.2">
      <c r="A720" s="227">
        <v>720</v>
      </c>
      <c r="B720" s="5988"/>
      <c r="C720" s="1146"/>
      <c r="D720" s="2629" t="s">
        <v>2173</v>
      </c>
      <c r="E720" s="2633">
        <v>30</v>
      </c>
      <c r="F720" s="2628">
        <v>20</v>
      </c>
      <c r="G720" s="2628">
        <v>4</v>
      </c>
      <c r="H720" s="2628">
        <v>4</v>
      </c>
      <c r="I720" s="2628" t="s">
        <v>1551</v>
      </c>
      <c r="J720" s="2628" t="s">
        <v>1498</v>
      </c>
      <c r="K720" s="2878" t="s">
        <v>7267</v>
      </c>
      <c r="L720" s="2628" t="str">
        <f t="shared" ref="L720:L755" si="142">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34">
        <v>8</v>
      </c>
      <c r="N720" s="2634">
        <v>0</v>
      </c>
      <c r="O720" s="2634">
        <v>25</v>
      </c>
      <c r="P720" s="2628"/>
      <c r="Q720" s="2628"/>
      <c r="R720" s="2634">
        <v>40</v>
      </c>
      <c r="S720" s="2628" t="s">
        <v>1456</v>
      </c>
      <c r="T720" s="2628">
        <v>20</v>
      </c>
      <c r="U720" s="2628"/>
      <c r="V720" s="2624" t="s">
        <v>8578</v>
      </c>
      <c r="W720" s="2624"/>
      <c r="X720" s="2625" t="str">
        <f t="shared" ref="X720:X775" si="143">IF(K720="/","",IF(OR(ISNUMBER(FIND("Mandoble",K720)),ISNUMBER(FIND("Asta",K720))),"Grande",IF(ISNUMBER(FIND("Corta",K720)),"Pequeña","Mediana")))</f>
        <v>Pequeña</v>
      </c>
      <c r="Y720" s="2618">
        <f t="shared" ref="Y720:Y755" si="144">Bono_Fue</f>
        <v>0</v>
      </c>
      <c r="Z720" s="1265" t="str">
        <f t="shared" si="120"/>
        <v/>
      </c>
      <c r="AB720" s="564" t="s">
        <v>7021</v>
      </c>
      <c r="AC720" s="2859"/>
      <c r="AD720" s="2859"/>
      <c r="AE720" s="837"/>
      <c r="AG720" s="853" t="str">
        <f t="shared" si="121"/>
        <v/>
      </c>
      <c r="AH720" s="78" t="str">
        <f t="shared" si="122"/>
        <v/>
      </c>
      <c r="AI720" s="78" t="str">
        <f t="shared" si="123"/>
        <v>Kama</v>
      </c>
      <c r="AJ720" s="1256">
        <f>IF(OR($L720=AJ$635,$L720="",$D720=$AL$634),MAX(AJ$637:AJ719)+1,0)</f>
        <v>0</v>
      </c>
      <c r="AK720" s="1257">
        <f>IF(OR($L720=AK$635,$L720="",$D720=$AL$634),MAX(AK$637:AK719)+1,0)</f>
        <v>0</v>
      </c>
      <c r="AL720" s="1258">
        <f>IF(OR($L720=AL$635,$L720="",$D720=$AL$634),MAX(AL$637:AL719)+1,0)</f>
        <v>65</v>
      </c>
      <c r="AM720" s="6225"/>
      <c r="AN720" s="853" t="str">
        <f t="shared" si="124"/>
        <v/>
      </c>
      <c r="AO720" s="78" t="str">
        <f t="shared" si="125"/>
        <v/>
      </c>
      <c r="AP720" s="78" t="str">
        <f t="shared" si="126"/>
        <v>Kama</v>
      </c>
      <c r="AQ720" s="1256">
        <f>IF(OR($L720=AQ$635,$L720="",$D720=$AS$634),MAX(AQ$637:AQ719)+1,0)</f>
        <v>0</v>
      </c>
      <c r="AR720" s="1257">
        <f>IF(OR($L720=AR$635,$L720="",$D720=$AS$634),MAX(AR$637:AR719)+1,0)</f>
        <v>0</v>
      </c>
      <c r="AS720" s="1258">
        <f>IF(OR($L720=AS$635,$L720="",$D720=$AS$634),MAX(AS$637:AS719)+1,0)</f>
        <v>65</v>
      </c>
      <c r="AT720" s="6225"/>
      <c r="AU720" s="853" t="str">
        <f t="shared" si="127"/>
        <v/>
      </c>
      <c r="AV720" s="78" t="str">
        <f t="shared" si="128"/>
        <v/>
      </c>
      <c r="AW720" s="78" t="str">
        <f t="shared" si="129"/>
        <v>Kama</v>
      </c>
      <c r="AX720" s="1256">
        <f>IF(OR($L720=AX$635,$L720="",$D720=$AZ$634),MAX(AX$637:AX719)+1,0)</f>
        <v>0</v>
      </c>
      <c r="AY720" s="1257">
        <f>IF(OR($L720=AY$635,$L720="",$D720=$AZ$634),MAX(AY$637:AY719)+1,0)</f>
        <v>0</v>
      </c>
      <c r="AZ720" s="1258">
        <f>IF(OR($L720=AZ$635,$L720="",$D720=$AZ$634),MAX(AZ$637:AZ719)+1,0)</f>
        <v>65</v>
      </c>
      <c r="BA720" s="6225"/>
      <c r="BB720" s="853" t="str">
        <f t="shared" si="130"/>
        <v/>
      </c>
      <c r="BC720" s="78" t="str">
        <f t="shared" si="131"/>
        <v/>
      </c>
      <c r="BD720" s="78" t="str">
        <f t="shared" si="132"/>
        <v>Kama</v>
      </c>
      <c r="BE720" s="1256">
        <f>IF(OR($L720=BE$635,$L720="",$D720=$BG$634),MAX(BE$637:BE719)+1,0)</f>
        <v>0</v>
      </c>
      <c r="BF720" s="1257">
        <f>IF(OR($L720=BF$635,$L720="",$D720=$BG$634),MAX(BF$637:BF719)+1,0)</f>
        <v>0</v>
      </c>
      <c r="BG720" s="1258">
        <f>IF(OR($L720=BG$635,$L720="",$D720=$BG$634),MAX(BG$637:BG719)+1,0)</f>
        <v>65</v>
      </c>
      <c r="BH720" s="6225"/>
      <c r="BI720" s="853" t="str">
        <f t="shared" si="133"/>
        <v/>
      </c>
      <c r="BJ720" s="78" t="str">
        <f t="shared" si="134"/>
        <v/>
      </c>
      <c r="BK720" s="78" t="str">
        <f t="shared" si="135"/>
        <v>Kama</v>
      </c>
      <c r="BL720" s="1256">
        <f>IF(OR($L720=BL$635,$L720="",$D720=$BN$634),MAX(BL$637:BL719)+1,0)</f>
        <v>0</v>
      </c>
      <c r="BM720" s="1257">
        <f>IF(OR($L720=BM$635,$L720="",$D720=$BN$634),MAX(BM$637:BM719)+1,0)</f>
        <v>0</v>
      </c>
      <c r="BN720" s="1258">
        <f>IF(OR($L720=BN$635,$L720="",$D720=$BN$634),MAX(BN$637:BN719)+1,0)</f>
        <v>65</v>
      </c>
      <c r="BO720" s="6225"/>
      <c r="BP720" s="853" t="str">
        <f t="shared" si="136"/>
        <v/>
      </c>
      <c r="BQ720" s="78" t="str">
        <f t="shared" si="137"/>
        <v/>
      </c>
      <c r="BR720" s="78" t="str">
        <f t="shared" si="138"/>
        <v>Kama</v>
      </c>
      <c r="BS720" s="1256">
        <f>IF(OR($L720=BS$635,$L720="",$D720=$BU$634),MAX(BS$637:BS719)+1,0)</f>
        <v>0</v>
      </c>
      <c r="BT720" s="1257">
        <f>IF(OR($L720=BT$635,$L720="",$D720=$BU$634),MAX(BT$637:BT719)+1,0)</f>
        <v>0</v>
      </c>
      <c r="BU720" s="1258">
        <f>IF(OR($L720=BU$635,$L720="",$D720=$BU$634),MAX(BU$637:BU719)+1,0)</f>
        <v>65</v>
      </c>
    </row>
    <row r="721" spans="1:73" ht="12.75" customHeight="1" x14ac:dyDescent="0.2">
      <c r="A721" s="227">
        <v>721</v>
      </c>
      <c r="B721" s="5988"/>
      <c r="C721" s="1146"/>
      <c r="D721" s="2629" t="s">
        <v>2174</v>
      </c>
      <c r="E721" s="2633">
        <v>35</v>
      </c>
      <c r="F721" s="2628">
        <v>15</v>
      </c>
      <c r="G721" s="2628">
        <v>4</v>
      </c>
      <c r="H721" s="2628">
        <v>4</v>
      </c>
      <c r="I721" s="2628" t="s">
        <v>1551</v>
      </c>
      <c r="J721" s="2628" t="s">
        <v>1552</v>
      </c>
      <c r="K721" s="2878" t="s">
        <v>7262</v>
      </c>
      <c r="L721" s="2628" t="str">
        <f t="shared" si="142"/>
        <v>Similar</v>
      </c>
      <c r="M721" s="2634">
        <v>12</v>
      </c>
      <c r="N721" s="2634">
        <v>2</v>
      </c>
      <c r="O721" s="2634">
        <v>25</v>
      </c>
      <c r="P721" s="2628"/>
      <c r="Q721" s="2628"/>
      <c r="R721" s="2628" t="s">
        <v>1456</v>
      </c>
      <c r="S721" s="2628" t="s">
        <v>1456</v>
      </c>
      <c r="T721" s="2628" t="s">
        <v>1456</v>
      </c>
      <c r="U721" s="2628"/>
      <c r="V721" s="2624" t="s">
        <v>2175</v>
      </c>
      <c r="W721" s="2624"/>
      <c r="X721" s="2625" t="str">
        <f t="shared" si="143"/>
        <v>Grande</v>
      </c>
      <c r="Y721" s="2618">
        <f t="shared" si="144"/>
        <v>0</v>
      </c>
      <c r="Z721" s="1265" t="str">
        <f t="shared" si="120"/>
        <v/>
      </c>
      <c r="AB721" s="564" t="s">
        <v>7022</v>
      </c>
      <c r="AC721" s="2859"/>
      <c r="AD721" s="2859"/>
      <c r="AE721" s="837"/>
      <c r="AG721" s="853" t="str">
        <f t="shared" si="121"/>
        <v/>
      </c>
      <c r="AH721" s="78" t="str">
        <f t="shared" si="122"/>
        <v/>
      </c>
      <c r="AI721" s="78" t="str">
        <f t="shared" si="123"/>
        <v>Kau Sin Ke</v>
      </c>
      <c r="AJ721" s="1256">
        <f>IF(OR($L721=AJ$635,$L721="",$D721=$AL$634),MAX(AJ$637:AJ720)+1,0)</f>
        <v>17</v>
      </c>
      <c r="AK721" s="1257">
        <f>IF(OR($L721=AK$635,$L721="",$D721=$AL$634),MAX(AK$637:AK720)+1,0)</f>
        <v>0</v>
      </c>
      <c r="AL721" s="1258">
        <f>IF(OR($L721=AL$635,$L721="",$D721=$AL$634),MAX(AL$637:AL720)+1,0)</f>
        <v>0</v>
      </c>
      <c r="AM721" s="6225"/>
      <c r="AN721" s="853" t="str">
        <f t="shared" si="124"/>
        <v/>
      </c>
      <c r="AO721" s="78" t="str">
        <f t="shared" si="125"/>
        <v/>
      </c>
      <c r="AP721" s="78" t="str">
        <f t="shared" si="126"/>
        <v>Kau Sin Ke</v>
      </c>
      <c r="AQ721" s="1256">
        <f>IF(OR($L721=AQ$635,$L721="",$D721=$AS$634),MAX(AQ$637:AQ720)+1,0)</f>
        <v>17</v>
      </c>
      <c r="AR721" s="1257">
        <f>IF(OR($L721=AR$635,$L721="",$D721=$AS$634),MAX(AR$637:AR720)+1,0)</f>
        <v>0</v>
      </c>
      <c r="AS721" s="1258">
        <f>IF(OR($L721=AS$635,$L721="",$D721=$AS$634),MAX(AS$637:AS720)+1,0)</f>
        <v>0</v>
      </c>
      <c r="AT721" s="6225"/>
      <c r="AU721" s="853" t="str">
        <f t="shared" si="127"/>
        <v/>
      </c>
      <c r="AV721" s="78" t="str">
        <f t="shared" si="128"/>
        <v/>
      </c>
      <c r="AW721" s="78" t="str">
        <f t="shared" si="129"/>
        <v>Kau Sin Ke</v>
      </c>
      <c r="AX721" s="1256">
        <f>IF(OR($L721=AX$635,$L721="",$D721=$AZ$634),MAX(AX$637:AX720)+1,0)</f>
        <v>17</v>
      </c>
      <c r="AY721" s="1257">
        <f>IF(OR($L721=AY$635,$L721="",$D721=$AZ$634),MAX(AY$637:AY720)+1,0)</f>
        <v>0</v>
      </c>
      <c r="AZ721" s="1258">
        <f>IF(OR($L721=AZ$635,$L721="",$D721=$AZ$634),MAX(AZ$637:AZ720)+1,0)</f>
        <v>0</v>
      </c>
      <c r="BA721" s="6225"/>
      <c r="BB721" s="853" t="str">
        <f t="shared" si="130"/>
        <v/>
      </c>
      <c r="BC721" s="78" t="str">
        <f t="shared" si="131"/>
        <v/>
      </c>
      <c r="BD721" s="78" t="str">
        <f t="shared" si="132"/>
        <v>Kau Sin Ke</v>
      </c>
      <c r="BE721" s="1256">
        <f>IF(OR($L721=BE$635,$L721="",$D721=$BG$634),MAX(BE$637:BE720)+1,0)</f>
        <v>17</v>
      </c>
      <c r="BF721" s="1257">
        <f>IF(OR($L721=BF$635,$L721="",$D721=$BG$634),MAX(BF$637:BF720)+1,0)</f>
        <v>0</v>
      </c>
      <c r="BG721" s="1258">
        <f>IF(OR($L721=BG$635,$L721="",$D721=$BG$634),MAX(BG$637:BG720)+1,0)</f>
        <v>0</v>
      </c>
      <c r="BH721" s="6225"/>
      <c r="BI721" s="853" t="str">
        <f t="shared" si="133"/>
        <v/>
      </c>
      <c r="BJ721" s="78" t="str">
        <f t="shared" si="134"/>
        <v/>
      </c>
      <c r="BK721" s="78" t="str">
        <f t="shared" si="135"/>
        <v>Kau Sin Ke</v>
      </c>
      <c r="BL721" s="1256">
        <f>IF(OR($L721=BL$635,$L721="",$D721=$BN$634),MAX(BL$637:BL720)+1,0)</f>
        <v>17</v>
      </c>
      <c r="BM721" s="1257">
        <f>IF(OR($L721=BM$635,$L721="",$D721=$BN$634),MAX(BM$637:BM720)+1,0)</f>
        <v>0</v>
      </c>
      <c r="BN721" s="1258">
        <f>IF(OR($L721=BN$635,$L721="",$D721=$BN$634),MAX(BN$637:BN720)+1,0)</f>
        <v>0</v>
      </c>
      <c r="BO721" s="6225"/>
      <c r="BP721" s="853" t="str">
        <f t="shared" si="136"/>
        <v/>
      </c>
      <c r="BQ721" s="78" t="str">
        <f t="shared" si="137"/>
        <v/>
      </c>
      <c r="BR721" s="78" t="str">
        <f t="shared" si="138"/>
        <v>Kau Sin Ke</v>
      </c>
      <c r="BS721" s="1256">
        <f>IF(OR($L721=BS$635,$L721="",$D721=$BU$634),MAX(BS$637:BS720)+1,0)</f>
        <v>17</v>
      </c>
      <c r="BT721" s="1257">
        <f>IF(OR($L721=BT$635,$L721="",$D721=$BU$634),MAX(BT$637:BT720)+1,0)</f>
        <v>0</v>
      </c>
      <c r="BU721" s="1258">
        <f>IF(OR($L721=BU$635,$L721="",$D721=$BU$634),MAX(BU$637:BU720)+1,0)</f>
        <v>0</v>
      </c>
    </row>
    <row r="722" spans="1:73" ht="12.75" customHeight="1" x14ac:dyDescent="0.2">
      <c r="A722" s="227">
        <v>722</v>
      </c>
      <c r="B722" s="5988"/>
      <c r="C722" s="1146"/>
      <c r="D722" s="2629" t="s">
        <v>10161</v>
      </c>
      <c r="E722" s="2633">
        <v>30</v>
      </c>
      <c r="F722" s="2628">
        <v>10</v>
      </c>
      <c r="G722" s="2628">
        <v>4</v>
      </c>
      <c r="H722" s="2628">
        <v>4</v>
      </c>
      <c r="I722" s="2628" t="s">
        <v>1498</v>
      </c>
      <c r="J722" s="2628" t="s">
        <v>1551</v>
      </c>
      <c r="K722" s="2878" t="s">
        <v>7267</v>
      </c>
      <c r="L722" s="2628" t="str">
        <f t="shared" si="142"/>
        <v>Distinta</v>
      </c>
      <c r="M722" s="2634">
        <v>10</v>
      </c>
      <c r="N722" s="2634">
        <v>0</v>
      </c>
      <c r="O722" s="2634">
        <v>15</v>
      </c>
      <c r="P722" s="2628"/>
      <c r="Q722" s="2628"/>
      <c r="R722" s="2634">
        <v>60</v>
      </c>
      <c r="S722" s="2628" t="s">
        <v>1456</v>
      </c>
      <c r="T722" s="2628">
        <v>20</v>
      </c>
      <c r="U722" s="2628"/>
      <c r="V722" s="2624" t="s">
        <v>8579</v>
      </c>
      <c r="W722" s="2624"/>
      <c r="X722" s="2625" t="str">
        <f t="shared" si="143"/>
        <v>Pequeña</v>
      </c>
      <c r="Y722" s="2618">
        <f t="shared" si="144"/>
        <v>0</v>
      </c>
      <c r="Z722" s="1265" t="str">
        <f t="shared" si="120"/>
        <v/>
      </c>
      <c r="AB722" s="564" t="s">
        <v>7023</v>
      </c>
      <c r="AC722" s="2859"/>
      <c r="AD722" s="2859"/>
      <c r="AE722" s="837"/>
      <c r="AG722" s="853" t="str">
        <f t="shared" si="121"/>
        <v/>
      </c>
      <c r="AH722" s="78" t="str">
        <f t="shared" si="122"/>
        <v/>
      </c>
      <c r="AI722" s="78" t="str">
        <f t="shared" si="123"/>
        <v>Kiseru</v>
      </c>
      <c r="AJ722" s="1256">
        <f>IF(OR($L722=AJ$635,$L722="",$D722=$AL$634),MAX(AJ$637:AJ721)+1,0)</f>
        <v>0</v>
      </c>
      <c r="AK722" s="1257">
        <f>IF(OR($L722=AK$635,$L722="",$D722=$AL$634),MAX(AK$637:AK721)+1,0)</f>
        <v>0</v>
      </c>
      <c r="AL722" s="1258">
        <f>IF(OR($L722=AL$635,$L722="",$D722=$AL$634),MAX(AL$637:AL721)+1,0)</f>
        <v>66</v>
      </c>
      <c r="AM722" s="6225"/>
      <c r="AN722" s="853" t="str">
        <f t="shared" si="124"/>
        <v/>
      </c>
      <c r="AO722" s="78" t="str">
        <f t="shared" si="125"/>
        <v/>
      </c>
      <c r="AP722" s="78" t="str">
        <f t="shared" si="126"/>
        <v>Kiseru</v>
      </c>
      <c r="AQ722" s="1256">
        <f>IF(OR($L722=AQ$635,$L722="",$D722=$AS$634),MAX(AQ$637:AQ721)+1,0)</f>
        <v>0</v>
      </c>
      <c r="AR722" s="1257">
        <f>IF(OR($L722=AR$635,$L722="",$D722=$AS$634),MAX(AR$637:AR721)+1,0)</f>
        <v>0</v>
      </c>
      <c r="AS722" s="1258">
        <f>IF(OR($L722=AS$635,$L722="",$D722=$AS$634),MAX(AS$637:AS721)+1,0)</f>
        <v>66</v>
      </c>
      <c r="AT722" s="6225"/>
      <c r="AU722" s="853" t="str">
        <f t="shared" si="127"/>
        <v/>
      </c>
      <c r="AV722" s="78" t="str">
        <f t="shared" si="128"/>
        <v/>
      </c>
      <c r="AW722" s="78" t="str">
        <f t="shared" si="129"/>
        <v>Kiseru</v>
      </c>
      <c r="AX722" s="1256">
        <f>IF(OR($L722=AX$635,$L722="",$D722=$AZ$634),MAX(AX$637:AX721)+1,0)</f>
        <v>0</v>
      </c>
      <c r="AY722" s="1257">
        <f>IF(OR($L722=AY$635,$L722="",$D722=$AZ$634),MAX(AY$637:AY721)+1,0)</f>
        <v>0</v>
      </c>
      <c r="AZ722" s="1258">
        <f>IF(OR($L722=AZ$635,$L722="",$D722=$AZ$634),MAX(AZ$637:AZ721)+1,0)</f>
        <v>66</v>
      </c>
      <c r="BA722" s="6225"/>
      <c r="BB722" s="853" t="str">
        <f t="shared" si="130"/>
        <v/>
      </c>
      <c r="BC722" s="78" t="str">
        <f t="shared" si="131"/>
        <v/>
      </c>
      <c r="BD722" s="78" t="str">
        <f t="shared" si="132"/>
        <v>Kiseru</v>
      </c>
      <c r="BE722" s="1256">
        <f>IF(OR($L722=BE$635,$L722="",$D722=$BG$634),MAX(BE$637:BE721)+1,0)</f>
        <v>0</v>
      </c>
      <c r="BF722" s="1257">
        <f>IF(OR($L722=BF$635,$L722="",$D722=$BG$634),MAX(BF$637:BF721)+1,0)</f>
        <v>0</v>
      </c>
      <c r="BG722" s="1258">
        <f>IF(OR($L722=BG$635,$L722="",$D722=$BG$634),MAX(BG$637:BG721)+1,0)</f>
        <v>66</v>
      </c>
      <c r="BH722" s="6225"/>
      <c r="BI722" s="853" t="str">
        <f t="shared" si="133"/>
        <v/>
      </c>
      <c r="BJ722" s="78" t="str">
        <f t="shared" si="134"/>
        <v/>
      </c>
      <c r="BK722" s="78" t="str">
        <f t="shared" si="135"/>
        <v>Kiseru</v>
      </c>
      <c r="BL722" s="1256">
        <f>IF(OR($L722=BL$635,$L722="",$D722=$BN$634),MAX(BL$637:BL721)+1,0)</f>
        <v>0</v>
      </c>
      <c r="BM722" s="1257">
        <f>IF(OR($L722=BM$635,$L722="",$D722=$BN$634),MAX(BM$637:BM721)+1,0)</f>
        <v>0</v>
      </c>
      <c r="BN722" s="1258">
        <f>IF(OR($L722=BN$635,$L722="",$D722=$BN$634),MAX(BN$637:BN721)+1,0)</f>
        <v>66</v>
      </c>
      <c r="BO722" s="6225"/>
      <c r="BP722" s="853" t="str">
        <f t="shared" si="136"/>
        <v/>
      </c>
      <c r="BQ722" s="78" t="str">
        <f t="shared" si="137"/>
        <v/>
      </c>
      <c r="BR722" s="78" t="str">
        <f t="shared" si="138"/>
        <v>Kiseru</v>
      </c>
      <c r="BS722" s="1256">
        <f>IF(OR($L722=BS$635,$L722="",$D722=$BU$634),MAX(BS$637:BS721)+1,0)</f>
        <v>0</v>
      </c>
      <c r="BT722" s="1257">
        <f>IF(OR($L722=BT$635,$L722="",$D722=$BU$634),MAX(BT$637:BT721)+1,0)</f>
        <v>0</v>
      </c>
      <c r="BU722" s="1258">
        <f>IF(OR($L722=BU$635,$L722="",$D722=$BU$634),MAX(BU$637:BU721)+1,0)</f>
        <v>66</v>
      </c>
    </row>
    <row r="723" spans="1:73" ht="12.75" customHeight="1" x14ac:dyDescent="0.2">
      <c r="A723" s="227">
        <v>723</v>
      </c>
      <c r="B723" s="5988"/>
      <c r="C723" s="1146"/>
      <c r="D723" s="2629" t="s">
        <v>2176</v>
      </c>
      <c r="E723" s="2633">
        <v>35</v>
      </c>
      <c r="F723" s="2628">
        <v>10</v>
      </c>
      <c r="G723" s="2628">
        <v>4</v>
      </c>
      <c r="H723" s="2628">
        <v>4</v>
      </c>
      <c r="I723" s="2628" t="s">
        <v>1498</v>
      </c>
      <c r="J723" s="2628" t="s">
        <v>1551</v>
      </c>
      <c r="K723" s="2878" t="s">
        <v>7267</v>
      </c>
      <c r="L723" s="2628" t="str">
        <f t="shared" si="142"/>
        <v>Distinta</v>
      </c>
      <c r="M723" s="2634">
        <v>11</v>
      </c>
      <c r="N723" s="2634">
        <v>2</v>
      </c>
      <c r="O723" s="2634">
        <v>25</v>
      </c>
      <c r="P723" s="2628"/>
      <c r="Q723" s="2628"/>
      <c r="R723" s="2628" t="s">
        <v>1456</v>
      </c>
      <c r="S723" s="2628" t="s">
        <v>1456</v>
      </c>
      <c r="T723" s="2628" t="s">
        <v>1456</v>
      </c>
      <c r="U723" s="2628"/>
      <c r="V723" s="2624" t="s">
        <v>2177</v>
      </c>
      <c r="W723" s="2624"/>
      <c r="X723" s="2625" t="str">
        <f t="shared" si="143"/>
        <v>Pequeña</v>
      </c>
      <c r="Y723" s="2618">
        <f t="shared" si="144"/>
        <v>0</v>
      </c>
      <c r="Z723" s="1265" t="str">
        <f t="shared" si="120"/>
        <v/>
      </c>
      <c r="AB723" s="564" t="s">
        <v>7024</v>
      </c>
      <c r="AC723" s="2859"/>
      <c r="AD723" s="2859"/>
      <c r="AE723" s="837"/>
      <c r="AG723" s="853" t="str">
        <f t="shared" si="121"/>
        <v/>
      </c>
      <c r="AH723" s="78" t="str">
        <f t="shared" si="122"/>
        <v/>
      </c>
      <c r="AI723" s="78" t="str">
        <f t="shared" si="123"/>
        <v>Kris</v>
      </c>
      <c r="AJ723" s="1256">
        <f>IF(OR($L723=AJ$635,$L723="",$D723=$AL$634),MAX(AJ$637:AJ722)+1,0)</f>
        <v>0</v>
      </c>
      <c r="AK723" s="1257">
        <f>IF(OR($L723=AK$635,$L723="",$D723=$AL$634),MAX(AK$637:AK722)+1,0)</f>
        <v>0</v>
      </c>
      <c r="AL723" s="1258">
        <f>IF(OR($L723=AL$635,$L723="",$D723=$AL$634),MAX(AL$637:AL722)+1,0)</f>
        <v>67</v>
      </c>
      <c r="AM723" s="6225"/>
      <c r="AN723" s="853" t="str">
        <f t="shared" si="124"/>
        <v/>
      </c>
      <c r="AO723" s="78" t="str">
        <f t="shared" si="125"/>
        <v/>
      </c>
      <c r="AP723" s="78" t="str">
        <f t="shared" si="126"/>
        <v>Kris</v>
      </c>
      <c r="AQ723" s="1256">
        <f>IF(OR($L723=AQ$635,$L723="",$D723=$AS$634),MAX(AQ$637:AQ722)+1,0)</f>
        <v>0</v>
      </c>
      <c r="AR723" s="1257">
        <f>IF(OR($L723=AR$635,$L723="",$D723=$AS$634),MAX(AR$637:AR722)+1,0)</f>
        <v>0</v>
      </c>
      <c r="AS723" s="1258">
        <f>IF(OR($L723=AS$635,$L723="",$D723=$AS$634),MAX(AS$637:AS722)+1,0)</f>
        <v>67</v>
      </c>
      <c r="AT723" s="6225"/>
      <c r="AU723" s="853" t="str">
        <f t="shared" si="127"/>
        <v/>
      </c>
      <c r="AV723" s="78" t="str">
        <f t="shared" si="128"/>
        <v/>
      </c>
      <c r="AW723" s="78" t="str">
        <f t="shared" si="129"/>
        <v>Kris</v>
      </c>
      <c r="AX723" s="1256">
        <f>IF(OR($L723=AX$635,$L723="",$D723=$AZ$634),MAX(AX$637:AX722)+1,0)</f>
        <v>0</v>
      </c>
      <c r="AY723" s="1257">
        <f>IF(OR($L723=AY$635,$L723="",$D723=$AZ$634),MAX(AY$637:AY722)+1,0)</f>
        <v>0</v>
      </c>
      <c r="AZ723" s="1258">
        <f>IF(OR($L723=AZ$635,$L723="",$D723=$AZ$634),MAX(AZ$637:AZ722)+1,0)</f>
        <v>67</v>
      </c>
      <c r="BA723" s="6225"/>
      <c r="BB723" s="853" t="str">
        <f t="shared" si="130"/>
        <v/>
      </c>
      <c r="BC723" s="78" t="str">
        <f t="shared" si="131"/>
        <v/>
      </c>
      <c r="BD723" s="78" t="str">
        <f t="shared" si="132"/>
        <v>Kris</v>
      </c>
      <c r="BE723" s="1256">
        <f>IF(OR($L723=BE$635,$L723="",$D723=$BG$634),MAX(BE$637:BE722)+1,0)</f>
        <v>0</v>
      </c>
      <c r="BF723" s="1257">
        <f>IF(OR($L723=BF$635,$L723="",$D723=$BG$634),MAX(BF$637:BF722)+1,0)</f>
        <v>0</v>
      </c>
      <c r="BG723" s="1258">
        <f>IF(OR($L723=BG$635,$L723="",$D723=$BG$634),MAX(BG$637:BG722)+1,0)</f>
        <v>67</v>
      </c>
      <c r="BH723" s="6225"/>
      <c r="BI723" s="853" t="str">
        <f t="shared" si="133"/>
        <v/>
      </c>
      <c r="BJ723" s="78" t="str">
        <f t="shared" si="134"/>
        <v/>
      </c>
      <c r="BK723" s="78" t="str">
        <f t="shared" si="135"/>
        <v>Kris</v>
      </c>
      <c r="BL723" s="1256">
        <f>IF(OR($L723=BL$635,$L723="",$D723=$BN$634),MAX(BL$637:BL722)+1,0)</f>
        <v>0</v>
      </c>
      <c r="BM723" s="1257">
        <f>IF(OR($L723=BM$635,$L723="",$D723=$BN$634),MAX(BM$637:BM722)+1,0)</f>
        <v>0</v>
      </c>
      <c r="BN723" s="1258">
        <f>IF(OR($L723=BN$635,$L723="",$D723=$BN$634),MAX(BN$637:BN722)+1,0)</f>
        <v>67</v>
      </c>
      <c r="BO723" s="6225"/>
      <c r="BP723" s="853" t="str">
        <f t="shared" si="136"/>
        <v/>
      </c>
      <c r="BQ723" s="78" t="str">
        <f t="shared" si="137"/>
        <v/>
      </c>
      <c r="BR723" s="78" t="str">
        <f t="shared" si="138"/>
        <v>Kris</v>
      </c>
      <c r="BS723" s="1256">
        <f>IF(OR($L723=BS$635,$L723="",$D723=$BU$634),MAX(BS$637:BS722)+1,0)</f>
        <v>0</v>
      </c>
      <c r="BT723" s="1257">
        <f>IF(OR($L723=BT$635,$L723="",$D723=$BU$634),MAX(BT$637:BT722)+1,0)</f>
        <v>0</v>
      </c>
      <c r="BU723" s="1258">
        <f>IF(OR($L723=BU$635,$L723="",$D723=$BU$634),MAX(BU$637:BU722)+1,0)</f>
        <v>67</v>
      </c>
    </row>
    <row r="724" spans="1:73" ht="12.75" customHeight="1" x14ac:dyDescent="0.2">
      <c r="A724" s="227">
        <v>724</v>
      </c>
      <c r="B724" s="5988"/>
      <c r="C724" s="1146"/>
      <c r="D724" s="2629" t="s">
        <v>2178</v>
      </c>
      <c r="E724" s="2633">
        <v>30</v>
      </c>
      <c r="F724" s="2628">
        <v>15</v>
      </c>
      <c r="G724" s="2628">
        <v>4</v>
      </c>
      <c r="H724" s="2628">
        <v>4</v>
      </c>
      <c r="I724" s="2628" t="s">
        <v>1551</v>
      </c>
      <c r="J724" s="2628" t="s">
        <v>1552</v>
      </c>
      <c r="K724" s="2878" t="s">
        <v>7267</v>
      </c>
      <c r="L724" s="2628" t="str">
        <f t="shared" si="142"/>
        <v>Distinta</v>
      </c>
      <c r="M724" s="2634">
        <v>12</v>
      </c>
      <c r="N724" s="2634">
        <v>2</v>
      </c>
      <c r="O724" s="2634">
        <v>15</v>
      </c>
      <c r="P724" s="2628"/>
      <c r="Q724" s="2628"/>
      <c r="R724" s="2628" t="s">
        <v>1456</v>
      </c>
      <c r="S724" s="2628" t="s">
        <v>1456</v>
      </c>
      <c r="T724" s="2628" t="s">
        <v>1456</v>
      </c>
      <c r="U724" s="2628"/>
      <c r="V724" s="2624" t="s">
        <v>1456</v>
      </c>
      <c r="W724" s="2624"/>
      <c r="X724" s="2625" t="str">
        <f t="shared" si="143"/>
        <v>Pequeña</v>
      </c>
      <c r="Y724" s="2618">
        <f t="shared" si="144"/>
        <v>0</v>
      </c>
      <c r="Z724" s="1265" t="str">
        <f t="shared" si="120"/>
        <v/>
      </c>
      <c r="AB724" s="564" t="s">
        <v>7025</v>
      </c>
      <c r="AC724" s="2859"/>
      <c r="AD724" s="2859"/>
      <c r="AE724" s="837"/>
      <c r="AG724" s="853" t="str">
        <f t="shared" si="121"/>
        <v/>
      </c>
      <c r="AH724" s="78" t="str">
        <f t="shared" si="122"/>
        <v/>
      </c>
      <c r="AI724" s="78" t="str">
        <f t="shared" si="123"/>
        <v>Kunai</v>
      </c>
      <c r="AJ724" s="1256">
        <f>IF(OR($L724=AJ$635,$L724="",$D724=$AL$634),MAX(AJ$637:AJ723)+1,0)</f>
        <v>0</v>
      </c>
      <c r="AK724" s="1257">
        <f>IF(OR($L724=AK$635,$L724="",$D724=$AL$634),MAX(AK$637:AK723)+1,0)</f>
        <v>0</v>
      </c>
      <c r="AL724" s="1258">
        <f>IF(OR($L724=AL$635,$L724="",$D724=$AL$634),MAX(AL$637:AL723)+1,0)</f>
        <v>68</v>
      </c>
      <c r="AM724" s="6225"/>
      <c r="AN724" s="853" t="str">
        <f t="shared" si="124"/>
        <v/>
      </c>
      <c r="AO724" s="78" t="str">
        <f t="shared" si="125"/>
        <v/>
      </c>
      <c r="AP724" s="78" t="str">
        <f t="shared" si="126"/>
        <v>Kunai</v>
      </c>
      <c r="AQ724" s="1256">
        <f>IF(OR($L724=AQ$635,$L724="",$D724=$AS$634),MAX(AQ$637:AQ723)+1,0)</f>
        <v>0</v>
      </c>
      <c r="AR724" s="1257">
        <f>IF(OR($L724=AR$635,$L724="",$D724=$AS$634),MAX(AR$637:AR723)+1,0)</f>
        <v>0</v>
      </c>
      <c r="AS724" s="1258">
        <f>IF(OR($L724=AS$635,$L724="",$D724=$AS$634),MAX(AS$637:AS723)+1,0)</f>
        <v>68</v>
      </c>
      <c r="AT724" s="6225"/>
      <c r="AU724" s="853" t="str">
        <f t="shared" si="127"/>
        <v/>
      </c>
      <c r="AV724" s="78" t="str">
        <f t="shared" si="128"/>
        <v/>
      </c>
      <c r="AW724" s="78" t="str">
        <f t="shared" si="129"/>
        <v>Kunai</v>
      </c>
      <c r="AX724" s="1256">
        <f>IF(OR($L724=AX$635,$L724="",$D724=$AZ$634),MAX(AX$637:AX723)+1,0)</f>
        <v>0</v>
      </c>
      <c r="AY724" s="1257">
        <f>IF(OR($L724=AY$635,$L724="",$D724=$AZ$634),MAX(AY$637:AY723)+1,0)</f>
        <v>0</v>
      </c>
      <c r="AZ724" s="1258">
        <f>IF(OR($L724=AZ$635,$L724="",$D724=$AZ$634),MAX(AZ$637:AZ723)+1,0)</f>
        <v>68</v>
      </c>
      <c r="BA724" s="6225"/>
      <c r="BB724" s="853" t="str">
        <f t="shared" si="130"/>
        <v/>
      </c>
      <c r="BC724" s="78" t="str">
        <f t="shared" si="131"/>
        <v/>
      </c>
      <c r="BD724" s="78" t="str">
        <f t="shared" si="132"/>
        <v>Kunai</v>
      </c>
      <c r="BE724" s="1256">
        <f>IF(OR($L724=BE$635,$L724="",$D724=$BG$634),MAX(BE$637:BE723)+1,0)</f>
        <v>0</v>
      </c>
      <c r="BF724" s="1257">
        <f>IF(OR($L724=BF$635,$L724="",$D724=$BG$634),MAX(BF$637:BF723)+1,0)</f>
        <v>0</v>
      </c>
      <c r="BG724" s="1258">
        <f>IF(OR($L724=BG$635,$L724="",$D724=$BG$634),MAX(BG$637:BG723)+1,0)</f>
        <v>68</v>
      </c>
      <c r="BH724" s="6225"/>
      <c r="BI724" s="853" t="str">
        <f t="shared" si="133"/>
        <v/>
      </c>
      <c r="BJ724" s="78" t="str">
        <f t="shared" si="134"/>
        <v/>
      </c>
      <c r="BK724" s="78" t="str">
        <f t="shared" si="135"/>
        <v>Kunai</v>
      </c>
      <c r="BL724" s="1256">
        <f>IF(OR($L724=BL$635,$L724="",$D724=$BN$634),MAX(BL$637:BL723)+1,0)</f>
        <v>0</v>
      </c>
      <c r="BM724" s="1257">
        <f>IF(OR($L724=BM$635,$L724="",$D724=$BN$634),MAX(BM$637:BM723)+1,0)</f>
        <v>0</v>
      </c>
      <c r="BN724" s="1258">
        <f>IF(OR($L724=BN$635,$L724="",$D724=$BN$634),MAX(BN$637:BN723)+1,0)</f>
        <v>68</v>
      </c>
      <c r="BO724" s="6225"/>
      <c r="BP724" s="853" t="str">
        <f t="shared" si="136"/>
        <v/>
      </c>
      <c r="BQ724" s="78" t="str">
        <f t="shared" si="137"/>
        <v/>
      </c>
      <c r="BR724" s="78" t="str">
        <f t="shared" si="138"/>
        <v>Kunai</v>
      </c>
      <c r="BS724" s="1256">
        <f>IF(OR($L724=BS$635,$L724="",$D724=$BU$634),MAX(BS$637:BS723)+1,0)</f>
        <v>0</v>
      </c>
      <c r="BT724" s="1257">
        <f>IF(OR($L724=BT$635,$L724="",$D724=$BU$634),MAX(BT$637:BT723)+1,0)</f>
        <v>0</v>
      </c>
      <c r="BU724" s="1258">
        <f>IF(OR($L724=BU$635,$L724="",$D724=$BU$634),MAX(BU$637:BU723)+1,0)</f>
        <v>68</v>
      </c>
    </row>
    <row r="725" spans="1:73" ht="12.75" customHeight="1" x14ac:dyDescent="0.2">
      <c r="A725" s="227">
        <v>725</v>
      </c>
      <c r="B725" s="5988"/>
      <c r="C725" s="1146"/>
      <c r="D725" s="2629" t="s">
        <v>2179</v>
      </c>
      <c r="E725" s="2633">
        <v>50</v>
      </c>
      <c r="F725" s="2628">
        <v>0</v>
      </c>
      <c r="G725" s="2628">
        <v>6</v>
      </c>
      <c r="H725" s="2628">
        <v>5</v>
      </c>
      <c r="I725" s="2628" t="s">
        <v>1551</v>
      </c>
      <c r="J725" s="2628" t="s">
        <v>1456</v>
      </c>
      <c r="K725" s="2878" t="s">
        <v>7265</v>
      </c>
      <c r="L725" s="2628" t="str">
        <f t="shared" si="142"/>
        <v>Distinta</v>
      </c>
      <c r="M725" s="2634">
        <v>11</v>
      </c>
      <c r="N725" s="2634">
        <v>3</v>
      </c>
      <c r="O725" s="2634">
        <v>40</v>
      </c>
      <c r="P725" s="2628"/>
      <c r="Q725" s="2628"/>
      <c r="R725" s="2628" t="s">
        <v>1456</v>
      </c>
      <c r="S725" s="2628" t="s">
        <v>1456</v>
      </c>
      <c r="T725" s="2628" t="s">
        <v>1456</v>
      </c>
      <c r="U725" s="2628"/>
      <c r="V725" s="2624" t="s">
        <v>2130</v>
      </c>
      <c r="W725" s="2624"/>
      <c r="X725" s="2625" t="str">
        <f t="shared" si="143"/>
        <v>Mediana</v>
      </c>
      <c r="Y725" s="2618">
        <f t="shared" si="144"/>
        <v>0</v>
      </c>
      <c r="Z725" s="1265" t="str">
        <f t="shared" si="120"/>
        <v/>
      </c>
      <c r="AB725" s="853" t="s">
        <v>7004</v>
      </c>
      <c r="AC725" s="2859"/>
      <c r="AD725" s="2859"/>
      <c r="AE725" s="837"/>
      <c r="AG725" s="853" t="str">
        <f t="shared" si="121"/>
        <v/>
      </c>
      <c r="AH725" s="78" t="str">
        <f t="shared" si="122"/>
        <v/>
      </c>
      <c r="AI725" s="78" t="str">
        <f t="shared" si="123"/>
        <v>Kyoketsu-shogui</v>
      </c>
      <c r="AJ725" s="1256">
        <f>IF(OR($L725=AJ$635,$L725="",$D725=$AL$634),MAX(AJ$637:AJ724)+1,0)</f>
        <v>0</v>
      </c>
      <c r="AK725" s="1257">
        <f>IF(OR($L725=AK$635,$L725="",$D725=$AL$634),MAX(AK$637:AK724)+1,0)</f>
        <v>0</v>
      </c>
      <c r="AL725" s="1258">
        <f>IF(OR($L725=AL$635,$L725="",$D725=$AL$634),MAX(AL$637:AL724)+1,0)</f>
        <v>69</v>
      </c>
      <c r="AM725" s="6225"/>
      <c r="AN725" s="853" t="str">
        <f t="shared" si="124"/>
        <v/>
      </c>
      <c r="AO725" s="78" t="str">
        <f t="shared" si="125"/>
        <v/>
      </c>
      <c r="AP725" s="78" t="str">
        <f t="shared" si="126"/>
        <v>Kyoketsu-shogui</v>
      </c>
      <c r="AQ725" s="1256">
        <f>IF(OR($L725=AQ$635,$L725="",$D725=$AS$634),MAX(AQ$637:AQ724)+1,0)</f>
        <v>0</v>
      </c>
      <c r="AR725" s="1257">
        <f>IF(OR($L725=AR$635,$L725="",$D725=$AS$634),MAX(AR$637:AR724)+1,0)</f>
        <v>0</v>
      </c>
      <c r="AS725" s="1258">
        <f>IF(OR($L725=AS$635,$L725="",$D725=$AS$634),MAX(AS$637:AS724)+1,0)</f>
        <v>69</v>
      </c>
      <c r="AT725" s="6225"/>
      <c r="AU725" s="853" t="str">
        <f t="shared" si="127"/>
        <v/>
      </c>
      <c r="AV725" s="78" t="str">
        <f t="shared" si="128"/>
        <v/>
      </c>
      <c r="AW725" s="78" t="str">
        <f t="shared" si="129"/>
        <v>Kyoketsu-shogui</v>
      </c>
      <c r="AX725" s="1256">
        <f>IF(OR($L725=AX$635,$L725="",$D725=$AZ$634),MAX(AX$637:AX724)+1,0)</f>
        <v>0</v>
      </c>
      <c r="AY725" s="1257">
        <f>IF(OR($L725=AY$635,$L725="",$D725=$AZ$634),MAX(AY$637:AY724)+1,0)</f>
        <v>0</v>
      </c>
      <c r="AZ725" s="1258">
        <f>IF(OR($L725=AZ$635,$L725="",$D725=$AZ$634),MAX(AZ$637:AZ724)+1,0)</f>
        <v>69</v>
      </c>
      <c r="BA725" s="6225"/>
      <c r="BB725" s="853" t="str">
        <f t="shared" si="130"/>
        <v/>
      </c>
      <c r="BC725" s="78" t="str">
        <f t="shared" si="131"/>
        <v/>
      </c>
      <c r="BD725" s="78" t="str">
        <f t="shared" si="132"/>
        <v>Kyoketsu-shogui</v>
      </c>
      <c r="BE725" s="1256">
        <f>IF(OR($L725=BE$635,$L725="",$D725=$BG$634),MAX(BE$637:BE724)+1,0)</f>
        <v>0</v>
      </c>
      <c r="BF725" s="1257">
        <f>IF(OR($L725=BF$635,$L725="",$D725=$BG$634),MAX(BF$637:BF724)+1,0)</f>
        <v>0</v>
      </c>
      <c r="BG725" s="1258">
        <f>IF(OR($L725=BG$635,$L725="",$D725=$BG$634),MAX(BG$637:BG724)+1,0)</f>
        <v>69</v>
      </c>
      <c r="BH725" s="6225"/>
      <c r="BI725" s="853" t="str">
        <f t="shared" si="133"/>
        <v/>
      </c>
      <c r="BJ725" s="78" t="str">
        <f t="shared" si="134"/>
        <v/>
      </c>
      <c r="BK725" s="78" t="str">
        <f t="shared" si="135"/>
        <v>Kyoketsu-shogui</v>
      </c>
      <c r="BL725" s="1256">
        <f>IF(OR($L725=BL$635,$L725="",$D725=$BN$634),MAX(BL$637:BL724)+1,0)</f>
        <v>0</v>
      </c>
      <c r="BM725" s="1257">
        <f>IF(OR($L725=BM$635,$L725="",$D725=$BN$634),MAX(BM$637:BM724)+1,0)</f>
        <v>0</v>
      </c>
      <c r="BN725" s="1258">
        <f>IF(OR($L725=BN$635,$L725="",$D725=$BN$634),MAX(BN$637:BN724)+1,0)</f>
        <v>69</v>
      </c>
      <c r="BO725" s="6225"/>
      <c r="BP725" s="853" t="str">
        <f t="shared" si="136"/>
        <v/>
      </c>
      <c r="BQ725" s="78" t="str">
        <f t="shared" si="137"/>
        <v/>
      </c>
      <c r="BR725" s="78" t="str">
        <f t="shared" si="138"/>
        <v>Kyoketsu-shogui</v>
      </c>
      <c r="BS725" s="1256">
        <f>IF(OR($L725=BS$635,$L725="",$D725=$BU$634),MAX(BS$637:BS724)+1,0)</f>
        <v>0</v>
      </c>
      <c r="BT725" s="1257">
        <f>IF(OR($L725=BT$635,$L725="",$D725=$BU$634),MAX(BT$637:BT724)+1,0)</f>
        <v>0</v>
      </c>
      <c r="BU725" s="1258">
        <f>IF(OR($L725=BU$635,$L725="",$D725=$BU$634),MAX(BU$637:BU724)+1,0)</f>
        <v>69</v>
      </c>
    </row>
    <row r="726" spans="1:73" ht="12.75" customHeight="1" x14ac:dyDescent="0.2">
      <c r="A726" s="227">
        <v>726</v>
      </c>
      <c r="B726" s="5988"/>
      <c r="C726" s="1146"/>
      <c r="D726" s="2629" t="s">
        <v>2180</v>
      </c>
      <c r="E726" s="2633">
        <f>55-Bono_Fue</f>
        <v>55</v>
      </c>
      <c r="F726" s="2628">
        <v>-5</v>
      </c>
      <c r="G726" s="2628">
        <v>8</v>
      </c>
      <c r="H726" s="2628">
        <v>8</v>
      </c>
      <c r="I726" s="2628" t="s">
        <v>1551</v>
      </c>
      <c r="J726" s="2628" t="s">
        <v>1456</v>
      </c>
      <c r="K726" s="2878" t="s">
        <v>7265</v>
      </c>
      <c r="L726" s="2628" t="str">
        <f t="shared" si="142"/>
        <v>Distinta</v>
      </c>
      <c r="M726" s="2634">
        <v>11</v>
      </c>
      <c r="N726" s="2634">
        <v>3</v>
      </c>
      <c r="O726" s="2634">
        <v>40</v>
      </c>
      <c r="P726" s="2628"/>
      <c r="Q726" s="2628"/>
      <c r="R726" s="2628" t="s">
        <v>1456</v>
      </c>
      <c r="S726" s="2628" t="s">
        <v>1456</v>
      </c>
      <c r="T726" s="2628" t="s">
        <v>1456</v>
      </c>
      <c r="U726" s="2628"/>
      <c r="V726" s="2624" t="s">
        <v>2181</v>
      </c>
      <c r="W726" s="2624"/>
      <c r="X726" s="2625" t="str">
        <f t="shared" si="143"/>
        <v>Mediana</v>
      </c>
      <c r="Y726" s="2618">
        <f t="shared" si="144"/>
        <v>0</v>
      </c>
      <c r="Z726" s="1265" t="str">
        <f t="shared" si="120"/>
        <v/>
      </c>
      <c r="AB726" s="564" t="s">
        <v>7026</v>
      </c>
      <c r="AC726" s="2859"/>
      <c r="AD726" s="2859"/>
      <c r="AE726" s="837"/>
      <c r="AG726" s="853" t="str">
        <f t="shared" si="121"/>
        <v/>
      </c>
      <c r="AH726" s="78" t="str">
        <f t="shared" si="122"/>
        <v/>
      </c>
      <c r="AI726" s="78" t="str">
        <f t="shared" si="123"/>
        <v>Ninja-to</v>
      </c>
      <c r="AJ726" s="1256">
        <f>IF(OR($L726=AJ$635,$L726="",$D726=$AL$634),MAX(AJ$637:AJ725)+1,0)</f>
        <v>0</v>
      </c>
      <c r="AK726" s="1257">
        <f>IF(OR($L726=AK$635,$L726="",$D726=$AL$634),MAX(AK$637:AK725)+1,0)</f>
        <v>0</v>
      </c>
      <c r="AL726" s="1258">
        <f>IF(OR($L726=AL$635,$L726="",$D726=$AL$634),MAX(AL$637:AL725)+1,0)</f>
        <v>70</v>
      </c>
      <c r="AM726" s="6225"/>
      <c r="AN726" s="853" t="str">
        <f t="shared" si="124"/>
        <v/>
      </c>
      <c r="AO726" s="78" t="str">
        <f t="shared" si="125"/>
        <v/>
      </c>
      <c r="AP726" s="78" t="str">
        <f t="shared" si="126"/>
        <v>Ninja-to</v>
      </c>
      <c r="AQ726" s="1256">
        <f>IF(OR($L726=AQ$635,$L726="",$D726=$AS$634),MAX(AQ$637:AQ725)+1,0)</f>
        <v>0</v>
      </c>
      <c r="AR726" s="1257">
        <f>IF(OR($L726=AR$635,$L726="",$D726=$AS$634),MAX(AR$637:AR725)+1,0)</f>
        <v>0</v>
      </c>
      <c r="AS726" s="1258">
        <f>IF(OR($L726=AS$635,$L726="",$D726=$AS$634),MAX(AS$637:AS725)+1,0)</f>
        <v>70</v>
      </c>
      <c r="AT726" s="6225"/>
      <c r="AU726" s="853" t="str">
        <f t="shared" si="127"/>
        <v/>
      </c>
      <c r="AV726" s="78" t="str">
        <f t="shared" si="128"/>
        <v/>
      </c>
      <c r="AW726" s="78" t="str">
        <f t="shared" si="129"/>
        <v>Ninja-to</v>
      </c>
      <c r="AX726" s="1256">
        <f>IF(OR($L726=AX$635,$L726="",$D726=$AZ$634),MAX(AX$637:AX725)+1,0)</f>
        <v>0</v>
      </c>
      <c r="AY726" s="1257">
        <f>IF(OR($L726=AY$635,$L726="",$D726=$AZ$634),MAX(AY$637:AY725)+1,0)</f>
        <v>0</v>
      </c>
      <c r="AZ726" s="1258">
        <f>IF(OR($L726=AZ$635,$L726="",$D726=$AZ$634),MAX(AZ$637:AZ725)+1,0)</f>
        <v>70</v>
      </c>
      <c r="BA726" s="6225"/>
      <c r="BB726" s="853" t="str">
        <f t="shared" si="130"/>
        <v/>
      </c>
      <c r="BC726" s="78" t="str">
        <f t="shared" si="131"/>
        <v/>
      </c>
      <c r="BD726" s="78" t="str">
        <f t="shared" si="132"/>
        <v>Ninja-to</v>
      </c>
      <c r="BE726" s="1256">
        <f>IF(OR($L726=BE$635,$L726="",$D726=$BG$634),MAX(BE$637:BE725)+1,0)</f>
        <v>0</v>
      </c>
      <c r="BF726" s="1257">
        <f>IF(OR($L726=BF$635,$L726="",$D726=$BG$634),MAX(BF$637:BF725)+1,0)</f>
        <v>0</v>
      </c>
      <c r="BG726" s="1258">
        <f>IF(OR($L726=BG$635,$L726="",$D726=$BG$634),MAX(BG$637:BG725)+1,0)</f>
        <v>70</v>
      </c>
      <c r="BH726" s="6225"/>
      <c r="BI726" s="853" t="str">
        <f t="shared" si="133"/>
        <v/>
      </c>
      <c r="BJ726" s="78" t="str">
        <f t="shared" si="134"/>
        <v/>
      </c>
      <c r="BK726" s="78" t="str">
        <f t="shared" si="135"/>
        <v>Ninja-to</v>
      </c>
      <c r="BL726" s="1256">
        <f>IF(OR($L726=BL$635,$L726="",$D726=$BN$634),MAX(BL$637:BL725)+1,0)</f>
        <v>0</v>
      </c>
      <c r="BM726" s="1257">
        <f>IF(OR($L726=BM$635,$L726="",$D726=$BN$634),MAX(BM$637:BM725)+1,0)</f>
        <v>0</v>
      </c>
      <c r="BN726" s="1258">
        <f>IF(OR($L726=BN$635,$L726="",$D726=$BN$634),MAX(BN$637:BN725)+1,0)</f>
        <v>70</v>
      </c>
      <c r="BO726" s="6225"/>
      <c r="BP726" s="853" t="str">
        <f t="shared" si="136"/>
        <v/>
      </c>
      <c r="BQ726" s="78" t="str">
        <f t="shared" si="137"/>
        <v/>
      </c>
      <c r="BR726" s="78" t="str">
        <f t="shared" si="138"/>
        <v>Ninja-to</v>
      </c>
      <c r="BS726" s="1256">
        <f>IF(OR($L726=BS$635,$L726="",$D726=$BU$634),MAX(BS$637:BS725)+1,0)</f>
        <v>0</v>
      </c>
      <c r="BT726" s="1257">
        <f>IF(OR($L726=BT$635,$L726="",$D726=$BU$634),MAX(BT$637:BT725)+1,0)</f>
        <v>0</v>
      </c>
      <c r="BU726" s="1258">
        <f>IF(OR($L726=BU$635,$L726="",$D726=$BU$634),MAX(BU$637:BU725)+1,0)</f>
        <v>70</v>
      </c>
    </row>
    <row r="727" spans="1:73" ht="12.75" customHeight="1" x14ac:dyDescent="0.2">
      <c r="A727" s="227">
        <v>727</v>
      </c>
      <c r="B727" s="5988"/>
      <c r="C727" s="1146"/>
      <c r="D727" s="2629" t="s">
        <v>2182</v>
      </c>
      <c r="E727" s="2633">
        <v>40</v>
      </c>
      <c r="F727" s="2628">
        <v>10</v>
      </c>
      <c r="G727" s="2628">
        <v>8</v>
      </c>
      <c r="H727" s="2628">
        <v>8</v>
      </c>
      <c r="I727" s="2628" t="s">
        <v>1552</v>
      </c>
      <c r="J727" s="2628" t="s">
        <v>1551</v>
      </c>
      <c r="K727" s="2878" t="s">
        <v>7267</v>
      </c>
      <c r="L727" s="2628" t="str">
        <f t="shared" si="142"/>
        <v>Distinta</v>
      </c>
      <c r="M727" s="2634">
        <v>13</v>
      </c>
      <c r="N727" s="2634">
        <v>3</v>
      </c>
      <c r="O727" s="2634">
        <v>25</v>
      </c>
      <c r="P727" s="2628"/>
      <c r="Q727" s="2628"/>
      <c r="R727" s="2628" t="s">
        <v>1456</v>
      </c>
      <c r="S727" s="2628" t="s">
        <v>1456</v>
      </c>
      <c r="T727" s="2628" t="s">
        <v>1456</v>
      </c>
      <c r="U727" s="2628"/>
      <c r="V727" s="2624" t="s">
        <v>2183</v>
      </c>
      <c r="W727" s="2624"/>
      <c r="X727" s="2625" t="str">
        <f t="shared" si="143"/>
        <v>Pequeña</v>
      </c>
      <c r="Y727" s="2618">
        <f t="shared" si="144"/>
        <v>0</v>
      </c>
      <c r="Z727" s="1265" t="str">
        <f t="shared" si="120"/>
        <v/>
      </c>
      <c r="AB727" s="564" t="s">
        <v>2186</v>
      </c>
      <c r="AC727" s="2859"/>
      <c r="AD727" s="2859"/>
      <c r="AE727" s="837"/>
      <c r="AG727" s="853" t="str">
        <f t="shared" si="121"/>
        <v/>
      </c>
      <c r="AH727" s="78" t="str">
        <f t="shared" si="122"/>
        <v/>
      </c>
      <c r="AI727" s="78" t="str">
        <f t="shared" si="123"/>
        <v>Ram Dao</v>
      </c>
      <c r="AJ727" s="1256">
        <f>IF(OR($L727=AJ$635,$L727="",$D727=$AL$634),MAX(AJ$637:AJ726)+1,0)</f>
        <v>0</v>
      </c>
      <c r="AK727" s="1257">
        <f>IF(OR($L727=AK$635,$L727="",$D727=$AL$634),MAX(AK$637:AK726)+1,0)</f>
        <v>0</v>
      </c>
      <c r="AL727" s="1258">
        <f>IF(OR($L727=AL$635,$L727="",$D727=$AL$634),MAX(AL$637:AL726)+1,0)</f>
        <v>71</v>
      </c>
      <c r="AM727" s="6225"/>
      <c r="AN727" s="853" t="str">
        <f t="shared" si="124"/>
        <v/>
      </c>
      <c r="AO727" s="78" t="str">
        <f t="shared" si="125"/>
        <v/>
      </c>
      <c r="AP727" s="78" t="str">
        <f t="shared" si="126"/>
        <v>Ram Dao</v>
      </c>
      <c r="AQ727" s="1256">
        <f>IF(OR($L727=AQ$635,$L727="",$D727=$AS$634),MAX(AQ$637:AQ726)+1,0)</f>
        <v>0</v>
      </c>
      <c r="AR727" s="1257">
        <f>IF(OR($L727=AR$635,$L727="",$D727=$AS$634),MAX(AR$637:AR726)+1,0)</f>
        <v>0</v>
      </c>
      <c r="AS727" s="1258">
        <f>IF(OR($L727=AS$635,$L727="",$D727=$AS$634),MAX(AS$637:AS726)+1,0)</f>
        <v>71</v>
      </c>
      <c r="AT727" s="6225"/>
      <c r="AU727" s="853" t="str">
        <f t="shared" si="127"/>
        <v/>
      </c>
      <c r="AV727" s="78" t="str">
        <f t="shared" si="128"/>
        <v/>
      </c>
      <c r="AW727" s="78" t="str">
        <f t="shared" si="129"/>
        <v>Ram Dao</v>
      </c>
      <c r="AX727" s="1256">
        <f>IF(OR($L727=AX$635,$L727="",$D727=$AZ$634),MAX(AX$637:AX726)+1,0)</f>
        <v>0</v>
      </c>
      <c r="AY727" s="1257">
        <f>IF(OR($L727=AY$635,$L727="",$D727=$AZ$634),MAX(AY$637:AY726)+1,0)</f>
        <v>0</v>
      </c>
      <c r="AZ727" s="1258">
        <f>IF(OR($L727=AZ$635,$L727="",$D727=$AZ$634),MAX(AZ$637:AZ726)+1,0)</f>
        <v>71</v>
      </c>
      <c r="BA727" s="6225"/>
      <c r="BB727" s="853" t="str">
        <f t="shared" si="130"/>
        <v/>
      </c>
      <c r="BC727" s="78" t="str">
        <f t="shared" si="131"/>
        <v/>
      </c>
      <c r="BD727" s="78" t="str">
        <f t="shared" si="132"/>
        <v>Ram Dao</v>
      </c>
      <c r="BE727" s="1256">
        <f>IF(OR($L727=BE$635,$L727="",$D727=$BG$634),MAX(BE$637:BE726)+1,0)</f>
        <v>0</v>
      </c>
      <c r="BF727" s="1257">
        <f>IF(OR($L727=BF$635,$L727="",$D727=$BG$634),MAX(BF$637:BF726)+1,0)</f>
        <v>0</v>
      </c>
      <c r="BG727" s="1258">
        <f>IF(OR($L727=BG$635,$L727="",$D727=$BG$634),MAX(BG$637:BG726)+1,0)</f>
        <v>71</v>
      </c>
      <c r="BH727" s="6225"/>
      <c r="BI727" s="853" t="str">
        <f t="shared" si="133"/>
        <v/>
      </c>
      <c r="BJ727" s="78" t="str">
        <f t="shared" si="134"/>
        <v/>
      </c>
      <c r="BK727" s="78" t="str">
        <f t="shared" si="135"/>
        <v>Ram Dao</v>
      </c>
      <c r="BL727" s="1256">
        <f>IF(OR($L727=BL$635,$L727="",$D727=$BN$634),MAX(BL$637:BL726)+1,0)</f>
        <v>0</v>
      </c>
      <c r="BM727" s="1257">
        <f>IF(OR($L727=BM$635,$L727="",$D727=$BN$634),MAX(BM$637:BM726)+1,0)</f>
        <v>0</v>
      </c>
      <c r="BN727" s="1258">
        <f>IF(OR($L727=BN$635,$L727="",$D727=$BN$634),MAX(BN$637:BN726)+1,0)</f>
        <v>71</v>
      </c>
      <c r="BO727" s="6225"/>
      <c r="BP727" s="853" t="str">
        <f t="shared" si="136"/>
        <v/>
      </c>
      <c r="BQ727" s="78" t="str">
        <f t="shared" si="137"/>
        <v/>
      </c>
      <c r="BR727" s="78" t="str">
        <f t="shared" si="138"/>
        <v>Ram Dao</v>
      </c>
      <c r="BS727" s="1256">
        <f>IF(OR($L727=BS$635,$L727="",$D727=$BU$634),MAX(BS$637:BS726)+1,0)</f>
        <v>0</v>
      </c>
      <c r="BT727" s="1257">
        <f>IF(OR($L727=BT$635,$L727="",$D727=$BU$634),MAX(BT$637:BT726)+1,0)</f>
        <v>0</v>
      </c>
      <c r="BU727" s="1258">
        <f>IF(OR($L727=BU$635,$L727="",$D727=$BU$634),MAX(BU$637:BU726)+1,0)</f>
        <v>71</v>
      </c>
    </row>
    <row r="728" spans="1:73" ht="12.75" customHeight="1" x14ac:dyDescent="0.2">
      <c r="A728" s="227">
        <v>728</v>
      </c>
      <c r="B728" s="5988"/>
      <c r="C728" s="1146"/>
      <c r="D728" s="2629" t="s">
        <v>2184</v>
      </c>
      <c r="E728" s="2633">
        <f>40-Bono_Fue</f>
        <v>40</v>
      </c>
      <c r="F728" s="2628">
        <v>5</v>
      </c>
      <c r="G728" s="2628">
        <v>5</v>
      </c>
      <c r="H728" s="2628">
        <v>5</v>
      </c>
      <c r="I728" s="2628" t="s">
        <v>1551</v>
      </c>
      <c r="J728" s="2628" t="s">
        <v>1498</v>
      </c>
      <c r="K728" s="2878" t="s">
        <v>7279</v>
      </c>
      <c r="L728" s="2628" t="str">
        <f t="shared" si="142"/>
        <v>Distinta</v>
      </c>
      <c r="M728" s="2634">
        <v>12</v>
      </c>
      <c r="N728" s="2634">
        <v>4</v>
      </c>
      <c r="O728" s="2634">
        <v>25</v>
      </c>
      <c r="P728" s="2628"/>
      <c r="Q728" s="2628"/>
      <c r="R728" s="2628" t="s">
        <v>1456</v>
      </c>
      <c r="S728" s="2628" t="s">
        <v>1456</v>
      </c>
      <c r="T728" s="2628" t="s">
        <v>1456</v>
      </c>
      <c r="U728" s="2628"/>
      <c r="V728" s="2624" t="s">
        <v>2185</v>
      </c>
      <c r="W728" s="2624"/>
      <c r="X728" s="2625" t="str">
        <f t="shared" si="143"/>
        <v>Pequeña</v>
      </c>
      <c r="Y728" s="2618">
        <f t="shared" si="144"/>
        <v>0</v>
      </c>
      <c r="Z728" s="1265" t="str">
        <f t="shared" si="120"/>
        <v/>
      </c>
      <c r="AB728" s="853" t="s">
        <v>2187</v>
      </c>
      <c r="AC728" s="2859"/>
      <c r="AD728" s="2859"/>
      <c r="AE728" s="837"/>
      <c r="AG728" s="853" t="str">
        <f t="shared" si="121"/>
        <v/>
      </c>
      <c r="AH728" s="78" t="str">
        <f t="shared" si="122"/>
        <v/>
      </c>
      <c r="AI728" s="78" t="str">
        <f t="shared" si="123"/>
        <v>Tetsubo</v>
      </c>
      <c r="AJ728" s="1256">
        <f>IF(OR($L728=AJ$635,$L728="",$D728=$AL$634),MAX(AJ$637:AJ727)+1,0)</f>
        <v>0</v>
      </c>
      <c r="AK728" s="1257">
        <f>IF(OR($L728=AK$635,$L728="",$D728=$AL$634),MAX(AK$637:AK727)+1,0)</f>
        <v>0</v>
      </c>
      <c r="AL728" s="1258">
        <f>IF(OR($L728=AL$635,$L728="",$D728=$AL$634),MAX(AL$637:AL727)+1,0)</f>
        <v>72</v>
      </c>
      <c r="AM728" s="6225"/>
      <c r="AN728" s="853" t="str">
        <f t="shared" si="124"/>
        <v/>
      </c>
      <c r="AO728" s="78" t="str">
        <f t="shared" si="125"/>
        <v/>
      </c>
      <c r="AP728" s="78" t="str">
        <f t="shared" si="126"/>
        <v>Tetsubo</v>
      </c>
      <c r="AQ728" s="1256">
        <f>IF(OR($L728=AQ$635,$L728="",$D728=$AS$634),MAX(AQ$637:AQ727)+1,0)</f>
        <v>0</v>
      </c>
      <c r="AR728" s="1257">
        <f>IF(OR($L728=AR$635,$L728="",$D728=$AS$634),MAX(AR$637:AR727)+1,0)</f>
        <v>0</v>
      </c>
      <c r="AS728" s="1258">
        <f>IF(OR($L728=AS$635,$L728="",$D728=$AS$634),MAX(AS$637:AS727)+1,0)</f>
        <v>72</v>
      </c>
      <c r="AT728" s="6225"/>
      <c r="AU728" s="853" t="str">
        <f t="shared" si="127"/>
        <v/>
      </c>
      <c r="AV728" s="78" t="str">
        <f t="shared" si="128"/>
        <v/>
      </c>
      <c r="AW728" s="78" t="str">
        <f t="shared" si="129"/>
        <v>Tetsubo</v>
      </c>
      <c r="AX728" s="1256">
        <f>IF(OR($L728=AX$635,$L728="",$D728=$AZ$634),MAX(AX$637:AX727)+1,0)</f>
        <v>0</v>
      </c>
      <c r="AY728" s="1257">
        <f>IF(OR($L728=AY$635,$L728="",$D728=$AZ$634),MAX(AY$637:AY727)+1,0)</f>
        <v>0</v>
      </c>
      <c r="AZ728" s="1258">
        <f>IF(OR($L728=AZ$635,$L728="",$D728=$AZ$634),MAX(AZ$637:AZ727)+1,0)</f>
        <v>72</v>
      </c>
      <c r="BA728" s="6225"/>
      <c r="BB728" s="853" t="str">
        <f t="shared" si="130"/>
        <v/>
      </c>
      <c r="BC728" s="78" t="str">
        <f t="shared" si="131"/>
        <v/>
      </c>
      <c r="BD728" s="78" t="str">
        <f t="shared" si="132"/>
        <v>Tetsubo</v>
      </c>
      <c r="BE728" s="1256">
        <f>IF(OR($L728=BE$635,$L728="",$D728=$BG$634),MAX(BE$637:BE727)+1,0)</f>
        <v>0</v>
      </c>
      <c r="BF728" s="1257">
        <f>IF(OR($L728=BF$635,$L728="",$D728=$BG$634),MAX(BF$637:BF727)+1,0)</f>
        <v>0</v>
      </c>
      <c r="BG728" s="1258">
        <f>IF(OR($L728=BG$635,$L728="",$D728=$BG$634),MAX(BG$637:BG727)+1,0)</f>
        <v>72</v>
      </c>
      <c r="BH728" s="6225"/>
      <c r="BI728" s="853" t="str">
        <f t="shared" si="133"/>
        <v/>
      </c>
      <c r="BJ728" s="78" t="str">
        <f t="shared" si="134"/>
        <v/>
      </c>
      <c r="BK728" s="78" t="str">
        <f t="shared" si="135"/>
        <v>Tetsubo</v>
      </c>
      <c r="BL728" s="1256">
        <f>IF(OR($L728=BL$635,$L728="",$D728=$BN$634),MAX(BL$637:BL727)+1,0)</f>
        <v>0</v>
      </c>
      <c r="BM728" s="1257">
        <f>IF(OR($L728=BM$635,$L728="",$D728=$BN$634),MAX(BM$637:BM727)+1,0)</f>
        <v>0</v>
      </c>
      <c r="BN728" s="1258">
        <f>IF(OR($L728=BN$635,$L728="",$D728=$BN$634),MAX(BN$637:BN727)+1,0)</f>
        <v>72</v>
      </c>
      <c r="BO728" s="6225"/>
      <c r="BP728" s="853" t="str">
        <f t="shared" si="136"/>
        <v/>
      </c>
      <c r="BQ728" s="78" t="str">
        <f t="shared" si="137"/>
        <v/>
      </c>
      <c r="BR728" s="78" t="str">
        <f t="shared" si="138"/>
        <v>Tetsubo</v>
      </c>
      <c r="BS728" s="1256">
        <f>IF(OR($L728=BS$635,$L728="",$D728=$BU$634),MAX(BS$637:BS727)+1,0)</f>
        <v>0</v>
      </c>
      <c r="BT728" s="1257">
        <f>IF(OR($L728=BT$635,$L728="",$D728=$BU$634),MAX(BT$637:BT727)+1,0)</f>
        <v>0</v>
      </c>
      <c r="BU728" s="1258">
        <f>IF(OR($L728=BU$635,$L728="",$D728=$BU$634),MAX(BU$637:BU727)+1,0)</f>
        <v>72</v>
      </c>
    </row>
    <row r="729" spans="1:73" ht="12.75" customHeight="1" x14ac:dyDescent="0.2">
      <c r="A729" s="227">
        <v>729</v>
      </c>
      <c r="B729" s="5988"/>
      <c r="C729" s="1146"/>
      <c r="D729" s="2629" t="s">
        <v>2186</v>
      </c>
      <c r="E729" s="2633">
        <v>80</v>
      </c>
      <c r="F729" s="2628">
        <v>-35</v>
      </c>
      <c r="G729" s="2628">
        <v>10</v>
      </c>
      <c r="H729" s="2628">
        <v>8</v>
      </c>
      <c r="I729" s="2628" t="s">
        <v>1551</v>
      </c>
      <c r="J729" s="2628" t="s">
        <v>1456</v>
      </c>
      <c r="K729" s="2878" t="s">
        <v>7269</v>
      </c>
      <c r="L729" s="2628" t="str">
        <f t="shared" si="142"/>
        <v>Distinta</v>
      </c>
      <c r="M729" s="2634">
        <v>14</v>
      </c>
      <c r="N729" s="2634">
        <v>4</v>
      </c>
      <c r="O729" s="2634">
        <v>40</v>
      </c>
      <c r="P729" s="2628"/>
      <c r="Q729" s="2628"/>
      <c r="R729" s="2628" t="s">
        <v>1456</v>
      </c>
      <c r="S729" s="2628" t="s">
        <v>1456</v>
      </c>
      <c r="T729" s="2628" t="s">
        <v>1456</v>
      </c>
      <c r="U729" s="2628"/>
      <c r="V729" s="2624" t="s">
        <v>2130</v>
      </c>
      <c r="W729" s="2624"/>
      <c r="X729" s="2625" t="str">
        <f t="shared" si="143"/>
        <v>Grande</v>
      </c>
      <c r="Y729" s="2618">
        <f t="shared" si="144"/>
        <v>0</v>
      </c>
      <c r="Z729" s="1265" t="str">
        <f t="shared" si="120"/>
        <v/>
      </c>
      <c r="AB729" s="564" t="s">
        <v>2188</v>
      </c>
      <c r="AC729" s="2859"/>
      <c r="AD729" s="2859"/>
      <c r="AE729" s="837"/>
      <c r="AG729" s="853" t="str">
        <f t="shared" si="121"/>
        <v/>
      </c>
      <c r="AH729" s="78" t="str">
        <f t="shared" si="122"/>
        <v/>
      </c>
      <c r="AI729" s="78" t="str">
        <f t="shared" si="123"/>
        <v>Wakizashi</v>
      </c>
      <c r="AJ729" s="1256">
        <f>IF(OR($L729=AJ$635,$L729="",$D729=$AL$634),MAX(AJ$637:AJ728)+1,0)</f>
        <v>0</v>
      </c>
      <c r="AK729" s="1257">
        <f>IF(OR($L729=AK$635,$L729="",$D729=$AL$634),MAX(AK$637:AK728)+1,0)</f>
        <v>0</v>
      </c>
      <c r="AL729" s="1258">
        <f>IF(OR($L729=AL$635,$L729="",$D729=$AL$634),MAX(AL$637:AL728)+1,0)</f>
        <v>73</v>
      </c>
      <c r="AM729" s="6225"/>
      <c r="AN729" s="853" t="str">
        <f t="shared" si="124"/>
        <v/>
      </c>
      <c r="AO729" s="78" t="str">
        <f t="shared" si="125"/>
        <v/>
      </c>
      <c r="AP729" s="78" t="str">
        <f t="shared" si="126"/>
        <v>Wakizashi</v>
      </c>
      <c r="AQ729" s="1256">
        <f>IF(OR($L729=AQ$635,$L729="",$D729=$AS$634),MAX(AQ$637:AQ728)+1,0)</f>
        <v>0</v>
      </c>
      <c r="AR729" s="1257">
        <f>IF(OR($L729=AR$635,$L729="",$D729=$AS$634),MAX(AR$637:AR728)+1,0)</f>
        <v>0</v>
      </c>
      <c r="AS729" s="1258">
        <f>IF(OR($L729=AS$635,$L729="",$D729=$AS$634),MAX(AS$637:AS728)+1,0)</f>
        <v>73</v>
      </c>
      <c r="AT729" s="6225"/>
      <c r="AU729" s="853" t="str">
        <f t="shared" si="127"/>
        <v/>
      </c>
      <c r="AV729" s="78" t="str">
        <f t="shared" si="128"/>
        <v/>
      </c>
      <c r="AW729" s="78" t="str">
        <f t="shared" si="129"/>
        <v>Wakizashi</v>
      </c>
      <c r="AX729" s="1256">
        <f>IF(OR($L729=AX$635,$L729="",$D729=$AZ$634),MAX(AX$637:AX728)+1,0)</f>
        <v>0</v>
      </c>
      <c r="AY729" s="1257">
        <f>IF(OR($L729=AY$635,$L729="",$D729=$AZ$634),MAX(AY$637:AY728)+1,0)</f>
        <v>0</v>
      </c>
      <c r="AZ729" s="1258">
        <f>IF(OR($L729=AZ$635,$L729="",$D729=$AZ$634),MAX(AZ$637:AZ728)+1,0)</f>
        <v>73</v>
      </c>
      <c r="BA729" s="6225"/>
      <c r="BB729" s="853" t="str">
        <f t="shared" si="130"/>
        <v/>
      </c>
      <c r="BC729" s="78" t="str">
        <f t="shared" si="131"/>
        <v/>
      </c>
      <c r="BD729" s="78" t="str">
        <f t="shared" si="132"/>
        <v>Wakizashi</v>
      </c>
      <c r="BE729" s="1256">
        <f>IF(OR($L729=BE$635,$L729="",$D729=$BG$634),MAX(BE$637:BE728)+1,0)</f>
        <v>0</v>
      </c>
      <c r="BF729" s="1257">
        <f>IF(OR($L729=BF$635,$L729="",$D729=$BG$634),MAX(BF$637:BF728)+1,0)</f>
        <v>0</v>
      </c>
      <c r="BG729" s="1258">
        <f>IF(OR($L729=BG$635,$L729="",$D729=$BG$634),MAX(BG$637:BG728)+1,0)</f>
        <v>73</v>
      </c>
      <c r="BH729" s="6225"/>
      <c r="BI729" s="853" t="str">
        <f t="shared" si="133"/>
        <v/>
      </c>
      <c r="BJ729" s="78" t="str">
        <f t="shared" si="134"/>
        <v/>
      </c>
      <c r="BK729" s="78" t="str">
        <f t="shared" si="135"/>
        <v>Wakizashi</v>
      </c>
      <c r="BL729" s="1256">
        <f>IF(OR($L729=BL$635,$L729="",$D729=$BN$634),MAX(BL$637:BL728)+1,0)</f>
        <v>0</v>
      </c>
      <c r="BM729" s="1257">
        <f>IF(OR($L729=BM$635,$L729="",$D729=$BN$634),MAX(BM$637:BM728)+1,0)</f>
        <v>0</v>
      </c>
      <c r="BN729" s="1258">
        <f>IF(OR($L729=BN$635,$L729="",$D729=$BN$634),MAX(BN$637:BN728)+1,0)</f>
        <v>73</v>
      </c>
      <c r="BO729" s="6225"/>
      <c r="BP729" s="853" t="str">
        <f t="shared" si="136"/>
        <v/>
      </c>
      <c r="BQ729" s="78" t="str">
        <f t="shared" si="137"/>
        <v/>
      </c>
      <c r="BR729" s="78" t="str">
        <f t="shared" si="138"/>
        <v>Wakizashi</v>
      </c>
      <c r="BS729" s="1256">
        <f>IF(OR($L729=BS$635,$L729="",$D729=$BU$634),MAX(BS$637:BS728)+1,0)</f>
        <v>0</v>
      </c>
      <c r="BT729" s="1257">
        <f>IF(OR($L729=BT$635,$L729="",$D729=$BU$634),MAX(BT$637:BT728)+1,0)</f>
        <v>0</v>
      </c>
      <c r="BU729" s="1258">
        <f>IF(OR($L729=BU$635,$L729="",$D729=$BU$634),MAX(BU$637:BU728)+1,0)</f>
        <v>73</v>
      </c>
    </row>
    <row r="730" spans="1:73" ht="12.75" customHeight="1" x14ac:dyDescent="0.2">
      <c r="A730" s="227">
        <v>730</v>
      </c>
      <c r="B730" s="5988"/>
      <c r="C730" s="1146"/>
      <c r="D730" s="2629" t="s">
        <v>2187</v>
      </c>
      <c r="E730" s="2633">
        <v>30</v>
      </c>
      <c r="F730" s="2628">
        <v>15</v>
      </c>
      <c r="G730" s="2628">
        <v>5</v>
      </c>
      <c r="H730" s="2628">
        <v>5</v>
      </c>
      <c r="I730" s="2628" t="s">
        <v>1498</v>
      </c>
      <c r="J730" s="2628" t="s">
        <v>1456</v>
      </c>
      <c r="K730" s="2878" t="s">
        <v>7266</v>
      </c>
      <c r="L730" s="2628" t="str">
        <f t="shared" si="142"/>
        <v>Distinta</v>
      </c>
      <c r="M730" s="2634">
        <v>11</v>
      </c>
      <c r="N730" s="2634">
        <v>0</v>
      </c>
      <c r="O730" s="2634">
        <v>15</v>
      </c>
      <c r="P730" s="2628"/>
      <c r="Q730" s="2628"/>
      <c r="R730" s="2628" t="s">
        <v>1456</v>
      </c>
      <c r="S730" s="2628" t="s">
        <v>1456</v>
      </c>
      <c r="T730" s="2628" t="s">
        <v>1456</v>
      </c>
      <c r="U730" s="2628"/>
      <c r="V730" s="2624" t="s">
        <v>1456</v>
      </c>
      <c r="W730" s="2624"/>
      <c r="X730" s="2625" t="str">
        <f t="shared" si="143"/>
        <v>Mediana</v>
      </c>
      <c r="Y730" s="2618">
        <f t="shared" si="144"/>
        <v>0</v>
      </c>
      <c r="Z730" s="1265" t="str">
        <f t="shared" si="120"/>
        <v/>
      </c>
      <c r="AB730" s="564" t="s">
        <v>7006</v>
      </c>
      <c r="AC730" s="2859"/>
      <c r="AD730" s="2859"/>
      <c r="AE730" s="837"/>
      <c r="AG730" s="853" t="str">
        <f t="shared" si="121"/>
        <v/>
      </c>
      <c r="AH730" s="78" t="str">
        <f t="shared" si="122"/>
        <v/>
      </c>
      <c r="AI730" s="78" t="str">
        <f t="shared" si="123"/>
        <v>&gt; A. DE PROYECTILES</v>
      </c>
      <c r="AJ730" s="1256">
        <f>IF(OR($L730=AJ$635,$L730="",$D730=$AL$634),MAX(AJ$637:AJ729)+1,0)</f>
        <v>0</v>
      </c>
      <c r="AK730" s="1257">
        <f>IF(OR($L730=AK$635,$L730="",$D730=$AL$634),MAX(AK$637:AK729)+1,0)</f>
        <v>0</v>
      </c>
      <c r="AL730" s="1258">
        <f>IF(OR($L730=AL$635,$L730="",$D730=$AL$634),MAX(AL$637:AL729)+1,0)</f>
        <v>74</v>
      </c>
      <c r="AM730" s="6225"/>
      <c r="AN730" s="853" t="str">
        <f t="shared" si="124"/>
        <v/>
      </c>
      <c r="AO730" s="78" t="str">
        <f t="shared" si="125"/>
        <v/>
      </c>
      <c r="AP730" s="78" t="str">
        <f t="shared" si="126"/>
        <v>&gt; A. DE PROYECTILES</v>
      </c>
      <c r="AQ730" s="1256">
        <f>IF(OR($L730=AQ$635,$L730="",$D730=$AS$634),MAX(AQ$637:AQ729)+1,0)</f>
        <v>0</v>
      </c>
      <c r="AR730" s="1257">
        <f>IF(OR($L730=AR$635,$L730="",$D730=$AS$634),MAX(AR$637:AR729)+1,0)</f>
        <v>0</v>
      </c>
      <c r="AS730" s="1258">
        <f>IF(OR($L730=AS$635,$L730="",$D730=$AS$634),MAX(AS$637:AS729)+1,0)</f>
        <v>74</v>
      </c>
      <c r="AT730" s="6225"/>
      <c r="AU730" s="853" t="str">
        <f t="shared" si="127"/>
        <v/>
      </c>
      <c r="AV730" s="78" t="str">
        <f t="shared" si="128"/>
        <v/>
      </c>
      <c r="AW730" s="78" t="str">
        <f t="shared" si="129"/>
        <v>&gt; A. DE PROYECTILES</v>
      </c>
      <c r="AX730" s="1256">
        <f>IF(OR($L730=AX$635,$L730="",$D730=$AZ$634),MAX(AX$637:AX729)+1,0)</f>
        <v>0</v>
      </c>
      <c r="AY730" s="1257">
        <f>IF(OR($L730=AY$635,$L730="",$D730=$AZ$634),MAX(AY$637:AY729)+1,0)</f>
        <v>0</v>
      </c>
      <c r="AZ730" s="1258">
        <f>IF(OR($L730=AZ$635,$L730="",$D730=$AZ$634),MAX(AZ$637:AZ729)+1,0)</f>
        <v>74</v>
      </c>
      <c r="BA730" s="6225"/>
      <c r="BB730" s="853" t="str">
        <f t="shared" si="130"/>
        <v/>
      </c>
      <c r="BC730" s="78" t="str">
        <f t="shared" si="131"/>
        <v/>
      </c>
      <c r="BD730" s="78" t="str">
        <f t="shared" si="132"/>
        <v>&gt; A. DE PROYECTILES</v>
      </c>
      <c r="BE730" s="1256">
        <f>IF(OR($L730=BE$635,$L730="",$D730=$BG$634),MAX(BE$637:BE729)+1,0)</f>
        <v>0</v>
      </c>
      <c r="BF730" s="1257">
        <f>IF(OR($L730=BF$635,$L730="",$D730=$BG$634),MAX(BF$637:BF729)+1,0)</f>
        <v>0</v>
      </c>
      <c r="BG730" s="1258">
        <f>IF(OR($L730=BG$635,$L730="",$D730=$BG$634),MAX(BG$637:BG729)+1,0)</f>
        <v>74</v>
      </c>
      <c r="BH730" s="6225"/>
      <c r="BI730" s="853" t="str">
        <f t="shared" si="133"/>
        <v/>
      </c>
      <c r="BJ730" s="78" t="str">
        <f t="shared" si="134"/>
        <v/>
      </c>
      <c r="BK730" s="78" t="str">
        <f t="shared" si="135"/>
        <v>&gt; A. DE PROYECTILES</v>
      </c>
      <c r="BL730" s="1256">
        <f>IF(OR($L730=BL$635,$L730="",$D730=$BN$634),MAX(BL$637:BL729)+1,0)</f>
        <v>0</v>
      </c>
      <c r="BM730" s="1257">
        <f>IF(OR($L730=BM$635,$L730="",$D730=$BN$634),MAX(BM$637:BM729)+1,0)</f>
        <v>0</v>
      </c>
      <c r="BN730" s="1258">
        <f>IF(OR($L730=BN$635,$L730="",$D730=$BN$634),MAX(BN$637:BN729)+1,0)</f>
        <v>74</v>
      </c>
      <c r="BO730" s="6225"/>
      <c r="BP730" s="853" t="str">
        <f t="shared" si="136"/>
        <v/>
      </c>
      <c r="BQ730" s="78" t="str">
        <f t="shared" si="137"/>
        <v/>
      </c>
      <c r="BR730" s="78" t="str">
        <f t="shared" si="138"/>
        <v>&gt; A. DE PROYECTILES</v>
      </c>
      <c r="BS730" s="1256">
        <f>IF(OR($L730=BS$635,$L730="",$D730=$BU$634),MAX(BS$637:BS729)+1,0)</f>
        <v>0</v>
      </c>
      <c r="BT730" s="1257">
        <f>IF(OR($L730=BT$635,$L730="",$D730=$BU$634),MAX(BT$637:BT729)+1,0)</f>
        <v>0</v>
      </c>
      <c r="BU730" s="1258">
        <f>IF(OR($L730=BU$635,$L730="",$D730=$BU$634),MAX(BU$637:BU729)+1,0)</f>
        <v>74</v>
      </c>
    </row>
    <row r="731" spans="1:73" ht="12.75" customHeight="1" x14ac:dyDescent="0.2">
      <c r="A731" s="227">
        <v>731</v>
      </c>
      <c r="B731" s="5988"/>
      <c r="C731" s="1146"/>
      <c r="D731" s="2629" t="s">
        <v>2188</v>
      </c>
      <c r="E731" s="2633">
        <v>50</v>
      </c>
      <c r="F731" s="2628">
        <v>-20</v>
      </c>
      <c r="G731" s="2628">
        <v>10</v>
      </c>
      <c r="H731" s="2628">
        <v>8</v>
      </c>
      <c r="I731" s="2628" t="s">
        <v>1498</v>
      </c>
      <c r="J731" s="2628" t="s">
        <v>1551</v>
      </c>
      <c r="K731" s="2878" t="s">
        <v>7269</v>
      </c>
      <c r="L731" s="2628" t="str">
        <f t="shared" si="142"/>
        <v>Distinta</v>
      </c>
      <c r="M731" s="2634">
        <v>16</v>
      </c>
      <c r="N731" s="2634">
        <v>8</v>
      </c>
      <c r="O731" s="2634">
        <v>25</v>
      </c>
      <c r="P731" s="2628"/>
      <c r="Q731" s="2628"/>
      <c r="R731" s="2628" t="s">
        <v>1456</v>
      </c>
      <c r="S731" s="2628" t="s">
        <v>1456</v>
      </c>
      <c r="T731" s="2628" t="s">
        <v>1456</v>
      </c>
      <c r="U731" s="2628"/>
      <c r="V731" s="2624" t="s">
        <v>2130</v>
      </c>
      <c r="W731" s="2624"/>
      <c r="X731" s="2625" t="str">
        <f t="shared" si="143"/>
        <v>Grande</v>
      </c>
      <c r="Y731" s="2618">
        <f t="shared" si="144"/>
        <v>0</v>
      </c>
      <c r="Z731" s="1265" t="str">
        <f t="shared" si="120"/>
        <v/>
      </c>
      <c r="AB731" s="853" t="s">
        <v>2189</v>
      </c>
      <c r="AC731" s="2859"/>
      <c r="AD731" s="2859"/>
      <c r="AE731" s="837"/>
      <c r="AG731" s="853" t="str">
        <f t="shared" si="121"/>
        <v/>
      </c>
      <c r="AH731" s="78" t="str">
        <f t="shared" si="122"/>
        <v/>
      </c>
      <c r="AI731" s="78" t="str">
        <f t="shared" si="123"/>
        <v>Arcabuz</v>
      </c>
      <c r="AJ731" s="1256">
        <f>IF(OR($L731=AJ$635,$L731="",$D731=$AL$634),MAX(AJ$637:AJ730)+1,0)</f>
        <v>0</v>
      </c>
      <c r="AK731" s="1257">
        <f>IF(OR($L731=AK$635,$L731="",$D731=$AL$634),MAX(AK$637:AK730)+1,0)</f>
        <v>0</v>
      </c>
      <c r="AL731" s="1258">
        <f>IF(OR($L731=AL$635,$L731="",$D731=$AL$634),MAX(AL$637:AL730)+1,0)</f>
        <v>75</v>
      </c>
      <c r="AM731" s="6225"/>
      <c r="AN731" s="853" t="str">
        <f t="shared" si="124"/>
        <v/>
      </c>
      <c r="AO731" s="78" t="str">
        <f t="shared" si="125"/>
        <v/>
      </c>
      <c r="AP731" s="78" t="str">
        <f t="shared" si="126"/>
        <v>Arcabuz</v>
      </c>
      <c r="AQ731" s="1256">
        <f>IF(OR($L731=AQ$635,$L731="",$D731=$AS$634),MAX(AQ$637:AQ730)+1,0)</f>
        <v>0</v>
      </c>
      <c r="AR731" s="1257">
        <f>IF(OR($L731=AR$635,$L731="",$D731=$AS$634),MAX(AR$637:AR730)+1,0)</f>
        <v>0</v>
      </c>
      <c r="AS731" s="1258">
        <f>IF(OR($L731=AS$635,$L731="",$D731=$AS$634),MAX(AS$637:AS730)+1,0)</f>
        <v>75</v>
      </c>
      <c r="AT731" s="6225"/>
      <c r="AU731" s="853" t="str">
        <f t="shared" si="127"/>
        <v/>
      </c>
      <c r="AV731" s="78" t="str">
        <f t="shared" si="128"/>
        <v/>
      </c>
      <c r="AW731" s="78" t="str">
        <f t="shared" si="129"/>
        <v>Arcabuz</v>
      </c>
      <c r="AX731" s="1256">
        <f>IF(OR($L731=AX$635,$L731="",$D731=$AZ$634),MAX(AX$637:AX730)+1,0)</f>
        <v>0</v>
      </c>
      <c r="AY731" s="1257">
        <f>IF(OR($L731=AY$635,$L731="",$D731=$AZ$634),MAX(AY$637:AY730)+1,0)</f>
        <v>0</v>
      </c>
      <c r="AZ731" s="1258">
        <f>IF(OR($L731=AZ$635,$L731="",$D731=$AZ$634),MAX(AZ$637:AZ730)+1,0)</f>
        <v>75</v>
      </c>
      <c r="BA731" s="6225"/>
      <c r="BB731" s="853" t="str">
        <f t="shared" si="130"/>
        <v/>
      </c>
      <c r="BC731" s="78" t="str">
        <f t="shared" si="131"/>
        <v/>
      </c>
      <c r="BD731" s="78" t="str">
        <f t="shared" si="132"/>
        <v>Arcabuz</v>
      </c>
      <c r="BE731" s="1256">
        <f>IF(OR($L731=BE$635,$L731="",$D731=$BG$634),MAX(BE$637:BE730)+1,0)</f>
        <v>0</v>
      </c>
      <c r="BF731" s="1257">
        <f>IF(OR($L731=BF$635,$L731="",$D731=$BG$634),MAX(BF$637:BF730)+1,0)</f>
        <v>0</v>
      </c>
      <c r="BG731" s="1258">
        <f>IF(OR($L731=BG$635,$L731="",$D731=$BG$634),MAX(BG$637:BG730)+1,0)</f>
        <v>75</v>
      </c>
      <c r="BH731" s="6225"/>
      <c r="BI731" s="853" t="str">
        <f t="shared" si="133"/>
        <v/>
      </c>
      <c r="BJ731" s="78" t="str">
        <f t="shared" si="134"/>
        <v/>
      </c>
      <c r="BK731" s="78" t="str">
        <f t="shared" si="135"/>
        <v>Arcabuz</v>
      </c>
      <c r="BL731" s="1256">
        <f>IF(OR($L731=BL$635,$L731="",$D731=$BN$634),MAX(BL$637:BL730)+1,0)</f>
        <v>0</v>
      </c>
      <c r="BM731" s="1257">
        <f>IF(OR($L731=BM$635,$L731="",$D731=$BN$634),MAX(BM$637:BM730)+1,0)</f>
        <v>0</v>
      </c>
      <c r="BN731" s="1258">
        <f>IF(OR($L731=BN$635,$L731="",$D731=$BN$634),MAX(BN$637:BN730)+1,0)</f>
        <v>75</v>
      </c>
      <c r="BO731" s="6225"/>
      <c r="BP731" s="853" t="str">
        <f t="shared" si="136"/>
        <v/>
      </c>
      <c r="BQ731" s="78" t="str">
        <f t="shared" si="137"/>
        <v/>
      </c>
      <c r="BR731" s="78" t="str">
        <f t="shared" si="138"/>
        <v>Arcabuz</v>
      </c>
      <c r="BS731" s="1256">
        <f>IF(OR($L731=BS$635,$L731="",$D731=$BU$634),MAX(BS$637:BS730)+1,0)</f>
        <v>0</v>
      </c>
      <c r="BT731" s="1257">
        <f>IF(OR($L731=BT$635,$L731="",$D731=$BU$634),MAX(BT$637:BT730)+1,0)</f>
        <v>0</v>
      </c>
      <c r="BU731" s="1258">
        <f>IF(OR($L731=BU$635,$L731="",$D731=$BU$634),MAX(BU$637:BU730)+1,0)</f>
        <v>75</v>
      </c>
    </row>
    <row r="732" spans="1:73" ht="12.75" customHeight="1" x14ac:dyDescent="0.2">
      <c r="A732" s="227">
        <v>732</v>
      </c>
      <c r="B732" s="5988"/>
      <c r="C732" s="1146"/>
      <c r="D732" s="2629" t="s">
        <v>2189</v>
      </c>
      <c r="E732" s="2633">
        <v>35</v>
      </c>
      <c r="F732" s="2628">
        <v>15</v>
      </c>
      <c r="G732" s="2628">
        <v>4</v>
      </c>
      <c r="H732" s="2628">
        <v>4</v>
      </c>
      <c r="I732" s="2628" t="s">
        <v>1552</v>
      </c>
      <c r="J732" s="2628" t="s">
        <v>1551</v>
      </c>
      <c r="K732" s="2878" t="s">
        <v>7267</v>
      </c>
      <c r="L732" s="2628" t="str">
        <f t="shared" si="142"/>
        <v>Distinta</v>
      </c>
      <c r="M732" s="2634">
        <v>12</v>
      </c>
      <c r="N732" s="2634">
        <v>0</v>
      </c>
      <c r="O732" s="2634">
        <v>25</v>
      </c>
      <c r="P732" s="2628"/>
      <c r="Q732" s="2628"/>
      <c r="R732" s="2628" t="s">
        <v>1456</v>
      </c>
      <c r="S732" s="2628" t="s">
        <v>1456</v>
      </c>
      <c r="T732" s="2628" t="s">
        <v>1456</v>
      </c>
      <c r="U732" s="2628"/>
      <c r="V732" s="2624" t="s">
        <v>2190</v>
      </c>
      <c r="W732" s="2624"/>
      <c r="X732" s="2625" t="str">
        <f t="shared" si="143"/>
        <v>Pequeña</v>
      </c>
      <c r="Y732" s="2618">
        <f t="shared" si="144"/>
        <v>0</v>
      </c>
      <c r="Z732" s="1265" t="str">
        <f t="shared" si="120"/>
        <v/>
      </c>
      <c r="AB732" s="564" t="s">
        <v>7027</v>
      </c>
      <c r="AC732" s="2859"/>
      <c r="AD732" s="2859"/>
      <c r="AE732" s="837"/>
      <c r="AG732" s="853" t="str">
        <f t="shared" si="121"/>
        <v/>
      </c>
      <c r="AH732" s="78" t="str">
        <f t="shared" si="122"/>
        <v/>
      </c>
      <c r="AI732" s="78" t="str">
        <f t="shared" si="123"/>
        <v>Arco compuesto</v>
      </c>
      <c r="AJ732" s="1256">
        <f>IF(OR($L732=AJ$635,$L732="",$D732=$AL$634),MAX(AJ$637:AJ731)+1,0)</f>
        <v>0</v>
      </c>
      <c r="AK732" s="1257">
        <f>IF(OR($L732=AK$635,$L732="",$D732=$AL$634),MAX(AK$637:AK731)+1,0)</f>
        <v>0</v>
      </c>
      <c r="AL732" s="1258">
        <f>IF(OR($L732=AL$635,$L732="",$D732=$AL$634),MAX(AL$637:AL731)+1,0)</f>
        <v>76</v>
      </c>
      <c r="AM732" s="6225"/>
      <c r="AN732" s="853" t="str">
        <f t="shared" si="124"/>
        <v/>
      </c>
      <c r="AO732" s="78" t="str">
        <f t="shared" si="125"/>
        <v/>
      </c>
      <c r="AP732" s="78" t="str">
        <f t="shared" si="126"/>
        <v>Arco compuesto</v>
      </c>
      <c r="AQ732" s="1256">
        <f>IF(OR($L732=AQ$635,$L732="",$D732=$AS$634),MAX(AQ$637:AQ731)+1,0)</f>
        <v>0</v>
      </c>
      <c r="AR732" s="1257">
        <f>IF(OR($L732=AR$635,$L732="",$D732=$AS$634),MAX(AR$637:AR731)+1,0)</f>
        <v>0</v>
      </c>
      <c r="AS732" s="1258">
        <f>IF(OR($L732=AS$635,$L732="",$D732=$AS$634),MAX(AS$637:AS731)+1,0)</f>
        <v>76</v>
      </c>
      <c r="AT732" s="6225"/>
      <c r="AU732" s="853" t="str">
        <f t="shared" si="127"/>
        <v/>
      </c>
      <c r="AV732" s="78" t="str">
        <f t="shared" si="128"/>
        <v/>
      </c>
      <c r="AW732" s="78" t="str">
        <f t="shared" si="129"/>
        <v>Arco compuesto</v>
      </c>
      <c r="AX732" s="1256">
        <f>IF(OR($L732=AX$635,$L732="",$D732=$AZ$634),MAX(AX$637:AX731)+1,0)</f>
        <v>0</v>
      </c>
      <c r="AY732" s="1257">
        <f>IF(OR($L732=AY$635,$L732="",$D732=$AZ$634),MAX(AY$637:AY731)+1,0)</f>
        <v>0</v>
      </c>
      <c r="AZ732" s="1258">
        <f>IF(OR($L732=AZ$635,$L732="",$D732=$AZ$634),MAX(AZ$637:AZ731)+1,0)</f>
        <v>76</v>
      </c>
      <c r="BA732" s="6225"/>
      <c r="BB732" s="853" t="str">
        <f t="shared" si="130"/>
        <v/>
      </c>
      <c r="BC732" s="78" t="str">
        <f t="shared" si="131"/>
        <v/>
      </c>
      <c r="BD732" s="78" t="str">
        <f t="shared" si="132"/>
        <v>Arco compuesto</v>
      </c>
      <c r="BE732" s="1256">
        <f>IF(OR($L732=BE$635,$L732="",$D732=$BG$634),MAX(BE$637:BE731)+1,0)</f>
        <v>0</v>
      </c>
      <c r="BF732" s="1257">
        <f>IF(OR($L732=BF$635,$L732="",$D732=$BG$634),MAX(BF$637:BF731)+1,0)</f>
        <v>0</v>
      </c>
      <c r="BG732" s="1258">
        <f>IF(OR($L732=BG$635,$L732="",$D732=$BG$634),MAX(BG$637:BG731)+1,0)</f>
        <v>76</v>
      </c>
      <c r="BH732" s="6225"/>
      <c r="BI732" s="853" t="str">
        <f t="shared" si="133"/>
        <v/>
      </c>
      <c r="BJ732" s="78" t="str">
        <f t="shared" si="134"/>
        <v/>
      </c>
      <c r="BK732" s="78" t="str">
        <f t="shared" si="135"/>
        <v>Arco compuesto</v>
      </c>
      <c r="BL732" s="1256">
        <f>IF(OR($L732=BL$635,$L732="",$D732=$BN$634),MAX(BL$637:BL731)+1,0)</f>
        <v>0</v>
      </c>
      <c r="BM732" s="1257">
        <f>IF(OR($L732=BM$635,$L732="",$D732=$BN$634),MAX(BM$637:BM731)+1,0)</f>
        <v>0</v>
      </c>
      <c r="BN732" s="1258">
        <f>IF(OR($L732=BN$635,$L732="",$D732=$BN$634),MAX(BN$637:BN731)+1,0)</f>
        <v>76</v>
      </c>
      <c r="BO732" s="6225"/>
      <c r="BP732" s="853" t="str">
        <f t="shared" si="136"/>
        <v/>
      </c>
      <c r="BQ732" s="78" t="str">
        <f t="shared" si="137"/>
        <v/>
      </c>
      <c r="BR732" s="78" t="str">
        <f t="shared" si="138"/>
        <v>Arco compuesto</v>
      </c>
      <c r="BS732" s="1256">
        <f>IF(OR($L732=BS$635,$L732="",$D732=$BU$634),MAX(BS$637:BS731)+1,0)</f>
        <v>0</v>
      </c>
      <c r="BT732" s="1257">
        <f>IF(OR($L732=BT$635,$L732="",$D732=$BU$634),MAX(BT$637:BT731)+1,0)</f>
        <v>0</v>
      </c>
      <c r="BU732" s="1258">
        <f>IF(OR($L732=BU$635,$L732="",$D732=$BU$634),MAX(BU$637:BU731)+1,0)</f>
        <v>76</v>
      </c>
    </row>
    <row r="733" spans="1:73" ht="12.75" customHeight="1" x14ac:dyDescent="0.2">
      <c r="A733" s="227">
        <v>733</v>
      </c>
      <c r="B733" s="5988"/>
      <c r="C733" s="1146"/>
      <c r="D733" s="2629" t="s">
        <v>2191</v>
      </c>
      <c r="E733" s="2633">
        <v>20</v>
      </c>
      <c r="F733" s="2628">
        <v>10</v>
      </c>
      <c r="G733" s="2628">
        <v>4</v>
      </c>
      <c r="H733" s="2628">
        <v>4</v>
      </c>
      <c r="I733" s="2628" t="s">
        <v>1552</v>
      </c>
      <c r="J733" s="2628" t="s">
        <v>1456</v>
      </c>
      <c r="K733" s="2878" t="s">
        <v>7267</v>
      </c>
      <c r="L733" s="2628" t="str">
        <f t="shared" si="142"/>
        <v>Distinta</v>
      </c>
      <c r="M733" s="2634">
        <v>9</v>
      </c>
      <c r="N733" s="2634">
        <v>-2</v>
      </c>
      <c r="O733" s="2634">
        <v>25</v>
      </c>
      <c r="P733" s="2628"/>
      <c r="Q733" s="2628"/>
      <c r="R733" s="2628" t="s">
        <v>1456</v>
      </c>
      <c r="S733" s="2628" t="s">
        <v>1456</v>
      </c>
      <c r="T733" s="2628" t="s">
        <v>1456</v>
      </c>
      <c r="U733" s="2628"/>
      <c r="V733" s="2624" t="s">
        <v>2151</v>
      </c>
      <c r="W733" s="2624"/>
      <c r="X733" s="2625" t="str">
        <f t="shared" si="143"/>
        <v>Pequeña</v>
      </c>
      <c r="Y733" s="2618">
        <f t="shared" si="144"/>
        <v>0</v>
      </c>
      <c r="Z733" s="1265" t="str">
        <f t="shared" si="120"/>
        <v/>
      </c>
      <c r="AB733" s="564" t="s">
        <v>2191</v>
      </c>
      <c r="AC733" s="2859"/>
      <c r="AD733" s="2859"/>
      <c r="AE733" s="837"/>
      <c r="AG733" s="853" t="str">
        <f t="shared" si="121"/>
        <v/>
      </c>
      <c r="AH733" s="78" t="str">
        <f t="shared" si="122"/>
        <v/>
      </c>
      <c r="AI733" s="78" t="str">
        <f t="shared" si="123"/>
        <v>Arco corto</v>
      </c>
      <c r="AJ733" s="1256">
        <f>IF(OR($L733=AJ$635,$L733="",$D733=$AL$634),MAX(AJ$637:AJ732)+1,0)</f>
        <v>0</v>
      </c>
      <c r="AK733" s="1257">
        <f>IF(OR($L733=AK$635,$L733="",$D733=$AL$634),MAX(AK$637:AK732)+1,0)</f>
        <v>0</v>
      </c>
      <c r="AL733" s="1258">
        <f>IF(OR($L733=AL$635,$L733="",$D733=$AL$634),MAX(AL$637:AL732)+1,0)</f>
        <v>77</v>
      </c>
      <c r="AM733" s="6225"/>
      <c r="AN733" s="853" t="str">
        <f t="shared" si="124"/>
        <v/>
      </c>
      <c r="AO733" s="78" t="str">
        <f t="shared" si="125"/>
        <v/>
      </c>
      <c r="AP733" s="78" t="str">
        <f t="shared" si="126"/>
        <v>Arco corto</v>
      </c>
      <c r="AQ733" s="1256">
        <f>IF(OR($L733=AQ$635,$L733="",$D733=$AS$634),MAX(AQ$637:AQ732)+1,0)</f>
        <v>0</v>
      </c>
      <c r="AR733" s="1257">
        <f>IF(OR($L733=AR$635,$L733="",$D733=$AS$634),MAX(AR$637:AR732)+1,0)</f>
        <v>0</v>
      </c>
      <c r="AS733" s="1258">
        <f>IF(OR($L733=AS$635,$L733="",$D733=$AS$634),MAX(AS$637:AS732)+1,0)</f>
        <v>77</v>
      </c>
      <c r="AT733" s="6225"/>
      <c r="AU733" s="853" t="str">
        <f t="shared" si="127"/>
        <v/>
      </c>
      <c r="AV733" s="78" t="str">
        <f t="shared" si="128"/>
        <v/>
      </c>
      <c r="AW733" s="78" t="str">
        <f t="shared" si="129"/>
        <v>Arco corto</v>
      </c>
      <c r="AX733" s="1256">
        <f>IF(OR($L733=AX$635,$L733="",$D733=$AZ$634),MAX(AX$637:AX732)+1,0)</f>
        <v>0</v>
      </c>
      <c r="AY733" s="1257">
        <f>IF(OR($L733=AY$635,$L733="",$D733=$AZ$634),MAX(AY$637:AY732)+1,0)</f>
        <v>0</v>
      </c>
      <c r="AZ733" s="1258">
        <f>IF(OR($L733=AZ$635,$L733="",$D733=$AZ$634),MAX(AZ$637:AZ732)+1,0)</f>
        <v>77</v>
      </c>
      <c r="BA733" s="6225"/>
      <c r="BB733" s="853" t="str">
        <f t="shared" si="130"/>
        <v/>
      </c>
      <c r="BC733" s="78" t="str">
        <f t="shared" si="131"/>
        <v/>
      </c>
      <c r="BD733" s="78" t="str">
        <f t="shared" si="132"/>
        <v>Arco corto</v>
      </c>
      <c r="BE733" s="1256">
        <f>IF(OR($L733=BE$635,$L733="",$D733=$BG$634),MAX(BE$637:BE732)+1,0)</f>
        <v>0</v>
      </c>
      <c r="BF733" s="1257">
        <f>IF(OR($L733=BF$635,$L733="",$D733=$BG$634),MAX(BF$637:BF732)+1,0)</f>
        <v>0</v>
      </c>
      <c r="BG733" s="1258">
        <f>IF(OR($L733=BG$635,$L733="",$D733=$BG$634),MAX(BG$637:BG732)+1,0)</f>
        <v>77</v>
      </c>
      <c r="BH733" s="6225"/>
      <c r="BI733" s="853" t="str">
        <f t="shared" si="133"/>
        <v/>
      </c>
      <c r="BJ733" s="78" t="str">
        <f t="shared" si="134"/>
        <v/>
      </c>
      <c r="BK733" s="78" t="str">
        <f t="shared" si="135"/>
        <v>Arco corto</v>
      </c>
      <c r="BL733" s="1256">
        <f>IF(OR($L733=BL$635,$L733="",$D733=$BN$634),MAX(BL$637:BL732)+1,0)</f>
        <v>0</v>
      </c>
      <c r="BM733" s="1257">
        <f>IF(OR($L733=BM$635,$L733="",$D733=$BN$634),MAX(BM$637:BM732)+1,0)</f>
        <v>0</v>
      </c>
      <c r="BN733" s="1258">
        <f>IF(OR($L733=BN$635,$L733="",$D733=$BN$634),MAX(BN$637:BN732)+1,0)</f>
        <v>77</v>
      </c>
      <c r="BO733" s="6225"/>
      <c r="BP733" s="853" t="str">
        <f t="shared" si="136"/>
        <v/>
      </c>
      <c r="BQ733" s="78" t="str">
        <f t="shared" si="137"/>
        <v/>
      </c>
      <c r="BR733" s="78" t="str">
        <f t="shared" si="138"/>
        <v>Arco corto</v>
      </c>
      <c r="BS733" s="1256">
        <f>IF(OR($L733=BS$635,$L733="",$D733=$BU$634),MAX(BS$637:BS732)+1,0)</f>
        <v>0</v>
      </c>
      <c r="BT733" s="1257">
        <f>IF(OR($L733=BT$635,$L733="",$D733=$BU$634),MAX(BT$637:BT732)+1,0)</f>
        <v>0</v>
      </c>
      <c r="BU733" s="1258">
        <f>IF(OR($L733=BU$635,$L733="",$D733=$BU$634),MAX(BU$637:BU732)+1,0)</f>
        <v>77</v>
      </c>
    </row>
    <row r="734" spans="1:73" ht="12.75" customHeight="1" x14ac:dyDescent="0.2">
      <c r="A734" s="227">
        <v>734</v>
      </c>
      <c r="B734" s="5988"/>
      <c r="C734" s="1146"/>
      <c r="D734" s="2629" t="s">
        <v>2192</v>
      </c>
      <c r="E734" s="2633">
        <v>25</v>
      </c>
      <c r="F734" s="2628">
        <v>20</v>
      </c>
      <c r="G734" s="2628">
        <v>4</v>
      </c>
      <c r="H734" s="2628">
        <v>4</v>
      </c>
      <c r="I734" s="2628" t="s">
        <v>1551</v>
      </c>
      <c r="J734" s="2628" t="s">
        <v>1552</v>
      </c>
      <c r="K734" s="2878" t="s">
        <v>7267</v>
      </c>
      <c r="L734" s="2628" t="str">
        <f t="shared" si="142"/>
        <v>Distinta</v>
      </c>
      <c r="M734" s="2634">
        <v>10</v>
      </c>
      <c r="N734" s="2634">
        <v>1</v>
      </c>
      <c r="O734" s="2634">
        <v>20</v>
      </c>
      <c r="P734" s="2628"/>
      <c r="Q734" s="2628"/>
      <c r="R734" s="2634">
        <v>30</v>
      </c>
      <c r="S734" s="2628" t="s">
        <v>1456</v>
      </c>
      <c r="T734" s="2628">
        <v>20</v>
      </c>
      <c r="U734" s="2628"/>
      <c r="V734" s="2624" t="s">
        <v>8580</v>
      </c>
      <c r="W734" s="2624"/>
      <c r="X734" s="2625" t="str">
        <f t="shared" si="143"/>
        <v>Pequeña</v>
      </c>
      <c r="Y734" s="2618">
        <f t="shared" si="144"/>
        <v>0</v>
      </c>
      <c r="Z734" s="1265" t="str">
        <f t="shared" ref="Z734:Z763" si="145">IF(AND(K734&lt;&gt;"Natural/-",ISNUMBER(SEARCH(D734&amp;",",Armas_Conocidas))),", "&amp;K734,"")</f>
        <v/>
      </c>
      <c r="AB734" s="564" t="s">
        <v>2192</v>
      </c>
      <c r="AC734" s="2859"/>
      <c r="AD734" s="2859"/>
      <c r="AE734" s="837"/>
      <c r="AG734" s="853" t="str">
        <f t="shared" ref="AG734:AG765" si="146">IF(ISNA(INDEX(Lista_Armas,MATCH($A97,AJ$638:AJ$774,0))),"",INDEX(Lista_Armas,MATCH($A97,AJ$638:AJ$774,0)))</f>
        <v/>
      </c>
      <c r="AH734" s="78" t="str">
        <f t="shared" ref="AH734:AH765" si="147">IF(ISNA(INDEX(Lista_Armas,MATCH($A97,AK$638:AK$774,0))),"",INDEX(Lista_Armas,MATCH($A97,AK$638:AK$774,0)))</f>
        <v/>
      </c>
      <c r="AI734" s="78" t="str">
        <f t="shared" ref="AI734:AI765" si="148">IF(ISNA(INDEX(Lista_Armas,MATCH($A97,AL$638:AL$774,0))),"",INDEX(Lista_Armas,MATCH($A97,AL$638:AL$774,0)))</f>
        <v>Arco de balas</v>
      </c>
      <c r="AJ734" s="1256">
        <f>IF(OR($L734=AJ$635,$L734="",$D734=$AL$634),MAX(AJ$637:AJ733)+1,0)</f>
        <v>0</v>
      </c>
      <c r="AK734" s="1257">
        <f>IF(OR($L734=AK$635,$L734="",$D734=$AL$634),MAX(AK$637:AK733)+1,0)</f>
        <v>0</v>
      </c>
      <c r="AL734" s="1258">
        <f>IF(OR($L734=AL$635,$L734="",$D734=$AL$634),MAX(AL$637:AL733)+1,0)</f>
        <v>78</v>
      </c>
      <c r="AM734" s="6225"/>
      <c r="AN734" s="853" t="str">
        <f t="shared" ref="AN734:AN765" si="149">IF(ISNA(INDEX(Lista_Armas,MATCH($A97,AQ$638:AQ$774,0))),"",INDEX(Lista_Armas,MATCH($A97,AQ$638:AQ$774,0)))</f>
        <v/>
      </c>
      <c r="AO734" s="78" t="str">
        <f t="shared" ref="AO734:AO765" si="150">IF(ISNA(INDEX(Lista_Armas,MATCH($A97,AR$638:AR$774,0))),"",INDEX(Lista_Armas,MATCH($A97,AR$638:AR$774,0)))</f>
        <v/>
      </c>
      <c r="AP734" s="78" t="str">
        <f t="shared" ref="AP734:AP765" si="151">IF(ISNA(INDEX(Lista_Armas,MATCH($A97,AS$638:AS$774,0))),"",INDEX(Lista_Armas,MATCH($A97,AS$638:AS$774,0)))</f>
        <v>Arco de balas</v>
      </c>
      <c r="AQ734" s="1256">
        <f>IF(OR($L734=AQ$635,$L734="",$D734=$AS$634),MAX(AQ$637:AQ733)+1,0)</f>
        <v>0</v>
      </c>
      <c r="AR734" s="1257">
        <f>IF(OR($L734=AR$635,$L734="",$D734=$AS$634),MAX(AR$637:AR733)+1,0)</f>
        <v>0</v>
      </c>
      <c r="AS734" s="1258">
        <f>IF(OR($L734=AS$635,$L734="",$D734=$AS$634),MAX(AS$637:AS733)+1,0)</f>
        <v>78</v>
      </c>
      <c r="AT734" s="6225"/>
      <c r="AU734" s="853" t="str">
        <f t="shared" ref="AU734:AU765" si="152">IF(ISNA(INDEX(Lista_Armas,MATCH($A97,AX$638:AX$774,0))),"",INDEX(Lista_Armas,MATCH($A97,AX$638:AX$774,0)))</f>
        <v/>
      </c>
      <c r="AV734" s="78" t="str">
        <f t="shared" ref="AV734:AV765" si="153">IF(ISNA(INDEX(Lista_Armas,MATCH($A97,AY$638:AY$774,0))),"",INDEX(Lista_Armas,MATCH($A97,AY$638:AY$774,0)))</f>
        <v/>
      </c>
      <c r="AW734" s="78" t="str">
        <f t="shared" ref="AW734:AW765" si="154">IF(ISNA(INDEX(Lista_Armas,MATCH($A97,AZ$638:AZ$774,0))),"",INDEX(Lista_Armas,MATCH($A97,AZ$638:AZ$774,0)))</f>
        <v>Arco de balas</v>
      </c>
      <c r="AX734" s="1256">
        <f>IF(OR($L734=AX$635,$L734="",$D734=$AZ$634),MAX(AX$637:AX733)+1,0)</f>
        <v>0</v>
      </c>
      <c r="AY734" s="1257">
        <f>IF(OR($L734=AY$635,$L734="",$D734=$AZ$634),MAX(AY$637:AY733)+1,0)</f>
        <v>0</v>
      </c>
      <c r="AZ734" s="1258">
        <f>IF(OR($L734=AZ$635,$L734="",$D734=$AZ$634),MAX(AZ$637:AZ733)+1,0)</f>
        <v>78</v>
      </c>
      <c r="BA734" s="6225"/>
      <c r="BB734" s="853" t="str">
        <f t="shared" ref="BB734:BB765" si="155">IF(ISNA(INDEX(Lista_Armas,MATCH($A97,BE$638:BE$774,0))),"",INDEX(Lista_Armas,MATCH($A97,BE$638:BE$774,0)))</f>
        <v/>
      </c>
      <c r="BC734" s="78" t="str">
        <f t="shared" ref="BC734:BC765" si="156">IF(ISNA(INDEX(Lista_Armas,MATCH($A97,BF$638:BF$774,0))),"",INDEX(Lista_Armas,MATCH($A97,BF$638:BF$774,0)))</f>
        <v/>
      </c>
      <c r="BD734" s="78" t="str">
        <f t="shared" ref="BD734:BD765" si="157">IF(ISNA(INDEX(Lista_Armas,MATCH($A97,BG$638:BG$774,0))),"",INDEX(Lista_Armas,MATCH($A97,BG$638:BG$774,0)))</f>
        <v>Arco de balas</v>
      </c>
      <c r="BE734" s="1256">
        <f>IF(OR($L734=BE$635,$L734="",$D734=$BG$634),MAX(BE$637:BE733)+1,0)</f>
        <v>0</v>
      </c>
      <c r="BF734" s="1257">
        <f>IF(OR($L734=BF$635,$L734="",$D734=$BG$634),MAX(BF$637:BF733)+1,0)</f>
        <v>0</v>
      </c>
      <c r="BG734" s="1258">
        <f>IF(OR($L734=BG$635,$L734="",$D734=$BG$634),MAX(BG$637:BG733)+1,0)</f>
        <v>78</v>
      </c>
      <c r="BH734" s="6225"/>
      <c r="BI734" s="853" t="str">
        <f t="shared" ref="BI734:BI765" si="158">IF(ISNA(INDEX(Lista_Armas,MATCH($A97,BL$638:BL$774,0))),"",INDEX(Lista_Armas,MATCH($A97,BL$638:BL$774,0)))</f>
        <v/>
      </c>
      <c r="BJ734" s="78" t="str">
        <f t="shared" ref="BJ734:BJ765" si="159">IF(ISNA(INDEX(Lista_Armas,MATCH($A97,BM$638:BM$774,0))),"",INDEX(Lista_Armas,MATCH($A97,BM$638:BM$774,0)))</f>
        <v/>
      </c>
      <c r="BK734" s="78" t="str">
        <f t="shared" ref="BK734:BK765" si="160">IF(ISNA(INDEX(Lista_Armas,MATCH($A97,BN$638:BN$774,0))),"",INDEX(Lista_Armas,MATCH($A97,BN$638:BN$774,0)))</f>
        <v>Arco de balas</v>
      </c>
      <c r="BL734" s="1256">
        <f>IF(OR($L734=BL$635,$L734="",$D734=$BN$634),MAX(BL$637:BL733)+1,0)</f>
        <v>0</v>
      </c>
      <c r="BM734" s="1257">
        <f>IF(OR($L734=BM$635,$L734="",$D734=$BN$634),MAX(BM$637:BM733)+1,0)</f>
        <v>0</v>
      </c>
      <c r="BN734" s="1258">
        <f>IF(OR($L734=BN$635,$L734="",$D734=$BN$634),MAX(BN$637:BN733)+1,0)</f>
        <v>78</v>
      </c>
      <c r="BO734" s="6225"/>
      <c r="BP734" s="853" t="str">
        <f t="shared" ref="BP734:BP765" si="161">IF(ISNA(INDEX(Lista_Armas,MATCH($A97,BS$638:BS$774,0))),"",INDEX(Lista_Armas,MATCH($A97,BS$638:BS$774,0)))</f>
        <v/>
      </c>
      <c r="BQ734" s="78" t="str">
        <f t="shared" ref="BQ734:BQ765" si="162">IF(ISNA(INDEX(Lista_Armas,MATCH($A97,BT$638:BT$774,0))),"",INDEX(Lista_Armas,MATCH($A97,BT$638:BT$774,0)))</f>
        <v/>
      </c>
      <c r="BR734" s="78" t="str">
        <f t="shared" ref="BR734:BR765" si="163">IF(ISNA(INDEX(Lista_Armas,MATCH($A97,BU$638:BU$774,0))),"",INDEX(Lista_Armas,MATCH($A97,BU$638:BU$774,0)))</f>
        <v>Arco de balas</v>
      </c>
      <c r="BS734" s="1256">
        <f>IF(OR($L734=BS$635,$L734="",$D734=$BU$634),MAX(BS$637:BS733)+1,0)</f>
        <v>0</v>
      </c>
      <c r="BT734" s="1257">
        <f>IF(OR($L734=BT$635,$L734="",$D734=$BU$634),MAX(BT$637:BT733)+1,0)</f>
        <v>0</v>
      </c>
      <c r="BU734" s="1258">
        <f>IF(OR($L734=BU$635,$L734="",$D734=$BU$634),MAX(BU$637:BU733)+1,0)</f>
        <v>78</v>
      </c>
    </row>
    <row r="735" spans="1:73" ht="12.75" customHeight="1" x14ac:dyDescent="0.2">
      <c r="A735" s="227">
        <v>735</v>
      </c>
      <c r="B735" s="5988"/>
      <c r="C735" s="1146"/>
      <c r="D735" s="2629" t="s">
        <v>2193</v>
      </c>
      <c r="E735" s="2633">
        <v>40</v>
      </c>
      <c r="F735" s="2628">
        <v>20</v>
      </c>
      <c r="G735" s="2628">
        <v>3</v>
      </c>
      <c r="H735" s="2628">
        <v>3</v>
      </c>
      <c r="I735" s="2628" t="s">
        <v>1551</v>
      </c>
      <c r="J735" s="2628" t="s">
        <v>1456</v>
      </c>
      <c r="K735" s="2878" t="s">
        <v>7267</v>
      </c>
      <c r="L735" s="2628" t="str">
        <f t="shared" si="142"/>
        <v>Distinta</v>
      </c>
      <c r="M735" s="2634">
        <v>9</v>
      </c>
      <c r="N735" s="2634">
        <v>1</v>
      </c>
      <c r="O735" s="2634">
        <v>40</v>
      </c>
      <c r="P735" s="2628"/>
      <c r="Q735" s="2628"/>
      <c r="R735" s="2628" t="s">
        <v>1456</v>
      </c>
      <c r="S735" s="2628" t="s">
        <v>1456</v>
      </c>
      <c r="T735" s="2628" t="s">
        <v>1456</v>
      </c>
      <c r="U735" s="2628"/>
      <c r="V735" s="2624" t="s">
        <v>2134</v>
      </c>
      <c r="W735" s="2624"/>
      <c r="X735" s="2625" t="str">
        <f t="shared" si="143"/>
        <v>Pequeña</v>
      </c>
      <c r="Y735" s="2618">
        <f t="shared" si="144"/>
        <v>0</v>
      </c>
      <c r="Z735" s="1265" t="str">
        <f t="shared" si="145"/>
        <v/>
      </c>
      <c r="AB735" s="564" t="s">
        <v>2193</v>
      </c>
      <c r="AC735" s="2859"/>
      <c r="AD735" s="2859"/>
      <c r="AE735" s="837"/>
      <c r="AG735" s="853" t="str">
        <f t="shared" si="146"/>
        <v/>
      </c>
      <c r="AH735" s="78" t="str">
        <f t="shared" si="147"/>
        <v/>
      </c>
      <c r="AI735" s="78" t="str">
        <f t="shared" si="148"/>
        <v>Arco largo</v>
      </c>
      <c r="AJ735" s="1256">
        <f>IF(OR($L735=AJ$635,$L735="",$D735=$AL$634),MAX(AJ$637:AJ734)+1,0)</f>
        <v>0</v>
      </c>
      <c r="AK735" s="1257">
        <f>IF(OR($L735=AK$635,$L735="",$D735=$AL$634),MAX(AK$637:AK734)+1,0)</f>
        <v>0</v>
      </c>
      <c r="AL735" s="1258">
        <f>IF(OR($L735=AL$635,$L735="",$D735=$AL$634),MAX(AL$637:AL734)+1,0)</f>
        <v>79</v>
      </c>
      <c r="AM735" s="6225"/>
      <c r="AN735" s="853" t="str">
        <f t="shared" si="149"/>
        <v/>
      </c>
      <c r="AO735" s="78" t="str">
        <f t="shared" si="150"/>
        <v/>
      </c>
      <c r="AP735" s="78" t="str">
        <f t="shared" si="151"/>
        <v>Arco largo</v>
      </c>
      <c r="AQ735" s="1256">
        <f>IF(OR($L735=AQ$635,$L735="",$D735=$AS$634),MAX(AQ$637:AQ734)+1,0)</f>
        <v>0</v>
      </c>
      <c r="AR735" s="1257">
        <f>IF(OR($L735=AR$635,$L735="",$D735=$AS$634),MAX(AR$637:AR734)+1,0)</f>
        <v>0</v>
      </c>
      <c r="AS735" s="1258">
        <f>IF(OR($L735=AS$635,$L735="",$D735=$AS$634),MAX(AS$637:AS734)+1,0)</f>
        <v>79</v>
      </c>
      <c r="AT735" s="6225"/>
      <c r="AU735" s="853" t="str">
        <f t="shared" si="152"/>
        <v/>
      </c>
      <c r="AV735" s="78" t="str">
        <f t="shared" si="153"/>
        <v/>
      </c>
      <c r="AW735" s="78" t="str">
        <f t="shared" si="154"/>
        <v>Arco largo</v>
      </c>
      <c r="AX735" s="1256">
        <f>IF(OR($L735=AX$635,$L735="",$D735=$AZ$634),MAX(AX$637:AX734)+1,0)</f>
        <v>0</v>
      </c>
      <c r="AY735" s="1257">
        <f>IF(OR($L735=AY$635,$L735="",$D735=$AZ$634),MAX(AY$637:AY734)+1,0)</f>
        <v>0</v>
      </c>
      <c r="AZ735" s="1258">
        <f>IF(OR($L735=AZ$635,$L735="",$D735=$AZ$634),MAX(AZ$637:AZ734)+1,0)</f>
        <v>79</v>
      </c>
      <c r="BA735" s="6225"/>
      <c r="BB735" s="853" t="str">
        <f t="shared" si="155"/>
        <v/>
      </c>
      <c r="BC735" s="78" t="str">
        <f t="shared" si="156"/>
        <v/>
      </c>
      <c r="BD735" s="78" t="str">
        <f t="shared" si="157"/>
        <v>Arco largo</v>
      </c>
      <c r="BE735" s="1256">
        <f>IF(OR($L735=BE$635,$L735="",$D735=$BG$634),MAX(BE$637:BE734)+1,0)</f>
        <v>0</v>
      </c>
      <c r="BF735" s="1257">
        <f>IF(OR($L735=BF$635,$L735="",$D735=$BG$634),MAX(BF$637:BF734)+1,0)</f>
        <v>0</v>
      </c>
      <c r="BG735" s="1258">
        <f>IF(OR($L735=BG$635,$L735="",$D735=$BG$634),MAX(BG$637:BG734)+1,0)</f>
        <v>79</v>
      </c>
      <c r="BH735" s="6225"/>
      <c r="BI735" s="853" t="str">
        <f t="shared" si="158"/>
        <v/>
      </c>
      <c r="BJ735" s="78" t="str">
        <f t="shared" si="159"/>
        <v/>
      </c>
      <c r="BK735" s="78" t="str">
        <f t="shared" si="160"/>
        <v>Arco largo</v>
      </c>
      <c r="BL735" s="1256">
        <f>IF(OR($L735=BL$635,$L735="",$D735=$BN$634),MAX(BL$637:BL734)+1,0)</f>
        <v>0</v>
      </c>
      <c r="BM735" s="1257">
        <f>IF(OR($L735=BM$635,$L735="",$D735=$BN$634),MAX(BM$637:BM734)+1,0)</f>
        <v>0</v>
      </c>
      <c r="BN735" s="1258">
        <f>IF(OR($L735=BN$635,$L735="",$D735=$BN$634),MAX(BN$637:BN734)+1,0)</f>
        <v>79</v>
      </c>
      <c r="BO735" s="6225"/>
      <c r="BP735" s="853" t="str">
        <f t="shared" si="161"/>
        <v/>
      </c>
      <c r="BQ735" s="78" t="str">
        <f t="shared" si="162"/>
        <v/>
      </c>
      <c r="BR735" s="78" t="str">
        <f t="shared" si="163"/>
        <v>Arco largo</v>
      </c>
      <c r="BS735" s="1256">
        <f>IF(OR($L735=BS$635,$L735="",$D735=$BU$634),MAX(BS$637:BS734)+1,0)</f>
        <v>0</v>
      </c>
      <c r="BT735" s="1257">
        <f>IF(OR($L735=BT$635,$L735="",$D735=$BU$634),MAX(BT$637:BT734)+1,0)</f>
        <v>0</v>
      </c>
      <c r="BU735" s="1258">
        <f>IF(OR($L735=BU$635,$L735="",$D735=$BU$634),MAX(BU$637:BU734)+1,0)</f>
        <v>79</v>
      </c>
    </row>
    <row r="736" spans="1:73" ht="12.75" customHeight="1" x14ac:dyDescent="0.2">
      <c r="A736" s="227">
        <v>736</v>
      </c>
      <c r="B736" s="5988"/>
      <c r="C736" s="1146"/>
      <c r="D736" s="2629" t="s">
        <v>2194</v>
      </c>
      <c r="E736" s="2633">
        <v>30</v>
      </c>
      <c r="F736" s="2628">
        <v>20</v>
      </c>
      <c r="G736" s="2628">
        <v>4</v>
      </c>
      <c r="H736" s="2628">
        <v>4</v>
      </c>
      <c r="I736" s="2628" t="s">
        <v>1498</v>
      </c>
      <c r="J736" s="2628" t="s">
        <v>1456</v>
      </c>
      <c r="K736" s="2878" t="s">
        <v>7267</v>
      </c>
      <c r="L736" s="2628" t="str">
        <f t="shared" si="142"/>
        <v>Distinta</v>
      </c>
      <c r="M736" s="2634">
        <v>13</v>
      </c>
      <c r="N736" s="2634">
        <v>0</v>
      </c>
      <c r="O736" s="2634">
        <v>25</v>
      </c>
      <c r="P736" s="2628"/>
      <c r="Q736" s="2628"/>
      <c r="R736" s="2628" t="s">
        <v>1456</v>
      </c>
      <c r="S736" s="2628" t="s">
        <v>1456</v>
      </c>
      <c r="T736" s="2628" t="s">
        <v>1456</v>
      </c>
      <c r="U736" s="2628"/>
      <c r="V736" s="2624" t="s">
        <v>2134</v>
      </c>
      <c r="W736" s="2624"/>
      <c r="X736" s="2625" t="str">
        <f t="shared" si="143"/>
        <v>Pequeña</v>
      </c>
      <c r="Y736" s="2618">
        <f t="shared" si="144"/>
        <v>0</v>
      </c>
      <c r="Z736" s="1265" t="str">
        <f t="shared" si="145"/>
        <v/>
      </c>
      <c r="AB736" s="564" t="s">
        <v>7009</v>
      </c>
      <c r="AC736" s="2859"/>
      <c r="AD736" s="2859"/>
      <c r="AE736" s="837"/>
      <c r="AG736" s="853" t="str">
        <f t="shared" si="146"/>
        <v/>
      </c>
      <c r="AH736" s="78" t="str">
        <f t="shared" si="147"/>
        <v/>
      </c>
      <c r="AI736" s="78" t="str">
        <f t="shared" si="148"/>
        <v>Atlatl</v>
      </c>
      <c r="AJ736" s="1256">
        <f>IF(OR($L736=AJ$635,$L736="",$D736=$AL$634),MAX(AJ$637:AJ735)+1,0)</f>
        <v>0</v>
      </c>
      <c r="AK736" s="1257">
        <f>IF(OR($L736=AK$635,$L736="",$D736=$AL$634),MAX(AK$637:AK735)+1,0)</f>
        <v>0</v>
      </c>
      <c r="AL736" s="1258">
        <f>IF(OR($L736=AL$635,$L736="",$D736=$AL$634),MAX(AL$637:AL735)+1,0)</f>
        <v>80</v>
      </c>
      <c r="AM736" s="6225"/>
      <c r="AN736" s="853" t="str">
        <f t="shared" si="149"/>
        <v/>
      </c>
      <c r="AO736" s="78" t="str">
        <f t="shared" si="150"/>
        <v/>
      </c>
      <c r="AP736" s="78" t="str">
        <f t="shared" si="151"/>
        <v>Atlatl</v>
      </c>
      <c r="AQ736" s="1256">
        <f>IF(OR($L736=AQ$635,$L736="",$D736=$AS$634),MAX(AQ$637:AQ735)+1,0)</f>
        <v>0</v>
      </c>
      <c r="AR736" s="1257">
        <f>IF(OR($L736=AR$635,$L736="",$D736=$AS$634),MAX(AR$637:AR735)+1,0)</f>
        <v>0</v>
      </c>
      <c r="AS736" s="1258">
        <f>IF(OR($L736=AS$635,$L736="",$D736=$AS$634),MAX(AS$637:AS735)+1,0)</f>
        <v>80</v>
      </c>
      <c r="AT736" s="6225"/>
      <c r="AU736" s="853" t="str">
        <f t="shared" si="152"/>
        <v/>
      </c>
      <c r="AV736" s="78" t="str">
        <f t="shared" si="153"/>
        <v/>
      </c>
      <c r="AW736" s="78" t="str">
        <f t="shared" si="154"/>
        <v>Atlatl</v>
      </c>
      <c r="AX736" s="1256">
        <f>IF(OR($L736=AX$635,$L736="",$D736=$AZ$634),MAX(AX$637:AX735)+1,0)</f>
        <v>0</v>
      </c>
      <c r="AY736" s="1257">
        <f>IF(OR($L736=AY$635,$L736="",$D736=$AZ$634),MAX(AY$637:AY735)+1,0)</f>
        <v>0</v>
      </c>
      <c r="AZ736" s="1258">
        <f>IF(OR($L736=AZ$635,$L736="",$D736=$AZ$634),MAX(AZ$637:AZ735)+1,0)</f>
        <v>80</v>
      </c>
      <c r="BA736" s="6225"/>
      <c r="BB736" s="853" t="str">
        <f t="shared" si="155"/>
        <v/>
      </c>
      <c r="BC736" s="78" t="str">
        <f t="shared" si="156"/>
        <v/>
      </c>
      <c r="BD736" s="78" t="str">
        <f t="shared" si="157"/>
        <v>Atlatl</v>
      </c>
      <c r="BE736" s="1256">
        <f>IF(OR($L736=BE$635,$L736="",$D736=$BG$634),MAX(BE$637:BE735)+1,0)</f>
        <v>0</v>
      </c>
      <c r="BF736" s="1257">
        <f>IF(OR($L736=BF$635,$L736="",$D736=$BG$634),MAX(BF$637:BF735)+1,0)</f>
        <v>0</v>
      </c>
      <c r="BG736" s="1258">
        <f>IF(OR($L736=BG$635,$L736="",$D736=$BG$634),MAX(BG$637:BG735)+1,0)</f>
        <v>80</v>
      </c>
      <c r="BH736" s="6225"/>
      <c r="BI736" s="853" t="str">
        <f t="shared" si="158"/>
        <v/>
      </c>
      <c r="BJ736" s="78" t="str">
        <f t="shared" si="159"/>
        <v/>
      </c>
      <c r="BK736" s="78" t="str">
        <f t="shared" si="160"/>
        <v>Atlatl</v>
      </c>
      <c r="BL736" s="1256">
        <f>IF(OR($L736=BL$635,$L736="",$D736=$BN$634),MAX(BL$637:BL735)+1,0)</f>
        <v>0</v>
      </c>
      <c r="BM736" s="1257">
        <f>IF(OR($L736=BM$635,$L736="",$D736=$BN$634),MAX(BM$637:BM735)+1,0)</f>
        <v>0</v>
      </c>
      <c r="BN736" s="1258">
        <f>IF(OR($L736=BN$635,$L736="",$D736=$BN$634),MAX(BN$637:BN735)+1,0)</f>
        <v>80</v>
      </c>
      <c r="BO736" s="6225"/>
      <c r="BP736" s="853" t="str">
        <f t="shared" si="161"/>
        <v/>
      </c>
      <c r="BQ736" s="78" t="str">
        <f t="shared" si="162"/>
        <v/>
      </c>
      <c r="BR736" s="78" t="str">
        <f t="shared" si="163"/>
        <v>Atlatl</v>
      </c>
      <c r="BS736" s="1256">
        <f>IF(OR($L736=BS$635,$L736="",$D736=$BU$634),MAX(BS$637:BS735)+1,0)</f>
        <v>0</v>
      </c>
      <c r="BT736" s="1257">
        <f>IF(OR($L736=BT$635,$L736="",$D736=$BU$634),MAX(BT$637:BT735)+1,0)</f>
        <v>0</v>
      </c>
      <c r="BU736" s="1258">
        <f>IF(OR($L736=BU$635,$L736="",$D736=$BU$634),MAX(BU$637:BU735)+1,0)</f>
        <v>80</v>
      </c>
    </row>
    <row r="737" spans="1:73" ht="12.75" customHeight="1" x14ac:dyDescent="0.2">
      <c r="A737" s="227">
        <v>737</v>
      </c>
      <c r="B737" s="5988"/>
      <c r="C737" s="1146"/>
      <c r="D737" s="2629" t="s">
        <v>7001</v>
      </c>
      <c r="E737" s="2633">
        <v>25</v>
      </c>
      <c r="F737" s="2628">
        <v>0</v>
      </c>
      <c r="G737" s="2628">
        <v>6</v>
      </c>
      <c r="H737" s="2628">
        <v>5</v>
      </c>
      <c r="I737" s="2628" t="s">
        <v>1498</v>
      </c>
      <c r="J737" s="2628" t="s">
        <v>1456</v>
      </c>
      <c r="K737" s="2878" t="s">
        <v>7265</v>
      </c>
      <c r="L737" s="2635"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34">
        <v>8</v>
      </c>
      <c r="N737" s="2634">
        <v>-1</v>
      </c>
      <c r="O737" s="2634">
        <v>15</v>
      </c>
      <c r="P737" s="2628"/>
      <c r="Q737" s="2628"/>
      <c r="R737" s="2628" t="s">
        <v>1456</v>
      </c>
      <c r="S737" s="2628" t="s">
        <v>1456</v>
      </c>
      <c r="T737" s="2628" t="s">
        <v>1456</v>
      </c>
      <c r="U737" s="2628"/>
      <c r="V737" s="2878" t="s">
        <v>2201</v>
      </c>
      <c r="W737" s="2878"/>
      <c r="X737" s="2879" t="str">
        <f t="shared" si="143"/>
        <v>Mediana</v>
      </c>
      <c r="Y737" s="2618">
        <f t="shared" si="144"/>
        <v>0</v>
      </c>
      <c r="Z737" s="1265" t="str">
        <f t="shared" si="145"/>
        <v/>
      </c>
      <c r="AB737" s="564" t="s">
        <v>2194</v>
      </c>
      <c r="AC737" s="2859"/>
      <c r="AD737" s="2859"/>
      <c r="AE737" s="837"/>
      <c r="AG737" s="853" t="str">
        <f t="shared" si="146"/>
        <v/>
      </c>
      <c r="AH737" s="78" t="str">
        <f t="shared" si="147"/>
        <v/>
      </c>
      <c r="AI737" s="78" t="str">
        <f t="shared" si="148"/>
        <v>Ballesta</v>
      </c>
      <c r="AJ737" s="1256">
        <f>IF(OR($L737=AJ$635,$L737="",$D737=$AL$634),MAX(AJ$637:AJ736)+1,0)</f>
        <v>0</v>
      </c>
      <c r="AK737" s="1257">
        <f>IF(OR($L737=AK$635,$L737="",$D737=$AL$634),MAX(AK$637:AK736)+1,0)</f>
        <v>0</v>
      </c>
      <c r="AL737" s="1258">
        <f>IF(OR($L737=AL$635,$L737="",$D737=$AL$634),MAX(AL$637:AL736)+1,0)</f>
        <v>81</v>
      </c>
      <c r="AM737" s="6225"/>
      <c r="AN737" s="853" t="str">
        <f t="shared" si="149"/>
        <v/>
      </c>
      <c r="AO737" s="78" t="str">
        <f t="shared" si="150"/>
        <v/>
      </c>
      <c r="AP737" s="78" t="str">
        <f t="shared" si="151"/>
        <v>Ballesta</v>
      </c>
      <c r="AQ737" s="1256">
        <f>IF(OR($L737=AQ$635,$L737="",$D737=$AS$634),MAX(AQ$637:AQ736)+1,0)</f>
        <v>0</v>
      </c>
      <c r="AR737" s="1257">
        <f>IF(OR($L737=AR$635,$L737="",$D737=$AS$634),MAX(AR$637:AR736)+1,0)</f>
        <v>0</v>
      </c>
      <c r="AS737" s="1258">
        <f>IF(OR($L737=AS$635,$L737="",$D737=$AS$634),MAX(AS$637:AS736)+1,0)</f>
        <v>81</v>
      </c>
      <c r="AT737" s="6225"/>
      <c r="AU737" s="853" t="str">
        <f t="shared" si="152"/>
        <v/>
      </c>
      <c r="AV737" s="78" t="str">
        <f t="shared" si="153"/>
        <v/>
      </c>
      <c r="AW737" s="78" t="str">
        <f t="shared" si="154"/>
        <v>Ballesta</v>
      </c>
      <c r="AX737" s="1256">
        <f>IF(OR($L737=AX$635,$L737="",$D737=$AZ$634),MAX(AX$637:AX736)+1,0)</f>
        <v>0</v>
      </c>
      <c r="AY737" s="1257">
        <f>IF(OR($L737=AY$635,$L737="",$D737=$AZ$634),MAX(AY$637:AY736)+1,0)</f>
        <v>0</v>
      </c>
      <c r="AZ737" s="1258">
        <f>IF(OR($L737=AZ$635,$L737="",$D737=$AZ$634),MAX(AZ$637:AZ736)+1,0)</f>
        <v>81</v>
      </c>
      <c r="BA737" s="6225"/>
      <c r="BB737" s="853" t="str">
        <f t="shared" si="155"/>
        <v/>
      </c>
      <c r="BC737" s="78" t="str">
        <f t="shared" si="156"/>
        <v/>
      </c>
      <c r="BD737" s="78" t="str">
        <f t="shared" si="157"/>
        <v>Ballesta</v>
      </c>
      <c r="BE737" s="1256">
        <f>IF(OR($L737=BE$635,$L737="",$D737=$BG$634),MAX(BE$637:BE736)+1,0)</f>
        <v>0</v>
      </c>
      <c r="BF737" s="1257">
        <f>IF(OR($L737=BF$635,$L737="",$D737=$BG$634),MAX(BF$637:BF736)+1,0)</f>
        <v>0</v>
      </c>
      <c r="BG737" s="1258">
        <f>IF(OR($L737=BG$635,$L737="",$D737=$BG$634),MAX(BG$637:BG736)+1,0)</f>
        <v>81</v>
      </c>
      <c r="BH737" s="6225"/>
      <c r="BI737" s="853" t="str">
        <f t="shared" si="158"/>
        <v/>
      </c>
      <c r="BJ737" s="78" t="str">
        <f t="shared" si="159"/>
        <v/>
      </c>
      <c r="BK737" s="78" t="str">
        <f t="shared" si="160"/>
        <v>Ballesta</v>
      </c>
      <c r="BL737" s="1256">
        <f>IF(OR($L737=BL$635,$L737="",$D737=$BN$634),MAX(BL$637:BL736)+1,0)</f>
        <v>0</v>
      </c>
      <c r="BM737" s="1257">
        <f>IF(OR($L737=BM$635,$L737="",$D737=$BN$634),MAX(BM$637:BM736)+1,0)</f>
        <v>0</v>
      </c>
      <c r="BN737" s="1258">
        <f>IF(OR($L737=BN$635,$L737="",$D737=$BN$634),MAX(BN$637:BN736)+1,0)</f>
        <v>81</v>
      </c>
      <c r="BO737" s="6225"/>
      <c r="BP737" s="853" t="str">
        <f t="shared" si="161"/>
        <v/>
      </c>
      <c r="BQ737" s="78" t="str">
        <f t="shared" si="162"/>
        <v/>
      </c>
      <c r="BR737" s="78" t="str">
        <f t="shared" si="163"/>
        <v>Ballesta</v>
      </c>
      <c r="BS737" s="1256">
        <f>IF(OR($L737=BS$635,$L737="",$D737=$BU$634),MAX(BS$637:BS736)+1,0)</f>
        <v>0</v>
      </c>
      <c r="BT737" s="1257">
        <f>IF(OR($L737=BT$635,$L737="",$D737=$BU$634),MAX(BT$637:BT736)+1,0)</f>
        <v>0</v>
      </c>
      <c r="BU737" s="1258">
        <f>IF(OR($L737=BU$635,$L737="",$D737=$BU$634),MAX(BU$637:BU736)+1,0)</f>
        <v>81</v>
      </c>
    </row>
    <row r="738" spans="1:73" ht="12.75" customHeight="1" x14ac:dyDescent="0.2">
      <c r="A738" s="227">
        <v>738</v>
      </c>
      <c r="B738" s="5988"/>
      <c r="C738" s="1146"/>
      <c r="D738" s="2629" t="s">
        <v>7018</v>
      </c>
      <c r="E738" s="2633">
        <v>20</v>
      </c>
      <c r="F738" s="2628">
        <v>15</v>
      </c>
      <c r="G738" s="2628">
        <v>4</v>
      </c>
      <c r="H738" s="2628">
        <v>4</v>
      </c>
      <c r="I738" s="2628" t="s">
        <v>1498</v>
      </c>
      <c r="J738" s="2628" t="s">
        <v>1456</v>
      </c>
      <c r="K738" s="2878" t="s">
        <v>7267</v>
      </c>
      <c r="L738" s="2628" t="str">
        <f t="shared" si="142"/>
        <v>Distinta</v>
      </c>
      <c r="M738" s="2634">
        <v>13</v>
      </c>
      <c r="N738" s="2634">
        <v>2</v>
      </c>
      <c r="O738" s="2634">
        <v>20</v>
      </c>
      <c r="P738" s="2628"/>
      <c r="Q738" s="2628"/>
      <c r="R738" s="2628" t="s">
        <v>1456</v>
      </c>
      <c r="S738" s="2628" t="s">
        <v>1456</v>
      </c>
      <c r="T738" s="2628" t="s">
        <v>1456</v>
      </c>
      <c r="U738" s="2628"/>
      <c r="V738" s="2878" t="s">
        <v>7037</v>
      </c>
      <c r="W738" s="2878"/>
      <c r="X738" s="2879" t="str">
        <f t="shared" si="143"/>
        <v>Pequeña</v>
      </c>
      <c r="Y738" s="2618">
        <f t="shared" si="144"/>
        <v>0</v>
      </c>
      <c r="Z738" s="1265" t="str">
        <f t="shared" si="145"/>
        <v/>
      </c>
      <c r="AB738" s="564" t="s">
        <v>7028</v>
      </c>
      <c r="AC738" s="2859"/>
      <c r="AD738" s="2859"/>
      <c r="AE738" s="837"/>
      <c r="AG738" s="853" t="str">
        <f t="shared" si="146"/>
        <v/>
      </c>
      <c r="AH738" s="78" t="str">
        <f t="shared" si="147"/>
        <v/>
      </c>
      <c r="AI738" s="78" t="str">
        <f t="shared" si="148"/>
        <v>Ballesta de mano</v>
      </c>
      <c r="AJ738" s="1256">
        <f>IF(OR($L738=AJ$635,$L738="",$D738=$AL$634),MAX(AJ$637:AJ737)+1,0)</f>
        <v>0</v>
      </c>
      <c r="AK738" s="1257">
        <f>IF(OR($L738=AK$635,$L738="",$D738=$AL$634),MAX(AK$637:AK737)+1,0)</f>
        <v>0</v>
      </c>
      <c r="AL738" s="1258">
        <f>IF(OR($L738=AL$635,$L738="",$D738=$AL$634),MAX(AL$637:AL737)+1,0)</f>
        <v>82</v>
      </c>
      <c r="AM738" s="6225"/>
      <c r="AN738" s="853" t="str">
        <f t="shared" si="149"/>
        <v/>
      </c>
      <c r="AO738" s="78" t="str">
        <f t="shared" si="150"/>
        <v/>
      </c>
      <c r="AP738" s="78" t="str">
        <f t="shared" si="151"/>
        <v>Ballesta de mano</v>
      </c>
      <c r="AQ738" s="1256">
        <f>IF(OR($L738=AQ$635,$L738="",$D738=$AS$634),MAX(AQ$637:AQ737)+1,0)</f>
        <v>0</v>
      </c>
      <c r="AR738" s="1257">
        <f>IF(OR($L738=AR$635,$L738="",$D738=$AS$634),MAX(AR$637:AR737)+1,0)</f>
        <v>0</v>
      </c>
      <c r="AS738" s="1258">
        <f>IF(OR($L738=AS$635,$L738="",$D738=$AS$634),MAX(AS$637:AS737)+1,0)</f>
        <v>82</v>
      </c>
      <c r="AT738" s="6225"/>
      <c r="AU738" s="853" t="str">
        <f t="shared" si="152"/>
        <v/>
      </c>
      <c r="AV738" s="78" t="str">
        <f t="shared" si="153"/>
        <v/>
      </c>
      <c r="AW738" s="78" t="str">
        <f t="shared" si="154"/>
        <v>Ballesta de mano</v>
      </c>
      <c r="AX738" s="1256">
        <f>IF(OR($L738=AX$635,$L738="",$D738=$AZ$634),MAX(AX$637:AX737)+1,0)</f>
        <v>0</v>
      </c>
      <c r="AY738" s="1257">
        <f>IF(OR($L738=AY$635,$L738="",$D738=$AZ$634),MAX(AY$637:AY737)+1,0)</f>
        <v>0</v>
      </c>
      <c r="AZ738" s="1258">
        <f>IF(OR($L738=AZ$635,$L738="",$D738=$AZ$634),MAX(AZ$637:AZ737)+1,0)</f>
        <v>82</v>
      </c>
      <c r="BA738" s="6225"/>
      <c r="BB738" s="853" t="str">
        <f t="shared" si="155"/>
        <v/>
      </c>
      <c r="BC738" s="78" t="str">
        <f t="shared" si="156"/>
        <v/>
      </c>
      <c r="BD738" s="78" t="str">
        <f t="shared" si="157"/>
        <v>Ballesta de mano</v>
      </c>
      <c r="BE738" s="1256">
        <f>IF(OR($L738=BE$635,$L738="",$D738=$BG$634),MAX(BE$637:BE737)+1,0)</f>
        <v>0</v>
      </c>
      <c r="BF738" s="1257">
        <f>IF(OR($L738=BF$635,$L738="",$D738=$BG$634),MAX(BF$637:BF737)+1,0)</f>
        <v>0</v>
      </c>
      <c r="BG738" s="1258">
        <f>IF(OR($L738=BG$635,$L738="",$D738=$BG$634),MAX(BG$637:BG737)+1,0)</f>
        <v>82</v>
      </c>
      <c r="BH738" s="6225"/>
      <c r="BI738" s="853" t="str">
        <f t="shared" si="158"/>
        <v/>
      </c>
      <c r="BJ738" s="78" t="str">
        <f t="shared" si="159"/>
        <v/>
      </c>
      <c r="BK738" s="78" t="str">
        <f t="shared" si="160"/>
        <v>Ballesta de mano</v>
      </c>
      <c r="BL738" s="1256">
        <f>IF(OR($L738=BL$635,$L738="",$D738=$BN$634),MAX(BL$637:BL737)+1,0)</f>
        <v>0</v>
      </c>
      <c r="BM738" s="1257">
        <f>IF(OR($L738=BM$635,$L738="",$D738=$BN$634),MAX(BM$637:BM737)+1,0)</f>
        <v>0</v>
      </c>
      <c r="BN738" s="1258">
        <f>IF(OR($L738=BN$635,$L738="",$D738=$BN$634),MAX(BN$637:BN737)+1,0)</f>
        <v>82</v>
      </c>
      <c r="BO738" s="6225"/>
      <c r="BP738" s="853" t="str">
        <f t="shared" si="161"/>
        <v/>
      </c>
      <c r="BQ738" s="78" t="str">
        <f t="shared" si="162"/>
        <v/>
      </c>
      <c r="BR738" s="78" t="str">
        <f t="shared" si="163"/>
        <v>Ballesta de mano</v>
      </c>
      <c r="BS738" s="1256">
        <f>IF(OR($L738=BS$635,$L738="",$D738=$BU$634),MAX(BS$637:BS737)+1,0)</f>
        <v>0</v>
      </c>
      <c r="BT738" s="1257">
        <f>IF(OR($L738=BT$635,$L738="",$D738=$BU$634),MAX(BT$637:BT737)+1,0)</f>
        <v>0</v>
      </c>
      <c r="BU738" s="1258">
        <f>IF(OR($L738=BU$635,$L738="",$D738=$BU$634),MAX(BU$637:BU737)+1,0)</f>
        <v>82</v>
      </c>
    </row>
    <row r="739" spans="1:73" ht="12.75" customHeight="1" x14ac:dyDescent="0.2">
      <c r="A739" s="227">
        <v>739</v>
      </c>
      <c r="B739" s="5988"/>
      <c r="C739" s="1146"/>
      <c r="D739" s="2629" t="s">
        <v>7019</v>
      </c>
      <c r="E739" s="2633">
        <v>40</v>
      </c>
      <c r="F739" s="2628">
        <v>5</v>
      </c>
      <c r="G739" s="2628">
        <v>4</v>
      </c>
      <c r="H739" s="2628">
        <v>4</v>
      </c>
      <c r="I739" s="2628" t="s">
        <v>1551</v>
      </c>
      <c r="J739" s="2628" t="s">
        <v>1552</v>
      </c>
      <c r="K739" s="2878" t="s">
        <v>7267</v>
      </c>
      <c r="L739" s="2628" t="str">
        <f t="shared" si="142"/>
        <v>Distinta</v>
      </c>
      <c r="M739" s="2634">
        <v>12</v>
      </c>
      <c r="N739" s="2634">
        <v>1</v>
      </c>
      <c r="O739" s="2634">
        <v>20</v>
      </c>
      <c r="P739" s="2628"/>
      <c r="Q739" s="2628"/>
      <c r="R739" s="2628" t="s">
        <v>1456</v>
      </c>
      <c r="S739" s="2628" t="s">
        <v>1456</v>
      </c>
      <c r="T739" s="2628" t="s">
        <v>1456</v>
      </c>
      <c r="U739" s="2628"/>
      <c r="V739" s="2878" t="s">
        <v>1456</v>
      </c>
      <c r="W739" s="2878"/>
      <c r="X739" s="2879" t="str">
        <f t="shared" si="143"/>
        <v>Pequeña</v>
      </c>
      <c r="Y739" s="2618">
        <f t="shared" si="144"/>
        <v>0</v>
      </c>
      <c r="Z739" s="1265" t="str">
        <f t="shared" si="145"/>
        <v/>
      </c>
      <c r="AB739" s="564" t="s">
        <v>2166</v>
      </c>
      <c r="AC739" s="2859"/>
      <c r="AD739" s="2859"/>
      <c r="AE739" s="837"/>
      <c r="AG739" s="853" t="str">
        <f t="shared" si="146"/>
        <v/>
      </c>
      <c r="AH739" s="78" t="str">
        <f t="shared" si="147"/>
        <v/>
      </c>
      <c r="AI739" s="78" t="str">
        <f t="shared" si="148"/>
        <v>Ballesta de repetición</v>
      </c>
      <c r="AJ739" s="1256">
        <f>IF(OR($L739=AJ$635,$L739="",$D739=$AL$634),MAX(AJ$637:AJ738)+1,0)</f>
        <v>0</v>
      </c>
      <c r="AK739" s="1257">
        <f>IF(OR($L739=AK$635,$L739="",$D739=$AL$634),MAX(AK$637:AK738)+1,0)</f>
        <v>0</v>
      </c>
      <c r="AL739" s="1258">
        <f>IF(OR($L739=AL$635,$L739="",$D739=$AL$634),MAX(AL$637:AL738)+1,0)</f>
        <v>83</v>
      </c>
      <c r="AM739" s="6225"/>
      <c r="AN739" s="853" t="str">
        <f t="shared" si="149"/>
        <v/>
      </c>
      <c r="AO739" s="78" t="str">
        <f t="shared" si="150"/>
        <v/>
      </c>
      <c r="AP739" s="78" t="str">
        <f t="shared" si="151"/>
        <v>Ballesta de repetición</v>
      </c>
      <c r="AQ739" s="1256">
        <f>IF(OR($L739=AQ$635,$L739="",$D739=$AS$634),MAX(AQ$637:AQ738)+1,0)</f>
        <v>0</v>
      </c>
      <c r="AR739" s="1257">
        <f>IF(OR($L739=AR$635,$L739="",$D739=$AS$634),MAX(AR$637:AR738)+1,0)</f>
        <v>0</v>
      </c>
      <c r="AS739" s="1258">
        <f>IF(OR($L739=AS$635,$L739="",$D739=$AS$634),MAX(AS$637:AS738)+1,0)</f>
        <v>83</v>
      </c>
      <c r="AT739" s="6225"/>
      <c r="AU739" s="853" t="str">
        <f t="shared" si="152"/>
        <v/>
      </c>
      <c r="AV739" s="78" t="str">
        <f t="shared" si="153"/>
        <v/>
      </c>
      <c r="AW739" s="78" t="str">
        <f t="shared" si="154"/>
        <v>Ballesta de repetición</v>
      </c>
      <c r="AX739" s="1256">
        <f>IF(OR($L739=AX$635,$L739="",$D739=$AZ$634),MAX(AX$637:AX738)+1,0)</f>
        <v>0</v>
      </c>
      <c r="AY739" s="1257">
        <f>IF(OR($L739=AY$635,$L739="",$D739=$AZ$634),MAX(AY$637:AY738)+1,0)</f>
        <v>0</v>
      </c>
      <c r="AZ739" s="1258">
        <f>IF(OR($L739=AZ$635,$L739="",$D739=$AZ$634),MAX(AZ$637:AZ738)+1,0)</f>
        <v>83</v>
      </c>
      <c r="BA739" s="6225"/>
      <c r="BB739" s="853" t="str">
        <f t="shared" si="155"/>
        <v/>
      </c>
      <c r="BC739" s="78" t="str">
        <f t="shared" si="156"/>
        <v/>
      </c>
      <c r="BD739" s="78" t="str">
        <f t="shared" si="157"/>
        <v>Ballesta de repetición</v>
      </c>
      <c r="BE739" s="1256">
        <f>IF(OR($L739=BE$635,$L739="",$D739=$BG$634),MAX(BE$637:BE738)+1,0)</f>
        <v>0</v>
      </c>
      <c r="BF739" s="1257">
        <f>IF(OR($L739=BF$635,$L739="",$D739=$BG$634),MAX(BF$637:BF738)+1,0)</f>
        <v>0</v>
      </c>
      <c r="BG739" s="1258">
        <f>IF(OR($L739=BG$635,$L739="",$D739=$BG$634),MAX(BG$637:BG738)+1,0)</f>
        <v>83</v>
      </c>
      <c r="BH739" s="6225"/>
      <c r="BI739" s="853" t="str">
        <f t="shared" si="158"/>
        <v/>
      </c>
      <c r="BJ739" s="78" t="str">
        <f t="shared" si="159"/>
        <v/>
      </c>
      <c r="BK739" s="78" t="str">
        <f t="shared" si="160"/>
        <v>Ballesta de repetición</v>
      </c>
      <c r="BL739" s="1256">
        <f>IF(OR($L739=BL$635,$L739="",$D739=$BN$634),MAX(BL$637:BL738)+1,0)</f>
        <v>0</v>
      </c>
      <c r="BM739" s="1257">
        <f>IF(OR($L739=BM$635,$L739="",$D739=$BN$634),MAX(BM$637:BM738)+1,0)</f>
        <v>0</v>
      </c>
      <c r="BN739" s="1258">
        <f>IF(OR($L739=BN$635,$L739="",$D739=$BN$634),MAX(BN$637:BN738)+1,0)</f>
        <v>83</v>
      </c>
      <c r="BO739" s="6225"/>
      <c r="BP739" s="853" t="str">
        <f t="shared" si="161"/>
        <v/>
      </c>
      <c r="BQ739" s="78" t="str">
        <f t="shared" si="162"/>
        <v/>
      </c>
      <c r="BR739" s="78" t="str">
        <f t="shared" si="163"/>
        <v>Ballesta de repetición</v>
      </c>
      <c r="BS739" s="1256">
        <f>IF(OR($L739=BS$635,$L739="",$D739=$BU$634),MAX(BS$637:BS738)+1,0)</f>
        <v>0</v>
      </c>
      <c r="BT739" s="1257">
        <f>IF(OR($L739=BT$635,$L739="",$D739=$BU$634),MAX(BT$637:BT738)+1,0)</f>
        <v>0</v>
      </c>
      <c r="BU739" s="1258">
        <f>IF(OR($L739=BU$635,$L739="",$D739=$BU$634),MAX(BU$637:BU738)+1,0)</f>
        <v>83</v>
      </c>
    </row>
    <row r="740" spans="1:73" ht="12.75" customHeight="1" x14ac:dyDescent="0.2">
      <c r="A740" s="227">
        <v>740</v>
      </c>
      <c r="B740" s="5988"/>
      <c r="C740" s="1146"/>
      <c r="D740" s="2629" t="s">
        <v>7020</v>
      </c>
      <c r="E740" s="2633">
        <v>30</v>
      </c>
      <c r="F740" s="2628">
        <v>0</v>
      </c>
      <c r="G740" s="2628">
        <v>6</v>
      </c>
      <c r="H740" s="2628">
        <v>6</v>
      </c>
      <c r="I740" s="2628" t="s">
        <v>1498</v>
      </c>
      <c r="J740" s="2628" t="s">
        <v>1456</v>
      </c>
      <c r="K740" s="2878" t="s">
        <v>7266</v>
      </c>
      <c r="L740" s="2628" t="str">
        <f t="shared" si="142"/>
        <v>Distinta</v>
      </c>
      <c r="M740" s="2634">
        <v>13</v>
      </c>
      <c r="N740" s="2634">
        <v>3</v>
      </c>
      <c r="O740" s="2634">
        <v>20</v>
      </c>
      <c r="P740" s="2628"/>
      <c r="Q740" s="2628"/>
      <c r="R740" s="2628" t="s">
        <v>1456</v>
      </c>
      <c r="S740" s="2628" t="s">
        <v>1456</v>
      </c>
      <c r="T740" s="2628" t="s">
        <v>1456</v>
      </c>
      <c r="U740" s="2628"/>
      <c r="V740" s="2878" t="s">
        <v>7038</v>
      </c>
      <c r="W740" s="2878"/>
      <c r="X740" s="2879" t="str">
        <f t="shared" si="143"/>
        <v>Mediana</v>
      </c>
      <c r="Y740" s="2618">
        <f t="shared" si="144"/>
        <v>0</v>
      </c>
      <c r="Z740" s="1265" t="str">
        <f t="shared" si="145"/>
        <v/>
      </c>
      <c r="AB740" s="564" t="s">
        <v>10092</v>
      </c>
      <c r="AC740" s="2859"/>
      <c r="AD740" s="2859"/>
      <c r="AE740" s="837"/>
      <c r="AG740" s="853" t="str">
        <f t="shared" si="146"/>
        <v/>
      </c>
      <c r="AH740" s="78" t="str">
        <f t="shared" si="147"/>
        <v/>
      </c>
      <c r="AI740" s="78" t="str">
        <f t="shared" si="148"/>
        <v>Ballesta pesada</v>
      </c>
      <c r="AJ740" s="1256">
        <f>IF(OR($L740=AJ$635,$L740="",$D740=$AL$634),MAX(AJ$637:AJ739)+1,0)</f>
        <v>0</v>
      </c>
      <c r="AK740" s="1257">
        <f>IF(OR($L740=AK$635,$L740="",$D740=$AL$634),MAX(AK$637:AK739)+1,0)</f>
        <v>0</v>
      </c>
      <c r="AL740" s="1258">
        <f>IF(OR($L740=AL$635,$L740="",$D740=$AL$634),MAX(AL$637:AL739)+1,0)</f>
        <v>84</v>
      </c>
      <c r="AM740" s="6225"/>
      <c r="AN740" s="853" t="str">
        <f t="shared" si="149"/>
        <v/>
      </c>
      <c r="AO740" s="78" t="str">
        <f t="shared" si="150"/>
        <v/>
      </c>
      <c r="AP740" s="78" t="str">
        <f t="shared" si="151"/>
        <v>Ballesta pesada</v>
      </c>
      <c r="AQ740" s="1256">
        <f>IF(OR($L740=AQ$635,$L740="",$D740=$AS$634),MAX(AQ$637:AQ739)+1,0)</f>
        <v>0</v>
      </c>
      <c r="AR740" s="1257">
        <f>IF(OR($L740=AR$635,$L740="",$D740=$AS$634),MAX(AR$637:AR739)+1,0)</f>
        <v>0</v>
      </c>
      <c r="AS740" s="1258">
        <f>IF(OR($L740=AS$635,$L740="",$D740=$AS$634),MAX(AS$637:AS739)+1,0)</f>
        <v>84</v>
      </c>
      <c r="AT740" s="6225"/>
      <c r="AU740" s="853" t="str">
        <f t="shared" si="152"/>
        <v/>
      </c>
      <c r="AV740" s="78" t="str">
        <f t="shared" si="153"/>
        <v/>
      </c>
      <c r="AW740" s="78" t="str">
        <f t="shared" si="154"/>
        <v>Ballesta pesada</v>
      </c>
      <c r="AX740" s="1256">
        <f>IF(OR($L740=AX$635,$L740="",$D740=$AZ$634),MAX(AX$637:AX739)+1,0)</f>
        <v>0</v>
      </c>
      <c r="AY740" s="1257">
        <f>IF(OR($L740=AY$635,$L740="",$D740=$AZ$634),MAX(AY$637:AY739)+1,0)</f>
        <v>0</v>
      </c>
      <c r="AZ740" s="1258">
        <f>IF(OR($L740=AZ$635,$L740="",$D740=$AZ$634),MAX(AZ$637:AZ739)+1,0)</f>
        <v>84</v>
      </c>
      <c r="BA740" s="6225"/>
      <c r="BB740" s="853" t="str">
        <f t="shared" si="155"/>
        <v/>
      </c>
      <c r="BC740" s="78" t="str">
        <f t="shared" si="156"/>
        <v/>
      </c>
      <c r="BD740" s="78" t="str">
        <f t="shared" si="157"/>
        <v>Ballesta pesada</v>
      </c>
      <c r="BE740" s="1256">
        <f>IF(OR($L740=BE$635,$L740="",$D740=$BG$634),MAX(BE$637:BE739)+1,0)</f>
        <v>0</v>
      </c>
      <c r="BF740" s="1257">
        <f>IF(OR($L740=BF$635,$L740="",$D740=$BG$634),MAX(BF$637:BF739)+1,0)</f>
        <v>0</v>
      </c>
      <c r="BG740" s="1258">
        <f>IF(OR($L740=BG$635,$L740="",$D740=$BG$634),MAX(BG$637:BG739)+1,0)</f>
        <v>84</v>
      </c>
      <c r="BH740" s="6225"/>
      <c r="BI740" s="853" t="str">
        <f t="shared" si="158"/>
        <v/>
      </c>
      <c r="BJ740" s="78" t="str">
        <f t="shared" si="159"/>
        <v/>
      </c>
      <c r="BK740" s="78" t="str">
        <f t="shared" si="160"/>
        <v>Ballesta pesada</v>
      </c>
      <c r="BL740" s="1256">
        <f>IF(OR($L740=BL$635,$L740="",$D740=$BN$634),MAX(BL$637:BL739)+1,0)</f>
        <v>0</v>
      </c>
      <c r="BM740" s="1257">
        <f>IF(OR($L740=BM$635,$L740="",$D740=$BN$634),MAX(BM$637:BM739)+1,0)</f>
        <v>0</v>
      </c>
      <c r="BN740" s="1258">
        <f>IF(OR($L740=BN$635,$L740="",$D740=$BN$634),MAX(BN$637:BN739)+1,0)</f>
        <v>84</v>
      </c>
      <c r="BO740" s="6225"/>
      <c r="BP740" s="853" t="str">
        <f t="shared" si="161"/>
        <v/>
      </c>
      <c r="BQ740" s="78" t="str">
        <f t="shared" si="162"/>
        <v/>
      </c>
      <c r="BR740" s="78" t="str">
        <f t="shared" si="163"/>
        <v>Ballesta pesada</v>
      </c>
      <c r="BS740" s="1256">
        <f>IF(OR($L740=BS$635,$L740="",$D740=$BU$634),MAX(BS$637:BS739)+1,0)</f>
        <v>0</v>
      </c>
      <c r="BT740" s="1257">
        <f>IF(OR($L740=BT$635,$L740="",$D740=$BU$634),MAX(BT$637:BT739)+1,0)</f>
        <v>0</v>
      </c>
      <c r="BU740" s="1258">
        <f>IF(OR($L740=BU$635,$L740="",$D740=$BU$634),MAX(BU$637:BU739)+1,0)</f>
        <v>84</v>
      </c>
    </row>
    <row r="741" spans="1:73" ht="12.75" customHeight="1" x14ac:dyDescent="0.2">
      <c r="A741" s="227">
        <v>741</v>
      </c>
      <c r="B741" s="5988"/>
      <c r="C741" s="1146"/>
      <c r="D741" s="2629" t="s">
        <v>7021</v>
      </c>
      <c r="E741" s="2633">
        <v>20</v>
      </c>
      <c r="F741" s="2628">
        <v>15</v>
      </c>
      <c r="G741" s="2628">
        <v>4</v>
      </c>
      <c r="H741" s="2628">
        <v>4</v>
      </c>
      <c r="I741" s="2628" t="s">
        <v>1498</v>
      </c>
      <c r="J741" s="2628" t="s">
        <v>1456</v>
      </c>
      <c r="K741" s="2878" t="s">
        <v>7268</v>
      </c>
      <c r="L741" s="2628" t="str">
        <f t="shared" si="142"/>
        <v>Distinta</v>
      </c>
      <c r="M741" s="2634">
        <v>13</v>
      </c>
      <c r="N741" s="2634">
        <v>3</v>
      </c>
      <c r="O741" s="2634">
        <v>20</v>
      </c>
      <c r="P741" s="2628"/>
      <c r="Q741" s="2628"/>
      <c r="R741" s="2628" t="s">
        <v>1456</v>
      </c>
      <c r="S741" s="2628" t="s">
        <v>1456</v>
      </c>
      <c r="T741" s="2628" t="s">
        <v>1456</v>
      </c>
      <c r="U741" s="2628"/>
      <c r="V741" s="2878" t="s">
        <v>1456</v>
      </c>
      <c r="W741" s="2878"/>
      <c r="X741" s="2879" t="str">
        <f t="shared" si="143"/>
        <v>Mediana</v>
      </c>
      <c r="Y741" s="2618">
        <f t="shared" si="144"/>
        <v>0</v>
      </c>
      <c r="Z741" s="1265" t="str">
        <f t="shared" si="145"/>
        <v/>
      </c>
      <c r="AB741" s="853" t="s">
        <v>2226</v>
      </c>
      <c r="AC741" s="2859"/>
      <c r="AD741" s="2859"/>
      <c r="AE741" s="837"/>
      <c r="AG741" s="853" t="str">
        <f t="shared" si="146"/>
        <v/>
      </c>
      <c r="AH741" s="78" t="str">
        <f t="shared" si="147"/>
        <v/>
      </c>
      <c r="AI741" s="78" t="str">
        <f t="shared" si="148"/>
        <v>Cerbatana</v>
      </c>
      <c r="AJ741" s="1256">
        <f>IF(OR($L741=AJ$635,$L741="",$D741=$AL$634),MAX(AJ$637:AJ740)+1,0)</f>
        <v>0</v>
      </c>
      <c r="AK741" s="1257">
        <f>IF(OR($L741=AK$635,$L741="",$D741=$AL$634),MAX(AK$637:AK740)+1,0)</f>
        <v>0</v>
      </c>
      <c r="AL741" s="1258">
        <f>IF(OR($L741=AL$635,$L741="",$D741=$AL$634),MAX(AL$637:AL740)+1,0)</f>
        <v>85</v>
      </c>
      <c r="AM741" s="6225"/>
      <c r="AN741" s="853" t="str">
        <f t="shared" si="149"/>
        <v/>
      </c>
      <c r="AO741" s="78" t="str">
        <f t="shared" si="150"/>
        <v/>
      </c>
      <c r="AP741" s="78" t="str">
        <f t="shared" si="151"/>
        <v>Cerbatana</v>
      </c>
      <c r="AQ741" s="1256">
        <f>IF(OR($L741=AQ$635,$L741="",$D741=$AS$634),MAX(AQ$637:AQ740)+1,0)</f>
        <v>0</v>
      </c>
      <c r="AR741" s="1257">
        <f>IF(OR($L741=AR$635,$L741="",$D741=$AS$634),MAX(AR$637:AR740)+1,0)</f>
        <v>0</v>
      </c>
      <c r="AS741" s="1258">
        <f>IF(OR($L741=AS$635,$L741="",$D741=$AS$634),MAX(AS$637:AS740)+1,0)</f>
        <v>85</v>
      </c>
      <c r="AT741" s="6225"/>
      <c r="AU741" s="853" t="str">
        <f t="shared" si="152"/>
        <v/>
      </c>
      <c r="AV741" s="78" t="str">
        <f t="shared" si="153"/>
        <v/>
      </c>
      <c r="AW741" s="78" t="str">
        <f t="shared" si="154"/>
        <v>Cerbatana</v>
      </c>
      <c r="AX741" s="1256">
        <f>IF(OR($L741=AX$635,$L741="",$D741=$AZ$634),MAX(AX$637:AX740)+1,0)</f>
        <v>0</v>
      </c>
      <c r="AY741" s="1257">
        <f>IF(OR($L741=AY$635,$L741="",$D741=$AZ$634),MAX(AY$637:AY740)+1,0)</f>
        <v>0</v>
      </c>
      <c r="AZ741" s="1258">
        <f>IF(OR($L741=AZ$635,$L741="",$D741=$AZ$634),MAX(AZ$637:AZ740)+1,0)</f>
        <v>85</v>
      </c>
      <c r="BA741" s="6225"/>
      <c r="BB741" s="853" t="str">
        <f t="shared" si="155"/>
        <v/>
      </c>
      <c r="BC741" s="78" t="str">
        <f t="shared" si="156"/>
        <v/>
      </c>
      <c r="BD741" s="78" t="str">
        <f t="shared" si="157"/>
        <v>Cerbatana</v>
      </c>
      <c r="BE741" s="1256">
        <f>IF(OR($L741=BE$635,$L741="",$D741=$BG$634),MAX(BE$637:BE740)+1,0)</f>
        <v>0</v>
      </c>
      <c r="BF741" s="1257">
        <f>IF(OR($L741=BF$635,$L741="",$D741=$BG$634),MAX(BF$637:BF740)+1,0)</f>
        <v>0</v>
      </c>
      <c r="BG741" s="1258">
        <f>IF(OR($L741=BG$635,$L741="",$D741=$BG$634),MAX(BG$637:BG740)+1,0)</f>
        <v>85</v>
      </c>
      <c r="BH741" s="6225"/>
      <c r="BI741" s="853" t="str">
        <f t="shared" si="158"/>
        <v/>
      </c>
      <c r="BJ741" s="78" t="str">
        <f t="shared" si="159"/>
        <v/>
      </c>
      <c r="BK741" s="78" t="str">
        <f t="shared" si="160"/>
        <v>Cerbatana</v>
      </c>
      <c r="BL741" s="1256">
        <f>IF(OR($L741=BL$635,$L741="",$D741=$BN$634),MAX(BL$637:BL740)+1,0)</f>
        <v>0</v>
      </c>
      <c r="BM741" s="1257">
        <f>IF(OR($L741=BM$635,$L741="",$D741=$BN$634),MAX(BM$637:BM740)+1,0)</f>
        <v>0</v>
      </c>
      <c r="BN741" s="1258">
        <f>IF(OR($L741=BN$635,$L741="",$D741=$BN$634),MAX(BN$637:BN740)+1,0)</f>
        <v>85</v>
      </c>
      <c r="BO741" s="6225"/>
      <c r="BP741" s="853" t="str">
        <f t="shared" si="161"/>
        <v/>
      </c>
      <c r="BQ741" s="78" t="str">
        <f t="shared" si="162"/>
        <v/>
      </c>
      <c r="BR741" s="78" t="str">
        <f t="shared" si="163"/>
        <v>Cerbatana</v>
      </c>
      <c r="BS741" s="1256">
        <f>IF(OR($L741=BS$635,$L741="",$D741=$BU$634),MAX(BS$637:BS740)+1,0)</f>
        <v>0</v>
      </c>
      <c r="BT741" s="1257">
        <f>IF(OR($L741=BT$635,$L741="",$D741=$BU$634),MAX(BT$637:BT740)+1,0)</f>
        <v>0</v>
      </c>
      <c r="BU741" s="1258">
        <f>IF(OR($L741=BU$635,$L741="",$D741=$BU$634),MAX(BU$637:BU740)+1,0)</f>
        <v>85</v>
      </c>
    </row>
    <row r="742" spans="1:73" ht="12.75" customHeight="1" x14ac:dyDescent="0.2">
      <c r="A742" s="227">
        <v>742</v>
      </c>
      <c r="B742" s="5988"/>
      <c r="C742" s="1146"/>
      <c r="D742" s="2629" t="s">
        <v>7022</v>
      </c>
      <c r="E742" s="2633">
        <v>30</v>
      </c>
      <c r="F742" s="2628">
        <v>15</v>
      </c>
      <c r="G742" s="2628">
        <v>4</v>
      </c>
      <c r="H742" s="2628">
        <v>4</v>
      </c>
      <c r="I742" s="2628" t="s">
        <v>1552</v>
      </c>
      <c r="J742" s="2628" t="s">
        <v>1551</v>
      </c>
      <c r="K742" s="2878" t="s">
        <v>7267</v>
      </c>
      <c r="L742" s="2628" t="str">
        <f t="shared" si="142"/>
        <v>Distinta</v>
      </c>
      <c r="M742" s="2634">
        <v>11</v>
      </c>
      <c r="N742" s="2634">
        <v>1</v>
      </c>
      <c r="O742" s="2634">
        <v>20</v>
      </c>
      <c r="P742" s="2628"/>
      <c r="Q742" s="2628"/>
      <c r="R742" s="2628" t="s">
        <v>1456</v>
      </c>
      <c r="S742" s="2628" t="s">
        <v>1456</v>
      </c>
      <c r="T742" s="2628" t="s">
        <v>1456</v>
      </c>
      <c r="U742" s="2628"/>
      <c r="V742" s="2878" t="s">
        <v>2134</v>
      </c>
      <c r="W742" s="2878"/>
      <c r="X742" s="2879" t="str">
        <f t="shared" si="143"/>
        <v>Pequeña</v>
      </c>
      <c r="Y742" s="2618">
        <f t="shared" si="144"/>
        <v>0</v>
      </c>
      <c r="Z742" s="1265" t="str">
        <f t="shared" si="145"/>
        <v/>
      </c>
      <c r="AB742" s="853" t="s">
        <v>2246</v>
      </c>
      <c r="AC742" s="2859"/>
      <c r="AD742" s="2859"/>
      <c r="AE742" s="837"/>
      <c r="AG742" s="853" t="str">
        <f t="shared" si="146"/>
        <v/>
      </c>
      <c r="AH742" s="78" t="str">
        <f t="shared" si="147"/>
        <v/>
      </c>
      <c r="AI742" s="78" t="str">
        <f t="shared" si="148"/>
        <v>Daikyu</v>
      </c>
      <c r="AJ742" s="1256">
        <f>IF(OR($L742=AJ$635,$L742="",$D742=$AL$634),MAX(AJ$637:AJ741)+1,0)</f>
        <v>0</v>
      </c>
      <c r="AK742" s="1257">
        <f>IF(OR($L742=AK$635,$L742="",$D742=$AL$634),MAX(AK$637:AK741)+1,0)</f>
        <v>0</v>
      </c>
      <c r="AL742" s="1258">
        <f>IF(OR($L742=AL$635,$L742="",$D742=$AL$634),MAX(AL$637:AL741)+1,0)</f>
        <v>86</v>
      </c>
      <c r="AM742" s="6225"/>
      <c r="AN742" s="853" t="str">
        <f t="shared" si="149"/>
        <v/>
      </c>
      <c r="AO742" s="78" t="str">
        <f t="shared" si="150"/>
        <v/>
      </c>
      <c r="AP742" s="78" t="str">
        <f t="shared" si="151"/>
        <v>Daikyu</v>
      </c>
      <c r="AQ742" s="1256">
        <f>IF(OR($L742=AQ$635,$L742="",$D742=$AS$634),MAX(AQ$637:AQ741)+1,0)</f>
        <v>0</v>
      </c>
      <c r="AR742" s="1257">
        <f>IF(OR($L742=AR$635,$L742="",$D742=$AS$634),MAX(AR$637:AR741)+1,0)</f>
        <v>0</v>
      </c>
      <c r="AS742" s="1258">
        <f>IF(OR($L742=AS$635,$L742="",$D742=$AS$634),MAX(AS$637:AS741)+1,0)</f>
        <v>86</v>
      </c>
      <c r="AT742" s="6225"/>
      <c r="AU742" s="853" t="str">
        <f t="shared" si="152"/>
        <v/>
      </c>
      <c r="AV742" s="78" t="str">
        <f t="shared" si="153"/>
        <v/>
      </c>
      <c r="AW742" s="78" t="str">
        <f t="shared" si="154"/>
        <v>Daikyu</v>
      </c>
      <c r="AX742" s="1256">
        <f>IF(OR($L742=AX$635,$L742="",$D742=$AZ$634),MAX(AX$637:AX741)+1,0)</f>
        <v>0</v>
      </c>
      <c r="AY742" s="1257">
        <f>IF(OR($L742=AY$635,$L742="",$D742=$AZ$634),MAX(AY$637:AY741)+1,0)</f>
        <v>0</v>
      </c>
      <c r="AZ742" s="1258">
        <f>IF(OR($L742=AZ$635,$L742="",$D742=$AZ$634),MAX(AZ$637:AZ741)+1,0)</f>
        <v>86</v>
      </c>
      <c r="BA742" s="6225"/>
      <c r="BB742" s="853" t="str">
        <f t="shared" si="155"/>
        <v/>
      </c>
      <c r="BC742" s="78" t="str">
        <f t="shared" si="156"/>
        <v/>
      </c>
      <c r="BD742" s="78" t="str">
        <f t="shared" si="157"/>
        <v>Daikyu</v>
      </c>
      <c r="BE742" s="1256">
        <f>IF(OR($L742=BE$635,$L742="",$D742=$BG$634),MAX(BE$637:BE741)+1,0)</f>
        <v>0</v>
      </c>
      <c r="BF742" s="1257">
        <f>IF(OR($L742=BF$635,$L742="",$D742=$BG$634),MAX(BF$637:BF741)+1,0)</f>
        <v>0</v>
      </c>
      <c r="BG742" s="1258">
        <f>IF(OR($L742=BG$635,$L742="",$D742=$BG$634),MAX(BG$637:BG741)+1,0)</f>
        <v>86</v>
      </c>
      <c r="BH742" s="6225"/>
      <c r="BI742" s="853" t="str">
        <f t="shared" si="158"/>
        <v/>
      </c>
      <c r="BJ742" s="78" t="str">
        <f t="shared" si="159"/>
        <v/>
      </c>
      <c r="BK742" s="78" t="str">
        <f t="shared" si="160"/>
        <v>Daikyu</v>
      </c>
      <c r="BL742" s="1256">
        <f>IF(OR($L742=BL$635,$L742="",$D742=$BN$634),MAX(BL$637:BL741)+1,0)</f>
        <v>0</v>
      </c>
      <c r="BM742" s="1257">
        <f>IF(OR($L742=BM$635,$L742="",$D742=$BN$634),MAX(BM$637:BM741)+1,0)</f>
        <v>0</v>
      </c>
      <c r="BN742" s="1258">
        <f>IF(OR($L742=BN$635,$L742="",$D742=$BN$634),MAX(BN$637:BN741)+1,0)</f>
        <v>86</v>
      </c>
      <c r="BO742" s="6225"/>
      <c r="BP742" s="853" t="str">
        <f t="shared" si="161"/>
        <v/>
      </c>
      <c r="BQ742" s="78" t="str">
        <f t="shared" si="162"/>
        <v/>
      </c>
      <c r="BR742" s="78" t="str">
        <f t="shared" si="163"/>
        <v>Daikyu</v>
      </c>
      <c r="BS742" s="1256">
        <f>IF(OR($L742=BS$635,$L742="",$D742=$BU$634),MAX(BS$637:BS741)+1,0)</f>
        <v>0</v>
      </c>
      <c r="BT742" s="1257">
        <f>IF(OR($L742=BT$635,$L742="",$D742=$BU$634),MAX(BT$637:BT741)+1,0)</f>
        <v>0</v>
      </c>
      <c r="BU742" s="1258">
        <f>IF(OR($L742=BU$635,$L742="",$D742=$BU$634),MAX(BU$637:BU741)+1,0)</f>
        <v>86</v>
      </c>
    </row>
    <row r="743" spans="1:73" ht="12.75" customHeight="1" x14ac:dyDescent="0.2">
      <c r="A743" s="227">
        <v>743</v>
      </c>
      <c r="B743" s="5988"/>
      <c r="C743" s="1146"/>
      <c r="D743" s="2629" t="s">
        <v>7023</v>
      </c>
      <c r="E743" s="2633">
        <v>35</v>
      </c>
      <c r="F743" s="2628">
        <v>-10</v>
      </c>
      <c r="G743" s="2628">
        <v>4</v>
      </c>
      <c r="H743" s="2628">
        <v>4</v>
      </c>
      <c r="I743" s="2628" t="s">
        <v>1552</v>
      </c>
      <c r="J743" s="2628" t="s">
        <v>1456</v>
      </c>
      <c r="K743" s="2878" t="s">
        <v>7262</v>
      </c>
      <c r="L743" s="2628" t="str">
        <f t="shared" si="142"/>
        <v>Similar</v>
      </c>
      <c r="M743" s="2634">
        <v>13</v>
      </c>
      <c r="N743" s="2634">
        <v>2</v>
      </c>
      <c r="O743" s="2634">
        <v>25</v>
      </c>
      <c r="P743" s="2628"/>
      <c r="Q743" s="2628"/>
      <c r="R743" s="2628" t="s">
        <v>1456</v>
      </c>
      <c r="S743" s="2628" t="s">
        <v>1456</v>
      </c>
      <c r="T743" s="2628" t="s">
        <v>1456</v>
      </c>
      <c r="U743" s="2628"/>
      <c r="V743" s="2878" t="s">
        <v>2151</v>
      </c>
      <c r="W743" s="2878"/>
      <c r="X743" s="2879" t="str">
        <f t="shared" si="143"/>
        <v>Grande</v>
      </c>
      <c r="Y743" s="2618">
        <f t="shared" si="144"/>
        <v>0</v>
      </c>
      <c r="Z743" s="1265" t="str">
        <f t="shared" si="145"/>
        <v/>
      </c>
      <c r="AB743" s="564" t="s">
        <v>2245</v>
      </c>
      <c r="AC743" s="2859"/>
      <c r="AD743" s="2859"/>
      <c r="AE743" s="837"/>
      <c r="AG743" s="853" t="str">
        <f t="shared" si="146"/>
        <v/>
      </c>
      <c r="AH743" s="78" t="str">
        <f t="shared" si="147"/>
        <v/>
      </c>
      <c r="AI743" s="78" t="str">
        <f t="shared" si="148"/>
        <v>Honda</v>
      </c>
      <c r="AJ743" s="1256">
        <f>IF(OR($L743=AJ$635,$L743="",$D743=$AL$634),MAX(AJ$637:AJ742)+1,0)</f>
        <v>18</v>
      </c>
      <c r="AK743" s="1257">
        <f>IF(OR($L743=AK$635,$L743="",$D743=$AL$634),MAX(AK$637:AK742)+1,0)</f>
        <v>0</v>
      </c>
      <c r="AL743" s="1258">
        <f>IF(OR($L743=AL$635,$L743="",$D743=$AL$634),MAX(AL$637:AL742)+1,0)</f>
        <v>0</v>
      </c>
      <c r="AM743" s="6225"/>
      <c r="AN743" s="853" t="str">
        <f t="shared" si="149"/>
        <v/>
      </c>
      <c r="AO743" s="78" t="str">
        <f t="shared" si="150"/>
        <v/>
      </c>
      <c r="AP743" s="78" t="str">
        <f t="shared" si="151"/>
        <v>Honda</v>
      </c>
      <c r="AQ743" s="1256">
        <f>IF(OR($L743=AQ$635,$L743="",$D743=$AS$634),MAX(AQ$637:AQ742)+1,0)</f>
        <v>18</v>
      </c>
      <c r="AR743" s="1257">
        <f>IF(OR($L743=AR$635,$L743="",$D743=$AS$634),MAX(AR$637:AR742)+1,0)</f>
        <v>0</v>
      </c>
      <c r="AS743" s="1258">
        <f>IF(OR($L743=AS$635,$L743="",$D743=$AS$634),MAX(AS$637:AS742)+1,0)</f>
        <v>0</v>
      </c>
      <c r="AT743" s="6225"/>
      <c r="AU743" s="853" t="str">
        <f t="shared" si="152"/>
        <v/>
      </c>
      <c r="AV743" s="78" t="str">
        <f t="shared" si="153"/>
        <v/>
      </c>
      <c r="AW743" s="78" t="str">
        <f t="shared" si="154"/>
        <v>Honda</v>
      </c>
      <c r="AX743" s="1256">
        <f>IF(OR($L743=AX$635,$L743="",$D743=$AZ$634),MAX(AX$637:AX742)+1,0)</f>
        <v>18</v>
      </c>
      <c r="AY743" s="1257">
        <f>IF(OR($L743=AY$635,$L743="",$D743=$AZ$634),MAX(AY$637:AY742)+1,0)</f>
        <v>0</v>
      </c>
      <c r="AZ743" s="1258">
        <f>IF(OR($L743=AZ$635,$L743="",$D743=$AZ$634),MAX(AZ$637:AZ742)+1,0)</f>
        <v>0</v>
      </c>
      <c r="BA743" s="6225"/>
      <c r="BB743" s="853" t="str">
        <f t="shared" si="155"/>
        <v/>
      </c>
      <c r="BC743" s="78" t="str">
        <f t="shared" si="156"/>
        <v/>
      </c>
      <c r="BD743" s="78" t="str">
        <f t="shared" si="157"/>
        <v>Honda</v>
      </c>
      <c r="BE743" s="1256">
        <f>IF(OR($L743=BE$635,$L743="",$D743=$BG$634),MAX(BE$637:BE742)+1,0)</f>
        <v>18</v>
      </c>
      <c r="BF743" s="1257">
        <f>IF(OR($L743=BF$635,$L743="",$D743=$BG$634),MAX(BF$637:BF742)+1,0)</f>
        <v>0</v>
      </c>
      <c r="BG743" s="1258">
        <f>IF(OR($L743=BG$635,$L743="",$D743=$BG$634),MAX(BG$637:BG742)+1,0)</f>
        <v>0</v>
      </c>
      <c r="BH743" s="6225"/>
      <c r="BI743" s="853" t="str">
        <f t="shared" si="158"/>
        <v/>
      </c>
      <c r="BJ743" s="78" t="str">
        <f t="shared" si="159"/>
        <v/>
      </c>
      <c r="BK743" s="78" t="str">
        <f t="shared" si="160"/>
        <v>Honda</v>
      </c>
      <c r="BL743" s="1256">
        <f>IF(OR($L743=BL$635,$L743="",$D743=$BN$634),MAX(BL$637:BL742)+1,0)</f>
        <v>18</v>
      </c>
      <c r="BM743" s="1257">
        <f>IF(OR($L743=BM$635,$L743="",$D743=$BN$634),MAX(BM$637:BM742)+1,0)</f>
        <v>0</v>
      </c>
      <c r="BN743" s="1258">
        <f>IF(OR($L743=BN$635,$L743="",$D743=$BN$634),MAX(BN$637:BN742)+1,0)</f>
        <v>0</v>
      </c>
      <c r="BO743" s="6225"/>
      <c r="BP743" s="853" t="str">
        <f t="shared" si="161"/>
        <v/>
      </c>
      <c r="BQ743" s="78" t="str">
        <f t="shared" si="162"/>
        <v/>
      </c>
      <c r="BR743" s="78" t="str">
        <f t="shared" si="163"/>
        <v>Honda</v>
      </c>
      <c r="BS743" s="1256">
        <f>IF(OR($L743=BS$635,$L743="",$D743=$BU$634),MAX(BS$637:BS742)+1,0)</f>
        <v>18</v>
      </c>
      <c r="BT743" s="1257">
        <f>IF(OR($L743=BT$635,$L743="",$D743=$BU$634),MAX(BT$637:BT742)+1,0)</f>
        <v>0</v>
      </c>
      <c r="BU743" s="1258">
        <f>IF(OR($L743=BU$635,$L743="",$D743=$BU$634),MAX(BU$637:BU742)+1,0)</f>
        <v>0</v>
      </c>
    </row>
    <row r="744" spans="1:73" ht="12.75" customHeight="1" x14ac:dyDescent="0.2">
      <c r="A744" s="227">
        <v>744</v>
      </c>
      <c r="B744" s="5988"/>
      <c r="C744" s="1146"/>
      <c r="D744" s="2629" t="s">
        <v>7024</v>
      </c>
      <c r="E744" s="2633">
        <v>25</v>
      </c>
      <c r="F744" s="2628">
        <v>20</v>
      </c>
      <c r="G744" s="2628">
        <v>4</v>
      </c>
      <c r="H744" s="2628">
        <v>4</v>
      </c>
      <c r="I744" s="2628" t="s">
        <v>1552</v>
      </c>
      <c r="J744" s="2628" t="s">
        <v>1456</v>
      </c>
      <c r="K744" s="2878" t="s">
        <v>7267</v>
      </c>
      <c r="L744" s="2628" t="str">
        <f t="shared" si="142"/>
        <v>Distinta</v>
      </c>
      <c r="M744" s="2634">
        <v>10</v>
      </c>
      <c r="N744" s="2634">
        <v>2</v>
      </c>
      <c r="O744" s="2634">
        <v>15</v>
      </c>
      <c r="P744" s="2628"/>
      <c r="Q744" s="2628"/>
      <c r="R744" s="2628">
        <v>40</v>
      </c>
      <c r="S744" s="2628" t="s">
        <v>1456</v>
      </c>
      <c r="T744" s="2628">
        <v>20</v>
      </c>
      <c r="U744" s="2628"/>
      <c r="V744" s="2878" t="s">
        <v>8570</v>
      </c>
      <c r="W744" s="2878"/>
      <c r="X744" s="2879" t="str">
        <f t="shared" si="143"/>
        <v>Pequeña</v>
      </c>
      <c r="Y744" s="2618">
        <f t="shared" si="144"/>
        <v>0</v>
      </c>
      <c r="Z744" s="1265" t="str">
        <f t="shared" si="145"/>
        <v/>
      </c>
      <c r="AB744" s="564" t="s">
        <v>2236</v>
      </c>
      <c r="AC744" s="2859"/>
      <c r="AD744" s="2859"/>
      <c r="AE744" s="837"/>
      <c r="AG744" s="853" t="str">
        <f t="shared" si="146"/>
        <v/>
      </c>
      <c r="AH744" s="78" t="str">
        <f t="shared" si="147"/>
        <v/>
      </c>
      <c r="AI744" s="78" t="str">
        <f t="shared" si="148"/>
        <v>Pistola</v>
      </c>
      <c r="AJ744" s="1256">
        <f>IF(OR($L744=AJ$635,$L744="",$D744=$AL$634),MAX(AJ$637:AJ743)+1,0)</f>
        <v>0</v>
      </c>
      <c r="AK744" s="1257">
        <f>IF(OR($L744=AK$635,$L744="",$D744=$AL$634),MAX(AK$637:AK743)+1,0)</f>
        <v>0</v>
      </c>
      <c r="AL744" s="1258">
        <f>IF(OR($L744=AL$635,$L744="",$D744=$AL$634),MAX(AL$637:AL743)+1,0)</f>
        <v>87</v>
      </c>
      <c r="AM744" s="6225"/>
      <c r="AN744" s="853" t="str">
        <f t="shared" si="149"/>
        <v/>
      </c>
      <c r="AO744" s="78" t="str">
        <f t="shared" si="150"/>
        <v/>
      </c>
      <c r="AP744" s="78" t="str">
        <f t="shared" si="151"/>
        <v>Pistola</v>
      </c>
      <c r="AQ744" s="1256">
        <f>IF(OR($L744=AQ$635,$L744="",$D744=$AS$634),MAX(AQ$637:AQ743)+1,0)</f>
        <v>0</v>
      </c>
      <c r="AR744" s="1257">
        <f>IF(OR($L744=AR$635,$L744="",$D744=$AS$634),MAX(AR$637:AR743)+1,0)</f>
        <v>0</v>
      </c>
      <c r="AS744" s="1258">
        <f>IF(OR($L744=AS$635,$L744="",$D744=$AS$634),MAX(AS$637:AS743)+1,0)</f>
        <v>87</v>
      </c>
      <c r="AT744" s="6225"/>
      <c r="AU744" s="853" t="str">
        <f t="shared" si="152"/>
        <v/>
      </c>
      <c r="AV744" s="78" t="str">
        <f t="shared" si="153"/>
        <v/>
      </c>
      <c r="AW744" s="78" t="str">
        <f t="shared" si="154"/>
        <v>Pistola</v>
      </c>
      <c r="AX744" s="1256">
        <f>IF(OR($L744=AX$635,$L744="",$D744=$AZ$634),MAX(AX$637:AX743)+1,0)</f>
        <v>0</v>
      </c>
      <c r="AY744" s="1257">
        <f>IF(OR($L744=AY$635,$L744="",$D744=$AZ$634),MAX(AY$637:AY743)+1,0)</f>
        <v>0</v>
      </c>
      <c r="AZ744" s="1258">
        <f>IF(OR($L744=AZ$635,$L744="",$D744=$AZ$634),MAX(AZ$637:AZ743)+1,0)</f>
        <v>87</v>
      </c>
      <c r="BA744" s="6225"/>
      <c r="BB744" s="853" t="str">
        <f t="shared" si="155"/>
        <v/>
      </c>
      <c r="BC744" s="78" t="str">
        <f t="shared" si="156"/>
        <v/>
      </c>
      <c r="BD744" s="78" t="str">
        <f t="shared" si="157"/>
        <v>Pistola</v>
      </c>
      <c r="BE744" s="1256">
        <f>IF(OR($L744=BE$635,$L744="",$D744=$BG$634),MAX(BE$637:BE743)+1,0)</f>
        <v>0</v>
      </c>
      <c r="BF744" s="1257">
        <f>IF(OR($L744=BF$635,$L744="",$D744=$BG$634),MAX(BF$637:BF743)+1,0)</f>
        <v>0</v>
      </c>
      <c r="BG744" s="1258">
        <f>IF(OR($L744=BG$635,$L744="",$D744=$BG$634),MAX(BG$637:BG743)+1,0)</f>
        <v>87</v>
      </c>
      <c r="BH744" s="6225"/>
      <c r="BI744" s="853" t="str">
        <f t="shared" si="158"/>
        <v/>
      </c>
      <c r="BJ744" s="78" t="str">
        <f t="shared" si="159"/>
        <v/>
      </c>
      <c r="BK744" s="78" t="str">
        <f t="shared" si="160"/>
        <v>Pistola</v>
      </c>
      <c r="BL744" s="1256">
        <f>IF(OR($L744=BL$635,$L744="",$D744=$BN$634),MAX(BL$637:BL743)+1,0)</f>
        <v>0</v>
      </c>
      <c r="BM744" s="1257">
        <f>IF(OR($L744=BM$635,$L744="",$D744=$BN$634),MAX(BM$637:BM743)+1,0)</f>
        <v>0</v>
      </c>
      <c r="BN744" s="1258">
        <f>IF(OR($L744=BN$635,$L744="",$D744=$BN$634),MAX(BN$637:BN743)+1,0)</f>
        <v>87</v>
      </c>
      <c r="BO744" s="6225"/>
      <c r="BP744" s="853" t="str">
        <f t="shared" si="161"/>
        <v/>
      </c>
      <c r="BQ744" s="78" t="str">
        <f t="shared" si="162"/>
        <v/>
      </c>
      <c r="BR744" s="78" t="str">
        <f t="shared" si="163"/>
        <v>Pistola</v>
      </c>
      <c r="BS744" s="1256">
        <f>IF(OR($L744=BS$635,$L744="",$D744=$BU$634),MAX(BS$637:BS743)+1,0)</f>
        <v>0</v>
      </c>
      <c r="BT744" s="1257">
        <f>IF(OR($L744=BT$635,$L744="",$D744=$BU$634),MAX(BT$637:BT743)+1,0)</f>
        <v>0</v>
      </c>
      <c r="BU744" s="1258">
        <f>IF(OR($L744=BU$635,$L744="",$D744=$BU$634),MAX(BU$637:BU743)+1,0)</f>
        <v>87</v>
      </c>
    </row>
    <row r="745" spans="1:73" ht="12.75" customHeight="1" x14ac:dyDescent="0.2">
      <c r="A745" s="227">
        <v>745</v>
      </c>
      <c r="B745" s="5988"/>
      <c r="C745" s="1146"/>
      <c r="D745" s="2629" t="s">
        <v>7025</v>
      </c>
      <c r="E745" s="2633">
        <v>25</v>
      </c>
      <c r="F745" s="2628">
        <v>10</v>
      </c>
      <c r="G745" s="2628">
        <v>4</v>
      </c>
      <c r="H745" s="2628">
        <v>4</v>
      </c>
      <c r="I745" s="2628" t="s">
        <v>1552</v>
      </c>
      <c r="J745" s="2628" t="s">
        <v>1456</v>
      </c>
      <c r="K745" s="2878" t="s">
        <v>7279</v>
      </c>
      <c r="L745" s="2628" t="str">
        <f t="shared" si="142"/>
        <v>Distinta</v>
      </c>
      <c r="M745" s="2634">
        <v>9</v>
      </c>
      <c r="N745" s="2634">
        <v>-3</v>
      </c>
      <c r="O745" s="2634">
        <v>20</v>
      </c>
      <c r="P745" s="2628"/>
      <c r="Q745" s="2628"/>
      <c r="R745" s="2628" t="s">
        <v>1456</v>
      </c>
      <c r="S745" s="2628" t="s">
        <v>1456</v>
      </c>
      <c r="T745" s="2628" t="s">
        <v>1456</v>
      </c>
      <c r="U745" s="2628"/>
      <c r="V745" s="2878" t="s">
        <v>7039</v>
      </c>
      <c r="W745" s="2878"/>
      <c r="X745" s="2879" t="str">
        <f t="shared" si="143"/>
        <v>Pequeña</v>
      </c>
      <c r="Y745" s="2618">
        <f t="shared" si="144"/>
        <v>0</v>
      </c>
      <c r="Z745" s="1265" t="str">
        <f t="shared" si="145"/>
        <v/>
      </c>
      <c r="AB745" s="564" t="s">
        <v>2238</v>
      </c>
      <c r="AC745" s="2859"/>
      <c r="AD745" s="2859"/>
      <c r="AE745" s="837"/>
      <c r="AG745" s="853" t="str">
        <f t="shared" si="146"/>
        <v/>
      </c>
      <c r="AH745" s="78" t="str">
        <f t="shared" si="147"/>
        <v/>
      </c>
      <c r="AI745" s="78" t="str">
        <f t="shared" si="148"/>
        <v>&gt; ARMAS DE ASEDIO</v>
      </c>
      <c r="AJ745" s="1256">
        <f>IF(OR($L745=AJ$635,$L745="",$D745=$AL$634),MAX(AJ$637:AJ744)+1,0)</f>
        <v>0</v>
      </c>
      <c r="AK745" s="1257">
        <f>IF(OR($L745=AK$635,$L745="",$D745=$AL$634),MAX(AK$637:AK744)+1,0)</f>
        <v>0</v>
      </c>
      <c r="AL745" s="1258">
        <f>IF(OR($L745=AL$635,$L745="",$D745=$AL$634),MAX(AL$637:AL744)+1,0)</f>
        <v>88</v>
      </c>
      <c r="AM745" s="6225"/>
      <c r="AN745" s="853" t="str">
        <f t="shared" si="149"/>
        <v/>
      </c>
      <c r="AO745" s="78" t="str">
        <f t="shared" si="150"/>
        <v/>
      </c>
      <c r="AP745" s="78" t="str">
        <f t="shared" si="151"/>
        <v>&gt; ARMAS DE ASEDIO</v>
      </c>
      <c r="AQ745" s="1256">
        <f>IF(OR($L745=AQ$635,$L745="",$D745=$AS$634),MAX(AQ$637:AQ744)+1,0)</f>
        <v>0</v>
      </c>
      <c r="AR745" s="1257">
        <f>IF(OR($L745=AR$635,$L745="",$D745=$AS$634),MAX(AR$637:AR744)+1,0)</f>
        <v>0</v>
      </c>
      <c r="AS745" s="1258">
        <f>IF(OR($L745=AS$635,$L745="",$D745=$AS$634),MAX(AS$637:AS744)+1,0)</f>
        <v>88</v>
      </c>
      <c r="AT745" s="6225"/>
      <c r="AU745" s="853" t="str">
        <f t="shared" si="152"/>
        <v/>
      </c>
      <c r="AV745" s="78" t="str">
        <f t="shared" si="153"/>
        <v/>
      </c>
      <c r="AW745" s="78" t="str">
        <f t="shared" si="154"/>
        <v>&gt; ARMAS DE ASEDIO</v>
      </c>
      <c r="AX745" s="1256">
        <f>IF(OR($L745=AX$635,$L745="",$D745=$AZ$634),MAX(AX$637:AX744)+1,0)</f>
        <v>0</v>
      </c>
      <c r="AY745" s="1257">
        <f>IF(OR($L745=AY$635,$L745="",$D745=$AZ$634),MAX(AY$637:AY744)+1,0)</f>
        <v>0</v>
      </c>
      <c r="AZ745" s="1258">
        <f>IF(OR($L745=AZ$635,$L745="",$D745=$AZ$634),MAX(AZ$637:AZ744)+1,0)</f>
        <v>88</v>
      </c>
      <c r="BA745" s="6225"/>
      <c r="BB745" s="853" t="str">
        <f t="shared" si="155"/>
        <v/>
      </c>
      <c r="BC745" s="78" t="str">
        <f t="shared" si="156"/>
        <v/>
      </c>
      <c r="BD745" s="78" t="str">
        <f t="shared" si="157"/>
        <v>&gt; ARMAS DE ASEDIO</v>
      </c>
      <c r="BE745" s="1256">
        <f>IF(OR($L745=BE$635,$L745="",$D745=$BG$634),MAX(BE$637:BE744)+1,0)</f>
        <v>0</v>
      </c>
      <c r="BF745" s="1257">
        <f>IF(OR($L745=BF$635,$L745="",$D745=$BG$634),MAX(BF$637:BF744)+1,0)</f>
        <v>0</v>
      </c>
      <c r="BG745" s="1258">
        <f>IF(OR($L745=BG$635,$L745="",$D745=$BG$634),MAX(BG$637:BG744)+1,0)</f>
        <v>88</v>
      </c>
      <c r="BH745" s="6225"/>
      <c r="BI745" s="853" t="str">
        <f t="shared" si="158"/>
        <v/>
      </c>
      <c r="BJ745" s="78" t="str">
        <f t="shared" si="159"/>
        <v/>
      </c>
      <c r="BK745" s="78" t="str">
        <f t="shared" si="160"/>
        <v>&gt; ARMAS DE ASEDIO</v>
      </c>
      <c r="BL745" s="1256">
        <f>IF(OR($L745=BL$635,$L745="",$D745=$BN$634),MAX(BL$637:BL744)+1,0)</f>
        <v>0</v>
      </c>
      <c r="BM745" s="1257">
        <f>IF(OR($L745=BM$635,$L745="",$D745=$BN$634),MAX(BM$637:BM744)+1,0)</f>
        <v>0</v>
      </c>
      <c r="BN745" s="1258">
        <f>IF(OR($L745=BN$635,$L745="",$D745=$BN$634),MAX(BN$637:BN744)+1,0)</f>
        <v>88</v>
      </c>
      <c r="BO745" s="6225"/>
      <c r="BP745" s="853" t="str">
        <f t="shared" si="161"/>
        <v/>
      </c>
      <c r="BQ745" s="78" t="str">
        <f t="shared" si="162"/>
        <v/>
      </c>
      <c r="BR745" s="78" t="str">
        <f t="shared" si="163"/>
        <v>&gt; ARMAS DE ASEDIO</v>
      </c>
      <c r="BS745" s="1256">
        <f>IF(OR($L745=BS$635,$L745="",$D745=$BU$634),MAX(BS$637:BS744)+1,0)</f>
        <v>0</v>
      </c>
      <c r="BT745" s="1257">
        <f>IF(OR($L745=BT$635,$L745="",$D745=$BU$634),MAX(BT$637:BT744)+1,0)</f>
        <v>0</v>
      </c>
      <c r="BU745" s="1258">
        <f>IF(OR($L745=BU$635,$L745="",$D745=$BU$634),MAX(BU$637:BU744)+1,0)</f>
        <v>88</v>
      </c>
    </row>
    <row r="746" spans="1:73" ht="12.75" customHeight="1" x14ac:dyDescent="0.2">
      <c r="A746" s="227">
        <v>746</v>
      </c>
      <c r="B746" s="5988"/>
      <c r="C746" s="1146"/>
      <c r="D746" s="2629" t="s">
        <v>7002</v>
      </c>
      <c r="E746" s="2633">
        <v>40</v>
      </c>
      <c r="F746" s="2628">
        <v>-5</v>
      </c>
      <c r="G746" s="2628">
        <v>6</v>
      </c>
      <c r="H746" s="2628">
        <v>6</v>
      </c>
      <c r="I746" s="2628" t="s">
        <v>1551</v>
      </c>
      <c r="J746" s="2628" t="s">
        <v>1456</v>
      </c>
      <c r="K746" s="2878" t="s">
        <v>7262</v>
      </c>
      <c r="L746" s="2628" t="str">
        <f t="shared" si="142"/>
        <v>Similar</v>
      </c>
      <c r="M746" s="2634">
        <v>13</v>
      </c>
      <c r="N746" s="2634">
        <v>3</v>
      </c>
      <c r="O746" s="2634">
        <v>25</v>
      </c>
      <c r="P746" s="2628"/>
      <c r="Q746" s="2628"/>
      <c r="R746" s="2628" t="s">
        <v>1456</v>
      </c>
      <c r="S746" s="2628" t="s">
        <v>1456</v>
      </c>
      <c r="T746" s="2628" t="s">
        <v>1456</v>
      </c>
      <c r="U746" s="2628"/>
      <c r="V746" s="2878" t="s">
        <v>7040</v>
      </c>
      <c r="W746" s="2878"/>
      <c r="X746" s="2879" t="str">
        <f t="shared" si="143"/>
        <v>Grande</v>
      </c>
      <c r="Y746" s="2618">
        <f t="shared" si="144"/>
        <v>0</v>
      </c>
      <c r="Z746" s="1265" t="str">
        <f t="shared" si="145"/>
        <v/>
      </c>
      <c r="AB746" s="564" t="s">
        <v>2241</v>
      </c>
      <c r="AC746" s="2859"/>
      <c r="AD746" s="2859"/>
      <c r="AE746" s="837"/>
      <c r="AG746" s="853" t="str">
        <f t="shared" si="146"/>
        <v/>
      </c>
      <c r="AH746" s="78" t="str">
        <f t="shared" si="147"/>
        <v/>
      </c>
      <c r="AI746" s="78" t="str">
        <f t="shared" si="148"/>
        <v>Balista ligera</v>
      </c>
      <c r="AJ746" s="1256">
        <f>IF(OR($L746=AJ$635,$L746="",$D746=$AL$634),MAX(AJ$637:AJ745)+1,0)</f>
        <v>19</v>
      </c>
      <c r="AK746" s="1257">
        <f>IF(OR($L746=AK$635,$L746="",$D746=$AL$634),MAX(AK$637:AK745)+1,0)</f>
        <v>0</v>
      </c>
      <c r="AL746" s="1258">
        <f>IF(OR($L746=AL$635,$L746="",$D746=$AL$634),MAX(AL$637:AL745)+1,0)</f>
        <v>0</v>
      </c>
      <c r="AM746" s="6225"/>
      <c r="AN746" s="853" t="str">
        <f t="shared" si="149"/>
        <v/>
      </c>
      <c r="AO746" s="78" t="str">
        <f t="shared" si="150"/>
        <v/>
      </c>
      <c r="AP746" s="78" t="str">
        <f t="shared" si="151"/>
        <v>Balista ligera</v>
      </c>
      <c r="AQ746" s="1256">
        <f>IF(OR($L746=AQ$635,$L746="",$D746=$AS$634),MAX(AQ$637:AQ745)+1,0)</f>
        <v>19</v>
      </c>
      <c r="AR746" s="1257">
        <f>IF(OR($L746=AR$635,$L746="",$D746=$AS$634),MAX(AR$637:AR745)+1,0)</f>
        <v>0</v>
      </c>
      <c r="AS746" s="1258">
        <f>IF(OR($L746=AS$635,$L746="",$D746=$AS$634),MAX(AS$637:AS745)+1,0)</f>
        <v>0</v>
      </c>
      <c r="AT746" s="6225"/>
      <c r="AU746" s="853" t="str">
        <f t="shared" si="152"/>
        <v/>
      </c>
      <c r="AV746" s="78" t="str">
        <f t="shared" si="153"/>
        <v/>
      </c>
      <c r="AW746" s="78" t="str">
        <f t="shared" si="154"/>
        <v>Balista ligera</v>
      </c>
      <c r="AX746" s="1256">
        <f>IF(OR($L746=AX$635,$L746="",$D746=$AZ$634),MAX(AX$637:AX745)+1,0)</f>
        <v>19</v>
      </c>
      <c r="AY746" s="1257">
        <f>IF(OR($L746=AY$635,$L746="",$D746=$AZ$634),MAX(AY$637:AY745)+1,0)</f>
        <v>0</v>
      </c>
      <c r="AZ746" s="1258">
        <f>IF(OR($L746=AZ$635,$L746="",$D746=$AZ$634),MAX(AZ$637:AZ745)+1,0)</f>
        <v>0</v>
      </c>
      <c r="BA746" s="6225"/>
      <c r="BB746" s="853" t="str">
        <f t="shared" si="155"/>
        <v/>
      </c>
      <c r="BC746" s="78" t="str">
        <f t="shared" si="156"/>
        <v/>
      </c>
      <c r="BD746" s="78" t="str">
        <f t="shared" si="157"/>
        <v>Balista ligera</v>
      </c>
      <c r="BE746" s="1256">
        <f>IF(OR($L746=BE$635,$L746="",$D746=$BG$634),MAX(BE$637:BE745)+1,0)</f>
        <v>19</v>
      </c>
      <c r="BF746" s="1257">
        <f>IF(OR($L746=BF$635,$L746="",$D746=$BG$634),MAX(BF$637:BF745)+1,0)</f>
        <v>0</v>
      </c>
      <c r="BG746" s="1258">
        <f>IF(OR($L746=BG$635,$L746="",$D746=$BG$634),MAX(BG$637:BG745)+1,0)</f>
        <v>0</v>
      </c>
      <c r="BH746" s="6225"/>
      <c r="BI746" s="853" t="str">
        <f t="shared" si="158"/>
        <v/>
      </c>
      <c r="BJ746" s="78" t="str">
        <f t="shared" si="159"/>
        <v/>
      </c>
      <c r="BK746" s="78" t="str">
        <f t="shared" si="160"/>
        <v>Balista ligera</v>
      </c>
      <c r="BL746" s="1256">
        <f>IF(OR($L746=BL$635,$L746="",$D746=$BN$634),MAX(BL$637:BL745)+1,0)</f>
        <v>19</v>
      </c>
      <c r="BM746" s="1257">
        <f>IF(OR($L746=BM$635,$L746="",$D746=$BN$634),MAX(BM$637:BM745)+1,0)</f>
        <v>0</v>
      </c>
      <c r="BN746" s="1258">
        <f>IF(OR($L746=BN$635,$L746="",$D746=$BN$634),MAX(BN$637:BN745)+1,0)</f>
        <v>0</v>
      </c>
      <c r="BO746" s="6225"/>
      <c r="BP746" s="853" t="str">
        <f t="shared" si="161"/>
        <v/>
      </c>
      <c r="BQ746" s="78" t="str">
        <f t="shared" si="162"/>
        <v/>
      </c>
      <c r="BR746" s="78" t="str">
        <f t="shared" si="163"/>
        <v>Balista ligera</v>
      </c>
      <c r="BS746" s="1256">
        <f>IF(OR($L746=BS$635,$L746="",$D746=$BU$634),MAX(BS$637:BS745)+1,0)</f>
        <v>19</v>
      </c>
      <c r="BT746" s="1257">
        <f>IF(OR($L746=BT$635,$L746="",$D746=$BU$634),MAX(BT$637:BT745)+1,0)</f>
        <v>0</v>
      </c>
      <c r="BU746" s="1258">
        <f>IF(OR($L746=BU$635,$L746="",$D746=$BU$634),MAX(BU$637:BU745)+1,0)</f>
        <v>0</v>
      </c>
    </row>
    <row r="747" spans="1:73" ht="12.75" customHeight="1" x14ac:dyDescent="0.2">
      <c r="A747" s="227">
        <v>747</v>
      </c>
      <c r="B747" s="5988"/>
      <c r="C747" s="1146"/>
      <c r="D747" s="2629" t="s">
        <v>7003</v>
      </c>
      <c r="E747" s="2633">
        <v>40</v>
      </c>
      <c r="F747" s="2628">
        <v>10</v>
      </c>
      <c r="G747" s="2628">
        <v>6</v>
      </c>
      <c r="H747" s="2628">
        <v>6</v>
      </c>
      <c r="I747" s="2628" t="s">
        <v>1551</v>
      </c>
      <c r="J747" s="2628" t="s">
        <v>1456</v>
      </c>
      <c r="K747" s="2878" t="s">
        <v>7262</v>
      </c>
      <c r="L747" s="2628" t="str">
        <f t="shared" si="142"/>
        <v>Similar</v>
      </c>
      <c r="M747" s="2634">
        <v>12</v>
      </c>
      <c r="N747" s="2634">
        <v>2</v>
      </c>
      <c r="O747" s="2634">
        <v>20</v>
      </c>
      <c r="P747" s="2628"/>
      <c r="Q747" s="2628"/>
      <c r="R747" s="2628" t="s">
        <v>1456</v>
      </c>
      <c r="S747" s="2628" t="s">
        <v>1456</v>
      </c>
      <c r="T747" s="2628" t="s">
        <v>1456</v>
      </c>
      <c r="U747" s="2628"/>
      <c r="V747" s="2878" t="s">
        <v>7041</v>
      </c>
      <c r="W747" s="2878"/>
      <c r="X747" s="2879" t="str">
        <f t="shared" si="143"/>
        <v>Grande</v>
      </c>
      <c r="Y747" s="2618">
        <f t="shared" si="144"/>
        <v>0</v>
      </c>
      <c r="Z747" s="1265" t="str">
        <f t="shared" si="145"/>
        <v/>
      </c>
      <c r="AB747" s="853" t="s">
        <v>2247</v>
      </c>
      <c r="AC747" s="2859"/>
      <c r="AD747" s="2859"/>
      <c r="AE747" s="837"/>
      <c r="AG747" s="853" t="str">
        <f t="shared" si="146"/>
        <v/>
      </c>
      <c r="AH747" s="78" t="str">
        <f t="shared" si="147"/>
        <v/>
      </c>
      <c r="AI747" s="78" t="str">
        <f t="shared" si="148"/>
        <v>Balista pesada</v>
      </c>
      <c r="AJ747" s="1256">
        <f>IF(OR($L747=AJ$635,$L747="",$D747=$AL$634),MAX(AJ$637:AJ746)+1,0)</f>
        <v>20</v>
      </c>
      <c r="AK747" s="1257">
        <f>IF(OR($L747=AK$635,$L747="",$D747=$AL$634),MAX(AK$637:AK746)+1,0)</f>
        <v>0</v>
      </c>
      <c r="AL747" s="1258">
        <f>IF(OR($L747=AL$635,$L747="",$D747=$AL$634),MAX(AL$637:AL746)+1,0)</f>
        <v>0</v>
      </c>
      <c r="AM747" s="6225"/>
      <c r="AN747" s="853" t="str">
        <f t="shared" si="149"/>
        <v/>
      </c>
      <c r="AO747" s="78" t="str">
        <f t="shared" si="150"/>
        <v/>
      </c>
      <c r="AP747" s="78" t="str">
        <f t="shared" si="151"/>
        <v>Balista pesada</v>
      </c>
      <c r="AQ747" s="1256">
        <f>IF(OR($L747=AQ$635,$L747="",$D747=$AS$634),MAX(AQ$637:AQ746)+1,0)</f>
        <v>20</v>
      </c>
      <c r="AR747" s="1257">
        <f>IF(OR($L747=AR$635,$L747="",$D747=$AS$634),MAX(AR$637:AR746)+1,0)</f>
        <v>0</v>
      </c>
      <c r="AS747" s="1258">
        <f>IF(OR($L747=AS$635,$L747="",$D747=$AS$634),MAX(AS$637:AS746)+1,0)</f>
        <v>0</v>
      </c>
      <c r="AT747" s="6225"/>
      <c r="AU747" s="853" t="str">
        <f t="shared" si="152"/>
        <v/>
      </c>
      <c r="AV747" s="78" t="str">
        <f t="shared" si="153"/>
        <v/>
      </c>
      <c r="AW747" s="78" t="str">
        <f t="shared" si="154"/>
        <v>Balista pesada</v>
      </c>
      <c r="AX747" s="1256">
        <f>IF(OR($L747=AX$635,$L747="",$D747=$AZ$634),MAX(AX$637:AX746)+1,0)</f>
        <v>20</v>
      </c>
      <c r="AY747" s="1257">
        <f>IF(OR($L747=AY$635,$L747="",$D747=$AZ$634),MAX(AY$637:AY746)+1,0)</f>
        <v>0</v>
      </c>
      <c r="AZ747" s="1258">
        <f>IF(OR($L747=AZ$635,$L747="",$D747=$AZ$634),MAX(AZ$637:AZ746)+1,0)</f>
        <v>0</v>
      </c>
      <c r="BA747" s="6225"/>
      <c r="BB747" s="853" t="str">
        <f t="shared" si="155"/>
        <v/>
      </c>
      <c r="BC747" s="78" t="str">
        <f t="shared" si="156"/>
        <v/>
      </c>
      <c r="BD747" s="78" t="str">
        <f t="shared" si="157"/>
        <v>Balista pesada</v>
      </c>
      <c r="BE747" s="1256">
        <f>IF(OR($L747=BE$635,$L747="",$D747=$BG$634),MAX(BE$637:BE746)+1,0)</f>
        <v>20</v>
      </c>
      <c r="BF747" s="1257">
        <f>IF(OR($L747=BF$635,$L747="",$D747=$BG$634),MAX(BF$637:BF746)+1,0)</f>
        <v>0</v>
      </c>
      <c r="BG747" s="1258">
        <f>IF(OR($L747=BG$635,$L747="",$D747=$BG$634),MAX(BG$637:BG746)+1,0)</f>
        <v>0</v>
      </c>
      <c r="BH747" s="6225"/>
      <c r="BI747" s="853" t="str">
        <f t="shared" si="158"/>
        <v/>
      </c>
      <c r="BJ747" s="78" t="str">
        <f t="shared" si="159"/>
        <v/>
      </c>
      <c r="BK747" s="78" t="str">
        <f t="shared" si="160"/>
        <v>Balista pesada</v>
      </c>
      <c r="BL747" s="1256">
        <f>IF(OR($L747=BL$635,$L747="",$D747=$BN$634),MAX(BL$637:BL746)+1,0)</f>
        <v>20</v>
      </c>
      <c r="BM747" s="1257">
        <f>IF(OR($L747=BM$635,$L747="",$D747=$BN$634),MAX(BM$637:BM746)+1,0)</f>
        <v>0</v>
      </c>
      <c r="BN747" s="1258">
        <f>IF(OR($L747=BN$635,$L747="",$D747=$BN$634),MAX(BN$637:BN746)+1,0)</f>
        <v>0</v>
      </c>
      <c r="BO747" s="6225"/>
      <c r="BP747" s="853" t="str">
        <f t="shared" si="161"/>
        <v/>
      </c>
      <c r="BQ747" s="78" t="str">
        <f t="shared" si="162"/>
        <v/>
      </c>
      <c r="BR747" s="78" t="str">
        <f t="shared" si="163"/>
        <v>Balista pesada</v>
      </c>
      <c r="BS747" s="1256">
        <f>IF(OR($L747=BS$635,$L747="",$D747=$BU$634),MAX(BS$637:BS746)+1,0)</f>
        <v>20</v>
      </c>
      <c r="BT747" s="1257">
        <f>IF(OR($L747=BT$635,$L747="",$D747=$BU$634),MAX(BT$637:BT746)+1,0)</f>
        <v>0</v>
      </c>
      <c r="BU747" s="1258">
        <f>IF(OR($L747=BU$635,$L747="",$D747=$BU$634),MAX(BU$637:BU746)+1,0)</f>
        <v>0</v>
      </c>
    </row>
    <row r="748" spans="1:73" ht="12.75" customHeight="1" x14ac:dyDescent="0.2">
      <c r="A748" s="227">
        <v>748</v>
      </c>
      <c r="B748" s="5988"/>
      <c r="C748" s="1146"/>
      <c r="D748" s="2629" t="s">
        <v>7004</v>
      </c>
      <c r="E748" s="2633">
        <v>55</v>
      </c>
      <c r="F748" s="2628">
        <v>-10</v>
      </c>
      <c r="G748" s="2628">
        <v>8</v>
      </c>
      <c r="H748" s="2628">
        <v>6</v>
      </c>
      <c r="I748" s="2628" t="s">
        <v>1551</v>
      </c>
      <c r="J748" s="2628" t="s">
        <v>1552</v>
      </c>
      <c r="K748" s="2878" t="s">
        <v>7262</v>
      </c>
      <c r="L748" s="2628" t="str">
        <f t="shared" si="142"/>
        <v>Similar</v>
      </c>
      <c r="M748" s="2634">
        <v>13</v>
      </c>
      <c r="N748" s="2634">
        <v>3</v>
      </c>
      <c r="O748" s="2634">
        <v>25</v>
      </c>
      <c r="P748" s="2628"/>
      <c r="Q748" s="2628"/>
      <c r="R748" s="2628" t="s">
        <v>1456</v>
      </c>
      <c r="S748" s="2628" t="s">
        <v>1456</v>
      </c>
      <c r="T748" s="2628" t="s">
        <v>1456</v>
      </c>
      <c r="U748" s="2628"/>
      <c r="V748" s="2878" t="s">
        <v>2130</v>
      </c>
      <c r="W748" s="2878"/>
      <c r="X748" s="2879" t="str">
        <f t="shared" si="143"/>
        <v>Grande</v>
      </c>
      <c r="Y748" s="2618">
        <f t="shared" si="144"/>
        <v>0</v>
      </c>
      <c r="Z748" s="1265" t="str">
        <f t="shared" si="145"/>
        <v/>
      </c>
      <c r="AB748" s="564" t="s">
        <v>2244</v>
      </c>
      <c r="AC748" s="2859"/>
      <c r="AD748" s="2859"/>
      <c r="AE748" s="837"/>
      <c r="AG748" s="853" t="str">
        <f t="shared" si="146"/>
        <v/>
      </c>
      <c r="AH748" s="78" t="str">
        <f t="shared" si="147"/>
        <v/>
      </c>
      <c r="AI748" s="78" t="str">
        <f t="shared" si="148"/>
        <v>Cañón</v>
      </c>
      <c r="AJ748" s="1256">
        <f>IF(OR($L748=AJ$635,$L748="",$D748=$AL$634),MAX(AJ$637:AJ747)+1,0)</f>
        <v>21</v>
      </c>
      <c r="AK748" s="1257">
        <f>IF(OR($L748=AK$635,$L748="",$D748=$AL$634),MAX(AK$637:AK747)+1,0)</f>
        <v>0</v>
      </c>
      <c r="AL748" s="1258">
        <f>IF(OR($L748=AL$635,$L748="",$D748=$AL$634),MAX(AL$637:AL747)+1,0)</f>
        <v>0</v>
      </c>
      <c r="AM748" s="6225"/>
      <c r="AN748" s="853" t="str">
        <f t="shared" si="149"/>
        <v/>
      </c>
      <c r="AO748" s="78" t="str">
        <f t="shared" si="150"/>
        <v/>
      </c>
      <c r="AP748" s="78" t="str">
        <f t="shared" si="151"/>
        <v>Cañón</v>
      </c>
      <c r="AQ748" s="1256">
        <f>IF(OR($L748=AQ$635,$L748="",$D748=$AS$634),MAX(AQ$637:AQ747)+1,0)</f>
        <v>21</v>
      </c>
      <c r="AR748" s="1257">
        <f>IF(OR($L748=AR$635,$L748="",$D748=$AS$634),MAX(AR$637:AR747)+1,0)</f>
        <v>0</v>
      </c>
      <c r="AS748" s="1258">
        <f>IF(OR($L748=AS$635,$L748="",$D748=$AS$634),MAX(AS$637:AS747)+1,0)</f>
        <v>0</v>
      </c>
      <c r="AT748" s="6225"/>
      <c r="AU748" s="853" t="str">
        <f t="shared" si="152"/>
        <v/>
      </c>
      <c r="AV748" s="78" t="str">
        <f t="shared" si="153"/>
        <v/>
      </c>
      <c r="AW748" s="78" t="str">
        <f t="shared" si="154"/>
        <v>Cañón</v>
      </c>
      <c r="AX748" s="1256">
        <f>IF(OR($L748=AX$635,$L748="",$D748=$AZ$634),MAX(AX$637:AX747)+1,0)</f>
        <v>21</v>
      </c>
      <c r="AY748" s="1257">
        <f>IF(OR($L748=AY$635,$L748="",$D748=$AZ$634),MAX(AY$637:AY747)+1,0)</f>
        <v>0</v>
      </c>
      <c r="AZ748" s="1258">
        <f>IF(OR($L748=AZ$635,$L748="",$D748=$AZ$634),MAX(AZ$637:AZ747)+1,0)</f>
        <v>0</v>
      </c>
      <c r="BA748" s="6225"/>
      <c r="BB748" s="853" t="str">
        <f t="shared" si="155"/>
        <v/>
      </c>
      <c r="BC748" s="78" t="str">
        <f t="shared" si="156"/>
        <v/>
      </c>
      <c r="BD748" s="78" t="str">
        <f t="shared" si="157"/>
        <v>Cañón</v>
      </c>
      <c r="BE748" s="1256">
        <f>IF(OR($L748=BE$635,$L748="",$D748=$BG$634),MAX(BE$637:BE747)+1,0)</f>
        <v>21</v>
      </c>
      <c r="BF748" s="1257">
        <f>IF(OR($L748=BF$635,$L748="",$D748=$BG$634),MAX(BF$637:BF747)+1,0)</f>
        <v>0</v>
      </c>
      <c r="BG748" s="1258">
        <f>IF(OR($L748=BG$635,$L748="",$D748=$BG$634),MAX(BG$637:BG747)+1,0)</f>
        <v>0</v>
      </c>
      <c r="BH748" s="6225"/>
      <c r="BI748" s="853" t="str">
        <f t="shared" si="158"/>
        <v/>
      </c>
      <c r="BJ748" s="78" t="str">
        <f t="shared" si="159"/>
        <v/>
      </c>
      <c r="BK748" s="78" t="str">
        <f t="shared" si="160"/>
        <v>Cañón</v>
      </c>
      <c r="BL748" s="1256">
        <f>IF(OR($L748=BL$635,$L748="",$D748=$BN$634),MAX(BL$637:BL747)+1,0)</f>
        <v>21</v>
      </c>
      <c r="BM748" s="1257">
        <f>IF(OR($L748=BM$635,$L748="",$D748=$BN$634),MAX(BM$637:BM747)+1,0)</f>
        <v>0</v>
      </c>
      <c r="BN748" s="1258">
        <f>IF(OR($L748=BN$635,$L748="",$D748=$BN$634),MAX(BN$637:BN747)+1,0)</f>
        <v>0</v>
      </c>
      <c r="BO748" s="6225"/>
      <c r="BP748" s="853" t="str">
        <f t="shared" si="161"/>
        <v/>
      </c>
      <c r="BQ748" s="78" t="str">
        <f t="shared" si="162"/>
        <v/>
      </c>
      <c r="BR748" s="78" t="str">
        <f t="shared" si="163"/>
        <v>Cañón</v>
      </c>
      <c r="BS748" s="1256">
        <f>IF(OR($L748=BS$635,$L748="",$D748=$BU$634),MAX(BS$637:BS747)+1,0)</f>
        <v>21</v>
      </c>
      <c r="BT748" s="1257">
        <f>IF(OR($L748=BT$635,$L748="",$D748=$BU$634),MAX(BT$637:BT747)+1,0)</f>
        <v>0</v>
      </c>
      <c r="BU748" s="1258">
        <f>IF(OR($L748=BU$635,$L748="",$D748=$BU$634),MAX(BU$637:BU747)+1,0)</f>
        <v>0</v>
      </c>
    </row>
    <row r="749" spans="1:73" ht="12.75" customHeight="1" x14ac:dyDescent="0.2">
      <c r="A749" s="227">
        <v>749</v>
      </c>
      <c r="B749" s="5988"/>
      <c r="C749" s="1146"/>
      <c r="D749" s="2629" t="s">
        <v>7026</v>
      </c>
      <c r="E749" s="2633">
        <v>45</v>
      </c>
      <c r="F749" s="2628">
        <v>10</v>
      </c>
      <c r="G749" s="2628">
        <v>4</v>
      </c>
      <c r="H749" s="2628">
        <v>4</v>
      </c>
      <c r="I749" s="2628" t="s">
        <v>1551</v>
      </c>
      <c r="J749" s="2628" t="s">
        <v>1552</v>
      </c>
      <c r="K749" s="2878" t="s">
        <v>7265</v>
      </c>
      <c r="L749" s="2628" t="str">
        <f t="shared" si="142"/>
        <v>Distinta</v>
      </c>
      <c r="M749" s="2634">
        <v>12</v>
      </c>
      <c r="N749" s="2634">
        <v>1</v>
      </c>
      <c r="O749" s="2634">
        <v>25</v>
      </c>
      <c r="P749" s="2628"/>
      <c r="Q749" s="2628"/>
      <c r="R749" s="2628" t="s">
        <v>1456</v>
      </c>
      <c r="S749" s="2628" t="s">
        <v>1456</v>
      </c>
      <c r="T749" s="2628" t="s">
        <v>1456</v>
      </c>
      <c r="U749" s="2628"/>
      <c r="V749" s="2878" t="s">
        <v>1456</v>
      </c>
      <c r="W749" s="2878"/>
      <c r="X749" s="2879" t="str">
        <f t="shared" si="143"/>
        <v>Mediana</v>
      </c>
      <c r="Y749" s="2618">
        <f t="shared" si="144"/>
        <v>0</v>
      </c>
      <c r="Z749" s="1265" t="str">
        <f t="shared" si="145"/>
        <v/>
      </c>
      <c r="AB749" s="564" t="s">
        <v>7084</v>
      </c>
      <c r="AC749" s="2859"/>
      <c r="AD749" s="2859"/>
      <c r="AE749" s="837"/>
      <c r="AG749" s="853" t="str">
        <f t="shared" si="146"/>
        <v/>
      </c>
      <c r="AH749" s="78" t="str">
        <f t="shared" si="147"/>
        <v/>
      </c>
      <c r="AI749" s="78" t="str">
        <f t="shared" si="148"/>
        <v/>
      </c>
      <c r="AJ749" s="1256">
        <f>IF(OR($L749=AJ$635,$L749="",$D749=$AL$634),MAX(AJ$637:AJ748)+1,0)</f>
        <v>0</v>
      </c>
      <c r="AK749" s="1257">
        <f>IF(OR($L749=AK$635,$L749="",$D749=$AL$634),MAX(AK$637:AK748)+1,0)</f>
        <v>0</v>
      </c>
      <c r="AL749" s="1258">
        <f>IF(OR($L749=AL$635,$L749="",$D749=$AL$634),MAX(AL$637:AL748)+1,0)</f>
        <v>89</v>
      </c>
      <c r="AM749" s="6225"/>
      <c r="AN749" s="853" t="str">
        <f t="shared" si="149"/>
        <v/>
      </c>
      <c r="AO749" s="78" t="str">
        <f t="shared" si="150"/>
        <v/>
      </c>
      <c r="AP749" s="78" t="str">
        <f t="shared" si="151"/>
        <v/>
      </c>
      <c r="AQ749" s="1256">
        <f>IF(OR($L749=AQ$635,$L749="",$D749=$AS$634),MAX(AQ$637:AQ748)+1,0)</f>
        <v>0</v>
      </c>
      <c r="AR749" s="1257">
        <f>IF(OR($L749=AR$635,$L749="",$D749=$AS$634),MAX(AR$637:AR748)+1,0)</f>
        <v>0</v>
      </c>
      <c r="AS749" s="1258">
        <f>IF(OR($L749=AS$635,$L749="",$D749=$AS$634),MAX(AS$637:AS748)+1,0)</f>
        <v>89</v>
      </c>
      <c r="AT749" s="6225"/>
      <c r="AU749" s="853" t="str">
        <f t="shared" si="152"/>
        <v/>
      </c>
      <c r="AV749" s="78" t="str">
        <f t="shared" si="153"/>
        <v/>
      </c>
      <c r="AW749" s="78" t="str">
        <f t="shared" si="154"/>
        <v/>
      </c>
      <c r="AX749" s="1256">
        <f>IF(OR($L749=AX$635,$L749="",$D749=$AZ$634),MAX(AX$637:AX748)+1,0)</f>
        <v>0</v>
      </c>
      <c r="AY749" s="1257">
        <f>IF(OR($L749=AY$635,$L749="",$D749=$AZ$634),MAX(AY$637:AY748)+1,0)</f>
        <v>0</v>
      </c>
      <c r="AZ749" s="1258">
        <f>IF(OR($L749=AZ$635,$L749="",$D749=$AZ$634),MAX(AZ$637:AZ748)+1,0)</f>
        <v>89</v>
      </c>
      <c r="BA749" s="6225"/>
      <c r="BB749" s="853" t="str">
        <f t="shared" si="155"/>
        <v/>
      </c>
      <c r="BC749" s="78" t="str">
        <f t="shared" si="156"/>
        <v/>
      </c>
      <c r="BD749" s="78" t="str">
        <f t="shared" si="157"/>
        <v/>
      </c>
      <c r="BE749" s="1256">
        <f>IF(OR($L749=BE$635,$L749="",$D749=$BG$634),MAX(BE$637:BE748)+1,0)</f>
        <v>0</v>
      </c>
      <c r="BF749" s="1257">
        <f>IF(OR($L749=BF$635,$L749="",$D749=$BG$634),MAX(BF$637:BF748)+1,0)</f>
        <v>0</v>
      </c>
      <c r="BG749" s="1258">
        <f>IF(OR($L749=BG$635,$L749="",$D749=$BG$634),MAX(BG$637:BG748)+1,0)</f>
        <v>89</v>
      </c>
      <c r="BH749" s="6225"/>
      <c r="BI749" s="853" t="str">
        <f t="shared" si="158"/>
        <v/>
      </c>
      <c r="BJ749" s="78" t="str">
        <f t="shared" si="159"/>
        <v/>
      </c>
      <c r="BK749" s="78" t="str">
        <f t="shared" si="160"/>
        <v/>
      </c>
      <c r="BL749" s="1256">
        <f>IF(OR($L749=BL$635,$L749="",$D749=$BN$634),MAX(BL$637:BL748)+1,0)</f>
        <v>0</v>
      </c>
      <c r="BM749" s="1257">
        <f>IF(OR($L749=BM$635,$L749="",$D749=$BN$634),MAX(BM$637:BM748)+1,0)</f>
        <v>0</v>
      </c>
      <c r="BN749" s="1258">
        <f>IF(OR($L749=BN$635,$L749="",$D749=$BN$634),MAX(BN$637:BN748)+1,0)</f>
        <v>89</v>
      </c>
      <c r="BO749" s="6225"/>
      <c r="BP749" s="853" t="str">
        <f t="shared" si="161"/>
        <v/>
      </c>
      <c r="BQ749" s="78" t="str">
        <f t="shared" si="162"/>
        <v/>
      </c>
      <c r="BR749" s="78" t="str">
        <f t="shared" si="163"/>
        <v/>
      </c>
      <c r="BS749" s="1256">
        <f>IF(OR($L749=BS$635,$L749="",$D749=$BU$634),MAX(BS$637:BS748)+1,0)</f>
        <v>0</v>
      </c>
      <c r="BT749" s="1257">
        <f>IF(OR($L749=BT$635,$L749="",$D749=$BU$634),MAX(BT$637:BT748)+1,0)</f>
        <v>0</v>
      </c>
      <c r="BU749" s="1258">
        <f>IF(OR($L749=BU$635,$L749="",$D749=$BU$634),MAX(BU$637:BU748)+1,0)</f>
        <v>89</v>
      </c>
    </row>
    <row r="750" spans="1:73" ht="12.75" customHeight="1" x14ac:dyDescent="0.2">
      <c r="A750" s="227">
        <v>750</v>
      </c>
      <c r="B750" s="5988"/>
      <c r="C750" s="1146"/>
      <c r="D750" s="2629" t="s">
        <v>7006</v>
      </c>
      <c r="E750" s="2633">
        <v>60</v>
      </c>
      <c r="F750" s="2628">
        <v>-20</v>
      </c>
      <c r="G750" s="2628">
        <v>9</v>
      </c>
      <c r="H750" s="2628">
        <v>7</v>
      </c>
      <c r="I750" s="2628" t="s">
        <v>1551</v>
      </c>
      <c r="J750" s="2628" t="s">
        <v>1456</v>
      </c>
      <c r="K750" s="2878" t="s">
        <v>7270</v>
      </c>
      <c r="L750" s="2628" t="str">
        <f t="shared" si="142"/>
        <v>Distinta</v>
      </c>
      <c r="M750" s="2634">
        <v>16</v>
      </c>
      <c r="N750" s="2634">
        <v>7</v>
      </c>
      <c r="O750" s="2634">
        <v>30</v>
      </c>
      <c r="P750" s="2628"/>
      <c r="Q750" s="2628"/>
      <c r="R750" s="2628" t="s">
        <v>1456</v>
      </c>
      <c r="S750" s="2628" t="s">
        <v>1456</v>
      </c>
      <c r="T750" s="2628" t="s">
        <v>1456</v>
      </c>
      <c r="U750" s="2628"/>
      <c r="V750" s="2878" t="s">
        <v>2130</v>
      </c>
      <c r="W750" s="2878"/>
      <c r="X750" s="2879" t="str">
        <f t="shared" si="143"/>
        <v>Grande</v>
      </c>
      <c r="Y750" s="2618">
        <f t="shared" si="144"/>
        <v>0</v>
      </c>
      <c r="Z750" s="1265" t="str">
        <f t="shared" si="145"/>
        <v/>
      </c>
      <c r="AB750" s="564" t="s">
        <v>7085</v>
      </c>
      <c r="AC750" s="2859"/>
      <c r="AD750" s="2859"/>
      <c r="AE750" s="837"/>
      <c r="AG750" s="853" t="str">
        <f t="shared" si="146"/>
        <v/>
      </c>
      <c r="AH750" s="78" t="str">
        <f t="shared" si="147"/>
        <v/>
      </c>
      <c r="AI750" s="78" t="str">
        <f t="shared" si="148"/>
        <v/>
      </c>
      <c r="AJ750" s="1256">
        <f>IF(OR($L750=AJ$635,$L750="",$D750=$AL$634),MAX(AJ$637:AJ749)+1,0)</f>
        <v>0</v>
      </c>
      <c r="AK750" s="1257">
        <f>IF(OR($L750=AK$635,$L750="",$D750=$AL$634),MAX(AK$637:AK749)+1,0)</f>
        <v>0</v>
      </c>
      <c r="AL750" s="1258">
        <f>IF(OR($L750=AL$635,$L750="",$D750=$AL$634),MAX(AL$637:AL749)+1,0)</f>
        <v>90</v>
      </c>
      <c r="AM750" s="6225"/>
      <c r="AN750" s="853" t="str">
        <f t="shared" si="149"/>
        <v/>
      </c>
      <c r="AO750" s="78" t="str">
        <f t="shared" si="150"/>
        <v/>
      </c>
      <c r="AP750" s="78" t="str">
        <f t="shared" si="151"/>
        <v/>
      </c>
      <c r="AQ750" s="1256">
        <f>IF(OR($L750=AQ$635,$L750="",$D750=$AS$634),MAX(AQ$637:AQ749)+1,0)</f>
        <v>0</v>
      </c>
      <c r="AR750" s="1257">
        <f>IF(OR($L750=AR$635,$L750="",$D750=$AS$634),MAX(AR$637:AR749)+1,0)</f>
        <v>0</v>
      </c>
      <c r="AS750" s="1258">
        <f>IF(OR($L750=AS$635,$L750="",$D750=$AS$634),MAX(AS$637:AS749)+1,0)</f>
        <v>90</v>
      </c>
      <c r="AT750" s="6225"/>
      <c r="AU750" s="853" t="str">
        <f t="shared" si="152"/>
        <v/>
      </c>
      <c r="AV750" s="78" t="str">
        <f t="shared" si="153"/>
        <v/>
      </c>
      <c r="AW750" s="78" t="str">
        <f t="shared" si="154"/>
        <v/>
      </c>
      <c r="AX750" s="1256">
        <f>IF(OR($L750=AX$635,$L750="",$D750=$AZ$634),MAX(AX$637:AX749)+1,0)</f>
        <v>0</v>
      </c>
      <c r="AY750" s="1257">
        <f>IF(OR($L750=AY$635,$L750="",$D750=$AZ$634),MAX(AY$637:AY749)+1,0)</f>
        <v>0</v>
      </c>
      <c r="AZ750" s="1258">
        <f>IF(OR($L750=AZ$635,$L750="",$D750=$AZ$634),MAX(AZ$637:AZ749)+1,0)</f>
        <v>90</v>
      </c>
      <c r="BA750" s="6225"/>
      <c r="BB750" s="853" t="str">
        <f t="shared" si="155"/>
        <v/>
      </c>
      <c r="BC750" s="78" t="str">
        <f t="shared" si="156"/>
        <v/>
      </c>
      <c r="BD750" s="78" t="str">
        <f t="shared" si="157"/>
        <v/>
      </c>
      <c r="BE750" s="1256">
        <f>IF(OR($L750=BE$635,$L750="",$D750=$BG$634),MAX(BE$637:BE749)+1,0)</f>
        <v>0</v>
      </c>
      <c r="BF750" s="1257">
        <f>IF(OR($L750=BF$635,$L750="",$D750=$BG$634),MAX(BF$637:BF749)+1,0)</f>
        <v>0</v>
      </c>
      <c r="BG750" s="1258">
        <f>IF(OR($L750=BG$635,$L750="",$D750=$BG$634),MAX(BG$637:BG749)+1,0)</f>
        <v>90</v>
      </c>
      <c r="BH750" s="6225"/>
      <c r="BI750" s="853" t="str">
        <f t="shared" si="158"/>
        <v/>
      </c>
      <c r="BJ750" s="78" t="str">
        <f t="shared" si="159"/>
        <v/>
      </c>
      <c r="BK750" s="78" t="str">
        <f t="shared" si="160"/>
        <v/>
      </c>
      <c r="BL750" s="1256">
        <f>IF(OR($L750=BL$635,$L750="",$D750=$BN$634),MAX(BL$637:BL749)+1,0)</f>
        <v>0</v>
      </c>
      <c r="BM750" s="1257">
        <f>IF(OR($L750=BM$635,$L750="",$D750=$BN$634),MAX(BM$637:BM749)+1,0)</f>
        <v>0</v>
      </c>
      <c r="BN750" s="1258">
        <f>IF(OR($L750=BN$635,$L750="",$D750=$BN$634),MAX(BN$637:BN749)+1,0)</f>
        <v>90</v>
      </c>
      <c r="BO750" s="6225"/>
      <c r="BP750" s="853" t="str">
        <f t="shared" si="161"/>
        <v/>
      </c>
      <c r="BQ750" s="78" t="str">
        <f t="shared" si="162"/>
        <v/>
      </c>
      <c r="BR750" s="78" t="str">
        <f t="shared" si="163"/>
        <v/>
      </c>
      <c r="BS750" s="1256">
        <f>IF(OR($L750=BS$635,$L750="",$D750=$BU$634),MAX(BS$637:BS749)+1,0)</f>
        <v>0</v>
      </c>
      <c r="BT750" s="1257">
        <f>IF(OR($L750=BT$635,$L750="",$D750=$BU$634),MAX(BT$637:BT749)+1,0)</f>
        <v>0</v>
      </c>
      <c r="BU750" s="1258">
        <f>IF(OR($L750=BU$635,$L750="",$D750=$BU$634),MAX(BU$637:BU749)+1,0)</f>
        <v>90</v>
      </c>
    </row>
    <row r="751" spans="1:73" ht="12.75" customHeight="1" x14ac:dyDescent="0.2">
      <c r="A751" s="227">
        <v>751</v>
      </c>
      <c r="B751" s="5988"/>
      <c r="C751" s="1146"/>
      <c r="D751" s="2629" t="s">
        <v>7027</v>
      </c>
      <c r="E751" s="2633">
        <v>50</v>
      </c>
      <c r="F751" s="2628">
        <v>-10</v>
      </c>
      <c r="G751" s="2628">
        <v>6</v>
      </c>
      <c r="H751" s="2628">
        <v>6</v>
      </c>
      <c r="I751" s="2628" t="s">
        <v>1551</v>
      </c>
      <c r="J751" s="2628" t="s">
        <v>1552</v>
      </c>
      <c r="K751" s="2878" t="s">
        <v>7262</v>
      </c>
      <c r="L751" s="2628" t="str">
        <f t="shared" si="142"/>
        <v>Similar</v>
      </c>
      <c r="M751" s="2636">
        <v>10</v>
      </c>
      <c r="N751" s="2634">
        <v>2</v>
      </c>
      <c r="O751" s="2634">
        <v>25</v>
      </c>
      <c r="P751" s="2634"/>
      <c r="Q751" s="2628"/>
      <c r="R751" s="2628" t="s">
        <v>1456</v>
      </c>
      <c r="S751" s="2628" t="s">
        <v>1456</v>
      </c>
      <c r="T751" s="2628" t="s">
        <v>1456</v>
      </c>
      <c r="U751" s="2628"/>
      <c r="V751" s="2878" t="s">
        <v>2151</v>
      </c>
      <c r="W751" s="2878"/>
      <c r="X751" s="2879" t="str">
        <f t="shared" si="143"/>
        <v>Grande</v>
      </c>
      <c r="Y751" s="2618">
        <f t="shared" si="144"/>
        <v>0</v>
      </c>
      <c r="Z751" s="1265" t="str">
        <f t="shared" si="145"/>
        <v/>
      </c>
      <c r="AB751" s="564" t="s">
        <v>2233</v>
      </c>
      <c r="AC751" s="2859"/>
      <c r="AD751" s="2859"/>
      <c r="AE751" s="837"/>
      <c r="AG751" s="853" t="str">
        <f t="shared" si="146"/>
        <v/>
      </c>
      <c r="AH751" s="78" t="str">
        <f t="shared" si="147"/>
        <v/>
      </c>
      <c r="AI751" s="78" t="str">
        <f t="shared" si="148"/>
        <v/>
      </c>
      <c r="AJ751" s="1256">
        <f>IF(OR($L751=AJ$635,$L751="",$D751=$AL$634),MAX(AJ$637:AJ750)+1,0)</f>
        <v>22</v>
      </c>
      <c r="AK751" s="1257">
        <f>IF(OR($L751=AK$635,$L751="",$D751=$AL$634),MAX(AK$637:AK750)+1,0)</f>
        <v>0</v>
      </c>
      <c r="AL751" s="1258">
        <f>IF(OR($L751=AL$635,$L751="",$D751=$AL$634),MAX(AL$637:AL750)+1,0)</f>
        <v>0</v>
      </c>
      <c r="AM751" s="6225"/>
      <c r="AN751" s="853" t="str">
        <f t="shared" si="149"/>
        <v/>
      </c>
      <c r="AO751" s="78" t="str">
        <f t="shared" si="150"/>
        <v/>
      </c>
      <c r="AP751" s="78" t="str">
        <f t="shared" si="151"/>
        <v/>
      </c>
      <c r="AQ751" s="1256">
        <f>IF(OR($L751=AQ$635,$L751="",$D751=$AS$634),MAX(AQ$637:AQ750)+1,0)</f>
        <v>22</v>
      </c>
      <c r="AR751" s="1257">
        <f>IF(OR($L751=AR$635,$L751="",$D751=$AS$634),MAX(AR$637:AR750)+1,0)</f>
        <v>0</v>
      </c>
      <c r="AS751" s="1258">
        <f>IF(OR($L751=AS$635,$L751="",$D751=$AS$634),MAX(AS$637:AS750)+1,0)</f>
        <v>0</v>
      </c>
      <c r="AT751" s="6225"/>
      <c r="AU751" s="853" t="str">
        <f t="shared" si="152"/>
        <v/>
      </c>
      <c r="AV751" s="78" t="str">
        <f t="shared" si="153"/>
        <v/>
      </c>
      <c r="AW751" s="78" t="str">
        <f t="shared" si="154"/>
        <v/>
      </c>
      <c r="AX751" s="1256">
        <f>IF(OR($L751=AX$635,$L751="",$D751=$AZ$634),MAX(AX$637:AX750)+1,0)</f>
        <v>22</v>
      </c>
      <c r="AY751" s="1257">
        <f>IF(OR($L751=AY$635,$L751="",$D751=$AZ$634),MAX(AY$637:AY750)+1,0)</f>
        <v>0</v>
      </c>
      <c r="AZ751" s="1258">
        <f>IF(OR($L751=AZ$635,$L751="",$D751=$AZ$634),MAX(AZ$637:AZ750)+1,0)</f>
        <v>0</v>
      </c>
      <c r="BA751" s="6225"/>
      <c r="BB751" s="853" t="str">
        <f t="shared" si="155"/>
        <v/>
      </c>
      <c r="BC751" s="78" t="str">
        <f t="shared" si="156"/>
        <v/>
      </c>
      <c r="BD751" s="78" t="str">
        <f t="shared" si="157"/>
        <v/>
      </c>
      <c r="BE751" s="1256">
        <f>IF(OR($L751=BE$635,$L751="",$D751=$BG$634),MAX(BE$637:BE750)+1,0)</f>
        <v>22</v>
      </c>
      <c r="BF751" s="1257">
        <f>IF(OR($L751=BF$635,$L751="",$D751=$BG$634),MAX(BF$637:BF750)+1,0)</f>
        <v>0</v>
      </c>
      <c r="BG751" s="1258">
        <f>IF(OR($L751=BG$635,$L751="",$D751=$BG$634),MAX(BG$637:BG750)+1,0)</f>
        <v>0</v>
      </c>
      <c r="BH751" s="6225"/>
      <c r="BI751" s="853" t="str">
        <f t="shared" si="158"/>
        <v/>
      </c>
      <c r="BJ751" s="78" t="str">
        <f t="shared" si="159"/>
        <v/>
      </c>
      <c r="BK751" s="78" t="str">
        <f t="shared" si="160"/>
        <v/>
      </c>
      <c r="BL751" s="1256">
        <f>IF(OR($L751=BL$635,$L751="",$D751=$BN$634),MAX(BL$637:BL750)+1,0)</f>
        <v>22</v>
      </c>
      <c r="BM751" s="1257">
        <f>IF(OR($L751=BM$635,$L751="",$D751=$BN$634),MAX(BM$637:BM750)+1,0)</f>
        <v>0</v>
      </c>
      <c r="BN751" s="1258">
        <f>IF(OR($L751=BN$635,$L751="",$D751=$BN$634),MAX(BN$637:BN750)+1,0)</f>
        <v>0</v>
      </c>
      <c r="BO751" s="6225"/>
      <c r="BP751" s="853" t="str">
        <f t="shared" si="161"/>
        <v/>
      </c>
      <c r="BQ751" s="78" t="str">
        <f t="shared" si="162"/>
        <v/>
      </c>
      <c r="BR751" s="78" t="str">
        <f t="shared" si="163"/>
        <v/>
      </c>
      <c r="BS751" s="1256">
        <f>IF(OR($L751=BS$635,$L751="",$D751=$BU$634),MAX(BS$637:BS750)+1,0)</f>
        <v>22</v>
      </c>
      <c r="BT751" s="1257">
        <f>IF(OR($L751=BT$635,$L751="",$D751=$BU$634),MAX(BT$637:BT750)+1,0)</f>
        <v>0</v>
      </c>
      <c r="BU751" s="1258">
        <f>IF(OR($L751=BU$635,$L751="",$D751=$BU$634),MAX(BU$637:BU750)+1,0)</f>
        <v>0</v>
      </c>
    </row>
    <row r="752" spans="1:73" ht="12.75" customHeight="1" x14ac:dyDescent="0.2">
      <c r="A752" s="227">
        <v>752</v>
      </c>
      <c r="B752" s="5988"/>
      <c r="C752" s="1146"/>
      <c r="D752" s="2629" t="s">
        <v>7007</v>
      </c>
      <c r="E752" s="2633">
        <v>20</v>
      </c>
      <c r="F752" s="2628">
        <v>0</v>
      </c>
      <c r="G752" s="2628">
        <v>5</v>
      </c>
      <c r="H752" s="2628">
        <v>5</v>
      </c>
      <c r="I752" s="2628" t="s">
        <v>1498</v>
      </c>
      <c r="J752" s="2628" t="s">
        <v>1456</v>
      </c>
      <c r="K752" s="2878" t="s">
        <v>7262</v>
      </c>
      <c r="L752" s="2628" t="str">
        <f t="shared" si="142"/>
        <v>Similar</v>
      </c>
      <c r="M752" s="2634">
        <v>13</v>
      </c>
      <c r="N752" s="2634">
        <v>2</v>
      </c>
      <c r="O752" s="2634">
        <v>20</v>
      </c>
      <c r="P752" s="2628"/>
      <c r="Q752" s="2628"/>
      <c r="R752" s="2628" t="s">
        <v>1456</v>
      </c>
      <c r="S752" s="2628" t="s">
        <v>1456</v>
      </c>
      <c r="T752" s="2628" t="s">
        <v>1456</v>
      </c>
      <c r="U752" s="2628"/>
      <c r="V752" s="2878" t="s">
        <v>7042</v>
      </c>
      <c r="W752" s="2878"/>
      <c r="X752" s="2879" t="str">
        <f t="shared" si="143"/>
        <v>Grande</v>
      </c>
      <c r="Y752" s="2618">
        <f t="shared" si="144"/>
        <v>0</v>
      </c>
      <c r="Z752" s="1265" t="str">
        <f t="shared" si="145"/>
        <v/>
      </c>
      <c r="AB752" s="564" t="s">
        <v>2227</v>
      </c>
      <c r="AC752" s="2859"/>
      <c r="AD752" s="2859"/>
      <c r="AE752" s="837"/>
      <c r="AG752" s="853" t="str">
        <f t="shared" si="146"/>
        <v/>
      </c>
      <c r="AH752" s="78" t="str">
        <f t="shared" si="147"/>
        <v/>
      </c>
      <c r="AI752" s="78" t="str">
        <f t="shared" si="148"/>
        <v/>
      </c>
      <c r="AJ752" s="1256">
        <f>IF(OR($L752=AJ$635,$L752="",$D752=$AL$634),MAX(AJ$637:AJ751)+1,0)</f>
        <v>23</v>
      </c>
      <c r="AK752" s="1257">
        <f>IF(OR($L752=AK$635,$L752="",$D752=$AL$634),MAX(AK$637:AK751)+1,0)</f>
        <v>0</v>
      </c>
      <c r="AL752" s="1258">
        <f>IF(OR($L752=AL$635,$L752="",$D752=$AL$634),MAX(AL$637:AL751)+1,0)</f>
        <v>0</v>
      </c>
      <c r="AM752" s="6225"/>
      <c r="AN752" s="853" t="str">
        <f t="shared" si="149"/>
        <v/>
      </c>
      <c r="AO752" s="78" t="str">
        <f t="shared" si="150"/>
        <v/>
      </c>
      <c r="AP752" s="78" t="str">
        <f t="shared" si="151"/>
        <v/>
      </c>
      <c r="AQ752" s="1256">
        <f>IF(OR($L752=AQ$635,$L752="",$D752=$AS$634),MAX(AQ$637:AQ751)+1,0)</f>
        <v>23</v>
      </c>
      <c r="AR752" s="1257">
        <f>IF(OR($L752=AR$635,$L752="",$D752=$AS$634),MAX(AR$637:AR751)+1,0)</f>
        <v>0</v>
      </c>
      <c r="AS752" s="1258">
        <f>IF(OR($L752=AS$635,$L752="",$D752=$AS$634),MAX(AS$637:AS751)+1,0)</f>
        <v>0</v>
      </c>
      <c r="AT752" s="6225"/>
      <c r="AU752" s="853" t="str">
        <f t="shared" si="152"/>
        <v/>
      </c>
      <c r="AV752" s="78" t="str">
        <f t="shared" si="153"/>
        <v/>
      </c>
      <c r="AW752" s="78" t="str">
        <f t="shared" si="154"/>
        <v/>
      </c>
      <c r="AX752" s="1256">
        <f>IF(OR($L752=AX$635,$L752="",$D752=$AZ$634),MAX(AX$637:AX751)+1,0)</f>
        <v>23</v>
      </c>
      <c r="AY752" s="1257">
        <f>IF(OR($L752=AY$635,$L752="",$D752=$AZ$634),MAX(AY$637:AY751)+1,0)</f>
        <v>0</v>
      </c>
      <c r="AZ752" s="1258">
        <f>IF(OR($L752=AZ$635,$L752="",$D752=$AZ$634),MAX(AZ$637:AZ751)+1,0)</f>
        <v>0</v>
      </c>
      <c r="BA752" s="6225"/>
      <c r="BB752" s="853" t="str">
        <f t="shared" si="155"/>
        <v/>
      </c>
      <c r="BC752" s="78" t="str">
        <f t="shared" si="156"/>
        <v/>
      </c>
      <c r="BD752" s="78" t="str">
        <f t="shared" si="157"/>
        <v/>
      </c>
      <c r="BE752" s="1256">
        <f>IF(OR($L752=BE$635,$L752="",$D752=$BG$634),MAX(BE$637:BE751)+1,0)</f>
        <v>23</v>
      </c>
      <c r="BF752" s="1257">
        <f>IF(OR($L752=BF$635,$L752="",$D752=$BG$634),MAX(BF$637:BF751)+1,0)</f>
        <v>0</v>
      </c>
      <c r="BG752" s="1258">
        <f>IF(OR($L752=BG$635,$L752="",$D752=$BG$634),MAX(BG$637:BG751)+1,0)</f>
        <v>0</v>
      </c>
      <c r="BH752" s="6225"/>
      <c r="BI752" s="853" t="str">
        <f t="shared" si="158"/>
        <v/>
      </c>
      <c r="BJ752" s="78" t="str">
        <f t="shared" si="159"/>
        <v/>
      </c>
      <c r="BK752" s="78" t="str">
        <f t="shared" si="160"/>
        <v/>
      </c>
      <c r="BL752" s="1256">
        <f>IF(OR($L752=BL$635,$L752="",$D752=$BN$634),MAX(BL$637:BL751)+1,0)</f>
        <v>23</v>
      </c>
      <c r="BM752" s="1257">
        <f>IF(OR($L752=BM$635,$L752="",$D752=$BN$634),MAX(BM$637:BM751)+1,0)</f>
        <v>0</v>
      </c>
      <c r="BN752" s="1258">
        <f>IF(OR($L752=BN$635,$L752="",$D752=$BN$634),MAX(BN$637:BN751)+1,0)</f>
        <v>0</v>
      </c>
      <c r="BO752" s="6225"/>
      <c r="BP752" s="853" t="str">
        <f t="shared" si="161"/>
        <v/>
      </c>
      <c r="BQ752" s="78" t="str">
        <f t="shared" si="162"/>
        <v/>
      </c>
      <c r="BR752" s="78" t="str">
        <f t="shared" si="163"/>
        <v/>
      </c>
      <c r="BS752" s="1256">
        <f>IF(OR($L752=BS$635,$L752="",$D752=$BU$634),MAX(BS$637:BS751)+1,0)</f>
        <v>23</v>
      </c>
      <c r="BT752" s="1257">
        <f>IF(OR($L752=BT$635,$L752="",$D752=$BU$634),MAX(BT$637:BT751)+1,0)</f>
        <v>0</v>
      </c>
      <c r="BU752" s="1258">
        <f>IF(OR($L752=BU$635,$L752="",$D752=$BU$634),MAX(BU$637:BU751)+1,0)</f>
        <v>0</v>
      </c>
    </row>
    <row r="753" spans="1:73" ht="12.75" customHeight="1" x14ac:dyDescent="0.2">
      <c r="A753" s="227">
        <v>753</v>
      </c>
      <c r="B753" s="5988"/>
      <c r="C753" s="1146"/>
      <c r="D753" s="2629" t="s">
        <v>7009</v>
      </c>
      <c r="E753" s="2633">
        <v>80</v>
      </c>
      <c r="F753" s="2628">
        <v>-50</v>
      </c>
      <c r="G753" s="2628">
        <v>10</v>
      </c>
      <c r="H753" s="2628">
        <v>8</v>
      </c>
      <c r="I753" s="2628" t="s">
        <v>1498</v>
      </c>
      <c r="J753" s="2628" t="s">
        <v>1456</v>
      </c>
      <c r="K753" s="2878" t="s">
        <v>7268</v>
      </c>
      <c r="L753" s="2628" t="str">
        <f t="shared" si="142"/>
        <v>Distinta</v>
      </c>
      <c r="M753" s="2634">
        <v>13</v>
      </c>
      <c r="N753" s="2634">
        <v>4</v>
      </c>
      <c r="O753" s="2634">
        <v>30</v>
      </c>
      <c r="P753" s="2628"/>
      <c r="Q753" s="2628"/>
      <c r="R753" s="2628" t="s">
        <v>1456</v>
      </c>
      <c r="S753" s="2628" t="s">
        <v>1456</v>
      </c>
      <c r="T753" s="2628" t="s">
        <v>1456</v>
      </c>
      <c r="U753" s="2628"/>
      <c r="V753" s="2878" t="s">
        <v>2130</v>
      </c>
      <c r="W753" s="2878"/>
      <c r="X753" s="2879" t="str">
        <f t="shared" si="143"/>
        <v>Mediana</v>
      </c>
      <c r="Y753" s="2618">
        <f t="shared" si="144"/>
        <v>0</v>
      </c>
      <c r="Z753" s="1265" t="str">
        <f t="shared" si="145"/>
        <v/>
      </c>
      <c r="AB753" s="564" t="s">
        <v>10067</v>
      </c>
      <c r="AC753" s="2859"/>
      <c r="AD753" s="2859"/>
      <c r="AE753" s="837"/>
      <c r="AG753" s="853" t="str">
        <f t="shared" si="146"/>
        <v/>
      </c>
      <c r="AH753" s="78" t="str">
        <f t="shared" si="147"/>
        <v/>
      </c>
      <c r="AI753" s="78" t="str">
        <f t="shared" si="148"/>
        <v/>
      </c>
      <c r="AJ753" s="1256">
        <f>IF(OR($L753=AJ$635,$L753="",$D753=$AL$634),MAX(AJ$637:AJ752)+1,0)</f>
        <v>0</v>
      </c>
      <c r="AK753" s="1257">
        <f>IF(OR($L753=AK$635,$L753="",$D753=$AL$634),MAX(AK$637:AK752)+1,0)</f>
        <v>0</v>
      </c>
      <c r="AL753" s="1258">
        <f>IF(OR($L753=AL$635,$L753="",$D753=$AL$634),MAX(AL$637:AL752)+1,0)</f>
        <v>91</v>
      </c>
      <c r="AM753" s="6225"/>
      <c r="AN753" s="853" t="str">
        <f t="shared" si="149"/>
        <v/>
      </c>
      <c r="AO753" s="78" t="str">
        <f t="shared" si="150"/>
        <v/>
      </c>
      <c r="AP753" s="78" t="str">
        <f t="shared" si="151"/>
        <v/>
      </c>
      <c r="AQ753" s="1256">
        <f>IF(OR($L753=AQ$635,$L753="",$D753=$AS$634),MAX(AQ$637:AQ752)+1,0)</f>
        <v>0</v>
      </c>
      <c r="AR753" s="1257">
        <f>IF(OR($L753=AR$635,$L753="",$D753=$AS$634),MAX(AR$637:AR752)+1,0)</f>
        <v>0</v>
      </c>
      <c r="AS753" s="1258">
        <f>IF(OR($L753=AS$635,$L753="",$D753=$AS$634),MAX(AS$637:AS752)+1,0)</f>
        <v>91</v>
      </c>
      <c r="AT753" s="6225"/>
      <c r="AU753" s="853" t="str">
        <f t="shared" si="152"/>
        <v/>
      </c>
      <c r="AV753" s="78" t="str">
        <f t="shared" si="153"/>
        <v/>
      </c>
      <c r="AW753" s="78" t="str">
        <f t="shared" si="154"/>
        <v/>
      </c>
      <c r="AX753" s="1256">
        <f>IF(OR($L753=AX$635,$L753="",$D753=$AZ$634),MAX(AX$637:AX752)+1,0)</f>
        <v>0</v>
      </c>
      <c r="AY753" s="1257">
        <f>IF(OR($L753=AY$635,$L753="",$D753=$AZ$634),MAX(AY$637:AY752)+1,0)</f>
        <v>0</v>
      </c>
      <c r="AZ753" s="1258">
        <f>IF(OR($L753=AZ$635,$L753="",$D753=$AZ$634),MAX(AZ$637:AZ752)+1,0)</f>
        <v>91</v>
      </c>
      <c r="BA753" s="6225"/>
      <c r="BB753" s="853" t="str">
        <f t="shared" si="155"/>
        <v/>
      </c>
      <c r="BC753" s="78" t="str">
        <f t="shared" si="156"/>
        <v/>
      </c>
      <c r="BD753" s="78" t="str">
        <f t="shared" si="157"/>
        <v/>
      </c>
      <c r="BE753" s="1256">
        <f>IF(OR($L753=BE$635,$L753="",$D753=$BG$634),MAX(BE$637:BE752)+1,0)</f>
        <v>0</v>
      </c>
      <c r="BF753" s="1257">
        <f>IF(OR($L753=BF$635,$L753="",$D753=$BG$634),MAX(BF$637:BF752)+1,0)</f>
        <v>0</v>
      </c>
      <c r="BG753" s="1258">
        <f>IF(OR($L753=BG$635,$L753="",$D753=$BG$634),MAX(BG$637:BG752)+1,0)</f>
        <v>91</v>
      </c>
      <c r="BH753" s="6225"/>
      <c r="BI753" s="853" t="str">
        <f t="shared" si="158"/>
        <v/>
      </c>
      <c r="BJ753" s="78" t="str">
        <f t="shared" si="159"/>
        <v/>
      </c>
      <c r="BK753" s="78" t="str">
        <f t="shared" si="160"/>
        <v/>
      </c>
      <c r="BL753" s="1256">
        <f>IF(OR($L753=BL$635,$L753="",$D753=$BN$634),MAX(BL$637:BL752)+1,0)</f>
        <v>0</v>
      </c>
      <c r="BM753" s="1257">
        <f>IF(OR($L753=BM$635,$L753="",$D753=$BN$634),MAX(BM$637:BM752)+1,0)</f>
        <v>0</v>
      </c>
      <c r="BN753" s="1258">
        <f>IF(OR($L753=BN$635,$L753="",$D753=$BN$634),MAX(BN$637:BN752)+1,0)</f>
        <v>91</v>
      </c>
      <c r="BO753" s="6225"/>
      <c r="BP753" s="853" t="str">
        <f t="shared" si="161"/>
        <v/>
      </c>
      <c r="BQ753" s="78" t="str">
        <f t="shared" si="162"/>
        <v/>
      </c>
      <c r="BR753" s="78" t="str">
        <f t="shared" si="163"/>
        <v/>
      </c>
      <c r="BS753" s="1256">
        <f>IF(OR($L753=BS$635,$L753="",$D753=$BU$634),MAX(BS$637:BS752)+1,0)</f>
        <v>0</v>
      </c>
      <c r="BT753" s="1257">
        <f>IF(OR($L753=BT$635,$L753="",$D753=$BU$634),MAX(BT$637:BT752)+1,0)</f>
        <v>0</v>
      </c>
      <c r="BU753" s="1258">
        <f>IF(OR($L753=BU$635,$L753="",$D753=$BU$634),MAX(BU$637:BU752)+1,0)</f>
        <v>91</v>
      </c>
    </row>
    <row r="754" spans="1:73" ht="12.75" customHeight="1" x14ac:dyDescent="0.2">
      <c r="A754" s="227">
        <v>754</v>
      </c>
      <c r="B754" s="5988"/>
      <c r="C754" s="1146"/>
      <c r="D754" s="2629" t="s">
        <v>7028</v>
      </c>
      <c r="E754" s="2633">
        <v>25</v>
      </c>
      <c r="F754" s="2628">
        <v>10</v>
      </c>
      <c r="G754" s="2628">
        <v>4</v>
      </c>
      <c r="H754" s="2628">
        <v>4</v>
      </c>
      <c r="I754" s="2628" t="s">
        <v>1552</v>
      </c>
      <c r="J754" s="2628" t="s">
        <v>1456</v>
      </c>
      <c r="K754" s="2878" t="s">
        <v>7262</v>
      </c>
      <c r="L754" s="2628" t="str">
        <f t="shared" si="142"/>
        <v>Similar</v>
      </c>
      <c r="M754" s="2634">
        <v>10</v>
      </c>
      <c r="N754" s="2634">
        <v>-2</v>
      </c>
      <c r="O754" s="2634">
        <v>20</v>
      </c>
      <c r="P754" s="2628"/>
      <c r="Q754" s="2628"/>
      <c r="R754" s="2628">
        <v>100</v>
      </c>
      <c r="S754" s="2628" t="s">
        <v>1456</v>
      </c>
      <c r="T754" s="2628">
        <v>30</v>
      </c>
      <c r="U754" s="2628"/>
      <c r="V754" s="2878" t="s">
        <v>8572</v>
      </c>
      <c r="W754" s="2878"/>
      <c r="X754" s="2879" t="str">
        <f t="shared" si="143"/>
        <v>Grande</v>
      </c>
      <c r="Y754" s="2618">
        <f t="shared" si="144"/>
        <v>0</v>
      </c>
      <c r="Z754" s="1265" t="str">
        <f t="shared" si="145"/>
        <v/>
      </c>
      <c r="AB754" s="564" t="s">
        <v>10068</v>
      </c>
      <c r="AC754" s="2859"/>
      <c r="AD754" s="2859"/>
      <c r="AE754" s="837"/>
      <c r="AG754" s="853" t="str">
        <f t="shared" si="146"/>
        <v/>
      </c>
      <c r="AH754" s="78" t="str">
        <f t="shared" si="147"/>
        <v/>
      </c>
      <c r="AI754" s="78" t="str">
        <f t="shared" si="148"/>
        <v/>
      </c>
      <c r="AJ754" s="1256">
        <f>IF(OR($L754=AJ$635,$L754="",$D754=$AL$634),MAX(AJ$637:AJ753)+1,0)</f>
        <v>24</v>
      </c>
      <c r="AK754" s="1257">
        <f>IF(OR($L754=AK$635,$L754="",$D754=$AL$634),MAX(AK$637:AK753)+1,0)</f>
        <v>0</v>
      </c>
      <c r="AL754" s="1258">
        <f>IF(OR($L754=AL$635,$L754="",$D754=$AL$634),MAX(AL$637:AL753)+1,0)</f>
        <v>0</v>
      </c>
      <c r="AM754" s="6225"/>
      <c r="AN754" s="853" t="str">
        <f t="shared" si="149"/>
        <v/>
      </c>
      <c r="AO754" s="78" t="str">
        <f t="shared" si="150"/>
        <v/>
      </c>
      <c r="AP754" s="78" t="str">
        <f t="shared" si="151"/>
        <v/>
      </c>
      <c r="AQ754" s="1256">
        <f>IF(OR($L754=AQ$635,$L754="",$D754=$AS$634),MAX(AQ$637:AQ753)+1,0)</f>
        <v>24</v>
      </c>
      <c r="AR754" s="1257">
        <f>IF(OR($L754=AR$635,$L754="",$D754=$AS$634),MAX(AR$637:AR753)+1,0)</f>
        <v>0</v>
      </c>
      <c r="AS754" s="1258">
        <f>IF(OR($L754=AS$635,$L754="",$D754=$AS$634),MAX(AS$637:AS753)+1,0)</f>
        <v>0</v>
      </c>
      <c r="AT754" s="6225"/>
      <c r="AU754" s="853" t="str">
        <f t="shared" si="152"/>
        <v/>
      </c>
      <c r="AV754" s="78" t="str">
        <f t="shared" si="153"/>
        <v/>
      </c>
      <c r="AW754" s="78" t="str">
        <f t="shared" si="154"/>
        <v/>
      </c>
      <c r="AX754" s="1256">
        <f>IF(OR($L754=AX$635,$L754="",$D754=$AZ$634),MAX(AX$637:AX753)+1,0)</f>
        <v>24</v>
      </c>
      <c r="AY754" s="1257">
        <f>IF(OR($L754=AY$635,$L754="",$D754=$AZ$634),MAX(AY$637:AY753)+1,0)</f>
        <v>0</v>
      </c>
      <c r="AZ754" s="1258">
        <f>IF(OR($L754=AZ$635,$L754="",$D754=$AZ$634),MAX(AZ$637:AZ753)+1,0)</f>
        <v>0</v>
      </c>
      <c r="BA754" s="6225"/>
      <c r="BB754" s="853" t="str">
        <f t="shared" si="155"/>
        <v/>
      </c>
      <c r="BC754" s="78" t="str">
        <f t="shared" si="156"/>
        <v/>
      </c>
      <c r="BD754" s="78" t="str">
        <f t="shared" si="157"/>
        <v/>
      </c>
      <c r="BE754" s="1256">
        <f>IF(OR($L754=BE$635,$L754="",$D754=$BG$634),MAX(BE$637:BE753)+1,0)</f>
        <v>24</v>
      </c>
      <c r="BF754" s="1257">
        <f>IF(OR($L754=BF$635,$L754="",$D754=$BG$634),MAX(BF$637:BF753)+1,0)</f>
        <v>0</v>
      </c>
      <c r="BG754" s="1258">
        <f>IF(OR($L754=BG$635,$L754="",$D754=$BG$634),MAX(BG$637:BG753)+1,0)</f>
        <v>0</v>
      </c>
      <c r="BH754" s="6225"/>
      <c r="BI754" s="853" t="str">
        <f t="shared" si="158"/>
        <v/>
      </c>
      <c r="BJ754" s="78" t="str">
        <f t="shared" si="159"/>
        <v/>
      </c>
      <c r="BK754" s="78" t="str">
        <f t="shared" si="160"/>
        <v/>
      </c>
      <c r="BL754" s="1256">
        <f>IF(OR($L754=BL$635,$L754="",$D754=$BN$634),MAX(BL$637:BL753)+1,0)</f>
        <v>24</v>
      </c>
      <c r="BM754" s="1257">
        <f>IF(OR($L754=BM$635,$L754="",$D754=$BN$634),MAX(BM$637:BM753)+1,0)</f>
        <v>0</v>
      </c>
      <c r="BN754" s="1258">
        <f>IF(OR($L754=BN$635,$L754="",$D754=$BN$634),MAX(BN$637:BN753)+1,0)</f>
        <v>0</v>
      </c>
      <c r="BO754" s="6225"/>
      <c r="BP754" s="853" t="str">
        <f t="shared" si="161"/>
        <v/>
      </c>
      <c r="BQ754" s="78" t="str">
        <f t="shared" si="162"/>
        <v/>
      </c>
      <c r="BR754" s="78" t="str">
        <f t="shared" si="163"/>
        <v/>
      </c>
      <c r="BS754" s="1256">
        <f>IF(OR($L754=BS$635,$L754="",$D754=$BU$634),MAX(BS$637:BS753)+1,0)</f>
        <v>24</v>
      </c>
      <c r="BT754" s="1257">
        <f>IF(OR($L754=BT$635,$L754="",$D754=$BU$634),MAX(BT$637:BT753)+1,0)</f>
        <v>0</v>
      </c>
      <c r="BU754" s="1258">
        <f>IF(OR($L754=BU$635,$L754="",$D754=$BU$634),MAX(BU$637:BU753)+1,0)</f>
        <v>0</v>
      </c>
    </row>
    <row r="755" spans="1:73" ht="12.75" customHeight="1" x14ac:dyDescent="0.2">
      <c r="A755" s="227">
        <v>755</v>
      </c>
      <c r="B755" s="5988"/>
      <c r="C755" s="1146"/>
      <c r="D755" s="2629" t="s">
        <v>10092</v>
      </c>
      <c r="E755" s="2633">
        <v>45</v>
      </c>
      <c r="F755" s="2628">
        <v>0</v>
      </c>
      <c r="G755" s="2628">
        <v>4</v>
      </c>
      <c r="H755" s="2628">
        <v>4</v>
      </c>
      <c r="I755" s="2628" t="s">
        <v>1551</v>
      </c>
      <c r="J755" s="2628" t="s">
        <v>1456</v>
      </c>
      <c r="K755" s="2878" t="s">
        <v>7265</v>
      </c>
      <c r="L755" s="2628" t="str">
        <f t="shared" si="142"/>
        <v>Distinta</v>
      </c>
      <c r="M755" s="2634">
        <v>11</v>
      </c>
      <c r="N755" s="2634">
        <v>3</v>
      </c>
      <c r="O755" s="2634">
        <v>40</v>
      </c>
      <c r="P755" s="2628"/>
      <c r="Q755" s="2628"/>
      <c r="R755" s="2628" t="s">
        <v>1456</v>
      </c>
      <c r="S755" s="2628" t="s">
        <v>1456</v>
      </c>
      <c r="T755" s="2628" t="s">
        <v>1456</v>
      </c>
      <c r="U755" s="2628"/>
      <c r="V755" s="2878" t="s">
        <v>1456</v>
      </c>
      <c r="W755" s="2878"/>
      <c r="X755" s="2879" t="str">
        <f t="shared" si="143"/>
        <v>Mediana</v>
      </c>
      <c r="Y755" s="2618">
        <f t="shared" si="144"/>
        <v>0</v>
      </c>
      <c r="Z755" s="1265" t="str">
        <f t="shared" si="145"/>
        <v/>
      </c>
      <c r="AB755" s="564" t="s">
        <v>10069</v>
      </c>
      <c r="AC755" s="2859"/>
      <c r="AD755" s="2859"/>
      <c r="AE755" s="837"/>
      <c r="AG755" s="853" t="str">
        <f t="shared" si="146"/>
        <v/>
      </c>
      <c r="AH755" s="78" t="str">
        <f t="shared" si="147"/>
        <v/>
      </c>
      <c r="AI755" s="78" t="str">
        <f t="shared" si="148"/>
        <v/>
      </c>
      <c r="AJ755" s="1256">
        <f>IF(OR($L755=AJ$635,$L755="",$D755=$AL$634),MAX(AJ$637:AJ754)+1,0)</f>
        <v>0</v>
      </c>
      <c r="AK755" s="1257">
        <f>IF(OR($L755=AK$635,$L755="",$D755=$AL$634),MAX(AK$637:AK754)+1,0)</f>
        <v>0</v>
      </c>
      <c r="AL755" s="1258">
        <f>IF(OR($L755=AL$635,$L755="",$D755=$AL$634),MAX(AL$637:AL754)+1,0)</f>
        <v>92</v>
      </c>
      <c r="AM755" s="6225"/>
      <c r="AN755" s="853" t="str">
        <f t="shared" si="149"/>
        <v/>
      </c>
      <c r="AO755" s="78" t="str">
        <f t="shared" si="150"/>
        <v/>
      </c>
      <c r="AP755" s="78" t="str">
        <f t="shared" si="151"/>
        <v/>
      </c>
      <c r="AQ755" s="1256">
        <f>IF(OR($L755=AQ$635,$L755="",$D755=$AS$634),MAX(AQ$637:AQ754)+1,0)</f>
        <v>0</v>
      </c>
      <c r="AR755" s="1257">
        <f>IF(OR($L755=AR$635,$L755="",$D755=$AS$634),MAX(AR$637:AR754)+1,0)</f>
        <v>0</v>
      </c>
      <c r="AS755" s="1258">
        <f>IF(OR($L755=AS$635,$L755="",$D755=$AS$634),MAX(AS$637:AS754)+1,0)</f>
        <v>92</v>
      </c>
      <c r="AT755" s="6225"/>
      <c r="AU755" s="853" t="str">
        <f t="shared" si="152"/>
        <v/>
      </c>
      <c r="AV755" s="78" t="str">
        <f t="shared" si="153"/>
        <v/>
      </c>
      <c r="AW755" s="78" t="str">
        <f t="shared" si="154"/>
        <v/>
      </c>
      <c r="AX755" s="1256">
        <f>IF(OR($L755=AX$635,$L755="",$D755=$AZ$634),MAX(AX$637:AX754)+1,0)</f>
        <v>0</v>
      </c>
      <c r="AY755" s="1257">
        <f>IF(OR($L755=AY$635,$L755="",$D755=$AZ$634),MAX(AY$637:AY754)+1,0)</f>
        <v>0</v>
      </c>
      <c r="AZ755" s="1258">
        <f>IF(OR($L755=AZ$635,$L755="",$D755=$AZ$634),MAX(AZ$637:AZ754)+1,0)</f>
        <v>92</v>
      </c>
      <c r="BA755" s="6225"/>
      <c r="BB755" s="853" t="str">
        <f t="shared" si="155"/>
        <v/>
      </c>
      <c r="BC755" s="78" t="str">
        <f t="shared" si="156"/>
        <v/>
      </c>
      <c r="BD755" s="78" t="str">
        <f t="shared" si="157"/>
        <v/>
      </c>
      <c r="BE755" s="1256">
        <f>IF(OR($L755=BE$635,$L755="",$D755=$BG$634),MAX(BE$637:BE754)+1,0)</f>
        <v>0</v>
      </c>
      <c r="BF755" s="1257">
        <f>IF(OR($L755=BF$635,$L755="",$D755=$BG$634),MAX(BF$637:BF754)+1,0)</f>
        <v>0</v>
      </c>
      <c r="BG755" s="1258">
        <f>IF(OR($L755=BG$635,$L755="",$D755=$BG$634),MAX(BG$637:BG754)+1,0)</f>
        <v>92</v>
      </c>
      <c r="BH755" s="6225"/>
      <c r="BI755" s="853" t="str">
        <f t="shared" si="158"/>
        <v/>
      </c>
      <c r="BJ755" s="78" t="str">
        <f t="shared" si="159"/>
        <v/>
      </c>
      <c r="BK755" s="78" t="str">
        <f t="shared" si="160"/>
        <v/>
      </c>
      <c r="BL755" s="1256">
        <f>IF(OR($L755=BL$635,$L755="",$D755=$BN$634),MAX(BL$637:BL754)+1,0)</f>
        <v>0</v>
      </c>
      <c r="BM755" s="1257">
        <f>IF(OR($L755=BM$635,$L755="",$D755=$BN$634),MAX(BM$637:BM754)+1,0)</f>
        <v>0</v>
      </c>
      <c r="BN755" s="1258">
        <f>IF(OR($L755=BN$635,$L755="",$D755=$BN$634),MAX(BN$637:BN754)+1,0)</f>
        <v>92</v>
      </c>
      <c r="BO755" s="6225"/>
      <c r="BP755" s="853" t="str">
        <f t="shared" si="161"/>
        <v/>
      </c>
      <c r="BQ755" s="78" t="str">
        <f t="shared" si="162"/>
        <v/>
      </c>
      <c r="BR755" s="78" t="str">
        <f t="shared" si="163"/>
        <v/>
      </c>
      <c r="BS755" s="1256">
        <f>IF(OR($L755=BS$635,$L755="",$D755=$BU$634),MAX(BS$637:BS754)+1,0)</f>
        <v>0</v>
      </c>
      <c r="BT755" s="1257">
        <f>IF(OR($L755=BT$635,$L755="",$D755=$BU$634),MAX(BT$637:BT754)+1,0)</f>
        <v>0</v>
      </c>
      <c r="BU755" s="1258">
        <f>IF(OR($L755=BU$635,$L755="",$D755=$BU$634),MAX(BU$637:BU754)+1,0)</f>
        <v>92</v>
      </c>
    </row>
    <row r="756" spans="1:73" ht="12.75" customHeight="1" x14ac:dyDescent="0.2">
      <c r="A756" s="227">
        <v>756</v>
      </c>
      <c r="B756" s="5988"/>
      <c r="C756" s="1146"/>
      <c r="D756" s="2629" t="s">
        <v>2195</v>
      </c>
      <c r="E756" s="2626"/>
      <c r="F756" s="2626"/>
      <c r="G756" s="2626"/>
      <c r="H756" s="2626"/>
      <c r="I756" s="2626"/>
      <c r="J756" s="2626"/>
      <c r="K756" s="2622" t="s">
        <v>7260</v>
      </c>
      <c r="L756" s="2628"/>
      <c r="M756" s="2626"/>
      <c r="N756" s="2626"/>
      <c r="O756" s="2626"/>
      <c r="P756" s="2626"/>
      <c r="Q756" s="2626"/>
      <c r="R756" s="2626"/>
      <c r="S756" s="2626"/>
      <c r="T756" s="2626"/>
      <c r="U756" s="2626"/>
      <c r="V756" s="2622"/>
      <c r="W756" s="2622"/>
      <c r="X756" s="2623"/>
      <c r="Y756" s="1149"/>
      <c r="Z756" s="1265" t="str">
        <f t="shared" si="145"/>
        <v/>
      </c>
      <c r="AB756" s="564" t="s">
        <v>10070</v>
      </c>
      <c r="AC756" s="2859"/>
      <c r="AD756" s="2859"/>
      <c r="AE756" s="837"/>
      <c r="AG756" s="853" t="str">
        <f t="shared" si="146"/>
        <v/>
      </c>
      <c r="AH756" s="78" t="str">
        <f t="shared" si="147"/>
        <v/>
      </c>
      <c r="AI756" s="78" t="str">
        <f t="shared" si="148"/>
        <v/>
      </c>
      <c r="AJ756" s="1256">
        <f>IF(OR($L756=AJ$635,$L756="",$D756=$AL$634),MAX(AJ$637:AJ755)+1,0)</f>
        <v>25</v>
      </c>
      <c r="AK756" s="1257">
        <f>IF(OR($L756=AK$635,$L756="",$D756=$AL$634),MAX(AK$637:AK755)+1,0)</f>
        <v>8</v>
      </c>
      <c r="AL756" s="1258">
        <f>IF(OR($L756=AL$635,$L756="",$D756=$AL$634),MAX(AL$637:AL755)+1,0)</f>
        <v>93</v>
      </c>
      <c r="AM756" s="6225"/>
      <c r="AN756" s="853" t="str">
        <f t="shared" si="149"/>
        <v/>
      </c>
      <c r="AO756" s="78" t="str">
        <f t="shared" si="150"/>
        <v/>
      </c>
      <c r="AP756" s="78" t="str">
        <f t="shared" si="151"/>
        <v/>
      </c>
      <c r="AQ756" s="1256">
        <f>IF(OR($L756=AQ$635,$L756="",$D756=$AS$634),MAX(AQ$637:AQ755)+1,0)</f>
        <v>25</v>
      </c>
      <c r="AR756" s="1257">
        <f>IF(OR($L756=AR$635,$L756="",$D756=$AS$634),MAX(AR$637:AR755)+1,0)</f>
        <v>8</v>
      </c>
      <c r="AS756" s="1258">
        <f>IF(OR($L756=AS$635,$L756="",$D756=$AS$634),MAX(AS$637:AS755)+1,0)</f>
        <v>93</v>
      </c>
      <c r="AT756" s="6225"/>
      <c r="AU756" s="853" t="str">
        <f t="shared" si="152"/>
        <v/>
      </c>
      <c r="AV756" s="78" t="str">
        <f t="shared" si="153"/>
        <v/>
      </c>
      <c r="AW756" s="78" t="str">
        <f t="shared" si="154"/>
        <v/>
      </c>
      <c r="AX756" s="1256">
        <f>IF(OR($L756=AX$635,$L756="",$D756=$AZ$634),MAX(AX$637:AX755)+1,0)</f>
        <v>25</v>
      </c>
      <c r="AY756" s="1257">
        <f>IF(OR($L756=AY$635,$L756="",$D756=$AZ$634),MAX(AY$637:AY755)+1,0)</f>
        <v>8</v>
      </c>
      <c r="AZ756" s="1258">
        <f>IF(OR($L756=AZ$635,$L756="",$D756=$AZ$634),MAX(AZ$637:AZ755)+1,0)</f>
        <v>93</v>
      </c>
      <c r="BA756" s="6225"/>
      <c r="BB756" s="853" t="str">
        <f t="shared" si="155"/>
        <v/>
      </c>
      <c r="BC756" s="78" t="str">
        <f t="shared" si="156"/>
        <v/>
      </c>
      <c r="BD756" s="78" t="str">
        <f t="shared" si="157"/>
        <v/>
      </c>
      <c r="BE756" s="1256">
        <f>IF(OR($L756=BE$635,$L756="",$D756=$BG$634),MAX(BE$637:BE755)+1,0)</f>
        <v>25</v>
      </c>
      <c r="BF756" s="1257">
        <f>IF(OR($L756=BF$635,$L756="",$D756=$BG$634),MAX(BF$637:BF755)+1,0)</f>
        <v>8</v>
      </c>
      <c r="BG756" s="1258">
        <f>IF(OR($L756=BG$635,$L756="",$D756=$BG$634),MAX(BG$637:BG755)+1,0)</f>
        <v>93</v>
      </c>
      <c r="BH756" s="6225"/>
      <c r="BI756" s="853" t="str">
        <f t="shared" si="158"/>
        <v/>
      </c>
      <c r="BJ756" s="78" t="str">
        <f t="shared" si="159"/>
        <v/>
      </c>
      <c r="BK756" s="78" t="str">
        <f t="shared" si="160"/>
        <v/>
      </c>
      <c r="BL756" s="1256">
        <f>IF(OR($L756=BL$635,$L756="",$D756=$BN$634),MAX(BL$637:BL755)+1,0)</f>
        <v>25</v>
      </c>
      <c r="BM756" s="1257">
        <f>IF(OR($L756=BM$635,$L756="",$D756=$BN$634),MAX(BM$637:BM755)+1,0)</f>
        <v>8</v>
      </c>
      <c r="BN756" s="1258">
        <f>IF(OR($L756=BN$635,$L756="",$D756=$BN$634),MAX(BN$637:BN755)+1,0)</f>
        <v>93</v>
      </c>
      <c r="BO756" s="6225"/>
      <c r="BP756" s="853" t="str">
        <f t="shared" si="161"/>
        <v/>
      </c>
      <c r="BQ756" s="78" t="str">
        <f t="shared" si="162"/>
        <v/>
      </c>
      <c r="BR756" s="78" t="str">
        <f t="shared" si="163"/>
        <v/>
      </c>
      <c r="BS756" s="1256">
        <f>IF(OR($L756=BS$635,$L756="",$D756=$BU$634),MAX(BS$637:BS755)+1,0)</f>
        <v>25</v>
      </c>
      <c r="BT756" s="1257">
        <f>IF(OR($L756=BT$635,$L756="",$D756=$BU$634),MAX(BT$637:BT755)+1,0)</f>
        <v>8</v>
      </c>
      <c r="BU756" s="1258">
        <f>IF(OR($L756=BU$635,$L756="",$D756=$BU$634),MAX(BU$637:BU755)+1,0)</f>
        <v>93</v>
      </c>
    </row>
    <row r="757" spans="1:73" ht="12.75" customHeight="1" x14ac:dyDescent="0.2">
      <c r="A757" s="227">
        <v>757</v>
      </c>
      <c r="B757" s="5988"/>
      <c r="C757" s="1146"/>
      <c r="D757" s="2629" t="s">
        <v>8552</v>
      </c>
      <c r="E757" s="2628">
        <v>0</v>
      </c>
      <c r="F757" s="2628">
        <v>-20</v>
      </c>
      <c r="G757" s="2628">
        <v>6</v>
      </c>
      <c r="H757" s="2628">
        <v>6</v>
      </c>
      <c r="I757" s="2628" t="s">
        <v>1456</v>
      </c>
      <c r="J757" s="2628" t="s">
        <v>1456</v>
      </c>
      <c r="K757" s="2878" t="s">
        <v>7280</v>
      </c>
      <c r="L757" s="2628" t="str">
        <f t="shared" ref="L757:L762" si="164">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34">
        <v>9</v>
      </c>
      <c r="N757" s="2634">
        <v>-3</v>
      </c>
      <c r="O757" s="2634">
        <v>20</v>
      </c>
      <c r="P757" s="2628"/>
      <c r="Q757" s="2628"/>
      <c r="R757" s="2628" t="s">
        <v>1456</v>
      </c>
      <c r="S757" s="2628">
        <v>4</v>
      </c>
      <c r="T757" s="2628">
        <v>80</v>
      </c>
      <c r="U757" s="2635">
        <v>11</v>
      </c>
      <c r="V757" s="2878" t="s">
        <v>2183</v>
      </c>
      <c r="W757" s="2878"/>
      <c r="X757" s="2679" t="s">
        <v>10157</v>
      </c>
      <c r="Y757" s="2618">
        <f>VLOOKUP(U757,Tabla_BonoStats,2)</f>
        <v>20</v>
      </c>
      <c r="Z757" s="1265" t="str">
        <f t="shared" si="145"/>
        <v/>
      </c>
      <c r="AB757" s="564" t="str">
        <f t="shared" ref="AB757:AB767" si="165">D819</f>
        <v>&gt; ATAQUES DE MONSTRUO</v>
      </c>
      <c r="AC757" s="2859"/>
      <c r="AD757" s="2859"/>
      <c r="AE757" s="837"/>
      <c r="AG757" s="853" t="str">
        <f t="shared" si="146"/>
        <v/>
      </c>
      <c r="AH757" s="78" t="str">
        <f t="shared" si="147"/>
        <v/>
      </c>
      <c r="AI757" s="78" t="str">
        <f t="shared" si="148"/>
        <v/>
      </c>
      <c r="AJ757" s="1256">
        <f>IF(OR($L757=AJ$635,$L757="",$D757=$AL$634),MAX(AJ$637:AJ756)+1,0)</f>
        <v>0</v>
      </c>
      <c r="AK757" s="1257">
        <f>IF(OR($L757=AK$635,$L757="",$D757=$AL$634),MAX(AK$637:AK756)+1,0)</f>
        <v>0</v>
      </c>
      <c r="AL757" s="1258">
        <f>IF(OR($L757=AL$635,$L757="",$D757=$AL$634),MAX(AL$637:AL756)+1,0)</f>
        <v>94</v>
      </c>
      <c r="AM757" s="6225"/>
      <c r="AN757" s="853" t="str">
        <f t="shared" si="149"/>
        <v/>
      </c>
      <c r="AO757" s="78" t="str">
        <f t="shared" si="150"/>
        <v/>
      </c>
      <c r="AP757" s="78" t="str">
        <f t="shared" si="151"/>
        <v/>
      </c>
      <c r="AQ757" s="1256">
        <f>IF(OR($L757=AQ$635,$L757="",$D757=$AS$634),MAX(AQ$637:AQ756)+1,0)</f>
        <v>0</v>
      </c>
      <c r="AR757" s="1257">
        <f>IF(OR($L757=AR$635,$L757="",$D757=$AS$634),MAX(AR$637:AR756)+1,0)</f>
        <v>0</v>
      </c>
      <c r="AS757" s="1258">
        <f>IF(OR($L757=AS$635,$L757="",$D757=$AS$634),MAX(AS$637:AS756)+1,0)</f>
        <v>94</v>
      </c>
      <c r="AT757" s="6225"/>
      <c r="AU757" s="853" t="str">
        <f t="shared" si="152"/>
        <v/>
      </c>
      <c r="AV757" s="78" t="str">
        <f t="shared" si="153"/>
        <v/>
      </c>
      <c r="AW757" s="78" t="str">
        <f t="shared" si="154"/>
        <v/>
      </c>
      <c r="AX757" s="1256">
        <f>IF(OR($L757=AX$635,$L757="",$D757=$AZ$634),MAX(AX$637:AX756)+1,0)</f>
        <v>0</v>
      </c>
      <c r="AY757" s="1257">
        <f>IF(OR($L757=AY$635,$L757="",$D757=$AZ$634),MAX(AY$637:AY756)+1,0)</f>
        <v>0</v>
      </c>
      <c r="AZ757" s="1258">
        <f>IF(OR($L757=AZ$635,$L757="",$D757=$AZ$634),MAX(AZ$637:AZ756)+1,0)</f>
        <v>94</v>
      </c>
      <c r="BA757" s="6225"/>
      <c r="BB757" s="853" t="str">
        <f t="shared" si="155"/>
        <v/>
      </c>
      <c r="BC757" s="78" t="str">
        <f t="shared" si="156"/>
        <v/>
      </c>
      <c r="BD757" s="78" t="str">
        <f t="shared" si="157"/>
        <v/>
      </c>
      <c r="BE757" s="1256">
        <f>IF(OR($L757=BE$635,$L757="",$D757=$BG$634),MAX(BE$637:BE756)+1,0)</f>
        <v>0</v>
      </c>
      <c r="BF757" s="1257">
        <f>IF(OR($L757=BF$635,$L757="",$D757=$BG$634),MAX(BF$637:BF756)+1,0)</f>
        <v>0</v>
      </c>
      <c r="BG757" s="1258">
        <f>IF(OR($L757=BG$635,$L757="",$D757=$BG$634),MAX(BG$637:BG756)+1,0)</f>
        <v>94</v>
      </c>
      <c r="BH757" s="6225"/>
      <c r="BI757" s="853" t="str">
        <f t="shared" si="158"/>
        <v/>
      </c>
      <c r="BJ757" s="78" t="str">
        <f t="shared" si="159"/>
        <v/>
      </c>
      <c r="BK757" s="78" t="str">
        <f t="shared" si="160"/>
        <v/>
      </c>
      <c r="BL757" s="1256">
        <f>IF(OR($L757=BL$635,$L757="",$D757=$BN$634),MAX(BL$637:BL756)+1,0)</f>
        <v>0</v>
      </c>
      <c r="BM757" s="1257">
        <f>IF(OR($L757=BM$635,$L757="",$D757=$BN$634),MAX(BM$637:BM756)+1,0)</f>
        <v>0</v>
      </c>
      <c r="BN757" s="1258">
        <f>IF(OR($L757=BN$635,$L757="",$D757=$BN$634),MAX(BN$637:BN756)+1,0)</f>
        <v>94</v>
      </c>
      <c r="BO757" s="6225"/>
      <c r="BP757" s="853" t="str">
        <f t="shared" si="161"/>
        <v/>
      </c>
      <c r="BQ757" s="78" t="str">
        <f t="shared" si="162"/>
        <v/>
      </c>
      <c r="BR757" s="78" t="str">
        <f t="shared" si="163"/>
        <v/>
      </c>
      <c r="BS757" s="1256">
        <f>IF(OR($L757=BS$635,$L757="",$D757=$BU$634),MAX(BS$637:BS756)+1,0)</f>
        <v>0</v>
      </c>
      <c r="BT757" s="1257">
        <f>IF(OR($L757=BT$635,$L757="",$D757=$BU$634),MAX(BT$637:BT756)+1,0)</f>
        <v>0</v>
      </c>
      <c r="BU757" s="1258">
        <f>IF(OR($L757=BU$635,$L757="",$D757=$BU$634),MAX(BU$637:BU756)+1,0)</f>
        <v>94</v>
      </c>
    </row>
    <row r="758" spans="1:73" ht="12.75" customHeight="1" x14ac:dyDescent="0.2">
      <c r="A758" s="227">
        <v>758</v>
      </c>
      <c r="B758" s="5988"/>
      <c r="C758" s="1146"/>
      <c r="D758" s="2629" t="s">
        <v>2196</v>
      </c>
      <c r="E758" s="2628">
        <v>0</v>
      </c>
      <c r="F758" s="2628">
        <v>-30</v>
      </c>
      <c r="G758" s="2628" t="s">
        <v>1456</v>
      </c>
      <c r="H758" s="2628">
        <v>7</v>
      </c>
      <c r="I758" s="2628" t="s">
        <v>1456</v>
      </c>
      <c r="J758" s="2628" t="s">
        <v>1456</v>
      </c>
      <c r="K758" s="2878" t="s">
        <v>7280</v>
      </c>
      <c r="L758" s="2628" t="str">
        <f t="shared" si="164"/>
        <v>Distinta</v>
      </c>
      <c r="M758" s="2634">
        <v>8</v>
      </c>
      <c r="N758" s="2634">
        <v>-2</v>
      </c>
      <c r="O758" s="2634">
        <v>25</v>
      </c>
      <c r="P758" s="2628"/>
      <c r="Q758" s="2628"/>
      <c r="R758" s="2628" t="s">
        <v>1456</v>
      </c>
      <c r="S758" s="2628">
        <v>1</v>
      </c>
      <c r="T758" s="2628">
        <v>90</v>
      </c>
      <c r="U758" s="2628"/>
      <c r="V758" s="2878" t="s">
        <v>1579</v>
      </c>
      <c r="W758" s="2878"/>
      <c r="X758" s="2679" t="s">
        <v>1967</v>
      </c>
      <c r="Y758" s="2618">
        <f>Bono_Fue</f>
        <v>0</v>
      </c>
      <c r="Z758" s="1265" t="str">
        <f t="shared" si="145"/>
        <v/>
      </c>
      <c r="AB758" s="564" t="str">
        <f t="shared" ca="1" si="165"/>
        <v/>
      </c>
      <c r="AC758" s="2859"/>
      <c r="AD758" s="2859"/>
      <c r="AE758" s="837"/>
      <c r="AG758" s="853" t="str">
        <f t="shared" si="146"/>
        <v/>
      </c>
      <c r="AH758" s="78" t="str">
        <f t="shared" si="147"/>
        <v/>
      </c>
      <c r="AI758" s="78" t="str">
        <f t="shared" si="148"/>
        <v/>
      </c>
      <c r="AJ758" s="1256">
        <f>IF(OR($L758=AJ$635,$L758="",$D758=$AL$634),MAX(AJ$637:AJ757)+1,0)</f>
        <v>0</v>
      </c>
      <c r="AK758" s="1257">
        <f>IF(OR($L758=AK$635,$L758="",$D758=$AL$634),MAX(AK$637:AK757)+1,0)</f>
        <v>0</v>
      </c>
      <c r="AL758" s="1258">
        <f>IF(OR($L758=AL$635,$L758="",$D758=$AL$634),MAX(AL$637:AL757)+1,0)</f>
        <v>95</v>
      </c>
      <c r="AM758" s="6225"/>
      <c r="AN758" s="853" t="str">
        <f t="shared" si="149"/>
        <v/>
      </c>
      <c r="AO758" s="78" t="str">
        <f t="shared" si="150"/>
        <v/>
      </c>
      <c r="AP758" s="78" t="str">
        <f t="shared" si="151"/>
        <v/>
      </c>
      <c r="AQ758" s="1256">
        <f>IF(OR($L758=AQ$635,$L758="",$D758=$AS$634),MAX(AQ$637:AQ757)+1,0)</f>
        <v>0</v>
      </c>
      <c r="AR758" s="1257">
        <f>IF(OR($L758=AR$635,$L758="",$D758=$AS$634),MAX(AR$637:AR757)+1,0)</f>
        <v>0</v>
      </c>
      <c r="AS758" s="1258">
        <f>IF(OR($L758=AS$635,$L758="",$D758=$AS$634),MAX(AS$637:AS757)+1,0)</f>
        <v>95</v>
      </c>
      <c r="AT758" s="6225"/>
      <c r="AU758" s="853" t="str">
        <f t="shared" si="152"/>
        <v/>
      </c>
      <c r="AV758" s="78" t="str">
        <f t="shared" si="153"/>
        <v/>
      </c>
      <c r="AW758" s="78" t="str">
        <f t="shared" si="154"/>
        <v/>
      </c>
      <c r="AX758" s="1256">
        <f>IF(OR($L758=AX$635,$L758="",$D758=$AZ$634),MAX(AX$637:AX757)+1,0)</f>
        <v>0</v>
      </c>
      <c r="AY758" s="1257">
        <f>IF(OR($L758=AY$635,$L758="",$D758=$AZ$634),MAX(AY$637:AY757)+1,0)</f>
        <v>0</v>
      </c>
      <c r="AZ758" s="1258">
        <f>IF(OR($L758=AZ$635,$L758="",$D758=$AZ$634),MAX(AZ$637:AZ757)+1,0)</f>
        <v>95</v>
      </c>
      <c r="BA758" s="6225"/>
      <c r="BB758" s="853" t="str">
        <f t="shared" si="155"/>
        <v/>
      </c>
      <c r="BC758" s="78" t="str">
        <f t="shared" si="156"/>
        <v/>
      </c>
      <c r="BD758" s="78" t="str">
        <f t="shared" si="157"/>
        <v/>
      </c>
      <c r="BE758" s="1256">
        <f>IF(OR($L758=BE$635,$L758="",$D758=$BG$634),MAX(BE$637:BE757)+1,0)</f>
        <v>0</v>
      </c>
      <c r="BF758" s="1257">
        <f>IF(OR($L758=BF$635,$L758="",$D758=$BG$634),MAX(BF$637:BF757)+1,0)</f>
        <v>0</v>
      </c>
      <c r="BG758" s="1258">
        <f>IF(OR($L758=BG$635,$L758="",$D758=$BG$634),MAX(BG$637:BG757)+1,0)</f>
        <v>95</v>
      </c>
      <c r="BH758" s="6225"/>
      <c r="BI758" s="853" t="str">
        <f t="shared" si="158"/>
        <v/>
      </c>
      <c r="BJ758" s="78" t="str">
        <f t="shared" si="159"/>
        <v/>
      </c>
      <c r="BK758" s="78" t="str">
        <f t="shared" si="160"/>
        <v/>
      </c>
      <c r="BL758" s="1256">
        <f>IF(OR($L758=BL$635,$L758="",$D758=$BN$634),MAX(BL$637:BL757)+1,0)</f>
        <v>0</v>
      </c>
      <c r="BM758" s="1257">
        <f>IF(OR($L758=BM$635,$L758="",$D758=$BN$634),MAX(BM$637:BM757)+1,0)</f>
        <v>0</v>
      </c>
      <c r="BN758" s="1258">
        <f>IF(OR($L758=BN$635,$L758="",$D758=$BN$634),MAX(BN$637:BN757)+1,0)</f>
        <v>95</v>
      </c>
      <c r="BO758" s="6225"/>
      <c r="BP758" s="853" t="str">
        <f t="shared" si="161"/>
        <v/>
      </c>
      <c r="BQ758" s="78" t="str">
        <f t="shared" si="162"/>
        <v/>
      </c>
      <c r="BR758" s="78" t="str">
        <f t="shared" si="163"/>
        <v/>
      </c>
      <c r="BS758" s="1256">
        <f>IF(OR($L758=BS$635,$L758="",$D758=$BU$634),MAX(BS$637:BS757)+1,0)</f>
        <v>0</v>
      </c>
      <c r="BT758" s="1257">
        <f>IF(OR($L758=BT$635,$L758="",$D758=$BU$634),MAX(BT$637:BT757)+1,0)</f>
        <v>0</v>
      </c>
      <c r="BU758" s="1258">
        <f>IF(OR($L758=BU$635,$L758="",$D758=$BU$634),MAX(BU$637:BU757)+1,0)</f>
        <v>95</v>
      </c>
    </row>
    <row r="759" spans="1:73" ht="12.75" customHeight="1" x14ac:dyDescent="0.2">
      <c r="A759" s="227">
        <v>759</v>
      </c>
      <c r="B759" s="5988"/>
      <c r="C759" s="1146"/>
      <c r="D759" s="2629" t="s">
        <v>2198</v>
      </c>
      <c r="E759" s="2628">
        <v>0</v>
      </c>
      <c r="F759" s="2628">
        <v>-10</v>
      </c>
      <c r="G759" s="2628" t="s">
        <v>1456</v>
      </c>
      <c r="H759" s="2628">
        <v>4</v>
      </c>
      <c r="I759" s="2628" t="s">
        <v>1456</v>
      </c>
      <c r="J759" s="2628" t="s">
        <v>1456</v>
      </c>
      <c r="K759" s="2878" t="s">
        <v>7280</v>
      </c>
      <c r="L759" s="2628" t="str">
        <f t="shared" si="164"/>
        <v>Distinta</v>
      </c>
      <c r="M759" s="2634">
        <v>7</v>
      </c>
      <c r="N759" s="2634">
        <v>-3</v>
      </c>
      <c r="O759" s="2634">
        <v>15</v>
      </c>
      <c r="P759" s="2628"/>
      <c r="Q759" s="2628"/>
      <c r="R759" s="2628" t="s">
        <v>1456</v>
      </c>
      <c r="S759" s="2628">
        <v>1</v>
      </c>
      <c r="T759" s="2628">
        <v>40</v>
      </c>
      <c r="U759" s="2628"/>
      <c r="V759" s="2878" t="s">
        <v>1579</v>
      </c>
      <c r="W759" s="2878"/>
      <c r="X759" s="2679" t="s">
        <v>1967</v>
      </c>
      <c r="Y759" s="2618">
        <f>Bono_Fue</f>
        <v>0</v>
      </c>
      <c r="Z759" s="1265" t="str">
        <f t="shared" si="145"/>
        <v/>
      </c>
      <c r="AB759" s="564" t="str">
        <f t="shared" ca="1" si="165"/>
        <v/>
      </c>
      <c r="AC759" s="2859"/>
      <c r="AD759" s="2859"/>
      <c r="AE759" s="837"/>
      <c r="AG759" s="853" t="str">
        <f t="shared" si="146"/>
        <v/>
      </c>
      <c r="AH759" s="78" t="str">
        <f t="shared" si="147"/>
        <v/>
      </c>
      <c r="AI759" s="78" t="str">
        <f t="shared" si="148"/>
        <v/>
      </c>
      <c r="AJ759" s="1256">
        <f>IF(OR($L759=AJ$635,$L759="",$D759=$AL$634),MAX(AJ$637:AJ758)+1,0)</f>
        <v>0</v>
      </c>
      <c r="AK759" s="1257">
        <f>IF(OR($L759=AK$635,$L759="",$D759=$AL$634),MAX(AK$637:AK758)+1,0)</f>
        <v>0</v>
      </c>
      <c r="AL759" s="1258">
        <f>IF(OR($L759=AL$635,$L759="",$D759=$AL$634),MAX(AL$637:AL758)+1,0)</f>
        <v>96</v>
      </c>
      <c r="AM759" s="6225"/>
      <c r="AN759" s="853" t="str">
        <f t="shared" si="149"/>
        <v/>
      </c>
      <c r="AO759" s="78" t="str">
        <f t="shared" si="150"/>
        <v/>
      </c>
      <c r="AP759" s="78" t="str">
        <f t="shared" si="151"/>
        <v/>
      </c>
      <c r="AQ759" s="1256">
        <f>IF(OR($L759=AQ$635,$L759="",$D759=$AS$634),MAX(AQ$637:AQ758)+1,0)</f>
        <v>0</v>
      </c>
      <c r="AR759" s="1257">
        <f>IF(OR($L759=AR$635,$L759="",$D759=$AS$634),MAX(AR$637:AR758)+1,0)</f>
        <v>0</v>
      </c>
      <c r="AS759" s="1258">
        <f>IF(OR($L759=AS$635,$L759="",$D759=$AS$634),MAX(AS$637:AS758)+1,0)</f>
        <v>96</v>
      </c>
      <c r="AT759" s="6225"/>
      <c r="AU759" s="853" t="str">
        <f t="shared" si="152"/>
        <v/>
      </c>
      <c r="AV759" s="78" t="str">
        <f t="shared" si="153"/>
        <v/>
      </c>
      <c r="AW759" s="78" t="str">
        <f t="shared" si="154"/>
        <v/>
      </c>
      <c r="AX759" s="1256">
        <f>IF(OR($L759=AX$635,$L759="",$D759=$AZ$634),MAX(AX$637:AX758)+1,0)</f>
        <v>0</v>
      </c>
      <c r="AY759" s="1257">
        <f>IF(OR($L759=AY$635,$L759="",$D759=$AZ$634),MAX(AY$637:AY758)+1,0)</f>
        <v>0</v>
      </c>
      <c r="AZ759" s="1258">
        <f>IF(OR($L759=AZ$635,$L759="",$D759=$AZ$634),MAX(AZ$637:AZ758)+1,0)</f>
        <v>96</v>
      </c>
      <c r="BA759" s="6225"/>
      <c r="BB759" s="853" t="str">
        <f t="shared" si="155"/>
        <v/>
      </c>
      <c r="BC759" s="78" t="str">
        <f t="shared" si="156"/>
        <v/>
      </c>
      <c r="BD759" s="78" t="str">
        <f t="shared" si="157"/>
        <v/>
      </c>
      <c r="BE759" s="1256">
        <f>IF(OR($L759=BE$635,$L759="",$D759=$BG$634),MAX(BE$637:BE758)+1,0)</f>
        <v>0</v>
      </c>
      <c r="BF759" s="1257">
        <f>IF(OR($L759=BF$635,$L759="",$D759=$BG$634),MAX(BF$637:BF758)+1,0)</f>
        <v>0</v>
      </c>
      <c r="BG759" s="1258">
        <f>IF(OR($L759=BG$635,$L759="",$D759=$BG$634),MAX(BG$637:BG758)+1,0)</f>
        <v>96</v>
      </c>
      <c r="BH759" s="6225"/>
      <c r="BI759" s="853" t="str">
        <f t="shared" si="158"/>
        <v/>
      </c>
      <c r="BJ759" s="78" t="str">
        <f t="shared" si="159"/>
        <v/>
      </c>
      <c r="BK759" s="78" t="str">
        <f t="shared" si="160"/>
        <v/>
      </c>
      <c r="BL759" s="1256">
        <f>IF(OR($L759=BL$635,$L759="",$D759=$BN$634),MAX(BL$637:BL758)+1,0)</f>
        <v>0</v>
      </c>
      <c r="BM759" s="1257">
        <f>IF(OR($L759=BM$635,$L759="",$D759=$BN$634),MAX(BM$637:BM758)+1,0)</f>
        <v>0</v>
      </c>
      <c r="BN759" s="1258">
        <f>IF(OR($L759=BN$635,$L759="",$D759=$BN$634),MAX(BN$637:BN758)+1,0)</f>
        <v>96</v>
      </c>
      <c r="BO759" s="6225"/>
      <c r="BP759" s="853" t="str">
        <f t="shared" si="161"/>
        <v/>
      </c>
      <c r="BQ759" s="78" t="str">
        <f t="shared" si="162"/>
        <v/>
      </c>
      <c r="BR759" s="78" t="str">
        <f t="shared" si="163"/>
        <v/>
      </c>
      <c r="BS759" s="1256">
        <f>IF(OR($L759=BS$635,$L759="",$D759=$BU$634),MAX(BS$637:BS758)+1,0)</f>
        <v>0</v>
      </c>
      <c r="BT759" s="1257">
        <f>IF(OR($L759=BT$635,$L759="",$D759=$BU$634),MAX(BT$637:BT758)+1,0)</f>
        <v>0</v>
      </c>
      <c r="BU759" s="1258">
        <f>IF(OR($L759=BU$635,$L759="",$D759=$BU$634),MAX(BU$637:BU758)+1,0)</f>
        <v>96</v>
      </c>
    </row>
    <row r="760" spans="1:73" ht="12.75" customHeight="1" x14ac:dyDescent="0.2">
      <c r="A760" s="227">
        <v>760</v>
      </c>
      <c r="B760" s="5988"/>
      <c r="C760" s="1146"/>
      <c r="D760" s="2629" t="s">
        <v>6981</v>
      </c>
      <c r="E760" s="2628">
        <f>IF(FUE+2&lt;1,0,VLOOKUP(FUE+2,Tabla_BonoStats,2))-Bono_Fue</f>
        <v>-20</v>
      </c>
      <c r="F760" s="2628">
        <v>-10</v>
      </c>
      <c r="G760" s="2628">
        <v>4</v>
      </c>
      <c r="H760" s="2628">
        <v>4</v>
      </c>
      <c r="I760" s="2628" t="s">
        <v>1456</v>
      </c>
      <c r="J760" s="2628" t="s">
        <v>1456</v>
      </c>
      <c r="K760" s="2878" t="s">
        <v>7280</v>
      </c>
      <c r="L760" s="2628" t="str">
        <f t="shared" si="164"/>
        <v>Distinta</v>
      </c>
      <c r="M760" s="2634">
        <v>6</v>
      </c>
      <c r="N760" s="2634">
        <v>-3</v>
      </c>
      <c r="O760" s="2634">
        <v>15</v>
      </c>
      <c r="P760" s="2628"/>
      <c r="Q760" s="2628"/>
      <c r="R760" s="2628" t="s">
        <v>1456</v>
      </c>
      <c r="S760" s="2628">
        <v>1</v>
      </c>
      <c r="T760" s="2628">
        <v>40</v>
      </c>
      <c r="U760" s="2628"/>
      <c r="V760" s="2878" t="s">
        <v>7030</v>
      </c>
      <c r="W760" s="2878"/>
      <c r="X760" s="2679" t="s">
        <v>1967</v>
      </c>
      <c r="Y760" s="2618">
        <f>Bono_Fue</f>
        <v>0</v>
      </c>
      <c r="Z760" s="1265" t="str">
        <f t="shared" si="145"/>
        <v/>
      </c>
      <c r="AB760" s="564" t="str">
        <f t="shared" ca="1" si="165"/>
        <v/>
      </c>
      <c r="AC760" s="2859"/>
      <c r="AD760" s="2859"/>
      <c r="AE760" s="837"/>
      <c r="AG760" s="853" t="str">
        <f t="shared" si="146"/>
        <v/>
      </c>
      <c r="AH760" s="78" t="str">
        <f t="shared" si="147"/>
        <v/>
      </c>
      <c r="AI760" s="78" t="str">
        <f t="shared" si="148"/>
        <v/>
      </c>
      <c r="AJ760" s="1256">
        <f>IF(OR($L760=AJ$635,$L760="",$D760=$AL$634),MAX(AJ$637:AJ759)+1,0)</f>
        <v>0</v>
      </c>
      <c r="AK760" s="1257">
        <f>IF(OR($L760=AK$635,$L760="",$D760=$AL$634),MAX(AK$637:AK759)+1,0)</f>
        <v>0</v>
      </c>
      <c r="AL760" s="1258">
        <f>IF(OR($L760=AL$635,$L760="",$D760=$AL$634),MAX(AL$637:AL759)+1,0)</f>
        <v>97</v>
      </c>
      <c r="AM760" s="6225"/>
      <c r="AN760" s="853" t="str">
        <f t="shared" si="149"/>
        <v/>
      </c>
      <c r="AO760" s="78" t="str">
        <f t="shared" si="150"/>
        <v/>
      </c>
      <c r="AP760" s="78" t="str">
        <f t="shared" si="151"/>
        <v/>
      </c>
      <c r="AQ760" s="1256">
        <f>IF(OR($L760=AQ$635,$L760="",$D760=$AS$634),MAX(AQ$637:AQ759)+1,0)</f>
        <v>0</v>
      </c>
      <c r="AR760" s="1257">
        <f>IF(OR($L760=AR$635,$L760="",$D760=$AS$634),MAX(AR$637:AR759)+1,0)</f>
        <v>0</v>
      </c>
      <c r="AS760" s="1258">
        <f>IF(OR($L760=AS$635,$L760="",$D760=$AS$634),MAX(AS$637:AS759)+1,0)</f>
        <v>97</v>
      </c>
      <c r="AT760" s="6225"/>
      <c r="AU760" s="853" t="str">
        <f t="shared" si="152"/>
        <v/>
      </c>
      <c r="AV760" s="78" t="str">
        <f t="shared" si="153"/>
        <v/>
      </c>
      <c r="AW760" s="78" t="str">
        <f t="shared" si="154"/>
        <v/>
      </c>
      <c r="AX760" s="1256">
        <f>IF(OR($L760=AX$635,$L760="",$D760=$AZ$634),MAX(AX$637:AX759)+1,0)</f>
        <v>0</v>
      </c>
      <c r="AY760" s="1257">
        <f>IF(OR($L760=AY$635,$L760="",$D760=$AZ$634),MAX(AY$637:AY759)+1,0)</f>
        <v>0</v>
      </c>
      <c r="AZ760" s="1258">
        <f>IF(OR($L760=AZ$635,$L760="",$D760=$AZ$634),MAX(AZ$637:AZ759)+1,0)</f>
        <v>97</v>
      </c>
      <c r="BA760" s="6225"/>
      <c r="BB760" s="853" t="str">
        <f t="shared" si="155"/>
        <v/>
      </c>
      <c r="BC760" s="78" t="str">
        <f t="shared" si="156"/>
        <v/>
      </c>
      <c r="BD760" s="78" t="str">
        <f t="shared" si="157"/>
        <v/>
      </c>
      <c r="BE760" s="1256">
        <f>IF(OR($L760=BE$635,$L760="",$D760=$BG$634),MAX(BE$637:BE759)+1,0)</f>
        <v>0</v>
      </c>
      <c r="BF760" s="1257">
        <f>IF(OR($L760=BF$635,$L760="",$D760=$BG$634),MAX(BF$637:BF759)+1,0)</f>
        <v>0</v>
      </c>
      <c r="BG760" s="1258">
        <f>IF(OR($L760=BG$635,$L760="",$D760=$BG$634),MAX(BG$637:BG759)+1,0)</f>
        <v>97</v>
      </c>
      <c r="BH760" s="6225"/>
      <c r="BI760" s="853" t="str">
        <f t="shared" si="158"/>
        <v/>
      </c>
      <c r="BJ760" s="78" t="str">
        <f t="shared" si="159"/>
        <v/>
      </c>
      <c r="BK760" s="78" t="str">
        <f t="shared" si="160"/>
        <v/>
      </c>
      <c r="BL760" s="1256">
        <f>IF(OR($L760=BL$635,$L760="",$D760=$BN$634),MAX(BL$637:BL759)+1,0)</f>
        <v>0</v>
      </c>
      <c r="BM760" s="1257">
        <f>IF(OR($L760=BM$635,$L760="",$D760=$BN$634),MAX(BM$637:BM759)+1,0)</f>
        <v>0</v>
      </c>
      <c r="BN760" s="1258">
        <f>IF(OR($L760=BN$635,$L760="",$D760=$BN$634),MAX(BN$637:BN759)+1,0)</f>
        <v>97</v>
      </c>
      <c r="BO760" s="6225"/>
      <c r="BP760" s="853" t="str">
        <f t="shared" si="161"/>
        <v/>
      </c>
      <c r="BQ760" s="78" t="str">
        <f t="shared" si="162"/>
        <v/>
      </c>
      <c r="BR760" s="78" t="str">
        <f t="shared" si="163"/>
        <v/>
      </c>
      <c r="BS760" s="1256">
        <f>IF(OR($L760=BS$635,$L760="",$D760=$BU$634),MAX(BS$637:BS759)+1,0)</f>
        <v>0</v>
      </c>
      <c r="BT760" s="1257">
        <f>IF(OR($L760=BT$635,$L760="",$D760=$BU$634),MAX(BT$637:BT759)+1,0)</f>
        <v>0</v>
      </c>
      <c r="BU760" s="1258">
        <f>IF(OR($L760=BU$635,$L760="",$D760=$BU$634),MAX(BU$637:BU759)+1,0)</f>
        <v>97</v>
      </c>
    </row>
    <row r="761" spans="1:73" ht="12.75" customHeight="1" x14ac:dyDescent="0.2">
      <c r="A761" s="227">
        <v>761</v>
      </c>
      <c r="B761" s="5988"/>
      <c r="C761" s="1146"/>
      <c r="D761" s="2629" t="s">
        <v>2199</v>
      </c>
      <c r="E761" s="2628">
        <v>0</v>
      </c>
      <c r="F761" s="2628">
        <v>-30</v>
      </c>
      <c r="G761" s="2628" t="s">
        <v>1456</v>
      </c>
      <c r="H761" s="2628">
        <v>7</v>
      </c>
      <c r="I761" s="2628" t="s">
        <v>1456</v>
      </c>
      <c r="J761" s="2628" t="s">
        <v>1456</v>
      </c>
      <c r="K761" s="2878" t="s">
        <v>7280</v>
      </c>
      <c r="L761" s="2628" t="str">
        <f t="shared" si="164"/>
        <v>Distinta</v>
      </c>
      <c r="M761" s="2634">
        <v>8</v>
      </c>
      <c r="N761" s="2634">
        <v>-2</v>
      </c>
      <c r="O761" s="2634">
        <v>20</v>
      </c>
      <c r="P761" s="2628"/>
      <c r="Q761" s="2628"/>
      <c r="R761" s="2628" t="s">
        <v>1456</v>
      </c>
      <c r="S761" s="2628">
        <v>1</v>
      </c>
      <c r="T761" s="2628">
        <v>60</v>
      </c>
      <c r="U761" s="2628"/>
      <c r="V761" s="2878" t="s">
        <v>1579</v>
      </c>
      <c r="W761" s="2878"/>
      <c r="X761" s="2679" t="s">
        <v>1967</v>
      </c>
      <c r="Y761" s="2618">
        <f>Bono_Fue</f>
        <v>0</v>
      </c>
      <c r="Z761" s="1265" t="str">
        <f t="shared" si="145"/>
        <v/>
      </c>
      <c r="AB761" s="564" t="str">
        <f t="shared" ca="1" si="165"/>
        <v/>
      </c>
      <c r="AC761" s="2859"/>
      <c r="AD761" s="2859"/>
      <c r="AE761" s="837"/>
      <c r="AG761" s="853" t="str">
        <f t="shared" si="146"/>
        <v/>
      </c>
      <c r="AH761" s="78" t="str">
        <f t="shared" si="147"/>
        <v/>
      </c>
      <c r="AI761" s="78" t="str">
        <f t="shared" si="148"/>
        <v/>
      </c>
      <c r="AJ761" s="1256">
        <f>IF(OR($L761=AJ$635,$L761="",$D761=$AL$634),MAX(AJ$637:AJ760)+1,0)</f>
        <v>0</v>
      </c>
      <c r="AK761" s="1257">
        <f>IF(OR($L761=AK$635,$L761="",$D761=$AL$634),MAX(AK$637:AK760)+1,0)</f>
        <v>0</v>
      </c>
      <c r="AL761" s="1258">
        <f>IF(OR($L761=AL$635,$L761="",$D761=$AL$634),MAX(AL$637:AL760)+1,0)</f>
        <v>98</v>
      </c>
      <c r="AM761" s="6225"/>
      <c r="AN761" s="853" t="str">
        <f t="shared" si="149"/>
        <v/>
      </c>
      <c r="AO761" s="78" t="str">
        <f t="shared" si="150"/>
        <v/>
      </c>
      <c r="AP761" s="78" t="str">
        <f t="shared" si="151"/>
        <v/>
      </c>
      <c r="AQ761" s="1256">
        <f>IF(OR($L761=AQ$635,$L761="",$D761=$AS$634),MAX(AQ$637:AQ760)+1,0)</f>
        <v>0</v>
      </c>
      <c r="AR761" s="1257">
        <f>IF(OR($L761=AR$635,$L761="",$D761=$AS$634),MAX(AR$637:AR760)+1,0)</f>
        <v>0</v>
      </c>
      <c r="AS761" s="1258">
        <f>IF(OR($L761=AS$635,$L761="",$D761=$AS$634),MAX(AS$637:AS760)+1,0)</f>
        <v>98</v>
      </c>
      <c r="AT761" s="6225"/>
      <c r="AU761" s="853" t="str">
        <f t="shared" si="152"/>
        <v/>
      </c>
      <c r="AV761" s="78" t="str">
        <f t="shared" si="153"/>
        <v/>
      </c>
      <c r="AW761" s="78" t="str">
        <f t="shared" si="154"/>
        <v/>
      </c>
      <c r="AX761" s="1256">
        <f>IF(OR($L761=AX$635,$L761="",$D761=$AZ$634),MAX(AX$637:AX760)+1,0)</f>
        <v>0</v>
      </c>
      <c r="AY761" s="1257">
        <f>IF(OR($L761=AY$635,$L761="",$D761=$AZ$634),MAX(AY$637:AY760)+1,0)</f>
        <v>0</v>
      </c>
      <c r="AZ761" s="1258">
        <f>IF(OR($L761=AZ$635,$L761="",$D761=$AZ$634),MAX(AZ$637:AZ760)+1,0)</f>
        <v>98</v>
      </c>
      <c r="BA761" s="6225"/>
      <c r="BB761" s="853" t="str">
        <f t="shared" si="155"/>
        <v/>
      </c>
      <c r="BC761" s="78" t="str">
        <f t="shared" si="156"/>
        <v/>
      </c>
      <c r="BD761" s="78" t="str">
        <f t="shared" si="157"/>
        <v/>
      </c>
      <c r="BE761" s="1256">
        <f>IF(OR($L761=BE$635,$L761="",$D761=$BG$634),MAX(BE$637:BE760)+1,0)</f>
        <v>0</v>
      </c>
      <c r="BF761" s="1257">
        <f>IF(OR($L761=BF$635,$L761="",$D761=$BG$634),MAX(BF$637:BF760)+1,0)</f>
        <v>0</v>
      </c>
      <c r="BG761" s="1258">
        <f>IF(OR($L761=BG$635,$L761="",$D761=$BG$634),MAX(BG$637:BG760)+1,0)</f>
        <v>98</v>
      </c>
      <c r="BH761" s="6225"/>
      <c r="BI761" s="853" t="str">
        <f t="shared" si="158"/>
        <v/>
      </c>
      <c r="BJ761" s="78" t="str">
        <f t="shared" si="159"/>
        <v/>
      </c>
      <c r="BK761" s="78" t="str">
        <f t="shared" si="160"/>
        <v/>
      </c>
      <c r="BL761" s="1256">
        <f>IF(OR($L761=BL$635,$L761="",$D761=$BN$634),MAX(BL$637:BL760)+1,0)</f>
        <v>0</v>
      </c>
      <c r="BM761" s="1257">
        <f>IF(OR($L761=BM$635,$L761="",$D761=$BN$634),MAX(BM$637:BM760)+1,0)</f>
        <v>0</v>
      </c>
      <c r="BN761" s="1258">
        <f>IF(OR($L761=BN$635,$L761="",$D761=$BN$634),MAX(BN$637:BN760)+1,0)</f>
        <v>98</v>
      </c>
      <c r="BO761" s="6225"/>
      <c r="BP761" s="853" t="str">
        <f t="shared" si="161"/>
        <v/>
      </c>
      <c r="BQ761" s="78" t="str">
        <f t="shared" si="162"/>
        <v/>
      </c>
      <c r="BR761" s="78" t="str">
        <f t="shared" si="163"/>
        <v/>
      </c>
      <c r="BS761" s="1256">
        <f>IF(OR($L761=BS$635,$L761="",$D761=$BU$634),MAX(BS$637:BS760)+1,0)</f>
        <v>0</v>
      </c>
      <c r="BT761" s="1257">
        <f>IF(OR($L761=BT$635,$L761="",$D761=$BU$634),MAX(BT$637:BT760)+1,0)</f>
        <v>0</v>
      </c>
      <c r="BU761" s="1258">
        <f>IF(OR($L761=BU$635,$L761="",$D761=$BU$634),MAX(BU$637:BU760)+1,0)</f>
        <v>98</v>
      </c>
    </row>
    <row r="762" spans="1:73" ht="12.75" customHeight="1" x14ac:dyDescent="0.2">
      <c r="A762" s="227">
        <v>762</v>
      </c>
      <c r="B762" s="5988"/>
      <c r="C762" s="1146"/>
      <c r="D762" s="2629" t="s">
        <v>6985</v>
      </c>
      <c r="E762" s="2628">
        <v>0</v>
      </c>
      <c r="F762" s="2628">
        <v>0</v>
      </c>
      <c r="G762" s="2628">
        <v>5</v>
      </c>
      <c r="H762" s="2628">
        <v>5</v>
      </c>
      <c r="I762" s="2628" t="s">
        <v>1456</v>
      </c>
      <c r="J762" s="2628" t="s">
        <v>1456</v>
      </c>
      <c r="K762" s="2878" t="s">
        <v>7280</v>
      </c>
      <c r="L762" s="2628" t="str">
        <f t="shared" si="164"/>
        <v>Distinta</v>
      </c>
      <c r="M762" s="2634">
        <v>8</v>
      </c>
      <c r="N762" s="2634">
        <v>-4</v>
      </c>
      <c r="O762" s="2634">
        <v>10</v>
      </c>
      <c r="P762" s="2628"/>
      <c r="Q762" s="2628"/>
      <c r="R762" s="2628" t="s">
        <v>1456</v>
      </c>
      <c r="S762" s="2628">
        <v>1</v>
      </c>
      <c r="T762" s="2628">
        <v>30</v>
      </c>
      <c r="U762" s="2635">
        <f>FUE+2</f>
        <v>2</v>
      </c>
      <c r="V762" s="2878" t="s">
        <v>2151</v>
      </c>
      <c r="W762" s="2878"/>
      <c r="X762" s="2679" t="s">
        <v>10157</v>
      </c>
      <c r="Y762" s="2618">
        <f>VLOOKUP(U762,Tabla_BonoStats,2)</f>
        <v>-20</v>
      </c>
      <c r="Z762" s="1265" t="str">
        <f t="shared" si="145"/>
        <v/>
      </c>
      <c r="AB762" s="564" t="str">
        <f t="shared" ca="1" si="165"/>
        <v/>
      </c>
      <c r="AC762" s="2859"/>
      <c r="AD762" s="2859"/>
      <c r="AE762" s="837"/>
      <c r="AG762" s="853" t="str">
        <f t="shared" si="146"/>
        <v/>
      </c>
      <c r="AH762" s="78" t="str">
        <f t="shared" si="147"/>
        <v/>
      </c>
      <c r="AI762" s="78" t="str">
        <f t="shared" si="148"/>
        <v/>
      </c>
      <c r="AJ762" s="1256">
        <f>IF(OR($L762=AJ$635,$L762="",$D762=$AL$634),MAX(AJ$637:AJ761)+1,0)</f>
        <v>0</v>
      </c>
      <c r="AK762" s="1257">
        <f>IF(OR($L762=AK$635,$L762="",$D762=$AL$634),MAX(AK$637:AK761)+1,0)</f>
        <v>0</v>
      </c>
      <c r="AL762" s="1258">
        <f>IF(OR($L762=AL$635,$L762="",$D762=$AL$634),MAX(AL$637:AL761)+1,0)</f>
        <v>99</v>
      </c>
      <c r="AM762" s="6225"/>
      <c r="AN762" s="853" t="str">
        <f t="shared" si="149"/>
        <v/>
      </c>
      <c r="AO762" s="78" t="str">
        <f t="shared" si="150"/>
        <v/>
      </c>
      <c r="AP762" s="78" t="str">
        <f t="shared" si="151"/>
        <v/>
      </c>
      <c r="AQ762" s="1256">
        <f>IF(OR($L762=AQ$635,$L762="",$D762=$AS$634),MAX(AQ$637:AQ761)+1,0)</f>
        <v>0</v>
      </c>
      <c r="AR762" s="1257">
        <f>IF(OR($L762=AR$635,$L762="",$D762=$AS$634),MAX(AR$637:AR761)+1,0)</f>
        <v>0</v>
      </c>
      <c r="AS762" s="1258">
        <f>IF(OR($L762=AS$635,$L762="",$D762=$AS$634),MAX(AS$637:AS761)+1,0)</f>
        <v>99</v>
      </c>
      <c r="AT762" s="6225"/>
      <c r="AU762" s="853" t="str">
        <f t="shared" si="152"/>
        <v/>
      </c>
      <c r="AV762" s="78" t="str">
        <f t="shared" si="153"/>
        <v/>
      </c>
      <c r="AW762" s="78" t="str">
        <f t="shared" si="154"/>
        <v/>
      </c>
      <c r="AX762" s="1256">
        <f>IF(OR($L762=AX$635,$L762="",$D762=$AZ$634),MAX(AX$637:AX761)+1,0)</f>
        <v>0</v>
      </c>
      <c r="AY762" s="1257">
        <f>IF(OR($L762=AY$635,$L762="",$D762=$AZ$634),MAX(AY$637:AY761)+1,0)</f>
        <v>0</v>
      </c>
      <c r="AZ762" s="1258">
        <f>IF(OR($L762=AZ$635,$L762="",$D762=$AZ$634),MAX(AZ$637:AZ761)+1,0)</f>
        <v>99</v>
      </c>
      <c r="BA762" s="6225"/>
      <c r="BB762" s="853" t="str">
        <f t="shared" si="155"/>
        <v/>
      </c>
      <c r="BC762" s="78" t="str">
        <f t="shared" si="156"/>
        <v/>
      </c>
      <c r="BD762" s="78" t="str">
        <f t="shared" si="157"/>
        <v/>
      </c>
      <c r="BE762" s="1256">
        <f>IF(OR($L762=BE$635,$L762="",$D762=$BG$634),MAX(BE$637:BE761)+1,0)</f>
        <v>0</v>
      </c>
      <c r="BF762" s="1257">
        <f>IF(OR($L762=BF$635,$L762="",$D762=$BG$634),MAX(BF$637:BF761)+1,0)</f>
        <v>0</v>
      </c>
      <c r="BG762" s="1258">
        <f>IF(OR($L762=BG$635,$L762="",$D762=$BG$634),MAX(BG$637:BG761)+1,0)</f>
        <v>99</v>
      </c>
      <c r="BH762" s="6225"/>
      <c r="BI762" s="853" t="str">
        <f t="shared" si="158"/>
        <v/>
      </c>
      <c r="BJ762" s="78" t="str">
        <f t="shared" si="159"/>
        <v/>
      </c>
      <c r="BK762" s="78" t="str">
        <f t="shared" si="160"/>
        <v/>
      </c>
      <c r="BL762" s="1256">
        <f>IF(OR($L762=BL$635,$L762="",$D762=$BN$634),MAX(BL$637:BL761)+1,0)</f>
        <v>0</v>
      </c>
      <c r="BM762" s="1257">
        <f>IF(OR($L762=BM$635,$L762="",$D762=$BN$634),MAX(BM$637:BM761)+1,0)</f>
        <v>0</v>
      </c>
      <c r="BN762" s="1258">
        <f>IF(OR($L762=BN$635,$L762="",$D762=$BN$634),MAX(BN$637:BN761)+1,0)</f>
        <v>99</v>
      </c>
      <c r="BO762" s="6225"/>
      <c r="BP762" s="853" t="str">
        <f t="shared" si="161"/>
        <v/>
      </c>
      <c r="BQ762" s="78" t="str">
        <f t="shared" si="162"/>
        <v/>
      </c>
      <c r="BR762" s="78" t="str">
        <f t="shared" si="163"/>
        <v/>
      </c>
      <c r="BS762" s="1256">
        <f>IF(OR($L762=BS$635,$L762="",$D762=$BU$634),MAX(BS$637:BS761)+1,0)</f>
        <v>0</v>
      </c>
      <c r="BT762" s="1257">
        <f>IF(OR($L762=BT$635,$L762="",$D762=$BU$634),MAX(BT$637:BT761)+1,0)</f>
        <v>0</v>
      </c>
      <c r="BU762" s="1258">
        <f>IF(OR($L762=BU$635,$L762="",$D762=$BU$634),MAX(BU$637:BU761)+1,0)</f>
        <v>99</v>
      </c>
    </row>
    <row r="763" spans="1:73" ht="12.75" customHeight="1" x14ac:dyDescent="0.2">
      <c r="A763" s="227">
        <v>763</v>
      </c>
      <c r="B763" s="5988"/>
      <c r="C763" s="1146"/>
      <c r="D763" s="2629" t="s">
        <v>2200</v>
      </c>
      <c r="E763" s="2628">
        <v>0</v>
      </c>
      <c r="F763" s="2628">
        <v>0</v>
      </c>
      <c r="G763" s="2628">
        <v>8</v>
      </c>
      <c r="H763" s="2628">
        <v>4</v>
      </c>
      <c r="I763" s="2628" t="s">
        <v>1456</v>
      </c>
      <c r="J763" s="2628" t="s">
        <v>1456</v>
      </c>
      <c r="K763" s="2878" t="s">
        <v>7280</v>
      </c>
      <c r="L763" s="2635"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34">
        <v>8</v>
      </c>
      <c r="N763" s="2634">
        <v>-2</v>
      </c>
      <c r="O763" s="2634">
        <v>20</v>
      </c>
      <c r="P763" s="2628"/>
      <c r="Q763" s="2628"/>
      <c r="R763" s="2628" t="s">
        <v>1456</v>
      </c>
      <c r="S763" s="2628">
        <v>2</v>
      </c>
      <c r="T763" s="2628">
        <v>60</v>
      </c>
      <c r="U763" s="2635">
        <v>8</v>
      </c>
      <c r="V763" s="2878" t="s">
        <v>2201</v>
      </c>
      <c r="W763" s="2878"/>
      <c r="X763" s="2679" t="s">
        <v>10157</v>
      </c>
      <c r="Y763" s="2618">
        <f>VLOOKUP(U763,Tabla_BonoStats,2)</f>
        <v>10</v>
      </c>
      <c r="Z763" s="1265" t="str">
        <f t="shared" si="145"/>
        <v/>
      </c>
      <c r="AB763" s="564" t="str">
        <f t="shared" ca="1" si="165"/>
        <v/>
      </c>
      <c r="AC763" s="2859"/>
      <c r="AD763" s="2859"/>
      <c r="AE763" s="837"/>
      <c r="AG763" s="853" t="str">
        <f t="shared" si="146"/>
        <v/>
      </c>
      <c r="AH763" s="78" t="str">
        <f t="shared" si="147"/>
        <v/>
      </c>
      <c r="AI763" s="78" t="str">
        <f t="shared" si="148"/>
        <v/>
      </c>
      <c r="AJ763" s="1256">
        <f>IF(OR($L763=AJ$635,$L763="",$D763=$AL$634),MAX(AJ$637:AJ762)+1,0)</f>
        <v>0</v>
      </c>
      <c r="AK763" s="1257">
        <f>IF(OR($L763=AK$635,$L763="",$D763=$AL$634),MAX(AK$637:AK762)+1,0)</f>
        <v>0</v>
      </c>
      <c r="AL763" s="1258">
        <f>IF(OR($L763=AL$635,$L763="",$D763=$AL$634),MAX(AL$637:AL762)+1,0)</f>
        <v>100</v>
      </c>
      <c r="AM763" s="6225"/>
      <c r="AN763" s="853" t="str">
        <f t="shared" si="149"/>
        <v/>
      </c>
      <c r="AO763" s="78" t="str">
        <f t="shared" si="150"/>
        <v/>
      </c>
      <c r="AP763" s="78" t="str">
        <f t="shared" si="151"/>
        <v/>
      </c>
      <c r="AQ763" s="1256">
        <f>IF(OR($L763=AQ$635,$L763="",$D763=$AS$634),MAX(AQ$637:AQ762)+1,0)</f>
        <v>0</v>
      </c>
      <c r="AR763" s="1257">
        <f>IF(OR($L763=AR$635,$L763="",$D763=$AS$634),MAX(AR$637:AR762)+1,0)</f>
        <v>0</v>
      </c>
      <c r="AS763" s="1258">
        <f>IF(OR($L763=AS$635,$L763="",$D763=$AS$634),MAX(AS$637:AS762)+1,0)</f>
        <v>100</v>
      </c>
      <c r="AT763" s="6225"/>
      <c r="AU763" s="853" t="str">
        <f t="shared" si="152"/>
        <v/>
      </c>
      <c r="AV763" s="78" t="str">
        <f t="shared" si="153"/>
        <v/>
      </c>
      <c r="AW763" s="78" t="str">
        <f t="shared" si="154"/>
        <v/>
      </c>
      <c r="AX763" s="1256">
        <f>IF(OR($L763=AX$635,$L763="",$D763=$AZ$634),MAX(AX$637:AX762)+1,0)</f>
        <v>0</v>
      </c>
      <c r="AY763" s="1257">
        <f>IF(OR($L763=AY$635,$L763="",$D763=$AZ$634),MAX(AY$637:AY762)+1,0)</f>
        <v>0</v>
      </c>
      <c r="AZ763" s="1258">
        <f>IF(OR($L763=AZ$635,$L763="",$D763=$AZ$634),MAX(AZ$637:AZ762)+1,0)</f>
        <v>100</v>
      </c>
      <c r="BA763" s="6225"/>
      <c r="BB763" s="853" t="str">
        <f t="shared" si="155"/>
        <v/>
      </c>
      <c r="BC763" s="78" t="str">
        <f t="shared" si="156"/>
        <v/>
      </c>
      <c r="BD763" s="78" t="str">
        <f t="shared" si="157"/>
        <v/>
      </c>
      <c r="BE763" s="1256">
        <f>IF(OR($L763=BE$635,$L763="",$D763=$BG$634),MAX(BE$637:BE762)+1,0)</f>
        <v>0</v>
      </c>
      <c r="BF763" s="1257">
        <f>IF(OR($L763=BF$635,$L763="",$D763=$BG$634),MAX(BF$637:BF762)+1,0)</f>
        <v>0</v>
      </c>
      <c r="BG763" s="1258">
        <f>IF(OR($L763=BG$635,$L763="",$D763=$BG$634),MAX(BG$637:BG762)+1,0)</f>
        <v>100</v>
      </c>
      <c r="BH763" s="6225"/>
      <c r="BI763" s="853" t="str">
        <f t="shared" si="158"/>
        <v/>
      </c>
      <c r="BJ763" s="78" t="str">
        <f t="shared" si="159"/>
        <v/>
      </c>
      <c r="BK763" s="78" t="str">
        <f t="shared" si="160"/>
        <v/>
      </c>
      <c r="BL763" s="1256">
        <f>IF(OR($L763=BL$635,$L763="",$D763=$BN$634),MAX(BL$637:BL762)+1,0)</f>
        <v>0</v>
      </c>
      <c r="BM763" s="1257">
        <f>IF(OR($L763=BM$635,$L763="",$D763=$BN$634),MAX(BM$637:BM762)+1,0)</f>
        <v>0</v>
      </c>
      <c r="BN763" s="1258">
        <f>IF(OR($L763=BN$635,$L763="",$D763=$BN$634),MAX(BN$637:BN762)+1,0)</f>
        <v>100</v>
      </c>
      <c r="BO763" s="6225"/>
      <c r="BP763" s="853" t="str">
        <f t="shared" si="161"/>
        <v/>
      </c>
      <c r="BQ763" s="78" t="str">
        <f t="shared" si="162"/>
        <v/>
      </c>
      <c r="BR763" s="78" t="str">
        <f t="shared" si="163"/>
        <v/>
      </c>
      <c r="BS763" s="1256">
        <f>IF(OR($L763=BS$635,$L763="",$D763=$BU$634),MAX(BS$637:BS762)+1,0)</f>
        <v>0</v>
      </c>
      <c r="BT763" s="1257">
        <f>IF(OR($L763=BT$635,$L763="",$D763=$BU$634),MAX(BT$637:BT762)+1,0)</f>
        <v>0</v>
      </c>
      <c r="BU763" s="1258">
        <f>IF(OR($L763=BU$635,$L763="",$D763=$BU$634),MAX(BU$637:BU762)+1,0)</f>
        <v>100</v>
      </c>
    </row>
    <row r="764" spans="1:73" ht="12.75" customHeight="1" x14ac:dyDescent="0.2">
      <c r="A764" s="227">
        <v>764</v>
      </c>
      <c r="B764" s="5988"/>
      <c r="C764" s="1146"/>
      <c r="D764" s="2629" t="s">
        <v>2202</v>
      </c>
      <c r="E764" s="2628">
        <v>0</v>
      </c>
      <c r="F764" s="2628">
        <v>10</v>
      </c>
      <c r="G764" s="2628">
        <v>3</v>
      </c>
      <c r="H764" s="2628">
        <v>3</v>
      </c>
      <c r="I764" s="2628" t="s">
        <v>1456</v>
      </c>
      <c r="J764" s="2628" t="s">
        <v>1456</v>
      </c>
      <c r="K764" s="2878" t="s">
        <v>7280</v>
      </c>
      <c r="L764" s="2635" t="str">
        <f>$L$763</f>
        <v>Distinta</v>
      </c>
      <c r="M764" s="2634">
        <v>5</v>
      </c>
      <c r="N764" s="2634">
        <v>-4</v>
      </c>
      <c r="O764" s="2634">
        <v>15</v>
      </c>
      <c r="P764" s="2628"/>
      <c r="Q764" s="2628"/>
      <c r="R764" s="2628" t="s">
        <v>1456</v>
      </c>
      <c r="S764" s="2628">
        <v>2</v>
      </c>
      <c r="T764" s="2628">
        <v>30</v>
      </c>
      <c r="U764" s="2635">
        <v>5</v>
      </c>
      <c r="V764" s="2878" t="s">
        <v>2151</v>
      </c>
      <c r="W764" s="2878"/>
      <c r="X764" s="2679" t="s">
        <v>10157</v>
      </c>
      <c r="Y764" s="2618">
        <f>VLOOKUP(U764,Tabla_BonoStats,2)</f>
        <v>0</v>
      </c>
      <c r="Z764" s="2883"/>
      <c r="AA764" s="227"/>
      <c r="AB764" s="564" t="str">
        <f t="shared" ca="1" si="165"/>
        <v/>
      </c>
      <c r="AC764" s="2859"/>
      <c r="AD764" s="2859"/>
      <c r="AE764" s="837"/>
      <c r="AG764" s="853" t="str">
        <f t="shared" si="146"/>
        <v/>
      </c>
      <c r="AH764" s="78" t="str">
        <f t="shared" si="147"/>
        <v/>
      </c>
      <c r="AI764" s="78" t="str">
        <f t="shared" si="148"/>
        <v/>
      </c>
      <c r="AJ764" s="1256">
        <f>IF(OR($L764=AJ$635,$L764="",$D764=$AL$634),MAX(AJ$637:AJ763)+1,0)</f>
        <v>0</v>
      </c>
      <c r="AK764" s="1257">
        <f>IF(OR($L764=AK$635,$L764="",$D764=$AL$634),MAX(AK$637:AK763)+1,0)</f>
        <v>0</v>
      </c>
      <c r="AL764" s="1258">
        <f>IF(OR($L764=AL$635,$L764="",$D764=$AL$634),MAX(AL$637:AL763)+1,0)</f>
        <v>101</v>
      </c>
      <c r="AM764" s="6225"/>
      <c r="AN764" s="853" t="str">
        <f t="shared" si="149"/>
        <v/>
      </c>
      <c r="AO764" s="78" t="str">
        <f t="shared" si="150"/>
        <v/>
      </c>
      <c r="AP764" s="78" t="str">
        <f t="shared" si="151"/>
        <v/>
      </c>
      <c r="AQ764" s="1256">
        <f>IF(OR($L764=AQ$635,$L764="",$D764=$AS$634),MAX(AQ$637:AQ763)+1,0)</f>
        <v>0</v>
      </c>
      <c r="AR764" s="1257">
        <f>IF(OR($L764=AR$635,$L764="",$D764=$AS$634),MAX(AR$637:AR763)+1,0)</f>
        <v>0</v>
      </c>
      <c r="AS764" s="1258">
        <f>IF(OR($L764=AS$635,$L764="",$D764=$AS$634),MAX(AS$637:AS763)+1,0)</f>
        <v>101</v>
      </c>
      <c r="AT764" s="6225"/>
      <c r="AU764" s="853" t="str">
        <f t="shared" si="152"/>
        <v/>
      </c>
      <c r="AV764" s="78" t="str">
        <f t="shared" si="153"/>
        <v/>
      </c>
      <c r="AW764" s="78" t="str">
        <f t="shared" si="154"/>
        <v/>
      </c>
      <c r="AX764" s="1256">
        <f>IF(OR($L764=AX$635,$L764="",$D764=$AZ$634),MAX(AX$637:AX763)+1,0)</f>
        <v>0</v>
      </c>
      <c r="AY764" s="1257">
        <f>IF(OR($L764=AY$635,$L764="",$D764=$AZ$634),MAX(AY$637:AY763)+1,0)</f>
        <v>0</v>
      </c>
      <c r="AZ764" s="1258">
        <f>IF(OR($L764=AZ$635,$L764="",$D764=$AZ$634),MAX(AZ$637:AZ763)+1,0)</f>
        <v>101</v>
      </c>
      <c r="BA764" s="6225"/>
      <c r="BB764" s="853" t="str">
        <f t="shared" si="155"/>
        <v/>
      </c>
      <c r="BC764" s="78" t="str">
        <f t="shared" si="156"/>
        <v/>
      </c>
      <c r="BD764" s="78" t="str">
        <f t="shared" si="157"/>
        <v/>
      </c>
      <c r="BE764" s="1256">
        <f>IF(OR($L764=BE$635,$L764="",$D764=$BG$634),MAX(BE$637:BE763)+1,0)</f>
        <v>0</v>
      </c>
      <c r="BF764" s="1257">
        <f>IF(OR($L764=BF$635,$L764="",$D764=$BG$634),MAX(BF$637:BF763)+1,0)</f>
        <v>0</v>
      </c>
      <c r="BG764" s="1258">
        <f>IF(OR($L764=BG$635,$L764="",$D764=$BG$634),MAX(BG$637:BG763)+1,0)</f>
        <v>101</v>
      </c>
      <c r="BH764" s="6225"/>
      <c r="BI764" s="853" t="str">
        <f t="shared" si="158"/>
        <v/>
      </c>
      <c r="BJ764" s="78" t="str">
        <f t="shared" si="159"/>
        <v/>
      </c>
      <c r="BK764" s="78" t="str">
        <f t="shared" si="160"/>
        <v/>
      </c>
      <c r="BL764" s="1256">
        <f>IF(OR($L764=BL$635,$L764="",$D764=$BN$634),MAX(BL$637:BL763)+1,0)</f>
        <v>0</v>
      </c>
      <c r="BM764" s="1257">
        <f>IF(OR($L764=BM$635,$L764="",$D764=$BN$634),MAX(BM$637:BM763)+1,0)</f>
        <v>0</v>
      </c>
      <c r="BN764" s="1258">
        <f>IF(OR($L764=BN$635,$L764="",$D764=$BN$634),MAX(BN$637:BN763)+1,0)</f>
        <v>101</v>
      </c>
      <c r="BO764" s="6225"/>
      <c r="BP764" s="853" t="str">
        <f t="shared" si="161"/>
        <v/>
      </c>
      <c r="BQ764" s="78" t="str">
        <f t="shared" si="162"/>
        <v/>
      </c>
      <c r="BR764" s="78" t="str">
        <f t="shared" si="163"/>
        <v/>
      </c>
      <c r="BS764" s="1256">
        <f>IF(OR($L764=BS$635,$L764="",$D764=$BU$634),MAX(BS$637:BS763)+1,0)</f>
        <v>0</v>
      </c>
      <c r="BT764" s="1257">
        <f>IF(OR($L764=BT$635,$L764="",$D764=$BU$634),MAX(BT$637:BT763)+1,0)</f>
        <v>0</v>
      </c>
      <c r="BU764" s="1258">
        <f>IF(OR($L764=BU$635,$L764="",$D764=$BU$634),MAX(BU$637:BU763)+1,0)</f>
        <v>101</v>
      </c>
    </row>
    <row r="765" spans="1:73" ht="12.75" customHeight="1" x14ac:dyDescent="0.2">
      <c r="A765" s="227">
        <v>765</v>
      </c>
      <c r="B765" s="5988"/>
      <c r="C765" s="1146"/>
      <c r="D765" s="2629" t="s">
        <v>2203</v>
      </c>
      <c r="E765" s="2628">
        <v>0</v>
      </c>
      <c r="F765" s="2628">
        <v>0</v>
      </c>
      <c r="G765" s="2628">
        <v>8</v>
      </c>
      <c r="H765" s="2628">
        <v>4</v>
      </c>
      <c r="I765" s="2628" t="s">
        <v>1456</v>
      </c>
      <c r="J765" s="2628" t="s">
        <v>1456</v>
      </c>
      <c r="K765" s="2878" t="s">
        <v>7280</v>
      </c>
      <c r="L765" s="2635" t="str">
        <f>$L$763</f>
        <v>Distinta</v>
      </c>
      <c r="M765" s="2634">
        <v>6</v>
      </c>
      <c r="N765" s="2634">
        <v>-2</v>
      </c>
      <c r="O765" s="2634">
        <v>20</v>
      </c>
      <c r="P765" s="2628"/>
      <c r="Q765" s="2628"/>
      <c r="R765" s="2628" t="s">
        <v>1456</v>
      </c>
      <c r="S765" s="2628">
        <v>3</v>
      </c>
      <c r="T765" s="2628">
        <v>60</v>
      </c>
      <c r="U765" s="2635">
        <v>8</v>
      </c>
      <c r="V765" s="2878" t="s">
        <v>2201</v>
      </c>
      <c r="W765" s="2878"/>
      <c r="X765" s="2679" t="s">
        <v>10157</v>
      </c>
      <c r="Y765" s="2618">
        <f>VLOOKUP(U765,Tabla_BonoStats,2)</f>
        <v>10</v>
      </c>
      <c r="Z765" s="2883"/>
      <c r="AA765" s="227"/>
      <c r="AB765" s="564" t="str">
        <f t="shared" ca="1" si="165"/>
        <v/>
      </c>
      <c r="AC765" s="2859"/>
      <c r="AD765" s="2859"/>
      <c r="AE765" s="837"/>
      <c r="AG765" s="853" t="str">
        <f t="shared" si="146"/>
        <v/>
      </c>
      <c r="AH765" s="78" t="str">
        <f t="shared" si="147"/>
        <v/>
      </c>
      <c r="AI765" s="78" t="str">
        <f t="shared" si="148"/>
        <v/>
      </c>
      <c r="AJ765" s="1256">
        <f>IF(OR($L765=AJ$635,$L765="",$D765=$AL$634),MAX(AJ$637:AJ764)+1,0)</f>
        <v>0</v>
      </c>
      <c r="AK765" s="1257">
        <f>IF(OR($L765=AK$635,$L765="",$D765=$AL$634),MAX(AK$637:AK764)+1,0)</f>
        <v>0</v>
      </c>
      <c r="AL765" s="1258">
        <f>IF(OR($L765=AL$635,$L765="",$D765=$AL$634),MAX(AL$637:AL764)+1,0)</f>
        <v>102</v>
      </c>
      <c r="AM765" s="6225"/>
      <c r="AN765" s="853" t="str">
        <f t="shared" si="149"/>
        <v/>
      </c>
      <c r="AO765" s="78" t="str">
        <f t="shared" si="150"/>
        <v/>
      </c>
      <c r="AP765" s="78" t="str">
        <f t="shared" si="151"/>
        <v/>
      </c>
      <c r="AQ765" s="1256">
        <f>IF(OR($L765=AQ$635,$L765="",$D765=$AS$634),MAX(AQ$637:AQ764)+1,0)</f>
        <v>0</v>
      </c>
      <c r="AR765" s="1257">
        <f>IF(OR($L765=AR$635,$L765="",$D765=$AS$634),MAX(AR$637:AR764)+1,0)</f>
        <v>0</v>
      </c>
      <c r="AS765" s="1258">
        <f>IF(OR($L765=AS$635,$L765="",$D765=$AS$634),MAX(AS$637:AS764)+1,0)</f>
        <v>102</v>
      </c>
      <c r="AT765" s="6225"/>
      <c r="AU765" s="853" t="str">
        <f t="shared" si="152"/>
        <v/>
      </c>
      <c r="AV765" s="78" t="str">
        <f t="shared" si="153"/>
        <v/>
      </c>
      <c r="AW765" s="78" t="str">
        <f t="shared" si="154"/>
        <v/>
      </c>
      <c r="AX765" s="1256">
        <f>IF(OR($L765=AX$635,$L765="",$D765=$AZ$634),MAX(AX$637:AX764)+1,0)</f>
        <v>0</v>
      </c>
      <c r="AY765" s="1257">
        <f>IF(OR($L765=AY$635,$L765="",$D765=$AZ$634),MAX(AY$637:AY764)+1,0)</f>
        <v>0</v>
      </c>
      <c r="AZ765" s="1258">
        <f>IF(OR($L765=AZ$635,$L765="",$D765=$AZ$634),MAX(AZ$637:AZ764)+1,0)</f>
        <v>102</v>
      </c>
      <c r="BA765" s="6225"/>
      <c r="BB765" s="853" t="str">
        <f t="shared" si="155"/>
        <v/>
      </c>
      <c r="BC765" s="78" t="str">
        <f t="shared" si="156"/>
        <v/>
      </c>
      <c r="BD765" s="78" t="str">
        <f t="shared" si="157"/>
        <v/>
      </c>
      <c r="BE765" s="1256">
        <f>IF(OR($L765=BE$635,$L765="",$D765=$BG$634),MAX(BE$637:BE764)+1,0)</f>
        <v>0</v>
      </c>
      <c r="BF765" s="1257">
        <f>IF(OR($L765=BF$635,$L765="",$D765=$BG$634),MAX(BF$637:BF764)+1,0)</f>
        <v>0</v>
      </c>
      <c r="BG765" s="1258">
        <f>IF(OR($L765=BG$635,$L765="",$D765=$BG$634),MAX(BG$637:BG764)+1,0)</f>
        <v>102</v>
      </c>
      <c r="BH765" s="6225"/>
      <c r="BI765" s="853" t="str">
        <f t="shared" si="158"/>
        <v/>
      </c>
      <c r="BJ765" s="78" t="str">
        <f t="shared" si="159"/>
        <v/>
      </c>
      <c r="BK765" s="78" t="str">
        <f t="shared" si="160"/>
        <v/>
      </c>
      <c r="BL765" s="1256">
        <f>IF(OR($L765=BL$635,$L765="",$D765=$BN$634),MAX(BL$637:BL764)+1,0)</f>
        <v>0</v>
      </c>
      <c r="BM765" s="1257">
        <f>IF(OR($L765=BM$635,$L765="",$D765=$BN$634),MAX(BM$637:BM764)+1,0)</f>
        <v>0</v>
      </c>
      <c r="BN765" s="1258">
        <f>IF(OR($L765=BN$635,$L765="",$D765=$BN$634),MAX(BN$637:BN764)+1,0)</f>
        <v>102</v>
      </c>
      <c r="BO765" s="6225"/>
      <c r="BP765" s="853" t="str">
        <f t="shared" si="161"/>
        <v/>
      </c>
      <c r="BQ765" s="78" t="str">
        <f t="shared" si="162"/>
        <v/>
      </c>
      <c r="BR765" s="78" t="str">
        <f t="shared" si="163"/>
        <v/>
      </c>
      <c r="BS765" s="1256">
        <f>IF(OR($L765=BS$635,$L765="",$D765=$BU$634),MAX(BS$637:BS764)+1,0)</f>
        <v>0</v>
      </c>
      <c r="BT765" s="1257">
        <f>IF(OR($L765=BT$635,$L765="",$D765=$BU$634),MAX(BT$637:BT764)+1,0)</f>
        <v>0</v>
      </c>
      <c r="BU765" s="1258">
        <f>IF(OR($L765=BU$635,$L765="",$D765=$BU$634),MAX(BU$637:BU764)+1,0)</f>
        <v>102</v>
      </c>
    </row>
    <row r="766" spans="1:73" ht="12.75" customHeight="1" x14ac:dyDescent="0.2">
      <c r="A766" s="227">
        <v>766</v>
      </c>
      <c r="B766" s="5988"/>
      <c r="C766" s="1146"/>
      <c r="D766" s="2629" t="s">
        <v>2204</v>
      </c>
      <c r="E766" s="2628">
        <v>0</v>
      </c>
      <c r="F766" s="2628">
        <v>-20</v>
      </c>
      <c r="G766" s="2628">
        <v>10</v>
      </c>
      <c r="H766" s="2628">
        <v>7</v>
      </c>
      <c r="I766" s="2628" t="s">
        <v>1456</v>
      </c>
      <c r="J766" s="2628" t="s">
        <v>1456</v>
      </c>
      <c r="K766" s="2878" t="s">
        <v>7280</v>
      </c>
      <c r="L766" s="2628"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34">
        <v>8</v>
      </c>
      <c r="N766" s="2634">
        <v>-1</v>
      </c>
      <c r="O766" s="2634">
        <v>20</v>
      </c>
      <c r="P766" s="2628"/>
      <c r="Q766" s="2628"/>
      <c r="R766" s="2628" t="s">
        <v>1456</v>
      </c>
      <c r="S766" s="2628">
        <v>2</v>
      </c>
      <c r="T766" s="2628">
        <v>80</v>
      </c>
      <c r="U766" s="2635">
        <v>10</v>
      </c>
      <c r="V766" s="2878" t="s">
        <v>2201</v>
      </c>
      <c r="W766" s="2878"/>
      <c r="X766" s="2679" t="s">
        <v>10157</v>
      </c>
      <c r="Y766" s="2618">
        <f>VLOOKUP(U766,Tabla_BonoStats,2)</f>
        <v>15</v>
      </c>
      <c r="Z766" s="1265" t="str">
        <f t="shared" ref="Z766:Z793" si="166">IF(AND(K766&lt;&gt;"Natural/-",ISNUMBER(SEARCH(D766&amp;",",Armas_Conocidas))),", "&amp;K766,"")</f>
        <v/>
      </c>
      <c r="AA766" s="227"/>
      <c r="AB766" s="564" t="str">
        <f t="shared" ca="1" si="165"/>
        <v/>
      </c>
      <c r="AC766" s="2859"/>
      <c r="AD766" s="2859"/>
      <c r="AE766" s="837"/>
      <c r="AG766" s="853" t="str">
        <f t="shared" ref="AG766:AG774" si="167">IF(ISNA(INDEX(Lista_Armas,MATCH($A129,AJ$638:AJ$774,0))),"",INDEX(Lista_Armas,MATCH($A129,AJ$638:AJ$774,0)))</f>
        <v/>
      </c>
      <c r="AH766" s="78" t="str">
        <f t="shared" ref="AH766:AH774" si="168">IF(ISNA(INDEX(Lista_Armas,MATCH($A129,AK$638:AK$774,0))),"",INDEX(Lista_Armas,MATCH($A129,AK$638:AK$774,0)))</f>
        <v/>
      </c>
      <c r="AI766" s="78" t="str">
        <f t="shared" ref="AI766:AI774" si="169">IF(ISNA(INDEX(Lista_Armas,MATCH($A129,AL$638:AL$774,0))),"",INDEX(Lista_Armas,MATCH($A129,AL$638:AL$774,0)))</f>
        <v/>
      </c>
      <c r="AJ766" s="1256">
        <f>IF(OR($L766=AJ$635,$L766="",$D766=$AL$634),MAX(AJ$637:AJ765)+1,0)</f>
        <v>0</v>
      </c>
      <c r="AK766" s="1257">
        <f>IF(OR($L766=AK$635,$L766="",$D766=$AL$634),MAX(AK$637:AK765)+1,0)</f>
        <v>0</v>
      </c>
      <c r="AL766" s="1258">
        <f>IF(OR($L766=AL$635,$L766="",$D766=$AL$634),MAX(AL$637:AL765)+1,0)</f>
        <v>103</v>
      </c>
      <c r="AM766" s="6225"/>
      <c r="AN766" s="853" t="str">
        <f t="shared" ref="AN766:AN774" si="170">IF(ISNA(INDEX(Lista_Armas,MATCH($A129,AQ$638:AQ$774,0))),"",INDEX(Lista_Armas,MATCH($A129,AQ$638:AQ$774,0)))</f>
        <v/>
      </c>
      <c r="AO766" s="78" t="str">
        <f t="shared" ref="AO766:AO774" si="171">IF(ISNA(INDEX(Lista_Armas,MATCH($A129,AR$638:AR$774,0))),"",INDEX(Lista_Armas,MATCH($A129,AR$638:AR$774,0)))</f>
        <v/>
      </c>
      <c r="AP766" s="78" t="str">
        <f t="shared" ref="AP766:AP774" si="172">IF(ISNA(INDEX(Lista_Armas,MATCH($A129,AS$638:AS$774,0))),"",INDEX(Lista_Armas,MATCH($A129,AS$638:AS$774,0)))</f>
        <v/>
      </c>
      <c r="AQ766" s="1256">
        <f>IF(OR($L766=AQ$635,$L766="",$D766=$AS$634),MAX(AQ$637:AQ765)+1,0)</f>
        <v>0</v>
      </c>
      <c r="AR766" s="1257">
        <f>IF(OR($L766=AR$635,$L766="",$D766=$AS$634),MAX(AR$637:AR765)+1,0)</f>
        <v>0</v>
      </c>
      <c r="AS766" s="1258">
        <f>IF(OR($L766=AS$635,$L766="",$D766=$AS$634),MAX(AS$637:AS765)+1,0)</f>
        <v>103</v>
      </c>
      <c r="AT766" s="6225"/>
      <c r="AU766" s="853" t="str">
        <f t="shared" ref="AU766:AU774" si="173">IF(ISNA(INDEX(Lista_Armas,MATCH($A129,AX$638:AX$774,0))),"",INDEX(Lista_Armas,MATCH($A129,AX$638:AX$774,0)))</f>
        <v/>
      </c>
      <c r="AV766" s="78" t="str">
        <f t="shared" ref="AV766:AV774" si="174">IF(ISNA(INDEX(Lista_Armas,MATCH($A129,AY$638:AY$774,0))),"",INDEX(Lista_Armas,MATCH($A129,AY$638:AY$774,0)))</f>
        <v/>
      </c>
      <c r="AW766" s="78" t="str">
        <f t="shared" ref="AW766:AW774" si="175">IF(ISNA(INDEX(Lista_Armas,MATCH($A129,AZ$638:AZ$774,0))),"",INDEX(Lista_Armas,MATCH($A129,AZ$638:AZ$774,0)))</f>
        <v/>
      </c>
      <c r="AX766" s="1256">
        <f>IF(OR($L766=AX$635,$L766="",$D766=$AZ$634),MAX(AX$637:AX765)+1,0)</f>
        <v>0</v>
      </c>
      <c r="AY766" s="1257">
        <f>IF(OR($L766=AY$635,$L766="",$D766=$AZ$634),MAX(AY$637:AY765)+1,0)</f>
        <v>0</v>
      </c>
      <c r="AZ766" s="1258">
        <f>IF(OR($L766=AZ$635,$L766="",$D766=$AZ$634),MAX(AZ$637:AZ765)+1,0)</f>
        <v>103</v>
      </c>
      <c r="BA766" s="6225"/>
      <c r="BB766" s="853" t="str">
        <f t="shared" ref="BB766:BB774" si="176">IF(ISNA(INDEX(Lista_Armas,MATCH($A129,BE$638:BE$774,0))),"",INDEX(Lista_Armas,MATCH($A129,BE$638:BE$774,0)))</f>
        <v/>
      </c>
      <c r="BC766" s="78" t="str">
        <f t="shared" ref="BC766:BC774" si="177">IF(ISNA(INDEX(Lista_Armas,MATCH($A129,BF$638:BF$774,0))),"",INDEX(Lista_Armas,MATCH($A129,BF$638:BF$774,0)))</f>
        <v/>
      </c>
      <c r="BD766" s="78" t="str">
        <f t="shared" ref="BD766:BD774" si="178">IF(ISNA(INDEX(Lista_Armas,MATCH($A129,BG$638:BG$774,0))),"",INDEX(Lista_Armas,MATCH($A129,BG$638:BG$774,0)))</f>
        <v/>
      </c>
      <c r="BE766" s="1256">
        <f>IF(OR($L766=BE$635,$L766="",$D766=$BG$634),MAX(BE$637:BE765)+1,0)</f>
        <v>0</v>
      </c>
      <c r="BF766" s="1257">
        <f>IF(OR($L766=BF$635,$L766="",$D766=$BG$634),MAX(BF$637:BF765)+1,0)</f>
        <v>0</v>
      </c>
      <c r="BG766" s="1258">
        <f>IF(OR($L766=BG$635,$L766="",$D766=$BG$634),MAX(BG$637:BG765)+1,0)</f>
        <v>103</v>
      </c>
      <c r="BH766" s="6225"/>
      <c r="BI766" s="853" t="str">
        <f t="shared" ref="BI766:BI774" si="179">IF(ISNA(INDEX(Lista_Armas,MATCH($A129,BL$638:BL$774,0))),"",INDEX(Lista_Armas,MATCH($A129,BL$638:BL$774,0)))</f>
        <v/>
      </c>
      <c r="BJ766" s="78" t="str">
        <f t="shared" ref="BJ766:BJ774" si="180">IF(ISNA(INDEX(Lista_Armas,MATCH($A129,BM$638:BM$774,0))),"",INDEX(Lista_Armas,MATCH($A129,BM$638:BM$774,0)))</f>
        <v/>
      </c>
      <c r="BK766" s="78" t="str">
        <f t="shared" ref="BK766:BK774" si="181">IF(ISNA(INDEX(Lista_Armas,MATCH($A129,BN$638:BN$774,0))),"",INDEX(Lista_Armas,MATCH($A129,BN$638:BN$774,0)))</f>
        <v/>
      </c>
      <c r="BL766" s="1256">
        <f>IF(OR($L766=BL$635,$L766="",$D766=$BN$634),MAX(BL$637:BL765)+1,0)</f>
        <v>0</v>
      </c>
      <c r="BM766" s="1257">
        <f>IF(OR($L766=BM$635,$L766="",$D766=$BN$634),MAX(BM$637:BM765)+1,0)</f>
        <v>0</v>
      </c>
      <c r="BN766" s="1258">
        <f>IF(OR($L766=BN$635,$L766="",$D766=$BN$634),MAX(BN$637:BN765)+1,0)</f>
        <v>103</v>
      </c>
      <c r="BO766" s="6225"/>
      <c r="BP766" s="853" t="str">
        <f t="shared" ref="BP766:BP774" si="182">IF(ISNA(INDEX(Lista_Armas,MATCH($A129,BS$638:BS$774,0))),"",INDEX(Lista_Armas,MATCH($A129,BS$638:BS$774,0)))</f>
        <v/>
      </c>
      <c r="BQ766" s="78" t="str">
        <f t="shared" ref="BQ766:BQ774" si="183">IF(ISNA(INDEX(Lista_Armas,MATCH($A129,BT$638:BT$774,0))),"",INDEX(Lista_Armas,MATCH($A129,BT$638:BT$774,0)))</f>
        <v/>
      </c>
      <c r="BR766" s="78" t="str">
        <f t="shared" ref="BR766:BR774" si="184">IF(ISNA(INDEX(Lista_Armas,MATCH($A129,BU$638:BU$774,0))),"",INDEX(Lista_Armas,MATCH($A129,BU$638:BU$774,0)))</f>
        <v/>
      </c>
      <c r="BS766" s="1256">
        <f>IF(OR($L766=BS$635,$L766="",$D766=$BU$634),MAX(BS$637:BS765)+1,0)</f>
        <v>0</v>
      </c>
      <c r="BT766" s="1257">
        <f>IF(OR($L766=BT$635,$L766="",$D766=$BU$634),MAX(BT$637:BT765)+1,0)</f>
        <v>0</v>
      </c>
      <c r="BU766" s="1258">
        <f>IF(OR($L766=BU$635,$L766="",$D766=$BU$634),MAX(BU$637:BU765)+1,0)</f>
        <v>103</v>
      </c>
    </row>
    <row r="767" spans="1:73" ht="12.75" customHeight="1" thickBot="1" x14ac:dyDescent="0.25">
      <c r="A767" s="227">
        <v>767</v>
      </c>
      <c r="B767" s="5988"/>
      <c r="C767" s="1146"/>
      <c r="D767" s="2629" t="s">
        <v>2205</v>
      </c>
      <c r="E767" s="2628">
        <v>0</v>
      </c>
      <c r="F767" s="2628">
        <v>-10</v>
      </c>
      <c r="G767" s="2628">
        <v>4</v>
      </c>
      <c r="H767" s="2628">
        <v>4</v>
      </c>
      <c r="I767" s="2628" t="s">
        <v>1456</v>
      </c>
      <c r="J767" s="2628" t="s">
        <v>1456</v>
      </c>
      <c r="K767" s="2878" t="s">
        <v>7280</v>
      </c>
      <c r="L767" s="2628"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34">
        <v>3</v>
      </c>
      <c r="N767" s="2634">
        <v>-3</v>
      </c>
      <c r="O767" s="2634">
        <v>15</v>
      </c>
      <c r="P767" s="2628"/>
      <c r="Q767" s="2628"/>
      <c r="R767" s="2628" t="s">
        <v>1456</v>
      </c>
      <c r="S767" s="2628">
        <v>1</v>
      </c>
      <c r="T767" s="2628">
        <v>50</v>
      </c>
      <c r="U767" s="2628"/>
      <c r="V767" s="2878" t="s">
        <v>1456</v>
      </c>
      <c r="W767" s="2878"/>
      <c r="X767" s="2679" t="s">
        <v>8685</v>
      </c>
      <c r="Y767" s="2618">
        <v>0</v>
      </c>
      <c r="Z767" s="1265" t="str">
        <f t="shared" si="166"/>
        <v/>
      </c>
      <c r="AA767" s="227"/>
      <c r="AB767" s="1172" t="str">
        <f t="shared" ca="1" si="165"/>
        <v/>
      </c>
      <c r="AC767" s="1060"/>
      <c r="AD767" s="1060"/>
      <c r="AE767" s="1376"/>
      <c r="AG767" s="853" t="str">
        <f t="shared" si="167"/>
        <v/>
      </c>
      <c r="AH767" s="78" t="str">
        <f t="shared" si="168"/>
        <v/>
      </c>
      <c r="AI767" s="78" t="str">
        <f t="shared" si="169"/>
        <v/>
      </c>
      <c r="AJ767" s="1256">
        <f>IF(OR($L767=AJ$635,$L767="",$D767=$AL$634),MAX(AJ$637:AJ766)+1,0)</f>
        <v>0</v>
      </c>
      <c r="AK767" s="1257">
        <f>IF(OR($L767=AK$635,$L767="",$D767=$AL$634),MAX(AK$637:AK766)+1,0)</f>
        <v>0</v>
      </c>
      <c r="AL767" s="1258">
        <f>IF(OR($L767=AL$635,$L767="",$D767=$AL$634),MAX(AL$637:AL766)+1,0)</f>
        <v>104</v>
      </c>
      <c r="AM767" s="6225"/>
      <c r="AN767" s="853" t="str">
        <f t="shared" si="170"/>
        <v/>
      </c>
      <c r="AO767" s="78" t="str">
        <f t="shared" si="171"/>
        <v/>
      </c>
      <c r="AP767" s="78" t="str">
        <f t="shared" si="172"/>
        <v/>
      </c>
      <c r="AQ767" s="1256">
        <f>IF(OR($L767=AQ$635,$L767="",$D767=$AS$634),MAX(AQ$637:AQ766)+1,0)</f>
        <v>0</v>
      </c>
      <c r="AR767" s="1257">
        <f>IF(OR($L767=AR$635,$L767="",$D767=$AS$634),MAX(AR$637:AR766)+1,0)</f>
        <v>0</v>
      </c>
      <c r="AS767" s="1258">
        <f>IF(OR($L767=AS$635,$L767="",$D767=$AS$634),MAX(AS$637:AS766)+1,0)</f>
        <v>104</v>
      </c>
      <c r="AT767" s="6225"/>
      <c r="AU767" s="853" t="str">
        <f t="shared" si="173"/>
        <v/>
      </c>
      <c r="AV767" s="78" t="str">
        <f t="shared" si="174"/>
        <v/>
      </c>
      <c r="AW767" s="78" t="str">
        <f t="shared" si="175"/>
        <v/>
      </c>
      <c r="AX767" s="1256">
        <f>IF(OR($L767=AX$635,$L767="",$D767=$AZ$634),MAX(AX$637:AX766)+1,0)</f>
        <v>0</v>
      </c>
      <c r="AY767" s="1257">
        <f>IF(OR($L767=AY$635,$L767="",$D767=$AZ$634),MAX(AY$637:AY766)+1,0)</f>
        <v>0</v>
      </c>
      <c r="AZ767" s="1258">
        <f>IF(OR($L767=AZ$635,$L767="",$D767=$AZ$634),MAX(AZ$637:AZ766)+1,0)</f>
        <v>104</v>
      </c>
      <c r="BA767" s="6225"/>
      <c r="BB767" s="853" t="str">
        <f t="shared" si="176"/>
        <v/>
      </c>
      <c r="BC767" s="78" t="str">
        <f t="shared" si="177"/>
        <v/>
      </c>
      <c r="BD767" s="78" t="str">
        <f t="shared" si="178"/>
        <v/>
      </c>
      <c r="BE767" s="1256">
        <f>IF(OR($L767=BE$635,$L767="",$D767=$BG$634),MAX(BE$637:BE766)+1,0)</f>
        <v>0</v>
      </c>
      <c r="BF767" s="1257">
        <f>IF(OR($L767=BF$635,$L767="",$D767=$BG$634),MAX(BF$637:BF766)+1,0)</f>
        <v>0</v>
      </c>
      <c r="BG767" s="1258">
        <f>IF(OR($L767=BG$635,$L767="",$D767=$BG$634),MAX(BG$637:BG766)+1,0)</f>
        <v>104</v>
      </c>
      <c r="BH767" s="6225"/>
      <c r="BI767" s="853" t="str">
        <f t="shared" si="179"/>
        <v/>
      </c>
      <c r="BJ767" s="78" t="str">
        <f t="shared" si="180"/>
        <v/>
      </c>
      <c r="BK767" s="78" t="str">
        <f t="shared" si="181"/>
        <v/>
      </c>
      <c r="BL767" s="1256">
        <f>IF(OR($L767=BL$635,$L767="",$D767=$BN$634),MAX(BL$637:BL766)+1,0)</f>
        <v>0</v>
      </c>
      <c r="BM767" s="1257">
        <f>IF(OR($L767=BM$635,$L767="",$D767=$BN$634),MAX(BM$637:BM766)+1,0)</f>
        <v>0</v>
      </c>
      <c r="BN767" s="1258">
        <f>IF(OR($L767=BN$635,$L767="",$D767=$BN$634),MAX(BN$637:BN766)+1,0)</f>
        <v>104</v>
      </c>
      <c r="BO767" s="6225"/>
      <c r="BP767" s="853" t="str">
        <f t="shared" si="182"/>
        <v/>
      </c>
      <c r="BQ767" s="78" t="str">
        <f t="shared" si="183"/>
        <v/>
      </c>
      <c r="BR767" s="78" t="str">
        <f t="shared" si="184"/>
        <v/>
      </c>
      <c r="BS767" s="1256">
        <f>IF(OR($L767=BS$635,$L767="",$D767=$BU$634),MAX(BS$637:BS766)+1,0)</f>
        <v>0</v>
      </c>
      <c r="BT767" s="1257">
        <f>IF(OR($L767=BT$635,$L767="",$D767=$BU$634),MAX(BT$637:BT766)+1,0)</f>
        <v>0</v>
      </c>
      <c r="BU767" s="1258">
        <f>IF(OR($L767=BU$635,$L767="",$D767=$BU$634),MAX(BU$637:BU766)+1,0)</f>
        <v>104</v>
      </c>
    </row>
    <row r="768" spans="1:73" ht="12.75" customHeight="1" x14ac:dyDescent="0.2">
      <c r="A768" s="227">
        <v>768</v>
      </c>
      <c r="B768" s="5988"/>
      <c r="C768" s="1146"/>
      <c r="D768" s="2629" t="s">
        <v>6990</v>
      </c>
      <c r="E768" s="2628">
        <v>0</v>
      </c>
      <c r="F768" s="2628">
        <v>-30</v>
      </c>
      <c r="G768" s="2628">
        <v>7</v>
      </c>
      <c r="H768" s="2628">
        <v>7</v>
      </c>
      <c r="I768" s="2628" t="s">
        <v>1456</v>
      </c>
      <c r="J768" s="2628" t="s">
        <v>1456</v>
      </c>
      <c r="K768" s="2878" t="s">
        <v>7280</v>
      </c>
      <c r="L768" s="2628"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34">
        <v>8</v>
      </c>
      <c r="N768" s="2634">
        <v>-2</v>
      </c>
      <c r="O768" s="2634">
        <v>20</v>
      </c>
      <c r="P768" s="2628"/>
      <c r="Q768" s="2628"/>
      <c r="R768" s="2628" t="s">
        <v>1456</v>
      </c>
      <c r="S768" s="2628">
        <v>1</v>
      </c>
      <c r="T768" s="2628">
        <v>90</v>
      </c>
      <c r="U768" s="2628"/>
      <c r="V768" s="2878" t="s">
        <v>1579</v>
      </c>
      <c r="W768" s="2878"/>
      <c r="X768" s="2679" t="s">
        <v>1967</v>
      </c>
      <c r="Y768" s="2618">
        <f>Bono_Fue</f>
        <v>0</v>
      </c>
      <c r="Z768" s="1265" t="str">
        <f t="shared" si="166"/>
        <v/>
      </c>
      <c r="AA768" s="227"/>
      <c r="AC768"/>
      <c r="AD768"/>
      <c r="AE768"/>
      <c r="AG768" s="853" t="str">
        <f t="shared" si="167"/>
        <v/>
      </c>
      <c r="AH768" s="78" t="str">
        <f t="shared" si="168"/>
        <v/>
      </c>
      <c r="AI768" s="78" t="str">
        <f t="shared" si="169"/>
        <v/>
      </c>
      <c r="AJ768" s="1256">
        <f>IF(OR($L768=AJ$635,$L768="",$D768=$AL$634),MAX(AJ$637:AJ767)+1,0)</f>
        <v>0</v>
      </c>
      <c r="AK768" s="1257">
        <f>IF(OR($L768=AK$635,$L768="",$D768=$AL$634),MAX(AK$637:AK767)+1,0)</f>
        <v>0</v>
      </c>
      <c r="AL768" s="1258">
        <f>IF(OR($L768=AL$635,$L768="",$D768=$AL$634),MAX(AL$637:AL767)+1,0)</f>
        <v>105</v>
      </c>
      <c r="AM768" s="6225"/>
      <c r="AN768" s="853" t="str">
        <f t="shared" si="170"/>
        <v/>
      </c>
      <c r="AO768" s="78" t="str">
        <f t="shared" si="171"/>
        <v/>
      </c>
      <c r="AP768" s="78" t="str">
        <f t="shared" si="172"/>
        <v/>
      </c>
      <c r="AQ768" s="1256">
        <f>IF(OR($L768=AQ$635,$L768="",$D768=$AS$634),MAX(AQ$637:AQ767)+1,0)</f>
        <v>0</v>
      </c>
      <c r="AR768" s="1257">
        <f>IF(OR($L768=AR$635,$L768="",$D768=$AS$634),MAX(AR$637:AR767)+1,0)</f>
        <v>0</v>
      </c>
      <c r="AS768" s="1258">
        <f>IF(OR($L768=AS$635,$L768="",$D768=$AS$634),MAX(AS$637:AS767)+1,0)</f>
        <v>105</v>
      </c>
      <c r="AT768" s="6225"/>
      <c r="AU768" s="853" t="str">
        <f t="shared" si="173"/>
        <v/>
      </c>
      <c r="AV768" s="78" t="str">
        <f t="shared" si="174"/>
        <v/>
      </c>
      <c r="AW768" s="78" t="str">
        <f t="shared" si="175"/>
        <v/>
      </c>
      <c r="AX768" s="1256">
        <f>IF(OR($L768=AX$635,$L768="",$D768=$AZ$634),MAX(AX$637:AX767)+1,0)</f>
        <v>0</v>
      </c>
      <c r="AY768" s="1257">
        <f>IF(OR($L768=AY$635,$L768="",$D768=$AZ$634),MAX(AY$637:AY767)+1,0)</f>
        <v>0</v>
      </c>
      <c r="AZ768" s="1258">
        <f>IF(OR($L768=AZ$635,$L768="",$D768=$AZ$634),MAX(AZ$637:AZ767)+1,0)</f>
        <v>105</v>
      </c>
      <c r="BA768" s="6225"/>
      <c r="BB768" s="853" t="str">
        <f t="shared" si="176"/>
        <v/>
      </c>
      <c r="BC768" s="78" t="str">
        <f t="shared" si="177"/>
        <v/>
      </c>
      <c r="BD768" s="78" t="str">
        <f t="shared" si="178"/>
        <v/>
      </c>
      <c r="BE768" s="1256">
        <f>IF(OR($L768=BE$635,$L768="",$D768=$BG$634),MAX(BE$637:BE767)+1,0)</f>
        <v>0</v>
      </c>
      <c r="BF768" s="1257">
        <f>IF(OR($L768=BF$635,$L768="",$D768=$BG$634),MAX(BF$637:BF767)+1,0)</f>
        <v>0</v>
      </c>
      <c r="BG768" s="1258">
        <f>IF(OR($L768=BG$635,$L768="",$D768=$BG$634),MAX(BG$637:BG767)+1,0)</f>
        <v>105</v>
      </c>
      <c r="BH768" s="6225"/>
      <c r="BI768" s="853" t="str">
        <f t="shared" si="179"/>
        <v/>
      </c>
      <c r="BJ768" s="78" t="str">
        <f t="shared" si="180"/>
        <v/>
      </c>
      <c r="BK768" s="78" t="str">
        <f t="shared" si="181"/>
        <v/>
      </c>
      <c r="BL768" s="1256">
        <f>IF(OR($L768=BL$635,$L768="",$D768=$BN$634),MAX(BL$637:BL767)+1,0)</f>
        <v>0</v>
      </c>
      <c r="BM768" s="1257">
        <f>IF(OR($L768=BM$635,$L768="",$D768=$BN$634),MAX(BM$637:BM767)+1,0)</f>
        <v>0</v>
      </c>
      <c r="BN768" s="1258">
        <f>IF(OR($L768=BN$635,$L768="",$D768=$BN$634),MAX(BN$637:BN767)+1,0)</f>
        <v>105</v>
      </c>
      <c r="BO768" s="6225"/>
      <c r="BP768" s="853" t="str">
        <f t="shared" si="182"/>
        <v/>
      </c>
      <c r="BQ768" s="78" t="str">
        <f t="shared" si="183"/>
        <v/>
      </c>
      <c r="BR768" s="78" t="str">
        <f t="shared" si="184"/>
        <v/>
      </c>
      <c r="BS768" s="1256">
        <f>IF(OR($L768=BS$635,$L768="",$D768=$BU$634),MAX(BS$637:BS767)+1,0)</f>
        <v>0</v>
      </c>
      <c r="BT768" s="1257">
        <f>IF(OR($L768=BT$635,$L768="",$D768=$BU$634),MAX(BT$637:BT767)+1,0)</f>
        <v>0</v>
      </c>
      <c r="BU768" s="1258">
        <f>IF(OR($L768=BU$635,$L768="",$D768=$BU$634),MAX(BU$637:BU767)+1,0)</f>
        <v>105</v>
      </c>
    </row>
    <row r="769" spans="1:73" ht="12.75" customHeight="1" x14ac:dyDescent="0.2">
      <c r="A769" s="227">
        <v>769</v>
      </c>
      <c r="B769" s="5988"/>
      <c r="C769" s="1146"/>
      <c r="D769" s="2629" t="s">
        <v>2206</v>
      </c>
      <c r="E769" s="2628">
        <v>0</v>
      </c>
      <c r="F769" s="2628">
        <v>-40</v>
      </c>
      <c r="G769" s="2628">
        <v>4</v>
      </c>
      <c r="H769" s="2628">
        <v>4</v>
      </c>
      <c r="I769" s="2628" t="s">
        <v>1456</v>
      </c>
      <c r="J769" s="2628" t="s">
        <v>1456</v>
      </c>
      <c r="K769" s="2878" t="s">
        <v>7280</v>
      </c>
      <c r="L769" s="2628"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34">
        <v>3</v>
      </c>
      <c r="N769" s="2634">
        <v>-6</v>
      </c>
      <c r="O769" s="2634">
        <v>10</v>
      </c>
      <c r="P769" s="2628"/>
      <c r="Q769" s="2628"/>
      <c r="R769" s="2628" t="s">
        <v>1456</v>
      </c>
      <c r="S769" s="2628">
        <v>1</v>
      </c>
      <c r="T769" s="2628">
        <v>50</v>
      </c>
      <c r="U769" s="2628"/>
      <c r="V769" s="2878" t="s">
        <v>1456</v>
      </c>
      <c r="W769" s="2878"/>
      <c r="X769" s="2679" t="s">
        <v>8685</v>
      </c>
      <c r="Y769" s="2618">
        <f>Bono_Fue</f>
        <v>0</v>
      </c>
      <c r="Z769" s="1265" t="str">
        <f t="shared" si="166"/>
        <v/>
      </c>
      <c r="AA769" s="227"/>
      <c r="AC769" s="227"/>
      <c r="AG769" s="853" t="str">
        <f t="shared" si="167"/>
        <v/>
      </c>
      <c r="AH769" s="78" t="str">
        <f t="shared" si="168"/>
        <v/>
      </c>
      <c r="AI769" s="78" t="str">
        <f t="shared" si="169"/>
        <v/>
      </c>
      <c r="AJ769" s="1256">
        <f>IF(OR($L769=AJ$635,$L769="",$D769=$AL$634),MAX(AJ$637:AJ768)+1,0)</f>
        <v>0</v>
      </c>
      <c r="AK769" s="1257">
        <f>IF(OR($L769=AK$635,$L769="",$D769=$AL$634),MAX(AK$637:AK768)+1,0)</f>
        <v>0</v>
      </c>
      <c r="AL769" s="1258">
        <f>IF(OR($L769=AL$635,$L769="",$D769=$AL$634),MAX(AL$637:AL768)+1,0)</f>
        <v>106</v>
      </c>
      <c r="AM769" s="6225"/>
      <c r="AN769" s="853" t="str">
        <f t="shared" si="170"/>
        <v/>
      </c>
      <c r="AO769" s="78" t="str">
        <f t="shared" si="171"/>
        <v/>
      </c>
      <c r="AP769" s="78" t="str">
        <f t="shared" si="172"/>
        <v/>
      </c>
      <c r="AQ769" s="1256">
        <f>IF(OR($L769=AQ$635,$L769="",$D769=$AS$634),MAX(AQ$637:AQ768)+1,0)</f>
        <v>0</v>
      </c>
      <c r="AR769" s="1257">
        <f>IF(OR($L769=AR$635,$L769="",$D769=$AS$634),MAX(AR$637:AR768)+1,0)</f>
        <v>0</v>
      </c>
      <c r="AS769" s="1258">
        <f>IF(OR($L769=AS$635,$L769="",$D769=$AS$634),MAX(AS$637:AS768)+1,0)</f>
        <v>106</v>
      </c>
      <c r="AT769" s="6225"/>
      <c r="AU769" s="853" t="str">
        <f t="shared" si="173"/>
        <v/>
      </c>
      <c r="AV769" s="78" t="str">
        <f t="shared" si="174"/>
        <v/>
      </c>
      <c r="AW769" s="78" t="str">
        <f t="shared" si="175"/>
        <v/>
      </c>
      <c r="AX769" s="1256">
        <f>IF(OR($L769=AX$635,$L769="",$D769=$AZ$634),MAX(AX$637:AX768)+1,0)</f>
        <v>0</v>
      </c>
      <c r="AY769" s="1257">
        <f>IF(OR($L769=AY$635,$L769="",$D769=$AZ$634),MAX(AY$637:AY768)+1,0)</f>
        <v>0</v>
      </c>
      <c r="AZ769" s="1258">
        <f>IF(OR($L769=AZ$635,$L769="",$D769=$AZ$634),MAX(AZ$637:AZ768)+1,0)</f>
        <v>106</v>
      </c>
      <c r="BA769" s="6225"/>
      <c r="BB769" s="853" t="str">
        <f t="shared" si="176"/>
        <v/>
      </c>
      <c r="BC769" s="78" t="str">
        <f t="shared" si="177"/>
        <v/>
      </c>
      <c r="BD769" s="78" t="str">
        <f t="shared" si="178"/>
        <v/>
      </c>
      <c r="BE769" s="1256">
        <f>IF(OR($L769=BE$635,$L769="",$D769=$BG$634),MAX(BE$637:BE768)+1,0)</f>
        <v>0</v>
      </c>
      <c r="BF769" s="1257">
        <f>IF(OR($L769=BF$635,$L769="",$D769=$BG$634),MAX(BF$637:BF768)+1,0)</f>
        <v>0</v>
      </c>
      <c r="BG769" s="1258">
        <f>IF(OR($L769=BG$635,$L769="",$D769=$BG$634),MAX(BG$637:BG768)+1,0)</f>
        <v>106</v>
      </c>
      <c r="BH769" s="6225"/>
      <c r="BI769" s="853" t="str">
        <f t="shared" si="179"/>
        <v/>
      </c>
      <c r="BJ769" s="78" t="str">
        <f t="shared" si="180"/>
        <v/>
      </c>
      <c r="BK769" s="78" t="str">
        <f t="shared" si="181"/>
        <v/>
      </c>
      <c r="BL769" s="1256">
        <f>IF(OR($L769=BL$635,$L769="",$D769=$BN$634),MAX(BL$637:BL768)+1,0)</f>
        <v>0</v>
      </c>
      <c r="BM769" s="1257">
        <f>IF(OR($L769=BM$635,$L769="",$D769=$BN$634),MAX(BM$637:BM768)+1,0)</f>
        <v>0</v>
      </c>
      <c r="BN769" s="1258">
        <f>IF(OR($L769=BN$635,$L769="",$D769=$BN$634),MAX(BN$637:BN768)+1,0)</f>
        <v>106</v>
      </c>
      <c r="BO769" s="6225"/>
      <c r="BP769" s="853" t="str">
        <f t="shared" si="182"/>
        <v/>
      </c>
      <c r="BQ769" s="78" t="str">
        <f t="shared" si="183"/>
        <v/>
      </c>
      <c r="BR769" s="78" t="str">
        <f t="shared" si="184"/>
        <v/>
      </c>
      <c r="BS769" s="1256">
        <f>IF(OR($L769=BS$635,$L769="",$D769=$BU$634),MAX(BS$637:BS768)+1,0)</f>
        <v>0</v>
      </c>
      <c r="BT769" s="1257">
        <f>IF(OR($L769=BT$635,$L769="",$D769=$BU$634),MAX(BT$637:BT768)+1,0)</f>
        <v>0</v>
      </c>
      <c r="BU769" s="1258">
        <f>IF(OR($L769=BU$635,$L769="",$D769=$BU$634),MAX(BU$637:BU768)+1,0)</f>
        <v>106</v>
      </c>
    </row>
    <row r="770" spans="1:73" ht="12.75" customHeight="1" thickBot="1" x14ac:dyDescent="0.25">
      <c r="A770" s="227">
        <v>770</v>
      </c>
      <c r="B770" s="5988"/>
      <c r="C770" s="1146"/>
      <c r="D770" s="2629" t="s">
        <v>2207</v>
      </c>
      <c r="E770" s="2628">
        <v>0</v>
      </c>
      <c r="F770" s="2628">
        <v>0</v>
      </c>
      <c r="G770" s="2628">
        <v>4</v>
      </c>
      <c r="H770" s="2628">
        <v>4</v>
      </c>
      <c r="I770" s="2628" t="s">
        <v>1456</v>
      </c>
      <c r="J770" s="2628" t="s">
        <v>1456</v>
      </c>
      <c r="K770" s="2878" t="s">
        <v>7280</v>
      </c>
      <c r="L770" s="2628"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34">
        <v>8</v>
      </c>
      <c r="N770" s="2634">
        <v>-3</v>
      </c>
      <c r="O770" s="2634">
        <v>20</v>
      </c>
      <c r="P770" s="2628"/>
      <c r="Q770" s="2628"/>
      <c r="R770" s="2628" t="s">
        <v>1456</v>
      </c>
      <c r="S770" s="2628">
        <v>4</v>
      </c>
      <c r="T770" s="2628">
        <v>50</v>
      </c>
      <c r="U770" s="2635">
        <v>9</v>
      </c>
      <c r="V770" s="2878" t="s">
        <v>2183</v>
      </c>
      <c r="W770" s="2878"/>
      <c r="X770" s="2679" t="s">
        <v>10157</v>
      </c>
      <c r="Y770" s="2618">
        <f>VLOOKUP(U770,Tabla_BonoStats,2)</f>
        <v>10</v>
      </c>
      <c r="Z770" s="1265" t="str">
        <f t="shared" si="166"/>
        <v/>
      </c>
      <c r="AA770" s="227"/>
      <c r="AB770" s="6251" t="s">
        <v>10058</v>
      </c>
      <c r="AC770" s="6252"/>
      <c r="AD770" s="6252"/>
      <c r="AE770" s="6252"/>
      <c r="AG770" s="853" t="str">
        <f t="shared" si="167"/>
        <v/>
      </c>
      <c r="AH770" s="78" t="str">
        <f t="shared" si="168"/>
        <v/>
      </c>
      <c r="AI770" s="78" t="str">
        <f t="shared" si="169"/>
        <v/>
      </c>
      <c r="AJ770" s="1256">
        <f>IF(OR($L770=AJ$635,$L770="",$D770=$AL$634),MAX(AJ$637:AJ769)+1,0)</f>
        <v>0</v>
      </c>
      <c r="AK770" s="1257">
        <f>IF(OR($L770=AK$635,$L770="",$D770=$AL$634),MAX(AK$637:AK769)+1,0)</f>
        <v>0</v>
      </c>
      <c r="AL770" s="1258">
        <f>IF(OR($L770=AL$635,$L770="",$D770=$AL$634),MAX(AL$637:AL769)+1,0)</f>
        <v>107</v>
      </c>
      <c r="AM770" s="6225"/>
      <c r="AN770" s="853" t="str">
        <f t="shared" si="170"/>
        <v/>
      </c>
      <c r="AO770" s="78" t="str">
        <f t="shared" si="171"/>
        <v/>
      </c>
      <c r="AP770" s="78" t="str">
        <f t="shared" si="172"/>
        <v/>
      </c>
      <c r="AQ770" s="1256">
        <f>IF(OR($L770=AQ$635,$L770="",$D770=$AS$634),MAX(AQ$637:AQ769)+1,0)</f>
        <v>0</v>
      </c>
      <c r="AR770" s="1257">
        <f>IF(OR($L770=AR$635,$L770="",$D770=$AS$634),MAX(AR$637:AR769)+1,0)</f>
        <v>0</v>
      </c>
      <c r="AS770" s="1258">
        <f>IF(OR($L770=AS$635,$L770="",$D770=$AS$634),MAX(AS$637:AS769)+1,0)</f>
        <v>107</v>
      </c>
      <c r="AT770" s="6225"/>
      <c r="AU770" s="853" t="str">
        <f t="shared" si="173"/>
        <v/>
      </c>
      <c r="AV770" s="78" t="str">
        <f t="shared" si="174"/>
        <v/>
      </c>
      <c r="AW770" s="78" t="str">
        <f t="shared" si="175"/>
        <v/>
      </c>
      <c r="AX770" s="1256">
        <f>IF(OR($L770=AX$635,$L770="",$D770=$AZ$634),MAX(AX$637:AX769)+1,0)</f>
        <v>0</v>
      </c>
      <c r="AY770" s="1257">
        <f>IF(OR($L770=AY$635,$L770="",$D770=$AZ$634),MAX(AY$637:AY769)+1,0)</f>
        <v>0</v>
      </c>
      <c r="AZ770" s="1258">
        <f>IF(OR($L770=AZ$635,$L770="",$D770=$AZ$634),MAX(AZ$637:AZ769)+1,0)</f>
        <v>107</v>
      </c>
      <c r="BA770" s="6225"/>
      <c r="BB770" s="853" t="str">
        <f t="shared" si="176"/>
        <v/>
      </c>
      <c r="BC770" s="78" t="str">
        <f t="shared" si="177"/>
        <v/>
      </c>
      <c r="BD770" s="78" t="str">
        <f t="shared" si="178"/>
        <v/>
      </c>
      <c r="BE770" s="1256">
        <f>IF(OR($L770=BE$635,$L770="",$D770=$BG$634),MAX(BE$637:BE769)+1,0)</f>
        <v>0</v>
      </c>
      <c r="BF770" s="1257">
        <f>IF(OR($L770=BF$635,$L770="",$D770=$BG$634),MAX(BF$637:BF769)+1,0)</f>
        <v>0</v>
      </c>
      <c r="BG770" s="1258">
        <f>IF(OR($L770=BG$635,$L770="",$D770=$BG$634),MAX(BG$637:BG769)+1,0)</f>
        <v>107</v>
      </c>
      <c r="BH770" s="6225"/>
      <c r="BI770" s="853" t="str">
        <f t="shared" si="179"/>
        <v/>
      </c>
      <c r="BJ770" s="78" t="str">
        <f t="shared" si="180"/>
        <v/>
      </c>
      <c r="BK770" s="78" t="str">
        <f t="shared" si="181"/>
        <v/>
      </c>
      <c r="BL770" s="1256">
        <f>IF(OR($L770=BL$635,$L770="",$D770=$BN$634),MAX(BL$637:BL769)+1,0)</f>
        <v>0</v>
      </c>
      <c r="BM770" s="1257">
        <f>IF(OR($L770=BM$635,$L770="",$D770=$BN$634),MAX(BM$637:BM769)+1,0)</f>
        <v>0</v>
      </c>
      <c r="BN770" s="1258">
        <f>IF(OR($L770=BN$635,$L770="",$D770=$BN$634),MAX(BN$637:BN769)+1,0)</f>
        <v>107</v>
      </c>
      <c r="BO770" s="6225"/>
      <c r="BP770" s="853" t="str">
        <f t="shared" si="182"/>
        <v/>
      </c>
      <c r="BQ770" s="78" t="str">
        <f t="shared" si="183"/>
        <v/>
      </c>
      <c r="BR770" s="78" t="str">
        <f t="shared" si="184"/>
        <v/>
      </c>
      <c r="BS770" s="1256">
        <f>IF(OR($L770=BS$635,$L770="",$D770=$BU$634),MAX(BS$637:BS769)+1,0)</f>
        <v>0</v>
      </c>
      <c r="BT770" s="1257">
        <f>IF(OR($L770=BT$635,$L770="",$D770=$BU$634),MAX(BT$637:BT769)+1,0)</f>
        <v>0</v>
      </c>
      <c r="BU770" s="1258">
        <f>IF(OR($L770=BU$635,$L770="",$D770=$BU$634),MAX(BU$637:BU769)+1,0)</f>
        <v>107</v>
      </c>
    </row>
    <row r="771" spans="1:73" ht="12.75" customHeight="1" thickBot="1" x14ac:dyDescent="0.25">
      <c r="A771" s="227">
        <v>771</v>
      </c>
      <c r="B771" s="5988"/>
      <c r="C771" s="1146"/>
      <c r="D771" s="2412" t="s">
        <v>8301</v>
      </c>
      <c r="E771" s="2878"/>
      <c r="F771" s="2878"/>
      <c r="G771" s="2878"/>
      <c r="H771" s="2878"/>
      <c r="I771" s="2878"/>
      <c r="J771" s="2878"/>
      <c r="K771" s="2878"/>
      <c r="L771" s="2628"/>
      <c r="M771" s="2878"/>
      <c r="N771" s="2878"/>
      <c r="O771" s="2878"/>
      <c r="P771" s="2878"/>
      <c r="Q771" s="2878"/>
      <c r="R771" s="2878"/>
      <c r="S771" s="2878"/>
      <c r="T771" s="2878"/>
      <c r="U771" s="2878"/>
      <c r="V771" s="2878"/>
      <c r="W771" s="2878"/>
      <c r="X771" s="2879"/>
      <c r="Y771" s="2618"/>
      <c r="Z771" s="1265" t="str">
        <f t="shared" si="166"/>
        <v/>
      </c>
      <c r="AA771" s="227"/>
      <c r="AB771" s="1406" t="str">
        <f>"Tablas!"&amp;ADDRESS(ROW(IF(AB$640&lt;&gt;"",AB$640,IF(AB641&lt;&gt;"",AB641,IF(AB642&lt;&gt;"",AB642,AB643)))),COLUMN(IF(AB$640&lt;&gt;"",AB640,IF(AB641&lt;&gt;"",AB641,IF(AB642&lt;&gt;"",AB642,AB643)))))&amp;":"&amp;ADDRESS(ROW(AB741),COLUMN(AB741))</f>
        <v>Tablas!$AB$640:$AB$741</v>
      </c>
      <c r="AC771" s="1407" t="str">
        <f>"Tablas!"&amp;ADDRESS(ROW(IF(AC$640&lt;&gt;"",AC$640,IF(AC641&lt;&gt;"",AC641,IF(AC642&lt;&gt;"",AC642,AC643)))),COLUMN(IF(AC$640&lt;&gt;"",AC640,IF(AC641&lt;&gt;"",AC641,IF(AC642&lt;&gt;"",AC642,AC643)))))&amp;":"&amp;ADDRESS(ROW(AC684),COLUMN(AC684))</f>
        <v>Tablas!$AC$640:$AC$684</v>
      </c>
      <c r="AD771" s="1407" t="str">
        <f>"Tablas!"&amp;ADDRESS(ROW(IF(AD$640&lt;&gt;"",AD$640,IF(AD641&lt;&gt;"",AD641,IF(AD642&lt;&gt;"",AD642,AD643)))),COLUMN(IF(AD$640&lt;&gt;"",AD640,IF(AD641&lt;&gt;"",AD641,IF(AD642&lt;&gt;"",AD642,AD643)))))&amp;":"&amp;ADDRESS(ROW(AD652),COLUMN(AD652))</f>
        <v>Tablas!$AD$643:$AD$652</v>
      </c>
      <c r="AE771" s="1408" t="str">
        <f>"Tablas!"&amp;ADDRESS(ROW(IF(AE$640&lt;&gt;"",AE$640,IF(AE641&lt;&gt;"",AE641,IF(AE642&lt;&gt;"",AE642,AE643)))),COLUMN(IF(AE$640&lt;&gt;"",AE640,IF(AE641&lt;&gt;"",AE641,IF(AE642&lt;&gt;"",AE642,AE643)))))&amp;":"&amp;ADDRESS(ROW(AE656),COLUMN(AE656))</f>
        <v>Tablas!$AE$643:$AE$656</v>
      </c>
      <c r="AG771" s="853" t="str">
        <f t="shared" si="167"/>
        <v/>
      </c>
      <c r="AH771" s="78" t="str">
        <f t="shared" si="168"/>
        <v/>
      </c>
      <c r="AI771" s="78" t="str">
        <f t="shared" si="169"/>
        <v/>
      </c>
      <c r="AJ771" s="1256">
        <f>IF(OR($L771=AJ$635,$L771="",$D771=$AL$634),MAX(AJ$637:AJ770)+1,0)</f>
        <v>26</v>
      </c>
      <c r="AK771" s="1257">
        <f>IF(OR($L771=AK$635,$L771="",$D771=$AL$634),MAX(AK$637:AK770)+1,0)</f>
        <v>9</v>
      </c>
      <c r="AL771" s="1258">
        <f>IF(OR($L771=AL$635,$L771="",$D771=$AL$634),MAX(AL$637:AL770)+1,0)</f>
        <v>108</v>
      </c>
      <c r="AM771" s="6225"/>
      <c r="AN771" s="853" t="str">
        <f t="shared" si="170"/>
        <v/>
      </c>
      <c r="AO771" s="78" t="str">
        <f t="shared" si="171"/>
        <v/>
      </c>
      <c r="AP771" s="78" t="str">
        <f t="shared" si="172"/>
        <v/>
      </c>
      <c r="AQ771" s="1256">
        <f>IF(OR($L771=AQ$635,$L771="",$D771=$AS$634),MAX(AQ$637:AQ770)+1,0)</f>
        <v>26</v>
      </c>
      <c r="AR771" s="1257">
        <f>IF(OR($L771=AR$635,$L771="",$D771=$AS$634),MAX(AR$637:AR770)+1,0)</f>
        <v>9</v>
      </c>
      <c r="AS771" s="1258">
        <f>IF(OR($L771=AS$635,$L771="",$D771=$AS$634),MAX(AS$637:AS770)+1,0)</f>
        <v>108</v>
      </c>
      <c r="AT771" s="6225"/>
      <c r="AU771" s="853" t="str">
        <f t="shared" si="173"/>
        <v/>
      </c>
      <c r="AV771" s="78" t="str">
        <f t="shared" si="174"/>
        <v/>
      </c>
      <c r="AW771" s="78" t="str">
        <f t="shared" si="175"/>
        <v/>
      </c>
      <c r="AX771" s="1256">
        <f>IF(OR($L771=AX$635,$L771="",$D771=$AZ$634),MAX(AX$637:AX770)+1,0)</f>
        <v>26</v>
      </c>
      <c r="AY771" s="1257">
        <f>IF(OR($L771=AY$635,$L771="",$D771=$AZ$634),MAX(AY$637:AY770)+1,0)</f>
        <v>9</v>
      </c>
      <c r="AZ771" s="1258">
        <f>IF(OR($L771=AZ$635,$L771="",$D771=$AZ$634),MAX(AZ$637:AZ770)+1,0)</f>
        <v>108</v>
      </c>
      <c r="BA771" s="6225"/>
      <c r="BB771" s="853" t="str">
        <f t="shared" si="176"/>
        <v/>
      </c>
      <c r="BC771" s="78" t="str">
        <f t="shared" si="177"/>
        <v/>
      </c>
      <c r="BD771" s="78" t="str">
        <f t="shared" si="178"/>
        <v/>
      </c>
      <c r="BE771" s="1256">
        <f>IF(OR($L771=BE$635,$L771="",$D771=$BG$634),MAX(BE$637:BE770)+1,0)</f>
        <v>26</v>
      </c>
      <c r="BF771" s="1257">
        <f>IF(OR($L771=BF$635,$L771="",$D771=$BG$634),MAX(BF$637:BF770)+1,0)</f>
        <v>9</v>
      </c>
      <c r="BG771" s="1258">
        <f>IF(OR($L771=BG$635,$L771="",$D771=$BG$634),MAX(BG$637:BG770)+1,0)</f>
        <v>108</v>
      </c>
      <c r="BH771" s="6225"/>
      <c r="BI771" s="853" t="str">
        <f t="shared" si="179"/>
        <v/>
      </c>
      <c r="BJ771" s="78" t="str">
        <f t="shared" si="180"/>
        <v/>
      </c>
      <c r="BK771" s="78" t="str">
        <f t="shared" si="181"/>
        <v/>
      </c>
      <c r="BL771" s="1256">
        <f>IF(OR($L771=BL$635,$L771="",$D771=$BN$634),MAX(BL$637:BL770)+1,0)</f>
        <v>26</v>
      </c>
      <c r="BM771" s="1257">
        <f>IF(OR($L771=BM$635,$L771="",$D771=$BN$634),MAX(BM$637:BM770)+1,0)</f>
        <v>9</v>
      </c>
      <c r="BN771" s="1258">
        <f>IF(OR($L771=BN$635,$L771="",$D771=$BN$634),MAX(BN$637:BN770)+1,0)</f>
        <v>108</v>
      </c>
      <c r="BO771" s="6225"/>
      <c r="BP771" s="853" t="str">
        <f t="shared" si="182"/>
        <v/>
      </c>
      <c r="BQ771" s="78" t="str">
        <f t="shared" si="183"/>
        <v/>
      </c>
      <c r="BR771" s="78" t="str">
        <f t="shared" si="184"/>
        <v/>
      </c>
      <c r="BS771" s="1256">
        <f>IF(OR($L771=BS$635,$L771="",$D771=$BU$634),MAX(BS$637:BS770)+1,0)</f>
        <v>26</v>
      </c>
      <c r="BT771" s="1257">
        <f>IF(OR($L771=BT$635,$L771="",$D771=$BU$634),MAX(BT$637:BT770)+1,0)</f>
        <v>9</v>
      </c>
      <c r="BU771" s="1258">
        <f>IF(OR($L771=BU$635,$L771="",$D771=$BU$634),MAX(BU$637:BU770)+1,0)</f>
        <v>108</v>
      </c>
    </row>
    <row r="772" spans="1:73" ht="12.75" customHeight="1" x14ac:dyDescent="0.2">
      <c r="A772" s="227">
        <v>772</v>
      </c>
      <c r="B772" s="5988"/>
      <c r="C772" s="1146"/>
      <c r="D772" s="2410" t="s">
        <v>8302</v>
      </c>
      <c r="E772" s="2628">
        <v>0</v>
      </c>
      <c r="F772" s="2628">
        <v>-80</v>
      </c>
      <c r="G772" s="2628">
        <v>0</v>
      </c>
      <c r="H772" s="2628">
        <v>0</v>
      </c>
      <c r="I772" s="2628" t="s">
        <v>1456</v>
      </c>
      <c r="J772" s="2628" t="s">
        <v>1456</v>
      </c>
      <c r="K772" s="2878" t="s">
        <v>7280</v>
      </c>
      <c r="L772" s="2628"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28">
        <v>18</v>
      </c>
      <c r="N772" s="2628" t="s">
        <v>1456</v>
      </c>
      <c r="O772" s="2628">
        <v>25</v>
      </c>
      <c r="P772" s="2628"/>
      <c r="Q772" s="2628"/>
      <c r="R772" s="2628" t="s">
        <v>1456</v>
      </c>
      <c r="S772" s="2628"/>
      <c r="T772" s="2628">
        <v>150</v>
      </c>
      <c r="U772" s="2635">
        <v>10</v>
      </c>
      <c r="V772" s="2878" t="s">
        <v>2151</v>
      </c>
      <c r="W772" s="2878"/>
      <c r="X772" s="2679" t="s">
        <v>1967</v>
      </c>
      <c r="Y772" s="2618">
        <f>VLOOKUP(U772,Tabla_BonoStats,2)</f>
        <v>15</v>
      </c>
      <c r="Z772" s="1265" t="str">
        <f t="shared" si="166"/>
        <v/>
      </c>
      <c r="AA772" s="227"/>
      <c r="AC772" s="227"/>
      <c r="AG772" s="853" t="str">
        <f t="shared" si="167"/>
        <v/>
      </c>
      <c r="AH772" s="78" t="str">
        <f t="shared" si="168"/>
        <v/>
      </c>
      <c r="AI772" s="78" t="str">
        <f t="shared" si="169"/>
        <v/>
      </c>
      <c r="AJ772" s="1256">
        <f>IF(OR($L772=AJ$635,$L772="",$D772=$AL$634),MAX(AJ$637:AJ771)+1,0)</f>
        <v>0</v>
      </c>
      <c r="AK772" s="1257">
        <f>IF(OR($L772=AK$635,$L772="",$D772=$AL$634),MAX(AK$637:AK771)+1,0)</f>
        <v>0</v>
      </c>
      <c r="AL772" s="1258">
        <f>IF(OR($L772=AL$635,$L772="",$D772=$AL$634),MAX(AL$637:AL771)+1,0)</f>
        <v>109</v>
      </c>
      <c r="AM772" s="6225"/>
      <c r="AN772" s="853" t="str">
        <f t="shared" si="170"/>
        <v/>
      </c>
      <c r="AO772" s="78" t="str">
        <f t="shared" si="171"/>
        <v/>
      </c>
      <c r="AP772" s="78" t="str">
        <f t="shared" si="172"/>
        <v/>
      </c>
      <c r="AQ772" s="1256">
        <f>IF(OR($L772=AQ$635,$L772="",$D772=$AS$634),MAX(AQ$637:AQ771)+1,0)</f>
        <v>0</v>
      </c>
      <c r="AR772" s="1257">
        <f>IF(OR($L772=AR$635,$L772="",$D772=$AS$634),MAX(AR$637:AR771)+1,0)</f>
        <v>0</v>
      </c>
      <c r="AS772" s="1258">
        <f>IF(OR($L772=AS$635,$L772="",$D772=$AS$634),MAX(AS$637:AS771)+1,0)</f>
        <v>109</v>
      </c>
      <c r="AT772" s="6225"/>
      <c r="AU772" s="853" t="str">
        <f t="shared" si="173"/>
        <v/>
      </c>
      <c r="AV772" s="78" t="str">
        <f t="shared" si="174"/>
        <v/>
      </c>
      <c r="AW772" s="78" t="str">
        <f t="shared" si="175"/>
        <v/>
      </c>
      <c r="AX772" s="1256">
        <f>IF(OR($L772=AX$635,$L772="",$D772=$AZ$634),MAX(AX$637:AX771)+1,0)</f>
        <v>0</v>
      </c>
      <c r="AY772" s="1257">
        <f>IF(OR($L772=AY$635,$L772="",$D772=$AZ$634),MAX(AY$637:AY771)+1,0)</f>
        <v>0</v>
      </c>
      <c r="AZ772" s="1258">
        <f>IF(OR($L772=AZ$635,$L772="",$D772=$AZ$634),MAX(AZ$637:AZ771)+1,0)</f>
        <v>109</v>
      </c>
      <c r="BA772" s="6225"/>
      <c r="BB772" s="853" t="str">
        <f t="shared" si="176"/>
        <v/>
      </c>
      <c r="BC772" s="78" t="str">
        <f t="shared" si="177"/>
        <v/>
      </c>
      <c r="BD772" s="78" t="str">
        <f t="shared" si="178"/>
        <v/>
      </c>
      <c r="BE772" s="1256">
        <f>IF(OR($L772=BE$635,$L772="",$D772=$BG$634),MAX(BE$637:BE771)+1,0)</f>
        <v>0</v>
      </c>
      <c r="BF772" s="1257">
        <f>IF(OR($L772=BF$635,$L772="",$D772=$BG$634),MAX(BF$637:BF771)+1,0)</f>
        <v>0</v>
      </c>
      <c r="BG772" s="1258">
        <f>IF(OR($L772=BG$635,$L772="",$D772=$BG$634),MAX(BG$637:BG771)+1,0)</f>
        <v>109</v>
      </c>
      <c r="BH772" s="6225"/>
      <c r="BI772" s="853" t="str">
        <f t="shared" si="179"/>
        <v/>
      </c>
      <c r="BJ772" s="78" t="str">
        <f t="shared" si="180"/>
        <v/>
      </c>
      <c r="BK772" s="78" t="str">
        <f t="shared" si="181"/>
        <v/>
      </c>
      <c r="BL772" s="1256">
        <f>IF(OR($L772=BL$635,$L772="",$D772=$BN$634),MAX(BL$637:BL771)+1,0)</f>
        <v>0</v>
      </c>
      <c r="BM772" s="1257">
        <f>IF(OR($L772=BM$635,$L772="",$D772=$BN$634),MAX(BM$637:BM771)+1,0)</f>
        <v>0</v>
      </c>
      <c r="BN772" s="1258">
        <f>IF(OR($L772=BN$635,$L772="",$D772=$BN$634),MAX(BN$637:BN771)+1,0)</f>
        <v>109</v>
      </c>
      <c r="BO772" s="6225"/>
      <c r="BP772" s="853" t="str">
        <f t="shared" si="182"/>
        <v/>
      </c>
      <c r="BQ772" s="78" t="str">
        <f t="shared" si="183"/>
        <v/>
      </c>
      <c r="BR772" s="78" t="str">
        <f t="shared" si="184"/>
        <v/>
      </c>
      <c r="BS772" s="1256">
        <f>IF(OR($L772=BS$635,$L772="",$D772=$BU$634),MAX(BS$637:BS771)+1,0)</f>
        <v>0</v>
      </c>
      <c r="BT772" s="1257">
        <f>IF(OR($L772=BT$635,$L772="",$D772=$BU$634),MAX(BT$637:BT771)+1,0)</f>
        <v>0</v>
      </c>
      <c r="BU772" s="1258">
        <f>IF(OR($L772=BU$635,$L772="",$D772=$BU$634),MAX(BU$637:BU771)+1,0)</f>
        <v>109</v>
      </c>
    </row>
    <row r="773" spans="1:73" ht="12.75" customHeight="1" x14ac:dyDescent="0.2">
      <c r="A773" s="227">
        <v>773</v>
      </c>
      <c r="B773" s="5988"/>
      <c r="C773" s="1146"/>
      <c r="D773" s="2410" t="s">
        <v>8303</v>
      </c>
      <c r="E773" s="2628">
        <v>0</v>
      </c>
      <c r="F773" s="2628">
        <v>-100</v>
      </c>
      <c r="G773" s="2628">
        <v>0</v>
      </c>
      <c r="H773" s="2628">
        <v>0</v>
      </c>
      <c r="I773" s="2628" t="s">
        <v>1456</v>
      </c>
      <c r="J773" s="2628" t="s">
        <v>1456</v>
      </c>
      <c r="K773" s="2878" t="s">
        <v>7280</v>
      </c>
      <c r="L773" s="2628"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28">
        <v>20</v>
      </c>
      <c r="N773" s="2628" t="s">
        <v>1456</v>
      </c>
      <c r="O773" s="2628">
        <v>30</v>
      </c>
      <c r="P773" s="2628"/>
      <c r="Q773" s="2628"/>
      <c r="R773" s="2628" t="s">
        <v>1456</v>
      </c>
      <c r="S773" s="2628"/>
      <c r="T773" s="2628">
        <v>200</v>
      </c>
      <c r="U773" s="2635">
        <v>13</v>
      </c>
      <c r="V773" s="2878" t="s">
        <v>2151</v>
      </c>
      <c r="W773" s="2878"/>
      <c r="X773" s="2679" t="s">
        <v>1967</v>
      </c>
      <c r="Y773" s="2618">
        <f>VLOOKUP(U773,Tabla_BonoStats,2)</f>
        <v>25</v>
      </c>
      <c r="Z773" s="1265" t="str">
        <f t="shared" si="166"/>
        <v/>
      </c>
      <c r="AA773" s="227"/>
      <c r="AC773" s="227"/>
      <c r="AG773" s="853" t="str">
        <f t="shared" si="167"/>
        <v/>
      </c>
      <c r="AH773" s="78" t="str">
        <f t="shared" si="168"/>
        <v/>
      </c>
      <c r="AI773" s="78" t="str">
        <f t="shared" si="169"/>
        <v/>
      </c>
      <c r="AJ773" s="1256">
        <f>IF(OR($L773=AJ$635,$L773="",$D773=$AL$634),MAX(AJ$637:AJ772)+1,0)</f>
        <v>0</v>
      </c>
      <c r="AK773" s="1257">
        <f>IF(OR($L773=AK$635,$L773="",$D773=$AL$634),MAX(AK$637:AK772)+1,0)</f>
        <v>0</v>
      </c>
      <c r="AL773" s="1258">
        <f>IF(OR($L773=AL$635,$L773="",$D773=$AL$634),MAX(AL$637:AL772)+1,0)</f>
        <v>110</v>
      </c>
      <c r="AM773" s="6225"/>
      <c r="AN773" s="853" t="str">
        <f t="shared" si="170"/>
        <v/>
      </c>
      <c r="AO773" s="78" t="str">
        <f t="shared" si="171"/>
        <v/>
      </c>
      <c r="AP773" s="78" t="str">
        <f t="shared" si="172"/>
        <v/>
      </c>
      <c r="AQ773" s="1256">
        <f>IF(OR($L773=AQ$635,$L773="",$D773=$AS$634),MAX(AQ$637:AQ772)+1,0)</f>
        <v>0</v>
      </c>
      <c r="AR773" s="1257">
        <f>IF(OR($L773=AR$635,$L773="",$D773=$AS$634),MAX(AR$637:AR772)+1,0)</f>
        <v>0</v>
      </c>
      <c r="AS773" s="1258">
        <f>IF(OR($L773=AS$635,$L773="",$D773=$AS$634),MAX(AS$637:AS772)+1,0)</f>
        <v>110</v>
      </c>
      <c r="AT773" s="6225"/>
      <c r="AU773" s="853" t="str">
        <f t="shared" si="173"/>
        <v/>
      </c>
      <c r="AV773" s="78" t="str">
        <f t="shared" si="174"/>
        <v/>
      </c>
      <c r="AW773" s="78" t="str">
        <f t="shared" si="175"/>
        <v/>
      </c>
      <c r="AX773" s="1256">
        <f>IF(OR($L773=AX$635,$L773="",$D773=$AZ$634),MAX(AX$637:AX772)+1,0)</f>
        <v>0</v>
      </c>
      <c r="AY773" s="1257">
        <f>IF(OR($L773=AY$635,$L773="",$D773=$AZ$634),MAX(AY$637:AY772)+1,0)</f>
        <v>0</v>
      </c>
      <c r="AZ773" s="1258">
        <f>IF(OR($L773=AZ$635,$L773="",$D773=$AZ$634),MAX(AZ$637:AZ772)+1,0)</f>
        <v>110</v>
      </c>
      <c r="BA773" s="6225"/>
      <c r="BB773" s="853" t="str">
        <f t="shared" si="176"/>
        <v/>
      </c>
      <c r="BC773" s="78" t="str">
        <f t="shared" si="177"/>
        <v/>
      </c>
      <c r="BD773" s="78" t="str">
        <f t="shared" si="178"/>
        <v/>
      </c>
      <c r="BE773" s="1256">
        <f>IF(OR($L773=BE$635,$L773="",$D773=$BG$634),MAX(BE$637:BE772)+1,0)</f>
        <v>0</v>
      </c>
      <c r="BF773" s="1257">
        <f>IF(OR($L773=BF$635,$L773="",$D773=$BG$634),MAX(BF$637:BF772)+1,0)</f>
        <v>0</v>
      </c>
      <c r="BG773" s="1258">
        <f>IF(OR($L773=BG$635,$L773="",$D773=$BG$634),MAX(BG$637:BG772)+1,0)</f>
        <v>110</v>
      </c>
      <c r="BH773" s="6225"/>
      <c r="BI773" s="853" t="str">
        <f t="shared" si="179"/>
        <v/>
      </c>
      <c r="BJ773" s="78" t="str">
        <f t="shared" si="180"/>
        <v/>
      </c>
      <c r="BK773" s="78" t="str">
        <f t="shared" si="181"/>
        <v/>
      </c>
      <c r="BL773" s="1256">
        <f>IF(OR($L773=BL$635,$L773="",$D773=$BN$634),MAX(BL$637:BL772)+1,0)</f>
        <v>0</v>
      </c>
      <c r="BM773" s="1257">
        <f>IF(OR($L773=BM$635,$L773="",$D773=$BN$634),MAX(BM$637:BM772)+1,0)</f>
        <v>0</v>
      </c>
      <c r="BN773" s="1258">
        <f>IF(OR($L773=BN$635,$L773="",$D773=$BN$634),MAX(BN$637:BN772)+1,0)</f>
        <v>110</v>
      </c>
      <c r="BO773" s="6225"/>
      <c r="BP773" s="853" t="str">
        <f t="shared" si="182"/>
        <v/>
      </c>
      <c r="BQ773" s="78" t="str">
        <f t="shared" si="183"/>
        <v/>
      </c>
      <c r="BR773" s="78" t="str">
        <f t="shared" si="184"/>
        <v/>
      </c>
      <c r="BS773" s="1256">
        <f>IF(OR($L773=BS$635,$L773="",$D773=$BU$634),MAX(BS$637:BS772)+1,0)</f>
        <v>0</v>
      </c>
      <c r="BT773" s="1257">
        <f>IF(OR($L773=BT$635,$L773="",$D773=$BU$634),MAX(BT$637:BT772)+1,0)</f>
        <v>0</v>
      </c>
      <c r="BU773" s="1258">
        <f>IF(OR($L773=BU$635,$L773="",$D773=$BU$634),MAX(BU$637:BU772)+1,0)</f>
        <v>110</v>
      </c>
    </row>
    <row r="774" spans="1:73" ht="12.75" customHeight="1" thickBot="1" x14ac:dyDescent="0.25">
      <c r="A774" s="227">
        <v>774</v>
      </c>
      <c r="B774" s="5988"/>
      <c r="C774" s="1146"/>
      <c r="D774" s="2410" t="s">
        <v>8304</v>
      </c>
      <c r="E774" s="2628">
        <v>0</v>
      </c>
      <c r="F774" s="2628">
        <v>-100</v>
      </c>
      <c r="G774" s="2628">
        <v>0</v>
      </c>
      <c r="H774" s="2628">
        <v>0</v>
      </c>
      <c r="I774" s="2628" t="s">
        <v>1456</v>
      </c>
      <c r="J774" s="2628" t="s">
        <v>1456</v>
      </c>
      <c r="K774" s="2878" t="s">
        <v>7280</v>
      </c>
      <c r="L774" s="2628"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28">
        <v>24</v>
      </c>
      <c r="N774" s="2628" t="s">
        <v>1456</v>
      </c>
      <c r="O774" s="2628">
        <v>30</v>
      </c>
      <c r="P774" s="2628"/>
      <c r="Q774" s="2628"/>
      <c r="R774" s="2628" t="s">
        <v>1456</v>
      </c>
      <c r="S774" s="2628">
        <v>12</v>
      </c>
      <c r="T774" s="2628">
        <v>250</v>
      </c>
      <c r="U774" s="2635">
        <v>14</v>
      </c>
      <c r="V774" s="2878" t="s">
        <v>2151</v>
      </c>
      <c r="W774" s="2878"/>
      <c r="X774" s="2679" t="s">
        <v>1967</v>
      </c>
      <c r="Y774" s="2618">
        <f>VLOOKUP(U774,Tabla_BonoStats,2)</f>
        <v>25</v>
      </c>
      <c r="Z774" s="1265" t="str">
        <f t="shared" si="166"/>
        <v/>
      </c>
      <c r="AA774" s="227"/>
      <c r="AC774" s="227"/>
      <c r="AG774" s="1145" t="str">
        <f t="shared" si="167"/>
        <v/>
      </c>
      <c r="AH774" s="929" t="str">
        <f t="shared" si="168"/>
        <v/>
      </c>
      <c r="AI774" s="929" t="str">
        <f t="shared" si="169"/>
        <v/>
      </c>
      <c r="AJ774" s="1643">
        <f>IF(OR($L774=AJ$635,$L774="",$D774=$AL$634),MAX(AJ$637:AJ773)+1,0)</f>
        <v>0</v>
      </c>
      <c r="AK774" s="1260">
        <f>IF(OR($L774=AK$635,$L774="",$D774=$AL$634),MAX(AK$637:AK773)+1,0)</f>
        <v>0</v>
      </c>
      <c r="AL774" s="1261">
        <f>IF(OR($L774=AL$635,$L774="",$D774=$AL$634),MAX(AL$637:AL773)+1,0)</f>
        <v>111</v>
      </c>
      <c r="AM774" s="6225"/>
      <c r="AN774" s="1145" t="str">
        <f t="shared" si="170"/>
        <v/>
      </c>
      <c r="AO774" s="929" t="str">
        <f t="shared" si="171"/>
        <v/>
      </c>
      <c r="AP774" s="929" t="str">
        <f t="shared" si="172"/>
        <v/>
      </c>
      <c r="AQ774" s="1643">
        <f>IF(OR($L774=AQ$635,$L774="",$D774=$AS$634),MAX(AQ$637:AQ773)+1,0)</f>
        <v>0</v>
      </c>
      <c r="AR774" s="1260">
        <f>IF(OR($L774=AR$635,$L774="",$D774=$AS$634),MAX(AR$637:AR773)+1,0)</f>
        <v>0</v>
      </c>
      <c r="AS774" s="1261">
        <f>IF(OR($L774=AS$635,$L774="",$D774=$AS$634),MAX(AS$637:AS773)+1,0)</f>
        <v>111</v>
      </c>
      <c r="AT774" s="6225"/>
      <c r="AU774" s="1145" t="str">
        <f t="shared" si="173"/>
        <v/>
      </c>
      <c r="AV774" s="929" t="str">
        <f t="shared" si="174"/>
        <v/>
      </c>
      <c r="AW774" s="929" t="str">
        <f t="shared" si="175"/>
        <v/>
      </c>
      <c r="AX774" s="1643">
        <f>IF(OR($L774=AX$635,$L774="",$D774=$AZ$634),MAX(AX$637:AX773)+1,0)</f>
        <v>0</v>
      </c>
      <c r="AY774" s="1260">
        <f>IF(OR($L774=AY$635,$L774="",$D774=$AZ$634),MAX(AY$637:AY773)+1,0)</f>
        <v>0</v>
      </c>
      <c r="AZ774" s="1261">
        <f>IF(OR($L774=AZ$635,$L774="",$D774=$AZ$634),MAX(AZ$637:AZ773)+1,0)</f>
        <v>111</v>
      </c>
      <c r="BA774" s="6225"/>
      <c r="BB774" s="1145" t="str">
        <f t="shared" si="176"/>
        <v/>
      </c>
      <c r="BC774" s="929" t="str">
        <f t="shared" si="177"/>
        <v/>
      </c>
      <c r="BD774" s="929" t="str">
        <f t="shared" si="178"/>
        <v/>
      </c>
      <c r="BE774" s="1643">
        <f>IF(OR($L774=BE$635,$L774="",$D774=$BG$634),MAX(BE$637:BE773)+1,0)</f>
        <v>0</v>
      </c>
      <c r="BF774" s="1260">
        <f>IF(OR($L774=BF$635,$L774="",$D774=$BG$634),MAX(BF$637:BF773)+1,0)</f>
        <v>0</v>
      </c>
      <c r="BG774" s="1261">
        <f>IF(OR($L774=BG$635,$L774="",$D774=$BG$634),MAX(BG$637:BG773)+1,0)</f>
        <v>111</v>
      </c>
      <c r="BH774" s="6225"/>
      <c r="BI774" s="1145" t="str">
        <f t="shared" si="179"/>
        <v/>
      </c>
      <c r="BJ774" s="929" t="str">
        <f t="shared" si="180"/>
        <v/>
      </c>
      <c r="BK774" s="929" t="str">
        <f t="shared" si="181"/>
        <v/>
      </c>
      <c r="BL774" s="1643">
        <f>IF(OR($L774=BL$635,$L774="",$D774=$BN$634),MAX(BL$637:BL773)+1,0)</f>
        <v>0</v>
      </c>
      <c r="BM774" s="1260">
        <f>IF(OR($L774=BM$635,$L774="",$D774=$BN$634),MAX(BM$637:BM773)+1,0)</f>
        <v>0</v>
      </c>
      <c r="BN774" s="1261">
        <f>IF(OR($L774=BN$635,$L774="",$D774=$BN$634),MAX(BN$637:BN773)+1,0)</f>
        <v>111</v>
      </c>
      <c r="BO774" s="6225"/>
      <c r="BP774" s="1145" t="str">
        <f t="shared" si="182"/>
        <v/>
      </c>
      <c r="BQ774" s="929" t="str">
        <f t="shared" si="183"/>
        <v/>
      </c>
      <c r="BR774" s="929" t="str">
        <f t="shared" si="184"/>
        <v/>
      </c>
      <c r="BS774" s="1643">
        <f>IF(OR($L774=BS$635,$L774="",$D774=$BU$634),MAX(BS$637:BS773)+1,0)</f>
        <v>0</v>
      </c>
      <c r="BT774" s="1260">
        <f>IF(OR($L774=BT$635,$L774="",$D774=$BU$634),MAX(BT$637:BT773)+1,0)</f>
        <v>0</v>
      </c>
      <c r="BU774" s="1261">
        <f>IF(OR($L774=BU$635,$L774="",$D774=$BU$634),MAX(BU$637:BU773)+1,0)</f>
        <v>111</v>
      </c>
    </row>
    <row r="775" spans="1:73" ht="12.75" customHeight="1" thickBot="1" x14ac:dyDescent="0.25">
      <c r="A775" s="227">
        <v>775</v>
      </c>
      <c r="B775" s="5988"/>
      <c r="C775" s="1146"/>
      <c r="D775" s="2629" t="s">
        <v>2208</v>
      </c>
      <c r="E775" s="2626"/>
      <c r="F775" s="2626"/>
      <c r="G775" s="2626"/>
      <c r="H775" s="2626"/>
      <c r="I775" s="2626"/>
      <c r="J775" s="2626"/>
      <c r="K775" s="2622" t="s">
        <v>7260</v>
      </c>
      <c r="L775" s="2626"/>
      <c r="M775" s="2626"/>
      <c r="N775" s="2626"/>
      <c r="O775" s="2626"/>
      <c r="P775" s="2626"/>
      <c r="Q775" s="2626"/>
      <c r="R775" s="2626"/>
      <c r="S775" s="2626"/>
      <c r="T775" s="2626"/>
      <c r="U775" s="2626"/>
      <c r="V775" s="2622"/>
      <c r="W775" s="2622"/>
      <c r="X775" s="2623" t="str">
        <f t="shared" si="143"/>
        <v/>
      </c>
      <c r="Y775" s="1149"/>
      <c r="Z775" s="1265" t="str">
        <f t="shared" si="166"/>
        <v/>
      </c>
      <c r="AA775" s="227"/>
      <c r="AC775" s="227"/>
      <c r="AG775" s="1145" t="str">
        <f>""</f>
        <v/>
      </c>
      <c r="AH775" s="929" t="str">
        <f>""</f>
        <v/>
      </c>
      <c r="AI775" s="929" t="str">
        <f>""</f>
        <v/>
      </c>
      <c r="AJ775" s="1643"/>
      <c r="AK775" s="1260"/>
      <c r="AL775" s="1261"/>
      <c r="AM775" s="6225"/>
      <c r="AN775" s="1145" t="str">
        <f>""</f>
        <v/>
      </c>
      <c r="AO775" s="929" t="str">
        <f>""</f>
        <v/>
      </c>
      <c r="AP775" s="929" t="str">
        <f>""</f>
        <v/>
      </c>
      <c r="AQ775" s="1643"/>
      <c r="AR775" s="1260"/>
      <c r="AS775" s="1261"/>
      <c r="AT775" s="6225"/>
      <c r="AU775" s="1145" t="str">
        <f>""</f>
        <v/>
      </c>
      <c r="AV775" s="929" t="str">
        <f>""</f>
        <v/>
      </c>
      <c r="AW775" s="929" t="str">
        <f>""</f>
        <v/>
      </c>
      <c r="AX775" s="1643"/>
      <c r="AY775" s="1260"/>
      <c r="AZ775" s="1261"/>
      <c r="BA775" s="6225"/>
      <c r="BB775" s="1145" t="str">
        <f>""</f>
        <v/>
      </c>
      <c r="BC775" s="929" t="str">
        <f>""</f>
        <v/>
      </c>
      <c r="BD775" s="929" t="str">
        <f>""</f>
        <v/>
      </c>
      <c r="BE775" s="1643"/>
      <c r="BF775" s="1260"/>
      <c r="BG775" s="1261"/>
      <c r="BH775" s="6225"/>
      <c r="BI775" s="1145" t="str">
        <f>""</f>
        <v/>
      </c>
      <c r="BJ775" s="929" t="str">
        <f>""</f>
        <v/>
      </c>
      <c r="BK775" s="929" t="str">
        <f>""</f>
        <v/>
      </c>
      <c r="BL775" s="1643"/>
      <c r="BM775" s="1260"/>
      <c r="BN775" s="1261"/>
      <c r="BO775" s="6225"/>
      <c r="BP775" s="1145" t="str">
        <f>""</f>
        <v/>
      </c>
      <c r="BQ775" s="929" t="str">
        <f>""</f>
        <v/>
      </c>
      <c r="BR775" s="929" t="str">
        <f>""</f>
        <v/>
      </c>
      <c r="BS775" s="1643"/>
      <c r="BT775" s="1260"/>
      <c r="BU775" s="1261"/>
    </row>
    <row r="776" spans="1:73" ht="12.75" customHeight="1" thickBot="1" x14ac:dyDescent="0.25">
      <c r="A776" s="227">
        <v>776</v>
      </c>
      <c r="B776" s="5988"/>
      <c r="C776" s="1146"/>
      <c r="D776" s="2629" t="s">
        <v>2209</v>
      </c>
      <c r="E776" s="2628">
        <v>60</v>
      </c>
      <c r="F776" s="2628" t="s">
        <v>1456</v>
      </c>
      <c r="G776" s="2628">
        <v>0</v>
      </c>
      <c r="H776" s="2628">
        <v>0</v>
      </c>
      <c r="I776" s="2628" t="s">
        <v>1552</v>
      </c>
      <c r="J776" s="2628" t="s">
        <v>1456</v>
      </c>
      <c r="K776" s="2878" t="s">
        <v>7281</v>
      </c>
      <c r="L776" s="2628"/>
      <c r="M776" s="2634">
        <v>11</v>
      </c>
      <c r="N776" s="2634">
        <v>5</v>
      </c>
      <c r="O776" s="2634">
        <v>15</v>
      </c>
      <c r="P776" s="2628"/>
      <c r="Q776" s="2628"/>
      <c r="R776" s="2628" t="s">
        <v>1456</v>
      </c>
      <c r="S776" s="2628" t="s">
        <v>1456</v>
      </c>
      <c r="T776" s="2628" t="s">
        <v>1456</v>
      </c>
      <c r="U776" s="2628"/>
      <c r="V776" s="6212" t="s">
        <v>2210</v>
      </c>
      <c r="W776" s="6212"/>
      <c r="X776" s="6213"/>
      <c r="Y776" s="2618">
        <v>0</v>
      </c>
      <c r="Z776" s="1265" t="str">
        <f t="shared" si="166"/>
        <v/>
      </c>
      <c r="AA776" s="227"/>
      <c r="AC776" s="227"/>
    </row>
    <row r="777" spans="1:73" ht="12.75" customHeight="1" x14ac:dyDescent="0.2">
      <c r="A777" s="227">
        <v>777</v>
      </c>
      <c r="B777" s="5988"/>
      <c r="C777" s="1146"/>
      <c r="D777" s="2629" t="s">
        <v>8553</v>
      </c>
      <c r="E777" s="2628">
        <v>30</v>
      </c>
      <c r="F777" s="2628" t="s">
        <v>1456</v>
      </c>
      <c r="G777" s="2628">
        <v>0</v>
      </c>
      <c r="H777" s="2628">
        <v>0</v>
      </c>
      <c r="I777" s="2628" t="s">
        <v>1552</v>
      </c>
      <c r="J777" s="2628" t="s">
        <v>1456</v>
      </c>
      <c r="K777" s="2878" t="s">
        <v>7281</v>
      </c>
      <c r="L777" s="2628"/>
      <c r="M777" s="2634">
        <v>6</v>
      </c>
      <c r="N777" s="2634">
        <v>1</v>
      </c>
      <c r="O777" s="2634">
        <v>10</v>
      </c>
      <c r="P777" s="2628"/>
      <c r="Q777" s="2628"/>
      <c r="R777" s="2628" t="s">
        <v>1456</v>
      </c>
      <c r="S777" s="2628" t="s">
        <v>1456</v>
      </c>
      <c r="T777" s="2628" t="s">
        <v>1456</v>
      </c>
      <c r="U777" s="2628"/>
      <c r="V777" s="2878" t="s">
        <v>8561</v>
      </c>
      <c r="W777" s="2878"/>
      <c r="X777" s="2879"/>
      <c r="Y777" s="2618">
        <v>0</v>
      </c>
      <c r="Z777" s="1265" t="str">
        <f t="shared" si="166"/>
        <v/>
      </c>
      <c r="AA777" s="227"/>
      <c r="AB777" s="6160" t="s">
        <v>8551</v>
      </c>
      <c r="AC777" s="6161"/>
      <c r="AD777" s="6161"/>
      <c r="AE777" s="6161"/>
      <c r="AF777" s="6161"/>
      <c r="AG777" s="6161"/>
      <c r="AH777" s="6161"/>
      <c r="AI777" s="6161"/>
      <c r="AJ777" s="6161"/>
      <c r="AK777" s="6161"/>
      <c r="AL777" s="6161"/>
      <c r="AM777" s="6161"/>
      <c r="AN777" s="6161"/>
      <c r="AO777" s="6161"/>
      <c r="AP777" s="6161"/>
      <c r="AQ777" s="6161"/>
      <c r="AR777" s="6161"/>
      <c r="AS777" s="6161"/>
      <c r="AT777" s="6161"/>
      <c r="AU777" s="6162"/>
    </row>
    <row r="778" spans="1:73" ht="12.75" customHeight="1" x14ac:dyDescent="0.2">
      <c r="A778" s="227">
        <v>778</v>
      </c>
      <c r="B778" s="5988"/>
      <c r="C778" s="1146"/>
      <c r="D778" s="2629" t="s">
        <v>2211</v>
      </c>
      <c r="E778" s="2628">
        <v>150</v>
      </c>
      <c r="F778" s="2628" t="s">
        <v>1456</v>
      </c>
      <c r="G778" s="2628">
        <v>0</v>
      </c>
      <c r="H778" s="2628">
        <v>0</v>
      </c>
      <c r="I778" s="2628" t="s">
        <v>1498</v>
      </c>
      <c r="J778" s="2628" t="s">
        <v>1456</v>
      </c>
      <c r="K778" s="2878" t="s">
        <v>7281</v>
      </c>
      <c r="L778" s="2628"/>
      <c r="M778" s="2634">
        <v>20</v>
      </c>
      <c r="N778" s="2634">
        <v>14</v>
      </c>
      <c r="O778" s="2634">
        <v>15</v>
      </c>
      <c r="P778" s="2628"/>
      <c r="Q778" s="2628"/>
      <c r="R778" s="2628" t="s">
        <v>1456</v>
      </c>
      <c r="S778" s="2628" t="s">
        <v>1456</v>
      </c>
      <c r="T778" s="2628" t="s">
        <v>1456</v>
      </c>
      <c r="U778" s="2628"/>
      <c r="V778" s="6212" t="s">
        <v>2212</v>
      </c>
      <c r="W778" s="6212"/>
      <c r="X778" s="6213"/>
      <c r="Y778" s="2618">
        <v>0</v>
      </c>
      <c r="Z778" s="1265" t="str">
        <f t="shared" si="166"/>
        <v/>
      </c>
      <c r="AA778" s="227"/>
      <c r="AB778" s="1063">
        <v>1</v>
      </c>
      <c r="AC778" s="2627">
        <v>2</v>
      </c>
      <c r="AD778" s="2627">
        <v>3</v>
      </c>
      <c r="AE778" s="2627">
        <v>4</v>
      </c>
      <c r="AF778" s="2627">
        <v>5</v>
      </c>
      <c r="AG778" s="2627">
        <v>6</v>
      </c>
      <c r="AH778" s="2627">
        <v>7</v>
      </c>
      <c r="AI778" s="2627">
        <v>8</v>
      </c>
      <c r="AJ778" s="2627">
        <v>9</v>
      </c>
      <c r="AK778" s="2627">
        <v>10</v>
      </c>
      <c r="AL778" s="2627">
        <v>11</v>
      </c>
      <c r="AM778" s="2627">
        <v>12</v>
      </c>
      <c r="AN778" s="2627">
        <v>13</v>
      </c>
      <c r="AO778" s="2627">
        <v>14</v>
      </c>
      <c r="AP778" s="2627">
        <v>15</v>
      </c>
      <c r="AQ778" s="2627">
        <v>16</v>
      </c>
      <c r="AR778" s="2627">
        <v>17</v>
      </c>
      <c r="AS778" s="2627">
        <v>18</v>
      </c>
      <c r="AT778" s="2627">
        <v>19</v>
      </c>
      <c r="AU778" s="1064">
        <v>20</v>
      </c>
    </row>
    <row r="779" spans="1:73" ht="12.75" customHeight="1" thickBot="1" x14ac:dyDescent="0.25">
      <c r="A779" s="227">
        <v>779</v>
      </c>
      <c r="B779" s="5988"/>
      <c r="C779" s="1146"/>
      <c r="D779" s="2629" t="s">
        <v>8588</v>
      </c>
      <c r="E779" s="2628">
        <v>120</v>
      </c>
      <c r="F779" s="2628" t="s">
        <v>1456</v>
      </c>
      <c r="G779" s="2628">
        <v>0</v>
      </c>
      <c r="H779" s="2628">
        <v>0</v>
      </c>
      <c r="I779" s="2628" t="s">
        <v>1498</v>
      </c>
      <c r="J779" s="2628" t="s">
        <v>1456</v>
      </c>
      <c r="K779" s="2878" t="s">
        <v>7281</v>
      </c>
      <c r="L779" s="2628"/>
      <c r="M779" s="2634">
        <v>20</v>
      </c>
      <c r="N779" s="2634">
        <v>14</v>
      </c>
      <c r="O779" s="2634">
        <v>15</v>
      </c>
      <c r="P779" s="2628"/>
      <c r="Q779" s="2628"/>
      <c r="R779" s="2628" t="s">
        <v>1456</v>
      </c>
      <c r="S779" s="2628" t="s">
        <v>1456</v>
      </c>
      <c r="T779" s="2628" t="s">
        <v>1456</v>
      </c>
      <c r="U779" s="2628"/>
      <c r="V779" s="6212" t="s">
        <v>8589</v>
      </c>
      <c r="W779" s="6212"/>
      <c r="X779" s="6213"/>
      <c r="Y779" s="2618">
        <v>0</v>
      </c>
      <c r="Z779" s="1265" t="str">
        <f t="shared" si="166"/>
        <v/>
      </c>
      <c r="AA779" s="227"/>
      <c r="AB779" s="1364" t="s">
        <v>1441</v>
      </c>
      <c r="AC779" s="1365" t="s">
        <v>8558</v>
      </c>
      <c r="AD779" s="6273" t="s">
        <v>8559</v>
      </c>
      <c r="AE779" s="6273"/>
      <c r="AF779" s="6273"/>
      <c r="AG779" s="6273"/>
      <c r="AH779" s="6273"/>
      <c r="AI779" s="6273"/>
      <c r="AJ779" s="6273"/>
      <c r="AK779" s="6273"/>
      <c r="AL779" s="6273"/>
      <c r="AM779" s="6273"/>
      <c r="AN779" s="6273"/>
      <c r="AO779" s="6273"/>
      <c r="AP779" s="6273"/>
      <c r="AQ779" s="6273"/>
      <c r="AR779" s="6273"/>
      <c r="AS779" s="6273"/>
      <c r="AT779" s="6273"/>
      <c r="AU779" s="6274"/>
    </row>
    <row r="780" spans="1:73" ht="12.75" customHeight="1" x14ac:dyDescent="0.2">
      <c r="A780" s="227">
        <v>780</v>
      </c>
      <c r="B780" s="5988"/>
      <c r="C780" s="1146"/>
      <c r="D780" s="2629" t="s">
        <v>8582</v>
      </c>
      <c r="E780" s="2628">
        <v>50</v>
      </c>
      <c r="F780" s="2628" t="s">
        <v>1456</v>
      </c>
      <c r="G780" s="2628">
        <v>0</v>
      </c>
      <c r="H780" s="2628">
        <v>0</v>
      </c>
      <c r="I780" s="2628" t="s">
        <v>1552</v>
      </c>
      <c r="J780" s="2628" t="s">
        <v>1456</v>
      </c>
      <c r="K780" s="2878" t="s">
        <v>7281</v>
      </c>
      <c r="L780" s="2628"/>
      <c r="M780" s="2634">
        <v>11</v>
      </c>
      <c r="N780" s="2634">
        <v>5</v>
      </c>
      <c r="O780" s="2634">
        <v>15</v>
      </c>
      <c r="P780" s="2628"/>
      <c r="Q780" s="2628"/>
      <c r="R780" s="2628" t="s">
        <v>1456</v>
      </c>
      <c r="S780" s="2628" t="s">
        <v>1456</v>
      </c>
      <c r="T780" s="2628" t="s">
        <v>1456</v>
      </c>
      <c r="U780" s="2628"/>
      <c r="V780" s="2878" t="s">
        <v>8587</v>
      </c>
      <c r="W780" s="2878"/>
      <c r="X780" s="2879"/>
      <c r="Y780" s="2618">
        <v>0</v>
      </c>
      <c r="Z780" s="1265" t="str">
        <f t="shared" si="166"/>
        <v/>
      </c>
      <c r="AA780" s="227"/>
      <c r="AB780" s="1372" t="str">
        <f>IF(ISNUMBER(FIND("Proyectil",VLOOKUP($D640,Tabla_ArmasyEscudos,8,0))),$D640,"-")</f>
        <v>-</v>
      </c>
      <c r="AC780" s="1375" t="str">
        <f>"Tablas!"&amp;ADDRESS(ROW(AD780),COLUMN(AD780))&amp;":"&amp;ADDRESS(ROW(AD780),COLUMN(AD780)+AU$778-AD$778-COUNTBLANK(AD780:AU780))</f>
        <v>Tablas!$AD$780:$AR$780</v>
      </c>
      <c r="AD780" s="1369" t="s">
        <v>2209</v>
      </c>
      <c r="AE780" s="2892" t="s">
        <v>8553</v>
      </c>
      <c r="AF780" s="2892" t="s">
        <v>2211</v>
      </c>
      <c r="AG780" s="2892" t="s">
        <v>2213</v>
      </c>
      <c r="AH780" s="2892" t="s">
        <v>2215</v>
      </c>
      <c r="AI780" s="2892" t="s">
        <v>2217</v>
      </c>
      <c r="AJ780" s="2892" t="s">
        <v>2218</v>
      </c>
      <c r="AK780" s="2892" t="s">
        <v>2148</v>
      </c>
      <c r="AL780" s="2892" t="s">
        <v>8555</v>
      </c>
      <c r="AM780" s="2892" t="s">
        <v>8554</v>
      </c>
      <c r="AN780" s="2892" t="s">
        <v>2220</v>
      </c>
      <c r="AO780" s="2892" t="s">
        <v>2222</v>
      </c>
      <c r="AP780" s="2892" t="s">
        <v>2224</v>
      </c>
      <c r="AQ780" s="2892" t="s">
        <v>8556</v>
      </c>
      <c r="AR780" s="2892" t="s">
        <v>8557</v>
      </c>
      <c r="AS780" s="2892" t="str">
        <f>IF(ISNUMBER(FIND("Munición",VLOOKUP($D$640,Tabla_ArmasyEscudos,8,0))),$D$640,IF(ISNUMBER(FIND("Munición",VLOOKUP($D$641,Tabla_ArmasyEscudos,8,0))),$D$641,IF(ISNUMBER(FIND("Munición",VLOOKUP($D$642,Tabla_ArmasyEscudos,8,0))),$D$642,"")))</f>
        <v/>
      </c>
      <c r="AT780" s="2892" t="str">
        <f>IF(AS780&lt;&gt;"",IF(AND($D$641&lt;&gt;AS780,ISNUMBER(FIND("Munición",VLOOKUP($D$641,Tabla_ArmasyEscudos,8,0)))),$D$641,IF(AND($D$642&lt;&gt;AS780,ISNUMBER(FIND("Munición",VLOOKUP($D$642,Tabla_ArmasyEscudos,8,0)))),$D$642,"")),"")</f>
        <v/>
      </c>
      <c r="AU780" s="1368" t="str">
        <f>IF(AND(AT780&lt;&gt;"",$D$642&lt;&gt;AT780,$D$642&lt;&gt;AS780,ISNUMBER(FIND("Munición",VLOOKUP($D$642,Tabla_ArmasyEscudos,8,0)))),$D$642,"")</f>
        <v/>
      </c>
    </row>
    <row r="781" spans="1:73" ht="12.75" customHeight="1" x14ac:dyDescent="0.2">
      <c r="A781" s="227">
        <v>781</v>
      </c>
      <c r="B781" s="5988"/>
      <c r="C781" s="1146"/>
      <c r="D781" s="2629" t="s">
        <v>2213</v>
      </c>
      <c r="E781" s="2628">
        <v>5</v>
      </c>
      <c r="F781" s="2628" t="s">
        <v>1456</v>
      </c>
      <c r="G781" s="2628">
        <v>0</v>
      </c>
      <c r="H781" s="2628">
        <v>0</v>
      </c>
      <c r="I781" s="2628" t="s">
        <v>1552</v>
      </c>
      <c r="J781" s="2628" t="s">
        <v>1456</v>
      </c>
      <c r="K781" s="2878" t="s">
        <v>7281</v>
      </c>
      <c r="L781" s="2628"/>
      <c r="M781" s="2634">
        <v>2</v>
      </c>
      <c r="N781" s="2634">
        <v>-4</v>
      </c>
      <c r="O781" s="2634">
        <v>15</v>
      </c>
      <c r="P781" s="2628"/>
      <c r="Q781" s="2628"/>
      <c r="R781" s="2628" t="s">
        <v>1456</v>
      </c>
      <c r="S781" s="2628" t="s">
        <v>1456</v>
      </c>
      <c r="T781" s="2628" t="s">
        <v>1456</v>
      </c>
      <c r="U781" s="2628"/>
      <c r="V781" s="6212" t="s">
        <v>2214</v>
      </c>
      <c r="W781" s="6212"/>
      <c r="X781" s="6213"/>
      <c r="Y781" s="2618">
        <v>0</v>
      </c>
      <c r="Z781" s="1265" t="str">
        <f t="shared" si="166"/>
        <v/>
      </c>
      <c r="AA781" s="227"/>
      <c r="AB781" s="1372" t="str">
        <f>IF(ISNUMBER(FIND("Proyectil",VLOOKUP($D641,Tabla_ArmasyEscudos,8,0))),$D641,"-")</f>
        <v>-</v>
      </c>
      <c r="AC781" s="1375" t="str">
        <f>"Tablas!"&amp;ADDRESS(ROW(AD781),COLUMN(AD781))&amp;":"&amp;ADDRESS(ROW(AD781),COLUMN(AD781)+AU$778-AD$778-COUNTBLANK(AD781:AU781))</f>
        <v>Tablas!$AD$781:$AR$781</v>
      </c>
      <c r="AD781" s="1370" t="s">
        <v>2209</v>
      </c>
      <c r="AE781" s="2892" t="s">
        <v>8553</v>
      </c>
      <c r="AF781" s="2892" t="s">
        <v>2211</v>
      </c>
      <c r="AG781" s="2892" t="s">
        <v>2213</v>
      </c>
      <c r="AH781" s="2892" t="s">
        <v>2215</v>
      </c>
      <c r="AI781" s="2892" t="s">
        <v>2217</v>
      </c>
      <c r="AJ781" s="2892" t="s">
        <v>2218</v>
      </c>
      <c r="AK781" s="2892" t="s">
        <v>2148</v>
      </c>
      <c r="AL781" s="2892" t="s">
        <v>8555</v>
      </c>
      <c r="AM781" s="2892" t="s">
        <v>8554</v>
      </c>
      <c r="AN781" s="2892" t="s">
        <v>2220</v>
      </c>
      <c r="AO781" s="2892" t="s">
        <v>2222</v>
      </c>
      <c r="AP781" s="2892" t="s">
        <v>2224</v>
      </c>
      <c r="AQ781" s="2892" t="s">
        <v>8556</v>
      </c>
      <c r="AR781" s="2892" t="s">
        <v>8557</v>
      </c>
      <c r="AS781" s="2892" t="str">
        <f>IF(ISNUMBER(FIND("Munición",VLOOKUP($D$640,Tabla_ArmasyEscudos,8,0))),$D$640,IF(ISNUMBER(FIND("Munición",VLOOKUP($D$641,Tabla_ArmasyEscudos,8,0))),$D$641,IF(ISNUMBER(FIND("Munición",VLOOKUP($D$642,Tabla_ArmasyEscudos,8,0))),$D$642,"")))</f>
        <v/>
      </c>
      <c r="AT781" s="2892" t="str">
        <f>IF(AS781&lt;&gt;"",IF(AND($D$641&lt;&gt;AS781,ISNUMBER(FIND("Munición",VLOOKUP($D$641,Tabla_ArmasyEscudos,8,0)))),$D$641,IF(AND($D$642&lt;&gt;AS781,ISNUMBER(FIND("Munición",VLOOKUP($D$642,Tabla_ArmasyEscudos,8,0)))),$D$642,"")),"")</f>
        <v/>
      </c>
      <c r="AU781" s="1368" t="str">
        <f>IF(AND(AT781&lt;&gt;"",$D$642&lt;&gt;AT781,$D$642&lt;&gt;AS781,ISNUMBER(FIND("Munición",VLOOKUP($D$642,Tabla_ArmasyEscudos,8,0)))),$D$642,"")</f>
        <v/>
      </c>
    </row>
    <row r="782" spans="1:73" ht="12.75" customHeight="1" x14ac:dyDescent="0.2">
      <c r="A782" s="227">
        <v>782</v>
      </c>
      <c r="B782" s="5988"/>
      <c r="C782" s="1146"/>
      <c r="D782" s="2629" t="s">
        <v>2215</v>
      </c>
      <c r="E782" s="2628">
        <v>40</v>
      </c>
      <c r="F782" s="2628" t="s">
        <v>1456</v>
      </c>
      <c r="G782" s="2628">
        <v>0</v>
      </c>
      <c r="H782" s="2628">
        <v>0</v>
      </c>
      <c r="I782" s="2628" t="s">
        <v>1552</v>
      </c>
      <c r="J782" s="2628" t="s">
        <v>1456</v>
      </c>
      <c r="K782" s="2878" t="s">
        <v>7281</v>
      </c>
      <c r="L782" s="2628"/>
      <c r="M782" s="2634">
        <v>4</v>
      </c>
      <c r="N782" s="2634">
        <v>1</v>
      </c>
      <c r="O782" s="2634">
        <v>20</v>
      </c>
      <c r="P782" s="2628"/>
      <c r="Q782" s="2628"/>
      <c r="R782" s="2628" t="s">
        <v>1456</v>
      </c>
      <c r="S782" s="2628" t="s">
        <v>1456</v>
      </c>
      <c r="T782" s="2628" t="s">
        <v>1456</v>
      </c>
      <c r="U782" s="2628"/>
      <c r="V782" s="6212" t="s">
        <v>2216</v>
      </c>
      <c r="W782" s="6212"/>
      <c r="X782" s="6213"/>
      <c r="Y782" s="2618">
        <v>0</v>
      </c>
      <c r="Z782" s="1265" t="str">
        <f t="shared" si="166"/>
        <v/>
      </c>
      <c r="AA782" s="227"/>
      <c r="AB782" s="1372" t="str">
        <f>IF(ISNUMBER(FIND("Proyectil",VLOOKUP($D642,Tabla_ArmasyEscudos,8,0))),$D642,"-")</f>
        <v>-</v>
      </c>
      <c r="AC782" s="1375" t="str">
        <f>"Tablas!"&amp;ADDRESS(ROW(AD782),COLUMN(AD782))&amp;":"&amp;ADDRESS(ROW(AD782),COLUMN(AD782)+AU$778-AD$778-COUNTBLANK(AD782:AU782))</f>
        <v>Tablas!$AD$782:$AR$782</v>
      </c>
      <c r="AD782" s="1370" t="s">
        <v>2209</v>
      </c>
      <c r="AE782" s="2892" t="s">
        <v>8553</v>
      </c>
      <c r="AF782" s="2892" t="s">
        <v>2211</v>
      </c>
      <c r="AG782" s="2892" t="s">
        <v>2213</v>
      </c>
      <c r="AH782" s="2892" t="s">
        <v>2215</v>
      </c>
      <c r="AI782" s="2892" t="s">
        <v>2217</v>
      </c>
      <c r="AJ782" s="2892" t="s">
        <v>2218</v>
      </c>
      <c r="AK782" s="2892" t="s">
        <v>2148</v>
      </c>
      <c r="AL782" s="2892" t="s">
        <v>8555</v>
      </c>
      <c r="AM782" s="2892" t="s">
        <v>8554</v>
      </c>
      <c r="AN782" s="2892" t="s">
        <v>2220</v>
      </c>
      <c r="AO782" s="2892" t="s">
        <v>2222</v>
      </c>
      <c r="AP782" s="2892" t="s">
        <v>2224</v>
      </c>
      <c r="AQ782" s="2892" t="s">
        <v>8556</v>
      </c>
      <c r="AR782" s="2892" t="s">
        <v>8557</v>
      </c>
      <c r="AS782" s="2892" t="str">
        <f>IF(ISNUMBER(FIND("Munición",VLOOKUP($D$640,Tabla_ArmasyEscudos,8,0))),$D$640,IF(ISNUMBER(FIND("Munición",VLOOKUP($D$641,Tabla_ArmasyEscudos,8,0))),$D$641,IF(ISNUMBER(FIND("Munición",VLOOKUP($D$642,Tabla_ArmasyEscudos,8,0))),$D$642,"")))</f>
        <v/>
      </c>
      <c r="AT782" s="2892" t="str">
        <f>IF(AS782&lt;&gt;"",IF(AND($D$641&lt;&gt;AS782,ISNUMBER(FIND("Munición",VLOOKUP($D$641,Tabla_ArmasyEscudos,8,0)))),$D$641,IF(AND($D$642&lt;&gt;AS782,ISNUMBER(FIND("Munición",VLOOKUP($D$642,Tabla_ArmasyEscudos,8,0)))),$D$642,"")),"")</f>
        <v/>
      </c>
      <c r="AU782" s="1368" t="str">
        <f>IF(AND(AT782&lt;&gt;"",$D$642&lt;&gt;AT782,$D$642&lt;&gt;AS782,ISNUMBER(FIND("Munición",VLOOKUP($D$642,Tabla_ArmasyEscudos,8,0)))),$D$642,"")</f>
        <v/>
      </c>
    </row>
    <row r="783" spans="1:73" ht="12.75" customHeight="1" x14ac:dyDescent="0.2">
      <c r="A783" s="227">
        <v>783</v>
      </c>
      <c r="B783" s="5988"/>
      <c r="C783" s="1146"/>
      <c r="D783" s="2629" t="s">
        <v>2217</v>
      </c>
      <c r="E783" s="2628">
        <v>30</v>
      </c>
      <c r="F783" s="2628" t="s">
        <v>1456</v>
      </c>
      <c r="G783" s="2628">
        <v>0</v>
      </c>
      <c r="H783" s="2628">
        <v>0</v>
      </c>
      <c r="I783" s="2628" t="s">
        <v>1552</v>
      </c>
      <c r="J783" s="2628" t="s">
        <v>1456</v>
      </c>
      <c r="K783" s="2878" t="s">
        <v>7281</v>
      </c>
      <c r="L783" s="2628"/>
      <c r="M783" s="2634">
        <v>3</v>
      </c>
      <c r="N783" s="2634">
        <v>0</v>
      </c>
      <c r="O783" s="2634">
        <v>20</v>
      </c>
      <c r="P783" s="2628"/>
      <c r="Q783" s="2628"/>
      <c r="R783" s="2628" t="s">
        <v>1456</v>
      </c>
      <c r="S783" s="2628" t="s">
        <v>1456</v>
      </c>
      <c r="T783" s="2628" t="s">
        <v>1456</v>
      </c>
      <c r="U783" s="2628"/>
      <c r="V783" s="6234" t="s">
        <v>8564</v>
      </c>
      <c r="W783" s="6212"/>
      <c r="X783" s="6213"/>
      <c r="Y783" s="2618">
        <v>0</v>
      </c>
      <c r="Z783" s="1265" t="str">
        <f t="shared" si="166"/>
        <v/>
      </c>
      <c r="AA783" s="227"/>
      <c r="AB783" s="1372" t="s">
        <v>1916</v>
      </c>
      <c r="AC783" s="1375" t="str">
        <f t="shared" ref="AC783:AC813" si="185">"Tablas!"&amp;ADDRESS(ROW(AD783),COLUMN(AD783))&amp;":"&amp;ADDRESS(ROW(AD783),COLUMN(AD783)+AU$778-AD$778-COUNTBLANK(AD783:AU783))</f>
        <v>Tablas!$AD$783:$AD$783</v>
      </c>
      <c r="AD783" s="1370" t="s">
        <v>8798</v>
      </c>
      <c r="AE783" s="2892"/>
      <c r="AF783" s="2892"/>
      <c r="AG783" s="2892"/>
      <c r="AH783" s="2892"/>
      <c r="AI783" s="2892"/>
      <c r="AJ783" s="2892"/>
      <c r="AK783" s="2892"/>
      <c r="AL783" s="2892"/>
      <c r="AM783" s="2892"/>
      <c r="AN783" s="2892"/>
      <c r="AO783" s="2892"/>
      <c r="AP783" s="2892"/>
      <c r="AQ783" s="2892"/>
      <c r="AR783" s="2892"/>
      <c r="AS783" s="2892"/>
      <c r="AT783" s="2892"/>
      <c r="AU783" s="1368"/>
    </row>
    <row r="784" spans="1:73" ht="12.75" customHeight="1" x14ac:dyDescent="0.2">
      <c r="A784" s="227">
        <v>784</v>
      </c>
      <c r="B784" s="5988"/>
      <c r="C784" s="1146"/>
      <c r="D784" s="2629" t="s">
        <v>2218</v>
      </c>
      <c r="E784" s="2628">
        <v>30</v>
      </c>
      <c r="F784" s="2628" t="s">
        <v>1456</v>
      </c>
      <c r="G784" s="2628">
        <v>0</v>
      </c>
      <c r="H784" s="2628">
        <v>0</v>
      </c>
      <c r="I784" s="2628" t="s">
        <v>1552</v>
      </c>
      <c r="J784" s="2628" t="s">
        <v>1456</v>
      </c>
      <c r="K784" s="2878" t="s">
        <v>7281</v>
      </c>
      <c r="L784" s="2628"/>
      <c r="M784" s="2634">
        <v>3</v>
      </c>
      <c r="N784" s="2634">
        <v>0</v>
      </c>
      <c r="O784" s="2634">
        <v>20</v>
      </c>
      <c r="P784" s="2628"/>
      <c r="Q784" s="2628"/>
      <c r="R784" s="2628" t="s">
        <v>1456</v>
      </c>
      <c r="S784" s="2628" t="s">
        <v>1456</v>
      </c>
      <c r="T784" s="2628" t="s">
        <v>1456</v>
      </c>
      <c r="U784" s="2628"/>
      <c r="V784" s="6234" t="s">
        <v>8565</v>
      </c>
      <c r="W784" s="6212"/>
      <c r="X784" s="6213"/>
      <c r="Y784" s="2618">
        <v>0</v>
      </c>
      <c r="Z784" s="1265" t="str">
        <f t="shared" si="166"/>
        <v/>
      </c>
      <c r="AA784" s="227"/>
      <c r="AB784" s="1372" t="s">
        <v>8552</v>
      </c>
      <c r="AC784" s="1375" t="str">
        <f t="shared" si="185"/>
        <v>Tablas!$AD$784:$AD$784</v>
      </c>
      <c r="AD784" s="1371" t="s">
        <v>2209</v>
      </c>
      <c r="AE784" s="2892" t="str">
        <f>IF(ISNUMBER(FIND("Munición",VLOOKUP($D$640,Tabla_ArmasyEscudos,8,0))),$D$640,IF(ISNUMBER(FIND("Munición",VLOOKUP($D$641,Tabla_ArmasyEscudos,8,0))),$D$641,IF(ISNUMBER(FIND("Munición",VLOOKUP($D$642,Tabla_ArmasyEscudos,8,0))),$D$642,"")))</f>
        <v/>
      </c>
      <c r="AF784" s="2892" t="str">
        <f>IF(AE784&lt;&gt;"",IF(AND($D$641&lt;&gt;AE784,ISNUMBER(FIND("Munición",VLOOKUP($D$641,Tabla_ArmasyEscudos,8,0)))),$D$641,IF(AND($D$642&lt;&gt;AE784,ISNUMBER(FIND("Munición",VLOOKUP($D$642,Tabla_ArmasyEscudos,8,0)))),$D$642,"")),"")</f>
        <v/>
      </c>
      <c r="AG784" s="2892" t="str">
        <f>IF(AND(AF784&lt;&gt;"",$D$642&lt;&gt;AF784,$D$642&lt;&gt;AE784,ISNUMBER(FIND("Munición",VLOOKUP($D$642,Tabla_ArmasyEscudos,8,0)))),$D$642,"")</f>
        <v/>
      </c>
      <c r="AH784" s="2349"/>
      <c r="AI784" s="2349"/>
      <c r="AJ784" s="2349"/>
      <c r="AK784" s="2893"/>
      <c r="AL784" s="2893"/>
      <c r="AM784" s="2893"/>
      <c r="AN784" s="2349"/>
      <c r="AO784" s="2349"/>
      <c r="AP784" s="2349"/>
      <c r="AQ784" s="2349"/>
      <c r="AR784" s="2349"/>
      <c r="AS784" s="2349"/>
      <c r="AT784" s="2349"/>
      <c r="AU784" s="621"/>
    </row>
    <row r="785" spans="1:47" ht="12.75" customHeight="1" x14ac:dyDescent="0.2">
      <c r="A785" s="227">
        <v>785</v>
      </c>
      <c r="B785" s="5988"/>
      <c r="C785" s="1146"/>
      <c r="D785" s="2629" t="s">
        <v>8581</v>
      </c>
      <c r="E785" s="2628">
        <v>35</v>
      </c>
      <c r="F785" s="2628" t="s">
        <v>1456</v>
      </c>
      <c r="G785" s="2628">
        <v>0</v>
      </c>
      <c r="H785" s="2628">
        <v>0</v>
      </c>
      <c r="I785" s="2628" t="s">
        <v>1552</v>
      </c>
      <c r="J785" s="2628" t="s">
        <v>1456</v>
      </c>
      <c r="K785" s="2878" t="s">
        <v>7281</v>
      </c>
      <c r="L785" s="2628"/>
      <c r="M785" s="2634">
        <v>10</v>
      </c>
      <c r="N785" s="2634">
        <v>-2</v>
      </c>
      <c r="O785" s="2634">
        <v>20</v>
      </c>
      <c r="P785" s="2628"/>
      <c r="Q785" s="2628"/>
      <c r="R785" s="2628" t="s">
        <v>1456</v>
      </c>
      <c r="S785" s="2628" t="s">
        <v>1456</v>
      </c>
      <c r="T785" s="2628" t="s">
        <v>1456</v>
      </c>
      <c r="U785" s="2628"/>
      <c r="V785" s="2878" t="s">
        <v>8560</v>
      </c>
      <c r="W785" s="2878"/>
      <c r="X785" s="2879"/>
      <c r="Y785" s="2618">
        <v>0</v>
      </c>
      <c r="Z785" s="1265" t="str">
        <f t="shared" si="166"/>
        <v/>
      </c>
      <c r="AA785" s="227"/>
      <c r="AB785" s="1372" t="s">
        <v>2196</v>
      </c>
      <c r="AC785" s="1375" t="str">
        <f t="shared" si="185"/>
        <v>Tablas!$AD$785:$AF$785</v>
      </c>
      <c r="AD785" s="1371" t="s">
        <v>2215</v>
      </c>
      <c r="AE785" s="2893" t="s">
        <v>2217</v>
      </c>
      <c r="AF785" s="2893" t="s">
        <v>2218</v>
      </c>
      <c r="AG785" s="2892" t="str">
        <f>IF(ISNUMBER(FIND("Munición",VLOOKUP($D$640,Tabla_ArmasyEscudos,8,0))),$D$640,IF(ISNUMBER(FIND("Munición",VLOOKUP($D$641,Tabla_ArmasyEscudos,8,0))),$D$641,IF(ISNUMBER(FIND("Munición",VLOOKUP($D$642,Tabla_ArmasyEscudos,8,0))),$D$642,"")))</f>
        <v/>
      </c>
      <c r="AH785" s="2892" t="str">
        <f>IF(AG785&lt;&gt;"",IF(AND($D$641&lt;&gt;AG785,ISNUMBER(FIND("Munición",VLOOKUP($D$641,Tabla_ArmasyEscudos,8,0)))),$D$641,IF(AND($D$642&lt;&gt;AG785,ISNUMBER(FIND("Munición",VLOOKUP($D$642,Tabla_ArmasyEscudos,8,0)))),$D$642,"")),"")</f>
        <v/>
      </c>
      <c r="AI785" s="2892" t="str">
        <f>IF(AND(AH785&lt;&gt;"",$D$642&lt;&gt;AH785,$D$642&lt;&gt;AG785,ISNUMBER(FIND("Munición",VLOOKUP($D$642,Tabla_ArmasyEscudos,8,0)))),$D$642,"")</f>
        <v/>
      </c>
      <c r="AJ785" s="2349"/>
      <c r="AK785" s="2893"/>
      <c r="AL785" s="2893"/>
      <c r="AM785" s="2893"/>
      <c r="AN785" s="2349"/>
      <c r="AO785" s="2349"/>
      <c r="AP785" s="2349"/>
      <c r="AQ785" s="2349"/>
      <c r="AR785" s="2349"/>
      <c r="AS785" s="2349"/>
      <c r="AT785" s="2349"/>
      <c r="AU785" s="621"/>
    </row>
    <row r="786" spans="1:47" ht="12.75" customHeight="1" x14ac:dyDescent="0.2">
      <c r="A786" s="227">
        <v>786</v>
      </c>
      <c r="B786" s="5988"/>
      <c r="C786" s="1146"/>
      <c r="D786" s="2629" t="s">
        <v>8555</v>
      </c>
      <c r="E786" s="2628">
        <v>20</v>
      </c>
      <c r="F786" s="2628" t="s">
        <v>1456</v>
      </c>
      <c r="G786" s="2628">
        <v>0</v>
      </c>
      <c r="H786" s="2628">
        <v>0</v>
      </c>
      <c r="I786" s="2628" t="s">
        <v>1498</v>
      </c>
      <c r="J786" s="2628" t="s">
        <v>1456</v>
      </c>
      <c r="K786" s="2878" t="s">
        <v>7281</v>
      </c>
      <c r="L786" s="2628"/>
      <c r="M786" s="2634">
        <v>5</v>
      </c>
      <c r="N786" s="2634">
        <v>0</v>
      </c>
      <c r="O786" s="2634">
        <v>5</v>
      </c>
      <c r="P786" s="2628"/>
      <c r="Q786" s="2628"/>
      <c r="R786" s="2628" t="s">
        <v>1456</v>
      </c>
      <c r="S786" s="2628" t="s">
        <v>1456</v>
      </c>
      <c r="T786" s="2628" t="s">
        <v>1456</v>
      </c>
      <c r="U786" s="2628"/>
      <c r="V786" s="2878" t="s">
        <v>8561</v>
      </c>
      <c r="W786" s="2878"/>
      <c r="X786" s="2879"/>
      <c r="Y786" s="2618">
        <v>0</v>
      </c>
      <c r="Z786" s="1265" t="str">
        <f t="shared" si="166"/>
        <v/>
      </c>
      <c r="AA786" s="227"/>
      <c r="AB786" s="1372" t="s">
        <v>2198</v>
      </c>
      <c r="AC786" s="1375" t="str">
        <f t="shared" si="185"/>
        <v>Tablas!$AD$786:$AF$786</v>
      </c>
      <c r="AD786" s="1371" t="s">
        <v>2215</v>
      </c>
      <c r="AE786" s="2893" t="s">
        <v>2217</v>
      </c>
      <c r="AF786" s="2893" t="s">
        <v>2218</v>
      </c>
      <c r="AG786" s="2892" t="str">
        <f>IF(ISNUMBER(FIND("Munición",VLOOKUP($D$640,Tabla_ArmasyEscudos,8,0))),$D$640,IF(ISNUMBER(FIND("Munición",VLOOKUP($D$641,Tabla_ArmasyEscudos,8,0))),$D$641,IF(ISNUMBER(FIND("Munición",VLOOKUP($D$642,Tabla_ArmasyEscudos,8,0))),$D$642,"")))</f>
        <v/>
      </c>
      <c r="AH786" s="2892" t="str">
        <f>IF(AG786&lt;&gt;"",IF(AND($D$641&lt;&gt;AG786,ISNUMBER(FIND("Munición",VLOOKUP($D$641,Tabla_ArmasyEscudos,8,0)))),$D$641,IF(AND($D$642&lt;&gt;AG786,ISNUMBER(FIND("Munición",VLOOKUP($D$642,Tabla_ArmasyEscudos,8,0)))),$D$642,"")),"")</f>
        <v/>
      </c>
      <c r="AI786" s="2892" t="str">
        <f>IF(AND(AH786&lt;&gt;"",$D$642&lt;&gt;AH786,$D$642&lt;&gt;AG786,ISNUMBER(FIND("Munición",VLOOKUP($D$642,Tabla_ArmasyEscudos,8,0)))),$D$642,"")</f>
        <v/>
      </c>
      <c r="AJ786" s="2349"/>
      <c r="AK786" s="2893"/>
      <c r="AL786" s="2893"/>
      <c r="AM786" s="2893"/>
      <c r="AN786" s="2349"/>
      <c r="AO786" s="2349"/>
      <c r="AP786" s="2349"/>
      <c r="AQ786" s="2349"/>
      <c r="AR786" s="2349"/>
      <c r="AS786" s="2349"/>
      <c r="AT786" s="2349"/>
      <c r="AU786" s="621"/>
    </row>
    <row r="787" spans="1:47" ht="12.75" customHeight="1" x14ac:dyDescent="0.2">
      <c r="A787" s="227">
        <v>787</v>
      </c>
      <c r="B787" s="5988"/>
      <c r="C787" s="1146"/>
      <c r="D787" s="2629" t="s">
        <v>8554</v>
      </c>
      <c r="E787" s="2628">
        <v>15</v>
      </c>
      <c r="F787" s="2628" t="s">
        <v>1456</v>
      </c>
      <c r="G787" s="2628">
        <v>0</v>
      </c>
      <c r="H787" s="2628">
        <v>0</v>
      </c>
      <c r="I787" s="2628" t="s">
        <v>1498</v>
      </c>
      <c r="J787" s="2628" t="s">
        <v>1456</v>
      </c>
      <c r="K787" s="2878" t="s">
        <v>7281</v>
      </c>
      <c r="L787" s="2628"/>
      <c r="M787" s="2634">
        <v>7</v>
      </c>
      <c r="N787" s="2634">
        <v>2</v>
      </c>
      <c r="O787" s="2634">
        <v>10</v>
      </c>
      <c r="P787" s="2628"/>
      <c r="Q787" s="2628"/>
      <c r="R787" s="2628" t="s">
        <v>1456</v>
      </c>
      <c r="S787" s="2628" t="s">
        <v>1456</v>
      </c>
      <c r="T787" s="2628" t="s">
        <v>1456</v>
      </c>
      <c r="U787" s="2628"/>
      <c r="V787" s="6212" t="s">
        <v>2219</v>
      </c>
      <c r="W787" s="6212"/>
      <c r="X787" s="6213"/>
      <c r="Y787" s="2618">
        <v>0</v>
      </c>
      <c r="Z787" s="1265" t="str">
        <f t="shared" si="166"/>
        <v/>
      </c>
      <c r="AA787" s="227"/>
      <c r="AB787" s="1372" t="s">
        <v>6981</v>
      </c>
      <c r="AC787" s="1375" t="str">
        <f t="shared" si="185"/>
        <v>Tablas!$AD$787:$AE$787</v>
      </c>
      <c r="AD787" s="1371" t="s">
        <v>8553</v>
      </c>
      <c r="AE787" s="2893" t="s">
        <v>8555</v>
      </c>
      <c r="AF787" s="2892" t="str">
        <f>IF(ISNUMBER(FIND("Munición",VLOOKUP($D$640,Tabla_ArmasyEscudos,8,0))),$D$640,IF(ISNUMBER(FIND("Munición",VLOOKUP($D$641,Tabla_ArmasyEscudos,8,0))),$D$641,IF(ISNUMBER(FIND("Munición",VLOOKUP($D$642,Tabla_ArmasyEscudos,8,0))),$D$642,"")))</f>
        <v/>
      </c>
      <c r="AG787" s="2892" t="str">
        <f>IF(AF787&lt;&gt;"",IF(AND($D$641&lt;&gt;AF787,ISNUMBER(FIND("Munición",VLOOKUP($D$641,Tabla_ArmasyEscudos,8,0)))),$D$641,IF(AND($D$642&lt;&gt;AF787,ISNUMBER(FIND("Munición",VLOOKUP($D$642,Tabla_ArmasyEscudos,8,0)))),$D$642,"")),"")</f>
        <v/>
      </c>
      <c r="AH787" s="2892" t="str">
        <f>IF(AND(AG787&lt;&gt;"",$D$642&lt;&gt;AG787,$D$642&lt;&gt;AF787,ISNUMBER(FIND("Munición",VLOOKUP($D$642,Tabla_ArmasyEscudos,8,0)))),$D$642,"")</f>
        <v/>
      </c>
      <c r="AI787" s="2349"/>
      <c r="AJ787" s="2349"/>
      <c r="AK787" s="2893"/>
      <c r="AL787" s="2893"/>
      <c r="AM787" s="2893"/>
      <c r="AN787" s="2349"/>
      <c r="AO787" s="2349"/>
      <c r="AP787" s="2349"/>
      <c r="AQ787" s="2349"/>
      <c r="AR787" s="2349"/>
      <c r="AS787" s="2349"/>
      <c r="AT787" s="2349"/>
      <c r="AU787" s="621"/>
    </row>
    <row r="788" spans="1:47" ht="12.75" customHeight="1" x14ac:dyDescent="0.2">
      <c r="A788" s="227">
        <v>788</v>
      </c>
      <c r="B788" s="5988"/>
      <c r="C788" s="1146"/>
      <c r="D788" s="2629" t="s">
        <v>2220</v>
      </c>
      <c r="E788" s="2628">
        <v>40</v>
      </c>
      <c r="F788" s="2628" t="s">
        <v>1456</v>
      </c>
      <c r="G788" s="2628">
        <v>0</v>
      </c>
      <c r="H788" s="2628">
        <v>0</v>
      </c>
      <c r="I788" s="2628" t="s">
        <v>1552</v>
      </c>
      <c r="J788" s="2628" t="s">
        <v>1456</v>
      </c>
      <c r="K788" s="2878" t="s">
        <v>7281</v>
      </c>
      <c r="L788" s="2628"/>
      <c r="M788" s="2634">
        <v>3</v>
      </c>
      <c r="N788" s="2634">
        <v>0</v>
      </c>
      <c r="O788" s="2634">
        <v>15</v>
      </c>
      <c r="P788" s="2628"/>
      <c r="Q788" s="2628"/>
      <c r="R788" s="2628" t="s">
        <v>1456</v>
      </c>
      <c r="S788" s="2628" t="s">
        <v>1456</v>
      </c>
      <c r="T788" s="2628" t="s">
        <v>1456</v>
      </c>
      <c r="U788" s="2628"/>
      <c r="V788" s="6212" t="s">
        <v>2221</v>
      </c>
      <c r="W788" s="6212"/>
      <c r="X788" s="6213"/>
      <c r="Y788" s="2618">
        <v>0</v>
      </c>
      <c r="Z788" s="1265" t="str">
        <f t="shared" si="166"/>
        <v/>
      </c>
      <c r="AA788" s="227"/>
      <c r="AB788" s="1372" t="s">
        <v>2199</v>
      </c>
      <c r="AC788" s="1375" t="str">
        <f t="shared" si="185"/>
        <v>Tablas!$AD$788:$AF$788</v>
      </c>
      <c r="AD788" s="1371" t="s">
        <v>2215</v>
      </c>
      <c r="AE788" s="2893" t="s">
        <v>2217</v>
      </c>
      <c r="AF788" s="2893" t="s">
        <v>2218</v>
      </c>
      <c r="AG788" s="2892" t="str">
        <f>IF(ISNUMBER(FIND("Munición",VLOOKUP($D$640,Tabla_ArmasyEscudos,8,0))),$D$640,IF(ISNUMBER(FIND("Munición",VLOOKUP($D$641,Tabla_ArmasyEscudos,8,0))),$D$641,IF(ISNUMBER(FIND("Munición",VLOOKUP($D$642,Tabla_ArmasyEscudos,8,0))),$D$642,"")))</f>
        <v/>
      </c>
      <c r="AH788" s="2892" t="str">
        <f>IF(AG788&lt;&gt;"",IF(AND($D$641&lt;&gt;AG788,ISNUMBER(FIND("Munición",VLOOKUP($D$641,Tabla_ArmasyEscudos,8,0)))),$D$641,IF(AND($D$642&lt;&gt;AG788,ISNUMBER(FIND("Munición",VLOOKUP($D$642,Tabla_ArmasyEscudos,8,0)))),$D$642,"")),"")</f>
        <v/>
      </c>
      <c r="AI788" s="2892" t="str">
        <f>IF(AND(AH788&lt;&gt;"",$D$642&lt;&gt;AH788,$D$642&lt;&gt;AG788,ISNUMBER(FIND("Munición",VLOOKUP($D$642,Tabla_ArmasyEscudos,8,0)))),$D$642,"")</f>
        <v/>
      </c>
      <c r="AJ788" s="2349"/>
      <c r="AK788" s="2893"/>
      <c r="AL788" s="2893"/>
      <c r="AM788" s="2893"/>
      <c r="AN788" s="2349"/>
      <c r="AO788" s="2349"/>
      <c r="AP788" s="2349"/>
      <c r="AQ788" s="2349"/>
      <c r="AR788" s="2349"/>
      <c r="AS788" s="2349"/>
      <c r="AT788" s="2349"/>
      <c r="AU788" s="621"/>
    </row>
    <row r="789" spans="1:47" ht="12.75" customHeight="1" x14ac:dyDescent="0.2">
      <c r="A789" s="227">
        <v>789</v>
      </c>
      <c r="B789" s="5988"/>
      <c r="C789" s="1146"/>
      <c r="D789" s="2629" t="s">
        <v>2222</v>
      </c>
      <c r="E789" s="2628">
        <v>30</v>
      </c>
      <c r="F789" s="2628" t="s">
        <v>1456</v>
      </c>
      <c r="G789" s="2628">
        <v>0</v>
      </c>
      <c r="H789" s="2628">
        <v>0</v>
      </c>
      <c r="I789" s="2628" t="s">
        <v>1552</v>
      </c>
      <c r="J789" s="2628" t="s">
        <v>1456</v>
      </c>
      <c r="K789" s="2878" t="s">
        <v>7281</v>
      </c>
      <c r="L789" s="2628"/>
      <c r="M789" s="2634">
        <v>2</v>
      </c>
      <c r="N789" s="2634">
        <v>-1</v>
      </c>
      <c r="O789" s="2634">
        <v>15</v>
      </c>
      <c r="P789" s="2628"/>
      <c r="Q789" s="2628"/>
      <c r="R789" s="2628" t="s">
        <v>1456</v>
      </c>
      <c r="S789" s="2628" t="s">
        <v>1456</v>
      </c>
      <c r="T789" s="2628" t="s">
        <v>1456</v>
      </c>
      <c r="U789" s="2628"/>
      <c r="V789" s="6212" t="s">
        <v>2223</v>
      </c>
      <c r="W789" s="6212"/>
      <c r="X789" s="6213"/>
      <c r="Y789" s="2618">
        <v>0</v>
      </c>
      <c r="Z789" s="1265" t="str">
        <f t="shared" si="166"/>
        <v/>
      </c>
      <c r="AA789" s="227"/>
      <c r="AB789" s="1372" t="s">
        <v>6985</v>
      </c>
      <c r="AC789" s="1375" t="str">
        <f t="shared" si="185"/>
        <v>Tablas!$AD$789:$AD$789</v>
      </c>
      <c r="AD789" s="1371" t="s">
        <v>8581</v>
      </c>
      <c r="AE789" s="2892" t="str">
        <f t="shared" ref="AE789:AE794" si="186">IF(ISNUMBER(FIND("Munición",VLOOKUP($D$640,Tabla_ArmasyEscudos,8,0))),$D$640,IF(ISNUMBER(FIND("Munición",VLOOKUP($D$641,Tabla_ArmasyEscudos,8,0))),$D$641,IF(ISNUMBER(FIND("Munición",VLOOKUP($D$642,Tabla_ArmasyEscudos,8,0))),$D$642,"")))</f>
        <v/>
      </c>
      <c r="AF789" s="2892" t="str">
        <f t="shared" ref="AF789:AF794" si="187">IF(AE789&lt;&gt;"",IF(AND($D$641&lt;&gt;AE789,ISNUMBER(FIND("Munición",VLOOKUP($D$641,Tabla_ArmasyEscudos,8,0)))),$D$641,IF(AND($D$642&lt;&gt;AE789,ISNUMBER(FIND("Munición",VLOOKUP($D$642,Tabla_ArmasyEscudos,8,0)))),$D$642,"")),"")</f>
        <v/>
      </c>
      <c r="AG789" s="2892" t="str">
        <f t="shared" ref="AG789:AG794" si="188">IF(AND(AF789&lt;&gt;"",$D$642&lt;&gt;AF789,$D$642&lt;&gt;AE789,ISNUMBER(FIND("Munición",VLOOKUP($D$642,Tabla_ArmasyEscudos,8,0)))),$D$642,"")</f>
        <v/>
      </c>
      <c r="AH789" s="2349"/>
      <c r="AI789" s="2349"/>
      <c r="AJ789" s="2349"/>
      <c r="AK789" s="2893"/>
      <c r="AL789" s="2893"/>
      <c r="AM789" s="2893"/>
      <c r="AN789" s="2349"/>
      <c r="AO789" s="2349"/>
      <c r="AP789" s="2349"/>
      <c r="AQ789" s="2349"/>
      <c r="AR789" s="2349"/>
      <c r="AS789" s="2349"/>
      <c r="AT789" s="2349"/>
      <c r="AU789" s="621"/>
    </row>
    <row r="790" spans="1:47" ht="12.75" customHeight="1" x14ac:dyDescent="0.2">
      <c r="A790" s="227">
        <v>790</v>
      </c>
      <c r="B790" s="5988"/>
      <c r="C790" s="1146"/>
      <c r="D790" s="2629" t="s">
        <v>2224</v>
      </c>
      <c r="E790" s="2628">
        <v>60</v>
      </c>
      <c r="F790" s="2628" t="s">
        <v>1456</v>
      </c>
      <c r="G790" s="2628">
        <v>0</v>
      </c>
      <c r="H790" s="2628">
        <v>0</v>
      </c>
      <c r="I790" s="2628" t="s">
        <v>1552</v>
      </c>
      <c r="J790" s="2628" t="s">
        <v>1456</v>
      </c>
      <c r="K790" s="2878" t="s">
        <v>7281</v>
      </c>
      <c r="L790" s="2628"/>
      <c r="M790" s="2634">
        <v>4</v>
      </c>
      <c r="N790" s="2634">
        <v>1</v>
      </c>
      <c r="O790" s="2634">
        <v>15</v>
      </c>
      <c r="P790" s="2628"/>
      <c r="Q790" s="2628"/>
      <c r="R790" s="2628" t="s">
        <v>1456</v>
      </c>
      <c r="S790" s="2628" t="s">
        <v>1456</v>
      </c>
      <c r="T790" s="2628" t="s">
        <v>1456</v>
      </c>
      <c r="U790" s="2628"/>
      <c r="V790" s="6212" t="s">
        <v>2225</v>
      </c>
      <c r="W790" s="6212"/>
      <c r="X790" s="6213"/>
      <c r="Y790" s="2618">
        <v>0</v>
      </c>
      <c r="Z790" s="1265" t="str">
        <f t="shared" si="166"/>
        <v/>
      </c>
      <c r="AA790" s="227"/>
      <c r="AB790" s="1372" t="s">
        <v>2200</v>
      </c>
      <c r="AC790" s="1375" t="str">
        <f t="shared" si="185"/>
        <v>Tablas!$AD$790:$AD$790</v>
      </c>
      <c r="AD790" s="1371" t="s">
        <v>2220</v>
      </c>
      <c r="AE790" s="2892" t="str">
        <f t="shared" si="186"/>
        <v/>
      </c>
      <c r="AF790" s="2892" t="str">
        <f t="shared" si="187"/>
        <v/>
      </c>
      <c r="AG790" s="2892" t="str">
        <f t="shared" si="188"/>
        <v/>
      </c>
      <c r="AH790" s="2349"/>
      <c r="AI790" s="2349"/>
      <c r="AJ790" s="2349"/>
      <c r="AK790" s="2893"/>
      <c r="AL790" s="2893"/>
      <c r="AM790" s="2893"/>
      <c r="AN790" s="2349"/>
      <c r="AO790" s="2349"/>
      <c r="AP790" s="2349"/>
      <c r="AQ790" s="2349"/>
      <c r="AR790" s="2349"/>
      <c r="AS790" s="2349"/>
      <c r="AT790" s="2349"/>
      <c r="AU790" s="621"/>
    </row>
    <row r="791" spans="1:47" ht="12.75" customHeight="1" x14ac:dyDescent="0.2">
      <c r="A791" s="227">
        <v>791</v>
      </c>
      <c r="B791" s="5988"/>
      <c r="C791" s="1146"/>
      <c r="D791" s="2629" t="s">
        <v>8556</v>
      </c>
      <c r="E791" s="2628">
        <v>120</v>
      </c>
      <c r="F791" s="2628" t="s">
        <v>1456</v>
      </c>
      <c r="G791" s="2628">
        <v>0</v>
      </c>
      <c r="H791" s="2628">
        <v>0</v>
      </c>
      <c r="I791" s="2628" t="s">
        <v>1552</v>
      </c>
      <c r="J791" s="2628" t="s">
        <v>1456</v>
      </c>
      <c r="K791" s="2878" t="s">
        <v>7281</v>
      </c>
      <c r="L791" s="2628"/>
      <c r="M791" s="2634">
        <v>16</v>
      </c>
      <c r="N791" s="2634">
        <v>8</v>
      </c>
      <c r="O791" s="2634">
        <v>15</v>
      </c>
      <c r="P791" s="2628"/>
      <c r="Q791" s="2628"/>
      <c r="R791" s="2628" t="s">
        <v>1456</v>
      </c>
      <c r="S791" s="2628" t="s">
        <v>1456</v>
      </c>
      <c r="T791" s="2628" t="s">
        <v>1456</v>
      </c>
      <c r="U791" s="2628"/>
      <c r="V791" s="2878" t="s">
        <v>8562</v>
      </c>
      <c r="W791" s="2878"/>
      <c r="X791" s="2879"/>
      <c r="Y791" s="2618">
        <v>0</v>
      </c>
      <c r="Z791" s="1265" t="str">
        <f t="shared" si="166"/>
        <v/>
      </c>
      <c r="AA791" s="227"/>
      <c r="AB791" s="1372" t="s">
        <v>2202</v>
      </c>
      <c r="AC791" s="1375" t="str">
        <f t="shared" si="185"/>
        <v>Tablas!$AD$791:$AD$791</v>
      </c>
      <c r="AD791" s="1371" t="s">
        <v>2222</v>
      </c>
      <c r="AE791" s="2892" t="str">
        <f t="shared" si="186"/>
        <v/>
      </c>
      <c r="AF791" s="2892" t="str">
        <f t="shared" si="187"/>
        <v/>
      </c>
      <c r="AG791" s="2892" t="str">
        <f t="shared" si="188"/>
        <v/>
      </c>
      <c r="AH791" s="2349"/>
      <c r="AI791" s="2349"/>
      <c r="AJ791" s="2349"/>
      <c r="AK791" s="2893"/>
      <c r="AL791" s="2893"/>
      <c r="AM791" s="2893"/>
      <c r="AN791" s="2349"/>
      <c r="AO791" s="2349"/>
      <c r="AP791" s="2349"/>
      <c r="AQ791" s="2349"/>
      <c r="AR791" s="2349"/>
      <c r="AS791" s="2349"/>
      <c r="AT791" s="2349"/>
      <c r="AU791" s="621"/>
    </row>
    <row r="792" spans="1:47" ht="12.75" customHeight="1" x14ac:dyDescent="0.2">
      <c r="A792" s="227">
        <v>792</v>
      </c>
      <c r="B792" s="5988"/>
      <c r="C792" s="1146"/>
      <c r="D792" s="2629" t="s">
        <v>8557</v>
      </c>
      <c r="E792" s="2628">
        <v>150</v>
      </c>
      <c r="F792" s="2628" t="s">
        <v>1456</v>
      </c>
      <c r="G792" s="2628">
        <v>0</v>
      </c>
      <c r="H792" s="2628">
        <v>0</v>
      </c>
      <c r="I792" s="2628" t="s">
        <v>1552</v>
      </c>
      <c r="J792" s="2628" t="s">
        <v>1456</v>
      </c>
      <c r="K792" s="2878" t="s">
        <v>7281</v>
      </c>
      <c r="L792" s="2628"/>
      <c r="M792" s="2634">
        <v>18</v>
      </c>
      <c r="N792" s="2634">
        <v>12</v>
      </c>
      <c r="O792" s="2634">
        <v>15</v>
      </c>
      <c r="P792" s="2628"/>
      <c r="Q792" s="2628"/>
      <c r="R792" s="2628" t="s">
        <v>1456</v>
      </c>
      <c r="S792" s="2628" t="s">
        <v>1456</v>
      </c>
      <c r="T792" s="2628" t="s">
        <v>1456</v>
      </c>
      <c r="U792" s="2628"/>
      <c r="V792" s="2878" t="s">
        <v>8563</v>
      </c>
      <c r="W792" s="2878"/>
      <c r="X792" s="2879"/>
      <c r="Y792" s="2618">
        <v>0</v>
      </c>
      <c r="Z792" s="1265" t="str">
        <f t="shared" si="166"/>
        <v/>
      </c>
      <c r="AA792" s="227"/>
      <c r="AB792" s="1372" t="s">
        <v>2203</v>
      </c>
      <c r="AC792" s="1375" t="str">
        <f t="shared" si="185"/>
        <v>Tablas!$AD$792:$AD$792</v>
      </c>
      <c r="AD792" s="1371" t="s">
        <v>2220</v>
      </c>
      <c r="AE792" s="2892" t="str">
        <f t="shared" si="186"/>
        <v/>
      </c>
      <c r="AF792" s="2892" t="str">
        <f t="shared" si="187"/>
        <v/>
      </c>
      <c r="AG792" s="2892" t="str">
        <f t="shared" si="188"/>
        <v/>
      </c>
      <c r="AH792" s="2349"/>
      <c r="AI792" s="2349"/>
      <c r="AJ792" s="2349"/>
      <c r="AK792" s="2893"/>
      <c r="AL792" s="2893"/>
      <c r="AM792" s="2893"/>
      <c r="AN792" s="2349"/>
      <c r="AO792" s="2349"/>
      <c r="AP792" s="2349"/>
      <c r="AQ792" s="2349"/>
      <c r="AR792" s="2349"/>
      <c r="AS792" s="2349"/>
      <c r="AT792" s="2349"/>
      <c r="AU792" s="621"/>
    </row>
    <row r="793" spans="1:47" ht="12.75" customHeight="1" x14ac:dyDescent="0.2">
      <c r="A793" s="227">
        <v>793</v>
      </c>
      <c r="B793" s="5988"/>
      <c r="C793" s="1146"/>
      <c r="D793" s="2629" t="s">
        <v>8798</v>
      </c>
      <c r="E793" s="2628">
        <v>0</v>
      </c>
      <c r="F793" s="2628" t="s">
        <v>1456</v>
      </c>
      <c r="G793" s="2628">
        <v>0</v>
      </c>
      <c r="H793" s="2628">
        <v>0</v>
      </c>
      <c r="I793" s="2628" t="str">
        <f>I639</f>
        <v>-</v>
      </c>
      <c r="J793" s="2628" t="str">
        <f>J639</f>
        <v>-</v>
      </c>
      <c r="K793" s="2878" t="s">
        <v>7281</v>
      </c>
      <c r="L793" s="2628"/>
      <c r="M793" s="2634">
        <f>M639</f>
        <v>4</v>
      </c>
      <c r="N793" s="2628">
        <f>N639</f>
        <v>-4</v>
      </c>
      <c r="O793" s="2628"/>
      <c r="P793" s="2628"/>
      <c r="Q793" s="2628"/>
      <c r="R793" s="2628" t="s">
        <v>1456</v>
      </c>
      <c r="S793" s="2628" t="s">
        <v>1456</v>
      </c>
      <c r="T793" s="2628" t="s">
        <v>1456</v>
      </c>
      <c r="U793" s="2628"/>
      <c r="V793" s="2878" t="s">
        <v>8797</v>
      </c>
      <c r="W793" s="2878"/>
      <c r="X793" s="2879"/>
      <c r="Y793" s="2618">
        <v>0</v>
      </c>
      <c r="Z793" s="1265" t="str">
        <f t="shared" si="166"/>
        <v/>
      </c>
      <c r="AA793" s="227"/>
      <c r="AB793" s="1372" t="s">
        <v>2204</v>
      </c>
      <c r="AC793" s="1375" t="str">
        <f t="shared" si="185"/>
        <v>Tablas!$AD$793:$AD$793</v>
      </c>
      <c r="AD793" s="1371" t="s">
        <v>2224</v>
      </c>
      <c r="AE793" s="2892" t="str">
        <f t="shared" si="186"/>
        <v/>
      </c>
      <c r="AF793" s="2892" t="str">
        <f t="shared" si="187"/>
        <v/>
      </c>
      <c r="AG793" s="2892" t="str">
        <f t="shared" si="188"/>
        <v/>
      </c>
      <c r="AH793" s="2349"/>
      <c r="AI793" s="2349"/>
      <c r="AJ793" s="2349"/>
      <c r="AK793" s="2893"/>
      <c r="AL793" s="2893"/>
      <c r="AM793" s="2893"/>
      <c r="AN793" s="2349"/>
      <c r="AO793" s="2349"/>
      <c r="AP793" s="2349"/>
      <c r="AQ793" s="2349"/>
      <c r="AR793" s="2349"/>
      <c r="AS793" s="2349"/>
      <c r="AT793" s="2349"/>
      <c r="AU793" s="621"/>
    </row>
    <row r="794" spans="1:47" ht="12.75" customHeight="1" x14ac:dyDescent="0.2">
      <c r="A794" s="227">
        <v>794</v>
      </c>
      <c r="B794" s="5988"/>
      <c r="C794" s="1146"/>
      <c r="D794" s="2629" t="s">
        <v>2226</v>
      </c>
      <c r="E794" s="2628"/>
      <c r="F794" s="2628"/>
      <c r="G794" s="2628"/>
      <c r="H794" s="2628"/>
      <c r="I794" s="2628"/>
      <c r="J794" s="2628"/>
      <c r="K794" s="2878" t="s">
        <v>7260</v>
      </c>
      <c r="L794" s="2628"/>
      <c r="M794" s="2634"/>
      <c r="N794" s="2634"/>
      <c r="O794" s="2634"/>
      <c r="P794" s="2628"/>
      <c r="Q794" s="2628"/>
      <c r="R794" s="2628"/>
      <c r="S794" s="2628"/>
      <c r="T794" s="2628"/>
      <c r="U794" s="2628"/>
      <c r="V794" s="2878"/>
      <c r="W794" s="2878"/>
      <c r="X794" s="2879"/>
      <c r="Y794" s="1149"/>
      <c r="Z794" s="2883"/>
      <c r="AA794" s="227"/>
      <c r="AB794" s="1372" t="s">
        <v>2205</v>
      </c>
      <c r="AC794" s="1375" t="str">
        <f t="shared" si="185"/>
        <v>Tablas!$AD$794:$AD$794</v>
      </c>
      <c r="AD794" s="1371" t="s">
        <v>2213</v>
      </c>
      <c r="AE794" s="2892" t="str">
        <f t="shared" si="186"/>
        <v/>
      </c>
      <c r="AF794" s="2892" t="str">
        <f t="shared" si="187"/>
        <v/>
      </c>
      <c r="AG794" s="2892" t="str">
        <f t="shared" si="188"/>
        <v/>
      </c>
      <c r="AH794" s="2349"/>
      <c r="AI794" s="2349"/>
      <c r="AJ794" s="2349"/>
      <c r="AK794" s="2893"/>
      <c r="AL794" s="2893"/>
      <c r="AM794" s="2893"/>
      <c r="AN794" s="2349"/>
      <c r="AO794" s="2349"/>
      <c r="AP794" s="2349"/>
      <c r="AQ794" s="2349"/>
      <c r="AR794" s="2349"/>
      <c r="AS794" s="2349"/>
      <c r="AT794" s="2349"/>
      <c r="AU794" s="621"/>
    </row>
    <row r="795" spans="1:47" ht="12.75" customHeight="1" x14ac:dyDescent="0.2">
      <c r="A795" s="227">
        <v>795</v>
      </c>
      <c r="B795" s="5988"/>
      <c r="C795" s="1146"/>
      <c r="D795" s="2629" t="s">
        <v>2227</v>
      </c>
      <c r="E795" s="2628">
        <f>Presencia_final</f>
        <v>20</v>
      </c>
      <c r="F795" s="2628">
        <v>20</v>
      </c>
      <c r="G795" s="2628">
        <v>0</v>
      </c>
      <c r="H795" s="2628">
        <v>0</v>
      </c>
      <c r="I795" s="2628" t="s">
        <v>2228</v>
      </c>
      <c r="J795" s="2628" t="s">
        <v>1456</v>
      </c>
      <c r="K795" s="2878" t="s">
        <v>7282</v>
      </c>
      <c r="L795" s="2637" t="str">
        <f>IF(SUMPRODUCT(--ISNUMBER(SEARCH($D795,INDEX(Tabla_ArsMagnus,,1))),INDEX(Tabla_ArsMagnus,,4))&gt;0,"Conocida","Distinta")</f>
        <v>Distinta</v>
      </c>
      <c r="M795" s="2634" t="s">
        <v>1456</v>
      </c>
      <c r="N795" s="2634">
        <f>POD-IF(FUE=0,0,VLOOKUP(FUE,Tabla_Fuerza,2))</f>
        <v>0</v>
      </c>
      <c r="O795" s="2634">
        <f>Presencia_final</f>
        <v>20</v>
      </c>
      <c r="P795" s="2628"/>
      <c r="Q795" s="2628"/>
      <c r="R795" s="2628"/>
      <c r="S795" s="2628"/>
      <c r="T795" s="2628"/>
      <c r="U795" s="2628"/>
      <c r="V795" s="2878" t="s">
        <v>2229</v>
      </c>
      <c r="W795" s="2878"/>
      <c r="X795" s="2879"/>
      <c r="Y795" s="2618">
        <f>Bono_Pod</f>
        <v>0</v>
      </c>
      <c r="Z795" s="1265" t="str">
        <f>IF(AND(K796&lt;&gt;"Natural/-",ISNUMBER(SEARCH(D796&amp;",",Armas_Conocidas))),", "&amp;K796,"")</f>
        <v/>
      </c>
      <c r="AA795" s="227"/>
      <c r="AB795" s="1372" t="s">
        <v>6990</v>
      </c>
      <c r="AC795" s="1375" t="str">
        <f t="shared" si="185"/>
        <v>Tablas!$AD$795:$AF$795</v>
      </c>
      <c r="AD795" s="1371" t="s">
        <v>2215</v>
      </c>
      <c r="AE795" s="2893" t="s">
        <v>2217</v>
      </c>
      <c r="AF795" s="2893" t="s">
        <v>2218</v>
      </c>
      <c r="AG795" s="2892" t="str">
        <f>IF(ISNUMBER(FIND("Munición",VLOOKUP($D$640,Tabla_ArmasyEscudos,8,0))),$D$640,IF(ISNUMBER(FIND("Munición",VLOOKUP($D$641,Tabla_ArmasyEscudos,8,0))),$D$641,IF(ISNUMBER(FIND("Munición",VLOOKUP($D$642,Tabla_ArmasyEscudos,8,0))),$D$642,"")))</f>
        <v/>
      </c>
      <c r="AH795" s="2892" t="str">
        <f>IF(AG795&lt;&gt;"",IF(AND($D$641&lt;&gt;AG795,ISNUMBER(FIND("Munición",VLOOKUP($D$641,Tabla_ArmasyEscudos,8,0)))),$D$641,IF(AND($D$642&lt;&gt;AG795,ISNUMBER(FIND("Munición",VLOOKUP($D$642,Tabla_ArmasyEscudos,8,0)))),$D$642,"")),"")</f>
        <v/>
      </c>
      <c r="AI795" s="2892" t="str">
        <f>IF(AND(AH795&lt;&gt;"",$D$642&lt;&gt;AH795,$D$642&lt;&gt;AG795,ISNUMBER(FIND("Munición",VLOOKUP($D$642,Tabla_ArmasyEscudos,8,0)))),$D$642,"")</f>
        <v/>
      </c>
      <c r="AJ795" s="2349"/>
      <c r="AK795" s="2893"/>
      <c r="AL795" s="2893"/>
      <c r="AM795" s="2893"/>
      <c r="AN795" s="2349"/>
      <c r="AO795" s="2349"/>
      <c r="AP795" s="2349"/>
      <c r="AQ795" s="2349"/>
      <c r="AR795" s="2349"/>
      <c r="AS795" s="2349"/>
      <c r="AT795" s="2349"/>
      <c r="AU795" s="621"/>
    </row>
    <row r="796" spans="1:47" ht="12.75" customHeight="1" x14ac:dyDescent="0.2">
      <c r="A796" s="227">
        <v>796</v>
      </c>
      <c r="B796" s="5988"/>
      <c r="C796" s="1146"/>
      <c r="D796" s="2629" t="s">
        <v>2230</v>
      </c>
      <c r="E796" s="2626"/>
      <c r="F796" s="2626"/>
      <c r="G796" s="2626"/>
      <c r="H796" s="2626"/>
      <c r="I796" s="2626"/>
      <c r="J796" s="2626"/>
      <c r="K796" s="2622" t="s">
        <v>7260</v>
      </c>
      <c r="L796" s="2626"/>
      <c r="M796" s="2626"/>
      <c r="N796" s="2626"/>
      <c r="O796" s="2626"/>
      <c r="P796" s="2626"/>
      <c r="Q796" s="2626"/>
      <c r="R796" s="2626"/>
      <c r="S796" s="2626"/>
      <c r="T796" s="2626"/>
      <c r="U796" s="2626"/>
      <c r="V796" s="2622"/>
      <c r="W796" s="2622"/>
      <c r="X796" s="2623"/>
      <c r="Y796" s="1149"/>
      <c r="Z796" s="2883"/>
      <c r="AA796" s="227"/>
      <c r="AB796" s="1372" t="s">
        <v>2206</v>
      </c>
      <c r="AC796" s="1375" t="str">
        <f t="shared" si="185"/>
        <v>Tablas!$AD$796:$AD$796</v>
      </c>
      <c r="AD796" s="2863" t="s">
        <v>8554</v>
      </c>
      <c r="AE796" s="2892" t="str">
        <f t="shared" ref="AE796:AE802" si="189">IF(ISNUMBER(FIND("Munición",VLOOKUP($D$640,Tabla_ArmasyEscudos,8,0))),$D$640,IF(ISNUMBER(FIND("Munición",VLOOKUP($D$641,Tabla_ArmasyEscudos,8,0))),$D$641,IF(ISNUMBER(FIND("Munición",VLOOKUP($D$642,Tabla_ArmasyEscudos,8,0))),$D$642,"")))</f>
        <v/>
      </c>
      <c r="AF796" s="2892" t="str">
        <f t="shared" ref="AF796:AF802" si="190">IF(AE796&lt;&gt;"",IF(AND($D$641&lt;&gt;AE796,ISNUMBER(FIND("Munición",VLOOKUP($D$641,Tabla_ArmasyEscudos,8,0)))),$D$641,IF(AND($D$642&lt;&gt;AE796,ISNUMBER(FIND("Munición",VLOOKUP($D$642,Tabla_ArmasyEscudos,8,0)))),$D$642,"")),"")</f>
        <v/>
      </c>
      <c r="AG796" s="2892" t="str">
        <f t="shared" ref="AG796:AG802" si="191">IF(AND(AF796&lt;&gt;"",$D$642&lt;&gt;AF796,$D$642&lt;&gt;AE796,ISNUMBER(FIND("Munición",VLOOKUP($D$642,Tabla_ArmasyEscudos,8,0)))),$D$642,"")</f>
        <v/>
      </c>
      <c r="AH796" s="2349"/>
      <c r="AI796" s="2349"/>
      <c r="AJ796" s="2349"/>
      <c r="AK796" s="2893"/>
      <c r="AL796" s="2893"/>
      <c r="AM796" s="2893"/>
      <c r="AN796" s="2349"/>
      <c r="AO796" s="2349"/>
      <c r="AP796" s="2349"/>
      <c r="AQ796" s="2349"/>
      <c r="AR796" s="2349"/>
      <c r="AS796" s="2349"/>
      <c r="AT796" s="2349"/>
      <c r="AU796" s="621"/>
    </row>
    <row r="797" spans="1:47" ht="12.75" customHeight="1" x14ac:dyDescent="0.2">
      <c r="A797" s="227">
        <v>797</v>
      </c>
      <c r="B797" s="5988"/>
      <c r="C797" s="1146"/>
      <c r="D797" s="2629" t="s">
        <v>2231</v>
      </c>
      <c r="E797" s="2633">
        <f>100-Bono_Fue</f>
        <v>100</v>
      </c>
      <c r="F797" s="2628">
        <v>-20</v>
      </c>
      <c r="G797" s="2628">
        <v>0</v>
      </c>
      <c r="H797" s="2628">
        <v>0</v>
      </c>
      <c r="I797" s="2628" t="s">
        <v>1552</v>
      </c>
      <c r="J797" s="2628" t="s">
        <v>1551</v>
      </c>
      <c r="K797" s="2878" t="s">
        <v>7260</v>
      </c>
      <c r="L797" s="2637" t="str">
        <f>IF(H1014&gt;0,"Conocida","Distinta")</f>
        <v>Distinta</v>
      </c>
      <c r="M797" s="2634">
        <v>16</v>
      </c>
      <c r="N797" s="2634">
        <v>6</v>
      </c>
      <c r="O797" s="2634">
        <v>30</v>
      </c>
      <c r="P797" s="2628"/>
      <c r="Q797" s="2628"/>
      <c r="R797" s="2628" t="s">
        <v>1456</v>
      </c>
      <c r="S797" s="2628" t="s">
        <v>1456</v>
      </c>
      <c r="T797" s="2628" t="s">
        <v>1456</v>
      </c>
      <c r="U797" s="2628"/>
      <c r="V797" s="2878" t="s">
        <v>2232</v>
      </c>
      <c r="W797" s="2626"/>
      <c r="X797" s="2680" t="s">
        <v>1967</v>
      </c>
      <c r="Y797" s="2618">
        <f>Bono_Fue</f>
        <v>0</v>
      </c>
      <c r="Z797" s="2883"/>
      <c r="AA797" s="227"/>
      <c r="AB797" s="1372" t="s">
        <v>2207</v>
      </c>
      <c r="AC797" s="1375" t="str">
        <f t="shared" si="185"/>
        <v>Tablas!$AD$797:$AD$797</v>
      </c>
      <c r="AD797" s="1371" t="s">
        <v>2209</v>
      </c>
      <c r="AE797" s="2892" t="str">
        <f t="shared" si="189"/>
        <v/>
      </c>
      <c r="AF797" s="2892" t="str">
        <f t="shared" si="190"/>
        <v/>
      </c>
      <c r="AG797" s="2892" t="str">
        <f t="shared" si="191"/>
        <v/>
      </c>
      <c r="AH797" s="2349"/>
      <c r="AI797" s="2349"/>
      <c r="AJ797" s="2349"/>
      <c r="AK797" s="2893"/>
      <c r="AL797" s="2893"/>
      <c r="AM797" s="2893"/>
      <c r="AN797" s="2349"/>
      <c r="AO797" s="2349"/>
      <c r="AP797" s="2349"/>
      <c r="AQ797" s="2349"/>
      <c r="AR797" s="2349"/>
      <c r="AS797" s="2349"/>
      <c r="AT797" s="2349"/>
      <c r="AU797" s="621"/>
    </row>
    <row r="798" spans="1:47" ht="12.75" customHeight="1" x14ac:dyDescent="0.2">
      <c r="A798" s="227">
        <v>798</v>
      </c>
      <c r="B798" s="5988"/>
      <c r="C798" s="1146"/>
      <c r="D798" s="2629" t="s">
        <v>2233</v>
      </c>
      <c r="E798" s="2633">
        <v>120</v>
      </c>
      <c r="F798" s="2628">
        <v>-80</v>
      </c>
      <c r="G798" s="2628">
        <v>12</v>
      </c>
      <c r="H798" s="2628">
        <v>10</v>
      </c>
      <c r="I798" s="2628" t="s">
        <v>1551</v>
      </c>
      <c r="J798" s="2628" t="s">
        <v>1498</v>
      </c>
      <c r="K798" s="2878" t="s">
        <v>7260</v>
      </c>
      <c r="L798" s="2637" t="str">
        <f>IF(AND(H1015&gt;0,OR(L664="Conocida",L681="Conocida",L701="Conocida")),"Conocida","Distinta")</f>
        <v>Distinta</v>
      </c>
      <c r="M798" s="2634">
        <v>16</v>
      </c>
      <c r="N798" s="2634">
        <v>8</v>
      </c>
      <c r="O798" s="2634">
        <v>25</v>
      </c>
      <c r="P798" s="2628"/>
      <c r="Q798" s="2628"/>
      <c r="R798" s="2628" t="s">
        <v>1456</v>
      </c>
      <c r="S798" s="2628" t="s">
        <v>1456</v>
      </c>
      <c r="T798" s="2628" t="s">
        <v>1456</v>
      </c>
      <c r="U798" s="2628"/>
      <c r="V798" s="2878" t="s">
        <v>2234</v>
      </c>
      <c r="W798" s="2626"/>
      <c r="X798" s="2680" t="s">
        <v>1967</v>
      </c>
      <c r="Y798" s="1149">
        <f>Bono_Fue</f>
        <v>0</v>
      </c>
      <c r="Z798" s="2883"/>
      <c r="AA798" s="227"/>
      <c r="AB798" s="1030" t="s">
        <v>8302</v>
      </c>
      <c r="AC798" s="1375" t="str">
        <f t="shared" si="185"/>
        <v>Tablas!$AD$798:$AD$798</v>
      </c>
      <c r="AD798" s="1371" t="s">
        <v>8556</v>
      </c>
      <c r="AE798" s="2892" t="str">
        <f t="shared" si="189"/>
        <v/>
      </c>
      <c r="AF798" s="2892" t="str">
        <f t="shared" si="190"/>
        <v/>
      </c>
      <c r="AG798" s="2892" t="str">
        <f t="shared" si="191"/>
        <v/>
      </c>
      <c r="AH798" s="2349"/>
      <c r="AI798" s="2349"/>
      <c r="AJ798" s="2349"/>
      <c r="AK798" s="2349"/>
      <c r="AL798" s="2349"/>
      <c r="AM798" s="2349"/>
      <c r="AN798" s="2349"/>
      <c r="AO798" s="2349"/>
      <c r="AP798" s="2349"/>
      <c r="AQ798" s="2349"/>
      <c r="AR798" s="2349"/>
      <c r="AS798" s="2349"/>
      <c r="AT798" s="2349"/>
      <c r="AU798" s="621"/>
    </row>
    <row r="799" spans="1:47" ht="12.75" customHeight="1" x14ac:dyDescent="0.2">
      <c r="A799" s="227">
        <v>799</v>
      </c>
      <c r="B799" s="5988"/>
      <c r="C799" s="1146"/>
      <c r="D799" s="2629" t="s">
        <v>2235</v>
      </c>
      <c r="E799" s="2633">
        <f>50+20*U608</f>
        <v>50</v>
      </c>
      <c r="F799" s="2628">
        <v>15</v>
      </c>
      <c r="G799" s="2628">
        <v>4</v>
      </c>
      <c r="H799" s="2628">
        <v>4</v>
      </c>
      <c r="I799" s="2628" t="s">
        <v>1551</v>
      </c>
      <c r="J799" s="2628" t="s">
        <v>1552</v>
      </c>
      <c r="K799" s="2878" t="s">
        <v>7260</v>
      </c>
      <c r="L799" s="2637" t="str">
        <f>IF(OR(H1017&gt;0,H1018&gt;0),"Conocida","Distinta")</f>
        <v>Distinta</v>
      </c>
      <c r="M799" s="2634">
        <v>10</v>
      </c>
      <c r="N799" s="2634">
        <v>0</v>
      </c>
      <c r="O799" s="2634">
        <v>30</v>
      </c>
      <c r="P799" s="2628"/>
      <c r="Q799" s="2628"/>
      <c r="R799" s="2628" t="s">
        <v>1456</v>
      </c>
      <c r="S799" s="2628" t="s">
        <v>1456</v>
      </c>
      <c r="T799" s="2628" t="s">
        <v>1456</v>
      </c>
      <c r="U799" s="2628"/>
      <c r="V799" s="2878" t="str">
        <f>"Alcance ("&amp;IF($U$606&gt;0,25&amp;"m y área 10",5)&amp;"m), Presa (FUE "&amp;IF(U605&gt;0,13&amp;") sin penalizador",11&amp;") mitad penalizador")&amp;", Casi invisible ("&amp;IF(U607&gt;0,"ABS","MDF")&amp;"), -"&amp;2+4*U609&amp;" TA blandas (duras mitad), A 2 manos"&amp;IF(U610&gt;0,"Imparable","")</f>
        <v>Alcance (5m), Presa (FUE 11) mitad penalizador, Casi invisible (MDF), -2 TA blandas (duras mitad), A 2 manos</v>
      </c>
      <c r="W799" s="2626"/>
      <c r="X799" s="2680" t="s">
        <v>8685</v>
      </c>
      <c r="Y799" s="1149">
        <v>0</v>
      </c>
      <c r="Z799" s="2883"/>
      <c r="AA799" s="227"/>
      <c r="AB799" s="1030" t="s">
        <v>8303</v>
      </c>
      <c r="AC799" s="1375" t="str">
        <f t="shared" si="185"/>
        <v>Tablas!$AD$799:$AD$799</v>
      </c>
      <c r="AD799" s="1371" t="s">
        <v>8557</v>
      </c>
      <c r="AE799" s="2892" t="str">
        <f t="shared" si="189"/>
        <v/>
      </c>
      <c r="AF799" s="2892" t="str">
        <f t="shared" si="190"/>
        <v/>
      </c>
      <c r="AG799" s="2892" t="str">
        <f t="shared" si="191"/>
        <v/>
      </c>
      <c r="AH799" s="2349"/>
      <c r="AI799" s="2349"/>
      <c r="AJ799" s="2349"/>
      <c r="AK799" s="2349"/>
      <c r="AL799" s="2349"/>
      <c r="AM799" s="2349"/>
      <c r="AN799" s="2349"/>
      <c r="AO799" s="2349"/>
      <c r="AP799" s="2349"/>
      <c r="AQ799" s="2349"/>
      <c r="AR799" s="2349"/>
      <c r="AS799" s="2349"/>
      <c r="AT799" s="2349"/>
      <c r="AU799" s="621"/>
    </row>
    <row r="800" spans="1:47" ht="12.75" customHeight="1" x14ac:dyDescent="0.2">
      <c r="A800" s="227">
        <v>800</v>
      </c>
      <c r="B800" s="5988"/>
      <c r="C800" s="1146"/>
      <c r="D800" s="2629" t="s">
        <v>2236</v>
      </c>
      <c r="E800" s="2633">
        <v>70</v>
      </c>
      <c r="F800" s="2628">
        <v>-30</v>
      </c>
      <c r="G800" s="2628">
        <v>8</v>
      </c>
      <c r="H800" s="2628">
        <v>6</v>
      </c>
      <c r="I800" s="2628" t="s">
        <v>1551</v>
      </c>
      <c r="J800" s="2628" t="s">
        <v>1498</v>
      </c>
      <c r="K800" s="2878" t="s">
        <v>7260</v>
      </c>
      <c r="L800" s="2637" t="str">
        <f>IF(AND(H1019&gt;0,L770="Conocida",OR(L651="Conocida",L656="Conocida",L665="Conocida",L668="Conocida",L670="Conocida",L688="Conocida",L707="Conocida",L708="Conocida",L709="Conocida",L725="Conocida",L726="Conocida",L737="Conocida",L749="Conocida",L755="Conocida")),"Conocida","Distinta")</f>
        <v>Distinta</v>
      </c>
      <c r="M800" s="2634">
        <v>13</v>
      </c>
      <c r="N800" s="2634">
        <v>4</v>
      </c>
      <c r="O800" s="2634">
        <v>35</v>
      </c>
      <c r="P800" s="2628"/>
      <c r="Q800" s="2628"/>
      <c r="R800" s="2628" t="s">
        <v>1456</v>
      </c>
      <c r="S800" s="2628" t="s">
        <v>1456</v>
      </c>
      <c r="T800" s="2628" t="s">
        <v>1456</v>
      </c>
      <c r="U800" s="2628"/>
      <c r="V800" s="2878" t="s">
        <v>2237</v>
      </c>
      <c r="W800" s="2626"/>
      <c r="X800" s="2680" t="s">
        <v>10157</v>
      </c>
      <c r="Y800" s="1149">
        <f>Bono_Fue</f>
        <v>0</v>
      </c>
      <c r="Z800" s="2883"/>
      <c r="AA800" s="227"/>
      <c r="AB800" s="1030" t="s">
        <v>8304</v>
      </c>
      <c r="AC800" s="1375" t="str">
        <f t="shared" si="185"/>
        <v>Tablas!$AD$800:$AD$800</v>
      </c>
      <c r="AD800" s="1371" t="s">
        <v>2211</v>
      </c>
      <c r="AE800" s="2892" t="str">
        <f t="shared" si="189"/>
        <v/>
      </c>
      <c r="AF800" s="2892" t="str">
        <f t="shared" si="190"/>
        <v/>
      </c>
      <c r="AG800" s="2892" t="str">
        <f t="shared" si="191"/>
        <v/>
      </c>
      <c r="AH800" s="2349"/>
      <c r="AI800" s="2349"/>
      <c r="AJ800" s="2349"/>
      <c r="AK800" s="2349"/>
      <c r="AL800" s="2349"/>
      <c r="AM800" s="2349"/>
      <c r="AN800" s="2349"/>
      <c r="AO800" s="2349"/>
      <c r="AP800" s="2349"/>
      <c r="AQ800" s="2349"/>
      <c r="AR800" s="2349"/>
      <c r="AS800" s="2349"/>
      <c r="AT800" s="2349"/>
      <c r="AU800" s="621"/>
    </row>
    <row r="801" spans="1:47" ht="12.75" customHeight="1" x14ac:dyDescent="0.2">
      <c r="A801" s="227">
        <v>801</v>
      </c>
      <c r="B801" s="5988"/>
      <c r="C801" s="1146"/>
      <c r="D801" s="2629" t="s">
        <v>8584</v>
      </c>
      <c r="E801" s="2628">
        <v>0</v>
      </c>
      <c r="F801" s="2628">
        <v>0</v>
      </c>
      <c r="G801" s="2628">
        <v>8</v>
      </c>
      <c r="H801" s="2628">
        <v>6</v>
      </c>
      <c r="I801" s="2628" t="s">
        <v>1552</v>
      </c>
      <c r="J801" s="2628" t="s">
        <v>1456</v>
      </c>
      <c r="K801" s="2878" t="s">
        <v>7260</v>
      </c>
      <c r="L801" s="2637" t="str">
        <f>L800</f>
        <v>Distinta</v>
      </c>
      <c r="M801" s="2634">
        <v>13</v>
      </c>
      <c r="N801" s="2634">
        <v>4</v>
      </c>
      <c r="O801" s="2634">
        <v>35</v>
      </c>
      <c r="P801" s="2628"/>
      <c r="Q801" s="2628"/>
      <c r="R801" s="2628" t="s">
        <v>1456</v>
      </c>
      <c r="S801" s="2628">
        <v>2</v>
      </c>
      <c r="T801" s="2628">
        <v>50</v>
      </c>
      <c r="U801" s="2628">
        <v>10</v>
      </c>
      <c r="V801" s="2878" t="s">
        <v>2237</v>
      </c>
      <c r="W801" s="2626"/>
      <c r="X801" s="2680" t="s">
        <v>10157</v>
      </c>
      <c r="Y801" s="1149">
        <v>0</v>
      </c>
      <c r="Z801" s="2883"/>
      <c r="AA801" s="227"/>
      <c r="AB801" s="1030" t="s">
        <v>8584</v>
      </c>
      <c r="AC801" s="1375" t="str">
        <f t="shared" si="185"/>
        <v>Tablas!$AD$801:$AD$801</v>
      </c>
      <c r="AD801" s="1371" t="s">
        <v>8582</v>
      </c>
      <c r="AE801" s="2892" t="str">
        <f t="shared" si="189"/>
        <v/>
      </c>
      <c r="AF801" s="2892" t="str">
        <f t="shared" si="190"/>
        <v/>
      </c>
      <c r="AG801" s="2892" t="str">
        <f t="shared" si="191"/>
        <v/>
      </c>
      <c r="AH801" s="2349"/>
      <c r="AI801" s="2349"/>
      <c r="AJ801" s="2349"/>
      <c r="AK801" s="2349"/>
      <c r="AL801" s="2349"/>
      <c r="AM801" s="2349"/>
      <c r="AN801" s="2349"/>
      <c r="AO801" s="2349"/>
      <c r="AP801" s="2349"/>
      <c r="AQ801" s="2349"/>
      <c r="AR801" s="2349"/>
      <c r="AS801" s="2349"/>
      <c r="AT801" s="2349"/>
      <c r="AU801" s="621"/>
    </row>
    <row r="802" spans="1:47" ht="12.75" customHeight="1" x14ac:dyDescent="0.2">
      <c r="A802" s="227">
        <v>802</v>
      </c>
      <c r="B802" s="5988"/>
      <c r="C802" s="1146"/>
      <c r="D802" s="2629" t="s">
        <v>2238</v>
      </c>
      <c r="E802" s="2628">
        <v>40</v>
      </c>
      <c r="F802" s="2628">
        <v>5</v>
      </c>
      <c r="G802" s="2628">
        <v>5</v>
      </c>
      <c r="H802" s="2628">
        <v>3</v>
      </c>
      <c r="I802" s="2628" t="s">
        <v>1552</v>
      </c>
      <c r="J802" s="2628" t="s">
        <v>1456</v>
      </c>
      <c r="K802" s="2878" t="s">
        <v>7260</v>
      </c>
      <c r="L802" s="2637" t="str">
        <f>IF(AND(H1019&gt;0,L757="Conocida",L690="Conocida"),"Conocida","Distinta")</f>
        <v>Distinta</v>
      </c>
      <c r="M802" s="2634">
        <v>12</v>
      </c>
      <c r="N802" s="2634">
        <v>2</v>
      </c>
      <c r="O802" s="2634">
        <v>35</v>
      </c>
      <c r="P802" s="2628"/>
      <c r="Q802" s="2628"/>
      <c r="R802" s="2628" t="s">
        <v>1456</v>
      </c>
      <c r="S802" s="2628" t="s">
        <v>1456</v>
      </c>
      <c r="T802" s="2628" t="s">
        <v>1456</v>
      </c>
      <c r="U802" s="2628"/>
      <c r="V802" s="2878" t="s">
        <v>2237</v>
      </c>
      <c r="W802" s="2626"/>
      <c r="X802" s="2680" t="s">
        <v>10157</v>
      </c>
      <c r="Y802" s="1149">
        <f>Bono_Fue</f>
        <v>0</v>
      </c>
      <c r="Z802" s="2883"/>
      <c r="AA802" s="227"/>
      <c r="AB802" s="1030" t="s">
        <v>8585</v>
      </c>
      <c r="AC802" s="1375" t="str">
        <f t="shared" si="185"/>
        <v>Tablas!$AD$802:$AD$802</v>
      </c>
      <c r="AD802" s="1371" t="s">
        <v>8582</v>
      </c>
      <c r="AE802" s="2892" t="str">
        <f t="shared" si="189"/>
        <v/>
      </c>
      <c r="AF802" s="2892" t="str">
        <f t="shared" si="190"/>
        <v/>
      </c>
      <c r="AG802" s="2892" t="str">
        <f t="shared" si="191"/>
        <v/>
      </c>
      <c r="AH802" s="2349"/>
      <c r="AI802" s="2349"/>
      <c r="AJ802" s="2349"/>
      <c r="AK802" s="2349"/>
      <c r="AL802" s="2349"/>
      <c r="AM802" s="2349"/>
      <c r="AN802" s="2349"/>
      <c r="AO802" s="2349"/>
      <c r="AP802" s="2349"/>
      <c r="AQ802" s="2349"/>
      <c r="AR802" s="2349"/>
      <c r="AS802" s="2349"/>
      <c r="AT802" s="2349"/>
      <c r="AU802" s="621"/>
    </row>
    <row r="803" spans="1:47" ht="12.75" customHeight="1" x14ac:dyDescent="0.2">
      <c r="A803" s="227">
        <v>803</v>
      </c>
      <c r="B803" s="5988"/>
      <c r="C803" s="1146"/>
      <c r="D803" s="2629" t="s">
        <v>8585</v>
      </c>
      <c r="E803" s="2628">
        <v>0</v>
      </c>
      <c r="F803" s="2628">
        <v>-20</v>
      </c>
      <c r="G803" s="2628">
        <v>5</v>
      </c>
      <c r="H803" s="2628">
        <v>3</v>
      </c>
      <c r="I803" s="2628" t="s">
        <v>1552</v>
      </c>
      <c r="J803" s="2628" t="s">
        <v>1456</v>
      </c>
      <c r="K803" s="2878" t="s">
        <v>7260</v>
      </c>
      <c r="L803" s="2637" t="str">
        <f>L802</f>
        <v>Distinta</v>
      </c>
      <c r="M803" s="2634">
        <v>12</v>
      </c>
      <c r="N803" s="2634">
        <v>2</v>
      </c>
      <c r="O803" s="2634">
        <v>35</v>
      </c>
      <c r="P803" s="2628"/>
      <c r="Q803" s="2628"/>
      <c r="R803" s="2628" t="s">
        <v>1456</v>
      </c>
      <c r="S803" s="2628">
        <v>2</v>
      </c>
      <c r="T803" s="2628">
        <v>80</v>
      </c>
      <c r="U803" s="2628">
        <v>11</v>
      </c>
      <c r="V803" s="2878" t="s">
        <v>2237</v>
      </c>
      <c r="W803" s="2626"/>
      <c r="X803" s="2680" t="s">
        <v>10157</v>
      </c>
      <c r="Y803" s="1149">
        <v>0</v>
      </c>
      <c r="Z803" s="2883"/>
      <c r="AA803" s="227"/>
      <c r="AB803" s="1030" t="s">
        <v>8586</v>
      </c>
      <c r="AC803" s="1375" t="str">
        <f t="shared" si="185"/>
        <v>Tablas!$AD$803:$AD$803</v>
      </c>
      <c r="AD803" s="1371" t="s">
        <v>8588</v>
      </c>
      <c r="AE803" s="2892" t="str">
        <f>IF(ISNUMBER(FIND("Munición",VLOOKUP($D$640,Tabla_ArmasyEscudos,8,0))),$D$640,IF(ISNUMBER(FIND("Munición",VLOOKUP($D$641,Tabla_ArmasyEscudos,8,0))),$D$641,IF(ISNUMBER(FIND("Munición",VLOOKUP($D$642,Tabla_ArmasyEscudos,8,0))),$D$642,"")))</f>
        <v/>
      </c>
      <c r="AF803" s="2892" t="str">
        <f>IF(AE803&lt;&gt;"",IF(AND($D$641&lt;&gt;AE803,ISNUMBER(FIND("Munición",VLOOKUP($D$641,Tabla_ArmasyEscudos,8,0)))),$D$641,IF(AND($D$642&lt;&gt;AE803,ISNUMBER(FIND("Munición",VLOOKUP($D$642,Tabla_ArmasyEscudos,8,0)))),$D$642,"")),"")</f>
        <v/>
      </c>
      <c r="AG803" s="2892" t="str">
        <f>IF(AND(AF803&lt;&gt;"",$D$642&lt;&gt;AF803,$D$642&lt;&gt;AE803,ISNUMBER(FIND("Munición",VLOOKUP($D$642,Tabla_ArmasyEscudos,8,0)))),$D$642,"")</f>
        <v/>
      </c>
      <c r="AH803" s="2349"/>
      <c r="AI803" s="2349"/>
      <c r="AJ803" s="2349"/>
      <c r="AK803" s="2349"/>
      <c r="AL803" s="2349"/>
      <c r="AM803" s="2349"/>
      <c r="AN803" s="2349"/>
      <c r="AO803" s="2349"/>
      <c r="AP803" s="2349"/>
      <c r="AQ803" s="2349"/>
      <c r="AR803" s="2349"/>
      <c r="AS803" s="2349"/>
      <c r="AT803" s="2349"/>
      <c r="AU803" s="621"/>
    </row>
    <row r="804" spans="1:47" ht="12.75" customHeight="1" x14ac:dyDescent="0.2">
      <c r="A804" s="227">
        <v>804</v>
      </c>
      <c r="B804" s="5988"/>
      <c r="C804" s="1146"/>
      <c r="D804" s="2629" t="s">
        <v>8586</v>
      </c>
      <c r="E804" s="2628">
        <v>0</v>
      </c>
      <c r="F804" s="2628">
        <v>-40</v>
      </c>
      <c r="G804" s="2628" t="s">
        <v>1456</v>
      </c>
      <c r="H804" s="2628">
        <v>7</v>
      </c>
      <c r="I804" s="2628" t="s">
        <v>1498</v>
      </c>
      <c r="J804" s="2628" t="s">
        <v>1456</v>
      </c>
      <c r="K804" s="2878" t="s">
        <v>7260</v>
      </c>
      <c r="L804" s="2637" t="str">
        <f>IF(AND(H1019&gt;0,L774="Conocida",OR(L699="Conocida",L700="Conocida",L701="Conocida")),"Conocida","Distinta")</f>
        <v>Distinta</v>
      </c>
      <c r="M804" s="2634">
        <v>15</v>
      </c>
      <c r="N804" s="2634">
        <v>5</v>
      </c>
      <c r="O804" s="2634">
        <v>35</v>
      </c>
      <c r="P804" s="2628"/>
      <c r="Q804" s="2628"/>
      <c r="R804" s="2628" t="s">
        <v>1456</v>
      </c>
      <c r="S804" s="2628">
        <v>10</v>
      </c>
      <c r="T804" s="2628">
        <v>250</v>
      </c>
      <c r="U804" s="2628">
        <v>12</v>
      </c>
      <c r="V804" s="2878" t="s">
        <v>2240</v>
      </c>
      <c r="W804" s="2626"/>
      <c r="X804" s="2680" t="s">
        <v>1967</v>
      </c>
      <c r="Y804" s="1149">
        <v>0</v>
      </c>
      <c r="Z804" s="2883"/>
      <c r="AA804" s="227"/>
      <c r="AB804" s="1030" t="str">
        <f ca="1">AE822</f>
        <v/>
      </c>
      <c r="AC804" s="1375" t="str">
        <f t="shared" si="185"/>
        <v>Tablas!$AD$804:$AD$804</v>
      </c>
      <c r="AD804" s="1371" t="s">
        <v>8798</v>
      </c>
      <c r="AE804" s="2892"/>
      <c r="AF804" s="2892"/>
      <c r="AG804" s="2892"/>
      <c r="AH804" s="2349"/>
      <c r="AI804" s="2349"/>
      <c r="AJ804" s="2349"/>
      <c r="AK804" s="2349"/>
      <c r="AL804" s="2349"/>
      <c r="AM804" s="2349"/>
      <c r="AN804" s="2349"/>
      <c r="AO804" s="2349"/>
      <c r="AP804" s="2349"/>
      <c r="AQ804" s="2349"/>
      <c r="AR804" s="2349"/>
      <c r="AS804" s="2349"/>
      <c r="AT804" s="2349"/>
      <c r="AU804" s="621"/>
    </row>
    <row r="805" spans="1:47" ht="12.75" customHeight="1" x14ac:dyDescent="0.2">
      <c r="A805" s="227">
        <v>805</v>
      </c>
      <c r="B805" s="5988"/>
      <c r="C805" s="1146"/>
      <c r="D805" s="2629" t="s">
        <v>2239</v>
      </c>
      <c r="E805" s="2628">
        <v>60</v>
      </c>
      <c r="F805" s="2628">
        <v>-15</v>
      </c>
      <c r="G805" s="2628" t="s">
        <v>1456</v>
      </c>
      <c r="H805" s="2628">
        <v>7</v>
      </c>
      <c r="I805" s="2628" t="s">
        <v>1498</v>
      </c>
      <c r="J805" s="2628" t="s">
        <v>1456</v>
      </c>
      <c r="K805" s="2878" t="s">
        <v>7260</v>
      </c>
      <c r="L805" s="2637" t="str">
        <f>L804</f>
        <v>Distinta</v>
      </c>
      <c r="M805" s="2634">
        <v>15</v>
      </c>
      <c r="N805" s="2634">
        <v>5</v>
      </c>
      <c r="O805" s="2634">
        <v>35</v>
      </c>
      <c r="P805" s="2628"/>
      <c r="Q805" s="2628"/>
      <c r="R805" s="2628" t="s">
        <v>1456</v>
      </c>
      <c r="S805" s="2628" t="s">
        <v>1456</v>
      </c>
      <c r="T805" s="2628" t="s">
        <v>1456</v>
      </c>
      <c r="U805" s="2628"/>
      <c r="V805" s="2878" t="s">
        <v>2240</v>
      </c>
      <c r="W805" s="2626"/>
      <c r="X805" s="2680" t="s">
        <v>1967</v>
      </c>
      <c r="Y805" s="1149">
        <f>Bono_Fue</f>
        <v>0</v>
      </c>
      <c r="Z805" s="2883"/>
      <c r="AA805" s="227"/>
      <c r="AB805" s="1030" t="str">
        <f t="shared" ref="AB805:AB813" ca="1" si="192">AE823</f>
        <v/>
      </c>
      <c r="AC805" s="1375" t="str">
        <f t="shared" si="185"/>
        <v>Tablas!$AD$805:$AD$805</v>
      </c>
      <c r="AD805" s="1371" t="s">
        <v>8798</v>
      </c>
      <c r="AE805" s="2892"/>
      <c r="AF805" s="2892"/>
      <c r="AG805" s="2892"/>
      <c r="AH805" s="2349"/>
      <c r="AI805" s="2349"/>
      <c r="AJ805" s="2349"/>
      <c r="AK805" s="2349"/>
      <c r="AL805" s="2349"/>
      <c r="AM805" s="2349"/>
      <c r="AN805" s="2349"/>
      <c r="AO805" s="2349"/>
      <c r="AP805" s="2349"/>
      <c r="AQ805" s="2349"/>
      <c r="AR805" s="2349"/>
      <c r="AS805" s="2349"/>
      <c r="AT805" s="2349"/>
      <c r="AU805" s="621"/>
    </row>
    <row r="806" spans="1:47" ht="12.75" customHeight="1" x14ac:dyDescent="0.2">
      <c r="A806" s="227">
        <v>806</v>
      </c>
      <c r="B806" s="5988"/>
      <c r="C806" s="1146"/>
      <c r="D806" s="2629" t="s">
        <v>10085</v>
      </c>
      <c r="E806" s="2628">
        <f>80-Bono_Pod</f>
        <v>80</v>
      </c>
      <c r="F806" s="2628">
        <v>20</v>
      </c>
      <c r="G806" s="2628" t="s">
        <v>1456</v>
      </c>
      <c r="H806" s="2628">
        <v>0</v>
      </c>
      <c r="I806" s="2628" t="s">
        <v>8613</v>
      </c>
      <c r="J806" s="2628" t="s">
        <v>1456</v>
      </c>
      <c r="K806" s="2878" t="s">
        <v>7260</v>
      </c>
      <c r="L806" s="2637" t="str">
        <f>IF($H$1001&gt;0,"Conocida","Distinta")</f>
        <v>Distinta</v>
      </c>
      <c r="M806" s="2634" t="s">
        <v>1456</v>
      </c>
      <c r="N806" s="2634">
        <v>8</v>
      </c>
      <c r="O806" s="2634" t="s">
        <v>8613</v>
      </c>
      <c r="P806" s="2628"/>
      <c r="Q806" s="2628"/>
      <c r="R806" s="2628" t="s">
        <v>1456</v>
      </c>
      <c r="S806" s="2628" t="s">
        <v>1456</v>
      </c>
      <c r="T806" s="2628" t="s">
        <v>1456</v>
      </c>
      <c r="U806" s="2628"/>
      <c r="V806" s="2878" t="s">
        <v>2151</v>
      </c>
      <c r="W806" s="2626"/>
      <c r="X806" s="2680"/>
      <c r="Y806" s="1149">
        <f>Bono_Pod</f>
        <v>0</v>
      </c>
      <c r="Z806" s="2883"/>
      <c r="AA806" s="227"/>
      <c r="AB806" s="1030" t="str">
        <f t="shared" ca="1" si="192"/>
        <v/>
      </c>
      <c r="AC806" s="1375" t="str">
        <f t="shared" si="185"/>
        <v>Tablas!$AD$806:$AD$806</v>
      </c>
      <c r="AD806" s="1371" t="s">
        <v>8798</v>
      </c>
      <c r="AE806" s="2892"/>
      <c r="AF806" s="2892"/>
      <c r="AG806" s="2892"/>
      <c r="AH806" s="2349"/>
      <c r="AI806" s="2349"/>
      <c r="AJ806" s="2349"/>
      <c r="AK806" s="2349"/>
      <c r="AL806" s="2349"/>
      <c r="AM806" s="2349"/>
      <c r="AN806" s="2349"/>
      <c r="AO806" s="2349"/>
      <c r="AP806" s="2349"/>
      <c r="AQ806" s="2349"/>
      <c r="AR806" s="2349"/>
      <c r="AS806" s="2349"/>
      <c r="AT806" s="2349"/>
      <c r="AU806" s="621"/>
    </row>
    <row r="807" spans="1:47" ht="12.75" customHeight="1" x14ac:dyDescent="0.2">
      <c r="A807" s="227">
        <v>807</v>
      </c>
      <c r="B807" s="5988"/>
      <c r="C807" s="1146"/>
      <c r="D807" s="2629" t="s">
        <v>10067</v>
      </c>
      <c r="E807" s="2628">
        <f>60-10</f>
        <v>50</v>
      </c>
      <c r="F807" s="2628">
        <v>-10</v>
      </c>
      <c r="G807" s="2628">
        <v>0</v>
      </c>
      <c r="H807" s="2628">
        <v>0</v>
      </c>
      <c r="I807" s="2628" t="s">
        <v>1498</v>
      </c>
      <c r="J807" s="2628" t="s">
        <v>1456</v>
      </c>
      <c r="K807" s="2878" t="s">
        <v>7260</v>
      </c>
      <c r="L807" s="2637" t="str">
        <f>IF($H$1020&gt;0,"Conocida","Distinta")</f>
        <v>Distinta</v>
      </c>
      <c r="M807" s="2634">
        <v>0</v>
      </c>
      <c r="N807" s="2634">
        <v>2</v>
      </c>
      <c r="O807" s="2634">
        <f>Presencia_final</f>
        <v>20</v>
      </c>
      <c r="P807" s="2628"/>
      <c r="Q807" s="2628"/>
      <c r="R807" s="2628" t="s">
        <v>1456</v>
      </c>
      <c r="S807" s="2628" t="s">
        <v>1456</v>
      </c>
      <c r="T807" s="2628">
        <f>2*Principal!K52</f>
        <v>0</v>
      </c>
      <c r="U807" s="2628"/>
      <c r="V807" s="2878" t="str">
        <f>"Alcance "&amp;2*Presencia_final&amp;"m, Fascinación, Ver"</f>
        <v>Alcance 40m, Fascinación, Ver</v>
      </c>
      <c r="W807" s="2626"/>
      <c r="X807" s="2680" t="s">
        <v>10157</v>
      </c>
      <c r="Y807" s="1149">
        <v>0</v>
      </c>
      <c r="Z807" s="2883"/>
      <c r="AA807" s="227"/>
      <c r="AB807" s="1030" t="str">
        <f t="shared" ca="1" si="192"/>
        <v/>
      </c>
      <c r="AC807" s="1375" t="str">
        <f t="shared" si="185"/>
        <v>Tablas!$AD$807:$AD$807</v>
      </c>
      <c r="AD807" s="1371" t="s">
        <v>8798</v>
      </c>
      <c r="AE807" s="2892"/>
      <c r="AF807" s="2892"/>
      <c r="AG807" s="2892"/>
      <c r="AH807" s="2349"/>
      <c r="AI807" s="2349"/>
      <c r="AJ807" s="2349"/>
      <c r="AK807" s="2349"/>
      <c r="AL807" s="2349"/>
      <c r="AM807" s="2349"/>
      <c r="AN807" s="2349"/>
      <c r="AO807" s="2349"/>
      <c r="AP807" s="2349"/>
      <c r="AQ807" s="2349"/>
      <c r="AR807" s="2349"/>
      <c r="AS807" s="2349"/>
      <c r="AT807" s="2349"/>
      <c r="AU807" s="621"/>
    </row>
    <row r="808" spans="1:47" ht="12.75" customHeight="1" x14ac:dyDescent="0.2">
      <c r="A808" s="227">
        <v>808</v>
      </c>
      <c r="B808" s="5988"/>
      <c r="C808" s="1146"/>
      <c r="D808" s="2629" t="s">
        <v>10068</v>
      </c>
      <c r="E808" s="2628">
        <f>80-10</f>
        <v>70</v>
      </c>
      <c r="F808" s="2628">
        <v>-10</v>
      </c>
      <c r="G808" s="2628">
        <v>0</v>
      </c>
      <c r="H808" s="2628">
        <v>0</v>
      </c>
      <c r="I808" s="2628" t="s">
        <v>1498</v>
      </c>
      <c r="J808" s="2628" t="s">
        <v>1456</v>
      </c>
      <c r="K808" s="2878" t="s">
        <v>7260</v>
      </c>
      <c r="L808" s="2637" t="str">
        <f>IF($H$1021&gt;0,"Conocida","Distinta")</f>
        <v>Distinta</v>
      </c>
      <c r="M808" s="2634">
        <v>0</v>
      </c>
      <c r="N808" s="2634">
        <v>2</v>
      </c>
      <c r="O808" s="2634">
        <f>Presencia_final</f>
        <v>20</v>
      </c>
      <c r="P808" s="2628"/>
      <c r="Q808" s="2628"/>
      <c r="R808" s="2628" t="s">
        <v>1456</v>
      </c>
      <c r="S808" s="2628" t="s">
        <v>1456</v>
      </c>
      <c r="T808" s="2628">
        <f>2*Principal!K53</f>
        <v>0</v>
      </c>
      <c r="U808" s="2628"/>
      <c r="V808" s="2878" t="str">
        <f>"Alcance "&amp;2*Presencia_final&amp;"m, Ver"</f>
        <v>Alcance 40m, Ver</v>
      </c>
      <c r="W808" s="2626"/>
      <c r="X808" s="2680" t="s">
        <v>10157</v>
      </c>
      <c r="Y808" s="1149">
        <v>0</v>
      </c>
      <c r="Z808" s="2883"/>
      <c r="AA808" s="227"/>
      <c r="AB808" s="1030" t="str">
        <f t="shared" ca="1" si="192"/>
        <v/>
      </c>
      <c r="AC808" s="1375" t="str">
        <f t="shared" si="185"/>
        <v>Tablas!$AD$808:$AD$808</v>
      </c>
      <c r="AD808" s="1371" t="s">
        <v>8798</v>
      </c>
      <c r="AE808" s="2892"/>
      <c r="AF808" s="2892"/>
      <c r="AG808" s="2892"/>
      <c r="AH808" s="2349"/>
      <c r="AI808" s="2349"/>
      <c r="AJ808" s="2349"/>
      <c r="AK808" s="2349"/>
      <c r="AL808" s="2349"/>
      <c r="AM808" s="2349"/>
      <c r="AN808" s="2349"/>
      <c r="AO808" s="2349"/>
      <c r="AP808" s="2349"/>
      <c r="AQ808" s="2349"/>
      <c r="AR808" s="2349"/>
      <c r="AS808" s="2349"/>
      <c r="AT808" s="2349"/>
      <c r="AU808" s="621"/>
    </row>
    <row r="809" spans="1:47" ht="12.75" customHeight="1" x14ac:dyDescent="0.2">
      <c r="A809" s="227">
        <v>809</v>
      </c>
      <c r="B809" s="5988"/>
      <c r="C809" s="1146"/>
      <c r="D809" s="2629" t="s">
        <v>10069</v>
      </c>
      <c r="E809" s="2628">
        <f>60-10</f>
        <v>50</v>
      </c>
      <c r="F809" s="2628">
        <v>-10</v>
      </c>
      <c r="G809" s="2628">
        <v>0</v>
      </c>
      <c r="H809" s="2628">
        <v>0</v>
      </c>
      <c r="I809" s="2628" t="s">
        <v>1498</v>
      </c>
      <c r="J809" s="2628" t="s">
        <v>1456</v>
      </c>
      <c r="K809" s="2878" t="s">
        <v>7260</v>
      </c>
      <c r="L809" s="2637" t="str">
        <f>IF($H$1022&gt;0,"Conocida","Distinta")</f>
        <v>Distinta</v>
      </c>
      <c r="M809" s="2634">
        <v>0</v>
      </c>
      <c r="N809" s="2634">
        <v>2</v>
      </c>
      <c r="O809" s="2634">
        <f>Presencia_final</f>
        <v>20</v>
      </c>
      <c r="P809" s="2628"/>
      <c r="Q809" s="2628"/>
      <c r="R809" s="2628" t="s">
        <v>1456</v>
      </c>
      <c r="S809" s="2628" t="s">
        <v>1456</v>
      </c>
      <c r="T809" s="2628">
        <f>2*Principal!K54</f>
        <v>0</v>
      </c>
      <c r="U809" s="2628"/>
      <c r="V809" s="2878" t="str">
        <f>"Alcance "&amp;2*Presencia_final&amp;"m, Resonancia mejorada, Ver"</f>
        <v>Alcance 40m, Resonancia mejorada, Ver</v>
      </c>
      <c r="W809" s="2626"/>
      <c r="X809" s="2680" t="s">
        <v>10157</v>
      </c>
      <c r="Y809" s="1149">
        <v>0</v>
      </c>
      <c r="Z809" s="2883"/>
      <c r="AA809" s="227"/>
      <c r="AB809" s="1030" t="str">
        <f t="shared" ca="1" si="192"/>
        <v/>
      </c>
      <c r="AC809" s="1375" t="str">
        <f t="shared" si="185"/>
        <v>Tablas!$AD$809:$AD$809</v>
      </c>
      <c r="AD809" s="1371" t="s">
        <v>8798</v>
      </c>
      <c r="AE809" s="2892"/>
      <c r="AF809" s="2892"/>
      <c r="AG809" s="2892"/>
      <c r="AH809" s="2349"/>
      <c r="AI809" s="2349"/>
      <c r="AJ809" s="2349"/>
      <c r="AK809" s="2349"/>
      <c r="AL809" s="2349"/>
      <c r="AM809" s="2349"/>
      <c r="AN809" s="2349"/>
      <c r="AO809" s="2349"/>
      <c r="AP809" s="2349"/>
      <c r="AQ809" s="2349"/>
      <c r="AR809" s="2349"/>
      <c r="AS809" s="2349"/>
      <c r="AT809" s="2349"/>
      <c r="AU809" s="621"/>
    </row>
    <row r="810" spans="1:47" ht="12.75" customHeight="1" x14ac:dyDescent="0.2">
      <c r="A810" s="227">
        <v>810</v>
      </c>
      <c r="B810" s="5988"/>
      <c r="C810" s="1146"/>
      <c r="D810" s="2629" t="s">
        <v>10070</v>
      </c>
      <c r="E810" s="2628">
        <f>60-10</f>
        <v>50</v>
      </c>
      <c r="F810" s="2628">
        <v>-10</v>
      </c>
      <c r="G810" s="2628">
        <v>0</v>
      </c>
      <c r="H810" s="2628">
        <v>0</v>
      </c>
      <c r="I810" s="2628" t="s">
        <v>1498</v>
      </c>
      <c r="J810" s="2628" t="s">
        <v>1456</v>
      </c>
      <c r="K810" s="2878" t="s">
        <v>7260</v>
      </c>
      <c r="L810" s="2637" t="str">
        <f>IF($H$1023&gt;0,"Conocida","Distinta")</f>
        <v>Distinta</v>
      </c>
      <c r="M810" s="2634">
        <v>0</v>
      </c>
      <c r="N810" s="2634">
        <v>2</v>
      </c>
      <c r="O810" s="2634">
        <f>Presencia_final</f>
        <v>20</v>
      </c>
      <c r="P810" s="2628"/>
      <c r="Q810" s="2628"/>
      <c r="R810" s="2628" t="s">
        <v>1456</v>
      </c>
      <c r="S810" s="2628" t="s">
        <v>1456</v>
      </c>
      <c r="T810" s="2628">
        <f>2*Principal!K55</f>
        <v>0</v>
      </c>
      <c r="U810" s="2628"/>
      <c r="V810" s="2878" t="str">
        <f>"Alcance "&amp;2*Presencia_final&amp;"m, Impacto FUE 12, Ver"</f>
        <v>Alcance 40m, Impacto FUE 12, Ver</v>
      </c>
      <c r="W810" s="2626"/>
      <c r="X810" s="2680" t="s">
        <v>10157</v>
      </c>
      <c r="Y810" s="1149">
        <v>0</v>
      </c>
      <c r="Z810" s="2883"/>
      <c r="AA810" s="227"/>
      <c r="AB810" s="1030" t="str">
        <f t="shared" ca="1" si="192"/>
        <v/>
      </c>
      <c r="AC810" s="1375" t="str">
        <f t="shared" si="185"/>
        <v>Tablas!$AD$810:$AD$810</v>
      </c>
      <c r="AD810" s="1371" t="s">
        <v>8798</v>
      </c>
      <c r="AE810" s="2892"/>
      <c r="AF810" s="2892"/>
      <c r="AG810" s="2892"/>
      <c r="AH810" s="2349"/>
      <c r="AI810" s="2349"/>
      <c r="AJ810" s="2349"/>
      <c r="AK810" s="2349"/>
      <c r="AL810" s="2349"/>
      <c r="AM810" s="2349"/>
      <c r="AN810" s="2349"/>
      <c r="AO810" s="2349"/>
      <c r="AP810" s="2349"/>
      <c r="AQ810" s="2349"/>
      <c r="AR810" s="2349"/>
      <c r="AS810" s="2349"/>
      <c r="AT810" s="2349"/>
      <c r="AU810" s="621"/>
    </row>
    <row r="811" spans="1:47" ht="12.75" customHeight="1" x14ac:dyDescent="0.2">
      <c r="A811" s="227">
        <v>811</v>
      </c>
      <c r="B811" s="5988"/>
      <c r="C811" s="1146"/>
      <c r="D811" s="2629" t="s">
        <v>2241</v>
      </c>
      <c r="E811" s="2628">
        <f>60-10</f>
        <v>50</v>
      </c>
      <c r="F811" s="2628">
        <v>0</v>
      </c>
      <c r="G811" s="2628">
        <v>5</v>
      </c>
      <c r="H811" s="2628">
        <v>5</v>
      </c>
      <c r="I811" s="2628" t="s">
        <v>2242</v>
      </c>
      <c r="J811" s="2628" t="s">
        <v>1456</v>
      </c>
      <c r="K811" s="2878" t="s">
        <v>7260</v>
      </c>
      <c r="L811" s="2637" t="str">
        <f>IF(SUMPRODUCT(--ISNUMBER(SEARCH($D811,INDEX(Tabla_ArsMagnus,,1))),INDEX(Tabla_ArsMagnus,,4))&gt;0,"Conocida","Distinta")</f>
        <v>Distinta</v>
      </c>
      <c r="M811" s="2634">
        <v>15</v>
      </c>
      <c r="N811" s="2634">
        <v>2</v>
      </c>
      <c r="O811" s="2634">
        <f>Presencia_final</f>
        <v>20</v>
      </c>
      <c r="P811" s="2628"/>
      <c r="Q811" s="2628"/>
      <c r="R811" s="2628" t="s">
        <v>1456</v>
      </c>
      <c r="S811" s="2628" t="s">
        <v>1456</v>
      </c>
      <c r="T811" s="2628" t="s">
        <v>1456</v>
      </c>
      <c r="U811" s="2628"/>
      <c r="V811" s="2878" t="s">
        <v>2243</v>
      </c>
      <c r="W811" s="2626"/>
      <c r="X811" s="2680" t="s">
        <v>10157</v>
      </c>
      <c r="Y811" s="1149">
        <f>Bono_Fue</f>
        <v>0</v>
      </c>
      <c r="Z811" s="2883"/>
      <c r="AA811" s="227"/>
      <c r="AB811" s="1030" t="str">
        <f t="shared" ca="1" si="192"/>
        <v/>
      </c>
      <c r="AC811" s="1375" t="str">
        <f t="shared" si="185"/>
        <v>Tablas!$AD$811:$AD$811</v>
      </c>
      <c r="AD811" s="1371" t="s">
        <v>8798</v>
      </c>
      <c r="AE811" s="2892"/>
      <c r="AF811" s="2892"/>
      <c r="AG811" s="2892"/>
      <c r="AH811" s="2349"/>
      <c r="AI811" s="2349"/>
      <c r="AJ811" s="2349"/>
      <c r="AK811" s="2349"/>
      <c r="AL811" s="2349"/>
      <c r="AM811" s="2349"/>
      <c r="AN811" s="2349"/>
      <c r="AO811" s="2349"/>
      <c r="AP811" s="2349"/>
      <c r="AQ811" s="2349"/>
      <c r="AR811" s="2349"/>
      <c r="AS811" s="2349"/>
      <c r="AT811" s="2349"/>
      <c r="AU811" s="621"/>
    </row>
    <row r="812" spans="1:47" ht="12.75" customHeight="1" x14ac:dyDescent="0.2">
      <c r="A812" s="227">
        <v>812</v>
      </c>
      <c r="B812" s="5988"/>
      <c r="C812" s="1146"/>
      <c r="D812" s="2629" t="s">
        <v>7084</v>
      </c>
      <c r="E812" s="2628">
        <v>50</v>
      </c>
      <c r="F812" s="2628">
        <v>0</v>
      </c>
      <c r="G812" s="2628">
        <v>5</v>
      </c>
      <c r="H812" s="2628">
        <v>5</v>
      </c>
      <c r="I812" s="2628" t="s">
        <v>1551</v>
      </c>
      <c r="J812" s="2628" t="s">
        <v>1552</v>
      </c>
      <c r="K812" s="2878" t="s">
        <v>7260</v>
      </c>
      <c r="L812" s="2637" t="str">
        <f>IF(AND(H1025&gt;0,OR(L668="Conocida",L707="Conocida"),L692="Conocida"),"Conocida","Distinta")</f>
        <v>Distinta</v>
      </c>
      <c r="M812" s="2634">
        <v>13</v>
      </c>
      <c r="N812" s="2634">
        <v>2</v>
      </c>
      <c r="O812" s="2634">
        <v>35</v>
      </c>
      <c r="P812" s="2628"/>
      <c r="Q812" s="2628"/>
      <c r="R812" s="2628" t="s">
        <v>1456</v>
      </c>
      <c r="S812" s="2628" t="s">
        <v>1456</v>
      </c>
      <c r="T812" s="2628" t="s">
        <v>1456</v>
      </c>
      <c r="U812" s="2628"/>
      <c r="V812" s="2878" t="s">
        <v>1456</v>
      </c>
      <c r="W812" s="2626"/>
      <c r="X812" s="2680" t="s">
        <v>10157</v>
      </c>
      <c r="Y812" s="1149">
        <f>Bono_Fue</f>
        <v>0</v>
      </c>
      <c r="Z812" s="2883"/>
      <c r="AA812" s="227"/>
      <c r="AB812" s="1030" t="str">
        <f t="shared" ca="1" si="192"/>
        <v/>
      </c>
      <c r="AC812" s="1375" t="str">
        <f t="shared" si="185"/>
        <v>Tablas!$AD$812:$AD$812</v>
      </c>
      <c r="AD812" s="1371" t="s">
        <v>8798</v>
      </c>
      <c r="AE812" s="2892"/>
      <c r="AF812" s="2892"/>
      <c r="AG812" s="2892"/>
      <c r="AH812" s="2349"/>
      <c r="AI812" s="2349"/>
      <c r="AJ812" s="2349"/>
      <c r="AK812" s="2349"/>
      <c r="AL812" s="2349"/>
      <c r="AM812" s="2349"/>
      <c r="AN812" s="2349"/>
      <c r="AO812" s="2349"/>
      <c r="AP812" s="2349"/>
      <c r="AQ812" s="2349"/>
      <c r="AR812" s="2349"/>
      <c r="AS812" s="2349"/>
      <c r="AT812" s="2349"/>
      <c r="AU812" s="621"/>
    </row>
    <row r="813" spans="1:47" ht="12.75" customHeight="1" thickBot="1" x14ac:dyDescent="0.25">
      <c r="A813" s="227">
        <v>813</v>
      </c>
      <c r="B813" s="5988"/>
      <c r="C813" s="1146"/>
      <c r="D813" s="2629" t="s">
        <v>7085</v>
      </c>
      <c r="E813" s="2628">
        <v>40</v>
      </c>
      <c r="F813" s="2628">
        <v>-10</v>
      </c>
      <c r="G813" s="2628">
        <v>5</v>
      </c>
      <c r="H813" s="2628">
        <v>5</v>
      </c>
      <c r="I813" s="2628" t="s">
        <v>1551</v>
      </c>
      <c r="J813" s="2628" t="s">
        <v>1552</v>
      </c>
      <c r="K813" s="2878" t="s">
        <v>7260</v>
      </c>
      <c r="L813" s="2637" t="str">
        <f>L812</f>
        <v>Distinta</v>
      </c>
      <c r="M813" s="2634">
        <v>13</v>
      </c>
      <c r="N813" s="2634">
        <v>2</v>
      </c>
      <c r="O813" s="2634">
        <v>35</v>
      </c>
      <c r="P813" s="2628"/>
      <c r="Q813" s="2628"/>
      <c r="R813" s="2628" t="s">
        <v>1456</v>
      </c>
      <c r="S813" s="2628" t="s">
        <v>1456</v>
      </c>
      <c r="T813" s="2628" t="s">
        <v>1456</v>
      </c>
      <c r="U813" s="2628"/>
      <c r="V813" s="2878" t="s">
        <v>8662</v>
      </c>
      <c r="W813" s="2626"/>
      <c r="X813" s="2680" t="s">
        <v>10157</v>
      </c>
      <c r="Y813" s="1149">
        <f>Bono_Fue</f>
        <v>0</v>
      </c>
      <c r="Z813" s="2883"/>
      <c r="AA813" s="227"/>
      <c r="AB813" s="1373" t="str">
        <f t="shared" ca="1" si="192"/>
        <v/>
      </c>
      <c r="AC813" s="2894" t="str">
        <f t="shared" si="185"/>
        <v>Tablas!$AD$813:$AD$813</v>
      </c>
      <c r="AD813" s="2895" t="s">
        <v>8798</v>
      </c>
      <c r="AE813" s="1374"/>
      <c r="AF813" s="1374"/>
      <c r="AG813" s="1374"/>
      <c r="AH813" s="328"/>
      <c r="AI813" s="328"/>
      <c r="AJ813" s="328"/>
      <c r="AK813" s="328"/>
      <c r="AL813" s="328"/>
      <c r="AM813" s="328"/>
      <c r="AN813" s="328"/>
      <c r="AO813" s="328"/>
      <c r="AP813" s="328"/>
      <c r="AQ813" s="328"/>
      <c r="AR813" s="328"/>
      <c r="AS813" s="328"/>
      <c r="AT813" s="328"/>
      <c r="AU813" s="622"/>
    </row>
    <row r="814" spans="1:47" ht="12.75" customHeight="1" x14ac:dyDescent="0.2">
      <c r="A814" s="227">
        <v>814</v>
      </c>
      <c r="B814" s="5988"/>
      <c r="C814" s="1146"/>
      <c r="D814" s="2629" t="s">
        <v>2244</v>
      </c>
      <c r="E814" s="2628">
        <f>50-10-IF(Ki!Q38&gt;0,10,0)+50*V597</f>
        <v>40</v>
      </c>
      <c r="F814" s="2628">
        <v>10</v>
      </c>
      <c r="G814" s="2628">
        <v>4</v>
      </c>
      <c r="H814" s="2628">
        <v>4</v>
      </c>
      <c r="I814" s="2628" t="s">
        <v>1552</v>
      </c>
      <c r="J814" s="2628" t="s">
        <v>1498</v>
      </c>
      <c r="K814" s="2878" t="s">
        <v>7260</v>
      </c>
      <c r="L814" s="2637" t="str">
        <f>IF(OR(H1027&gt;0,H1026&gt;0),"Conocida","Distinta")</f>
        <v>Distinta</v>
      </c>
      <c r="M814" s="2634">
        <v>0</v>
      </c>
      <c r="N814" s="2634">
        <v>0</v>
      </c>
      <c r="O814" s="2634" t="s">
        <v>8613</v>
      </c>
      <c r="P814" s="2628"/>
      <c r="Q814" s="2628"/>
      <c r="R814" s="2628">
        <v>100</v>
      </c>
      <c r="S814" s="2628" t="s">
        <v>1456</v>
      </c>
      <c r="T814" s="2628">
        <v>10</v>
      </c>
      <c r="U814" s="2628"/>
      <c r="V814" s="2878" t="str">
        <f>"Lanzable (100/XXXm)"&amp;IF(V598&gt;0,", Penetrante","")&amp;IF(V599&gt;0,", Área "&amp;5+MAX(0,5*TRUNC((HA_final-200)/50))&amp;"m","")&amp;IF(V600&gt;0,", Precisión absoluta","")&amp;IF(V601&gt;0,", +40 nivel de crítico","")&amp;IF(V602&gt;0,", Quebrantador de escudos","")</f>
        <v>Lanzable (100/XXXm)</v>
      </c>
      <c r="W814" s="2626"/>
      <c r="X814" s="2680" t="s">
        <v>8685</v>
      </c>
      <c r="Y814" s="1149">
        <v>0</v>
      </c>
      <c r="Z814" s="2883"/>
      <c r="AA814" s="227"/>
    </row>
    <row r="815" spans="1:47" ht="12.75" customHeight="1" x14ac:dyDescent="0.2">
      <c r="A815" s="227">
        <v>815</v>
      </c>
      <c r="B815" s="5988"/>
      <c r="C815" s="1146"/>
      <c r="D815" s="2629" t="s">
        <v>2245</v>
      </c>
      <c r="E815" s="2628">
        <f>100</f>
        <v>100</v>
      </c>
      <c r="F815" s="2628">
        <v>20</v>
      </c>
      <c r="G815" s="2628">
        <v>3</v>
      </c>
      <c r="H815" s="2628">
        <v>3</v>
      </c>
      <c r="I815" s="2628" t="s">
        <v>1552</v>
      </c>
      <c r="J815" s="2628" t="s">
        <v>1456</v>
      </c>
      <c r="K815" s="2878" t="s">
        <v>7260</v>
      </c>
      <c r="L815" s="2637" t="str">
        <f>IF(H1028&gt;0,"Conocida","Distinta")</f>
        <v>Distinta</v>
      </c>
      <c r="M815" s="2634">
        <v>8</v>
      </c>
      <c r="N815" s="2634">
        <v>-5</v>
      </c>
      <c r="O815" s="2634">
        <v>20</v>
      </c>
      <c r="P815" s="2628"/>
      <c r="Q815" s="2628"/>
      <c r="R815" s="2628">
        <v>30</v>
      </c>
      <c r="S815" s="2628" t="s">
        <v>1456</v>
      </c>
      <c r="T815" s="2628">
        <v>10</v>
      </c>
      <c r="U815" s="2628"/>
      <c r="V815" s="2878" t="s">
        <v>8663</v>
      </c>
      <c r="W815" s="2626"/>
      <c r="X815" s="2680" t="s">
        <v>8685</v>
      </c>
      <c r="Y815" s="1149">
        <f>Bono_Des</f>
        <v>0</v>
      </c>
      <c r="Z815" s="2883"/>
      <c r="AA815" s="227"/>
    </row>
    <row r="816" spans="1:47" ht="12.75" customHeight="1" x14ac:dyDescent="0.2">
      <c r="A816" s="227">
        <v>816</v>
      </c>
      <c r="B816" s="5988"/>
      <c r="C816" s="1146"/>
      <c r="D816" s="2629" t="s">
        <v>2246</v>
      </c>
      <c r="E816" s="2628">
        <f>70-10</f>
        <v>60</v>
      </c>
      <c r="F816" s="2628">
        <v>10</v>
      </c>
      <c r="G816" s="2628">
        <v>3</v>
      </c>
      <c r="H816" s="2628">
        <v>3</v>
      </c>
      <c r="I816" s="2628" t="s">
        <v>1551</v>
      </c>
      <c r="J816" s="2628" t="s">
        <v>1498</v>
      </c>
      <c r="K816" s="2878" t="s">
        <v>7260</v>
      </c>
      <c r="L816" s="2637" t="str">
        <f>IF(H1029&gt;0,"Conocida","Distinta")</f>
        <v>Distinta</v>
      </c>
      <c r="M816" s="2634">
        <v>20</v>
      </c>
      <c r="N816" s="2634">
        <v>5</v>
      </c>
      <c r="O816" s="2634">
        <v>30</v>
      </c>
      <c r="P816" s="2628"/>
      <c r="Q816" s="2628"/>
      <c r="R816" s="2628" t="s">
        <v>1456</v>
      </c>
      <c r="S816" s="2628" t="s">
        <v>1456</v>
      </c>
      <c r="T816" s="2628" t="s">
        <v>1456</v>
      </c>
      <c r="U816" s="2628"/>
      <c r="V816" s="2878" t="s">
        <v>7043</v>
      </c>
      <c r="W816" s="2626"/>
      <c r="X816" s="2680" t="s">
        <v>10157</v>
      </c>
      <c r="Y816" s="1149">
        <v>0</v>
      </c>
      <c r="Z816" s="2883"/>
      <c r="AA816" s="227"/>
    </row>
    <row r="817" spans="1:50" ht="12.75" customHeight="1" x14ac:dyDescent="0.2">
      <c r="A817" s="227">
        <v>817</v>
      </c>
      <c r="B817" s="5988"/>
      <c r="C817" s="1146"/>
      <c r="D817" s="2629" t="s">
        <v>2247</v>
      </c>
      <c r="E817" s="2628">
        <f>30</f>
        <v>30</v>
      </c>
      <c r="F817" s="2628">
        <v>20</v>
      </c>
      <c r="G817" s="2628">
        <v>0</v>
      </c>
      <c r="H817" s="2628">
        <v>0</v>
      </c>
      <c r="I817" s="2628" t="s">
        <v>1498</v>
      </c>
      <c r="J817" s="2628" t="s">
        <v>1456</v>
      </c>
      <c r="K817" s="2878" t="s">
        <v>7260</v>
      </c>
      <c r="L817" s="2637" t="str">
        <f>IF(H1030&gt;0,"Conocida","Distinta")</f>
        <v>Distinta</v>
      </c>
      <c r="M817" s="2634">
        <v>8</v>
      </c>
      <c r="N817" s="2634">
        <v>-2</v>
      </c>
      <c r="O817" s="2634">
        <v>20</v>
      </c>
      <c r="P817" s="2628"/>
      <c r="Q817" s="2628"/>
      <c r="R817" s="2628" t="s">
        <v>1456</v>
      </c>
      <c r="S817" s="2628" t="s">
        <v>1456</v>
      </c>
      <c r="T817" s="2628" t="s">
        <v>1456</v>
      </c>
      <c r="U817" s="2628"/>
      <c r="V817" s="2878" t="s">
        <v>2248</v>
      </c>
      <c r="W817" s="2626"/>
      <c r="X817" s="2680" t="s">
        <v>8685</v>
      </c>
      <c r="Y817" s="1149">
        <f>Bono_Des</f>
        <v>0</v>
      </c>
      <c r="Z817" s="2883"/>
      <c r="AA817" s="227"/>
    </row>
    <row r="818" spans="1:50" ht="12.75" customHeight="1" thickBot="1" x14ac:dyDescent="0.25">
      <c r="A818" s="227">
        <v>818</v>
      </c>
      <c r="B818" s="5988"/>
      <c r="C818" s="1146"/>
      <c r="D818" s="2629" t="s">
        <v>2249</v>
      </c>
      <c r="E818" s="2628">
        <f>60-10</f>
        <v>50</v>
      </c>
      <c r="F818" s="2628">
        <v>0</v>
      </c>
      <c r="G818" s="2628">
        <v>0</v>
      </c>
      <c r="H818" s="2628">
        <v>0</v>
      </c>
      <c r="I818" s="2628" t="s">
        <v>1551</v>
      </c>
      <c r="J818" s="2628" t="s">
        <v>1552</v>
      </c>
      <c r="K818" s="2878" t="s">
        <v>7260</v>
      </c>
      <c r="L818" s="2635" t="str">
        <f>IF(AND(H1031&gt;0,AA608&gt;0),"Conocida","Distinta")</f>
        <v>Distinta</v>
      </c>
      <c r="M818" s="2634">
        <v>10</v>
      </c>
      <c r="N818" s="2634">
        <v>11</v>
      </c>
      <c r="O818" s="2634">
        <f>Presencia_final*2</f>
        <v>40</v>
      </c>
      <c r="P818" s="2628"/>
      <c r="Q818" s="2628"/>
      <c r="R818" s="2628" t="s">
        <v>1456</v>
      </c>
      <c r="S818" s="2628" t="s">
        <v>1456</v>
      </c>
      <c r="T818" s="2628" t="s">
        <v>1456</v>
      </c>
      <c r="U818" s="2628"/>
      <c r="V818" s="2878" t="s">
        <v>10044</v>
      </c>
      <c r="W818" s="2626"/>
      <c r="X818" s="2680" t="s">
        <v>10157</v>
      </c>
      <c r="Y818" s="1149">
        <v>0</v>
      </c>
      <c r="Z818" s="2883"/>
      <c r="AA818" s="227"/>
    </row>
    <row r="819" spans="1:50" ht="12.75" customHeight="1" x14ac:dyDescent="0.2">
      <c r="A819" s="227">
        <v>819</v>
      </c>
      <c r="B819" s="5988"/>
      <c r="C819" s="1146"/>
      <c r="D819" s="2629" t="s">
        <v>10308</v>
      </c>
      <c r="E819" s="2628"/>
      <c r="F819" s="2628"/>
      <c r="G819" s="2628"/>
      <c r="H819" s="2628"/>
      <c r="I819" s="2628"/>
      <c r="J819" s="2628"/>
      <c r="K819" s="2878"/>
      <c r="L819" s="2637"/>
      <c r="M819" s="2634"/>
      <c r="N819" s="2634"/>
      <c r="O819" s="2634"/>
      <c r="P819" s="2628"/>
      <c r="Q819" s="2628"/>
      <c r="R819" s="2628"/>
      <c r="S819" s="2628"/>
      <c r="T819" s="2628"/>
      <c r="U819" s="2628"/>
      <c r="V819" s="2878"/>
      <c r="W819" s="2626"/>
      <c r="X819" s="2680"/>
      <c r="Y819" s="1149"/>
      <c r="Z819" s="2883"/>
      <c r="AA819" s="227"/>
      <c r="AB819" s="6160" t="s">
        <v>10295</v>
      </c>
      <c r="AC819" s="6161"/>
      <c r="AD819" s="6161"/>
      <c r="AE819" s="6161"/>
      <c r="AF819" s="6161"/>
      <c r="AG819" s="6161"/>
      <c r="AH819" s="6161"/>
      <c r="AI819" s="6161"/>
      <c r="AJ819" s="6161"/>
      <c r="AK819" s="6161"/>
      <c r="AL819" s="6161"/>
      <c r="AM819" s="6161"/>
      <c r="AN819" s="6161"/>
      <c r="AO819" s="6161"/>
      <c r="AP819" s="6161"/>
      <c r="AQ819" s="6161"/>
      <c r="AR819" s="6161"/>
      <c r="AS819" s="6162"/>
      <c r="AU819" s="6052" t="s">
        <v>10296</v>
      </c>
      <c r="AV819" s="6053"/>
      <c r="AW819" s="6053"/>
      <c r="AX819" s="6254"/>
    </row>
    <row r="820" spans="1:50" ht="12.75" customHeight="1" x14ac:dyDescent="0.2">
      <c r="A820" s="227">
        <v>820</v>
      </c>
      <c r="B820" s="5988"/>
      <c r="C820" s="1146"/>
      <c r="D820" s="2629" t="str">
        <f t="shared" ref="D820:D829" ca="1" si="193">AB822</f>
        <v/>
      </c>
      <c r="E820" s="2628" t="e">
        <f t="shared" ref="E820:E829" ca="1" si="194">IFERROR(VLOOKUP(D820,$AH$822:$AQ$831,6,0),ArmasNaturales_Daño)+VLOOKUP(D820,$AH$822:$AQ$831,7,0)</f>
        <v>#N/A</v>
      </c>
      <c r="F820" s="2628">
        <v>20</v>
      </c>
      <c r="G820" s="2628">
        <v>0</v>
      </c>
      <c r="H820" s="2628">
        <v>0</v>
      </c>
      <c r="I820" s="2628" t="str">
        <f t="shared" ref="I820:I829" ca="1" si="195">IFERROR(VLOOKUP(D820,$AH$822:$AQ$831,9,0),$I$639)</f>
        <v>-</v>
      </c>
      <c r="J820" s="2628" t="str">
        <f>$J$639</f>
        <v>-</v>
      </c>
      <c r="K820" s="2878" t="s">
        <v>7282</v>
      </c>
      <c r="L820" s="2637" t="s">
        <v>1208</v>
      </c>
      <c r="M820" s="2634">
        <f>$M$639</f>
        <v>4</v>
      </c>
      <c r="N820" s="2634" t="e">
        <f t="shared" ref="N820:N829" ca="1" si="196">$N$639+VLOOKUP(D820,$AH$822:$AQ$831,10,0)</f>
        <v>#N/A</v>
      </c>
      <c r="O820" s="2634"/>
      <c r="P820" s="2628"/>
      <c r="Q820" s="2628"/>
      <c r="R820" s="2628"/>
      <c r="S820" s="2628"/>
      <c r="T820" s="2628" t="s">
        <v>1456</v>
      </c>
      <c r="U820" s="2628">
        <f t="shared" ref="U820:U840" si="197">FUE</f>
        <v>0</v>
      </c>
      <c r="V820" s="2878" t="s">
        <v>2151</v>
      </c>
      <c r="W820" s="2626"/>
      <c r="X820" s="2680" t="str">
        <f>$X$639</f>
        <v>Mediana</v>
      </c>
      <c r="Y820" s="1149">
        <f t="shared" ref="Y820:Y840" si="198">Bono_Fue</f>
        <v>0</v>
      </c>
      <c r="Z820" s="2883"/>
      <c r="AA820" s="227"/>
      <c r="AB820" s="1063"/>
      <c r="AC820" s="2627"/>
      <c r="AD820" s="2627"/>
      <c r="AE820" s="2627"/>
      <c r="AF820" s="2627"/>
      <c r="AG820" s="2627"/>
      <c r="AH820" s="2627">
        <v>1</v>
      </c>
      <c r="AI820" s="2627">
        <v>2</v>
      </c>
      <c r="AJ820" s="2627">
        <v>3</v>
      </c>
      <c r="AK820" s="2627">
        <v>4</v>
      </c>
      <c r="AL820" s="2627">
        <v>5</v>
      </c>
      <c r="AM820" s="2627">
        <v>6</v>
      </c>
      <c r="AN820" s="2627">
        <v>7</v>
      </c>
      <c r="AO820" s="2627">
        <v>8</v>
      </c>
      <c r="AP820" s="2627">
        <v>9</v>
      </c>
      <c r="AQ820" s="2627">
        <v>10</v>
      </c>
      <c r="AR820" s="2627">
        <v>11</v>
      </c>
      <c r="AS820" s="1064">
        <v>12</v>
      </c>
      <c r="AU820" s="326" t="s">
        <v>1916</v>
      </c>
      <c r="AV820" s="2349"/>
      <c r="AW820" s="2349"/>
      <c r="AX820" s="621"/>
    </row>
    <row r="821" spans="1:50" ht="12.75" customHeight="1" thickBot="1" x14ac:dyDescent="0.25">
      <c r="A821" s="227">
        <v>821</v>
      </c>
      <c r="B821" s="5988"/>
      <c r="C821" s="1146"/>
      <c r="D821" s="2629" t="str">
        <f t="shared" ca="1" si="193"/>
        <v/>
      </c>
      <c r="E821" s="2628" t="e">
        <f t="shared" ca="1" si="194"/>
        <v>#N/A</v>
      </c>
      <c r="F821" s="2628">
        <v>20</v>
      </c>
      <c r="G821" s="2628">
        <v>0</v>
      </c>
      <c r="H821" s="2628">
        <v>0</v>
      </c>
      <c r="I821" s="2628" t="str">
        <f t="shared" ca="1" si="195"/>
        <v>-</v>
      </c>
      <c r="J821" s="2628" t="str">
        <f t="shared" ref="J821:J829" si="199">$J$639</f>
        <v>-</v>
      </c>
      <c r="K821" s="2878" t="s">
        <v>7282</v>
      </c>
      <c r="L821" s="2637" t="s">
        <v>1208</v>
      </c>
      <c r="M821" s="2634">
        <f t="shared" ref="M821:M829" si="200">$M$639</f>
        <v>4</v>
      </c>
      <c r="N821" s="2634" t="e">
        <f t="shared" ca="1" si="196"/>
        <v>#N/A</v>
      </c>
      <c r="O821" s="2634"/>
      <c r="P821" s="2628"/>
      <c r="Q821" s="2628"/>
      <c r="R821" s="2628"/>
      <c r="S821" s="2628"/>
      <c r="T821" s="2628" t="s">
        <v>1456</v>
      </c>
      <c r="U821" s="2628">
        <f t="shared" si="197"/>
        <v>0</v>
      </c>
      <c r="V821" s="2878" t="s">
        <v>2151</v>
      </c>
      <c r="W821" s="2626"/>
      <c r="X821" s="2680" t="str">
        <f t="shared" ref="X821:X829" si="201">$X$639</f>
        <v>Mediana</v>
      </c>
      <c r="Y821" s="1149">
        <f t="shared" si="198"/>
        <v>0</v>
      </c>
      <c r="Z821" s="2883"/>
      <c r="AA821" s="227"/>
      <c r="AB821" s="1364" t="s">
        <v>10320</v>
      </c>
      <c r="AC821" s="1365" t="s">
        <v>10319</v>
      </c>
      <c r="AD821" s="1365" t="s">
        <v>10323</v>
      </c>
      <c r="AE821" s="1365" t="s">
        <v>10321</v>
      </c>
      <c r="AF821" s="1365" t="s">
        <v>10322</v>
      </c>
      <c r="AG821" s="1365" t="s">
        <v>10324</v>
      </c>
      <c r="AH821" s="1365" t="s">
        <v>1441</v>
      </c>
      <c r="AI821" s="1365" t="s">
        <v>10304</v>
      </c>
      <c r="AJ821" s="1365" t="s">
        <v>10305</v>
      </c>
      <c r="AK821" s="1365" t="s">
        <v>10297</v>
      </c>
      <c r="AL821" s="1365" t="s">
        <v>10300</v>
      </c>
      <c r="AM821" s="1365" t="s">
        <v>856</v>
      </c>
      <c r="AN821" s="1365" t="s">
        <v>10301</v>
      </c>
      <c r="AO821" s="1365" t="s">
        <v>10302</v>
      </c>
      <c r="AP821" s="1365" t="s">
        <v>10309</v>
      </c>
      <c r="AQ821" s="1365" t="s">
        <v>10303</v>
      </c>
      <c r="AR821" s="1365" t="s">
        <v>10318</v>
      </c>
      <c r="AS821" s="1366" t="s">
        <v>8697</v>
      </c>
      <c r="AU821" s="326" t="s">
        <v>7332</v>
      </c>
      <c r="AV821" s="2349"/>
      <c r="AW821" s="2349"/>
      <c r="AX821" s="621"/>
    </row>
    <row r="822" spans="1:50" ht="12.75" customHeight="1" x14ac:dyDescent="0.2">
      <c r="A822" s="227">
        <v>822</v>
      </c>
      <c r="B822" s="5988"/>
      <c r="C822" s="1146"/>
      <c r="D822" s="2629" t="str">
        <f t="shared" ca="1" si="193"/>
        <v/>
      </c>
      <c r="E822" s="2628" t="e">
        <f t="shared" ca="1" si="194"/>
        <v>#N/A</v>
      </c>
      <c r="F822" s="2628">
        <v>20</v>
      </c>
      <c r="G822" s="2628">
        <v>0</v>
      </c>
      <c r="H822" s="2628">
        <v>0</v>
      </c>
      <c r="I822" s="2628" t="str">
        <f t="shared" ca="1" si="195"/>
        <v>-</v>
      </c>
      <c r="J822" s="2628" t="str">
        <f t="shared" si="199"/>
        <v>-</v>
      </c>
      <c r="K822" s="2878" t="s">
        <v>7282</v>
      </c>
      <c r="L822" s="2637" t="s">
        <v>1208</v>
      </c>
      <c r="M822" s="2634">
        <f t="shared" si="200"/>
        <v>4</v>
      </c>
      <c r="N822" s="2634" t="e">
        <f t="shared" ca="1" si="196"/>
        <v>#N/A</v>
      </c>
      <c r="O822" s="2634"/>
      <c r="P822" s="2628"/>
      <c r="Q822" s="2628"/>
      <c r="R822" s="2628"/>
      <c r="S822" s="2628"/>
      <c r="T822" s="2628" t="s">
        <v>1456</v>
      </c>
      <c r="U822" s="2628">
        <f t="shared" si="197"/>
        <v>0</v>
      </c>
      <c r="V822" s="2878" t="s">
        <v>2151</v>
      </c>
      <c r="W822" s="2626"/>
      <c r="X822" s="2680" t="str">
        <f t="shared" si="201"/>
        <v>Mediana</v>
      </c>
      <c r="Y822" s="1149">
        <f t="shared" si="198"/>
        <v>0</v>
      </c>
      <c r="Z822" s="2883"/>
      <c r="AA822" s="227"/>
      <c r="AB822" s="326" t="str">
        <f t="shared" ref="AB822:AB831" ca="1" si="202">IFERROR(VLOOKUP(A1,$AC$822:$AD$831,2,FALSE),"")</f>
        <v/>
      </c>
      <c r="AC822" s="2349">
        <f t="shared" ref="AC822:AC831" ca="1" si="203">COUNTIF($AD$822:$AD$831,"&lt;="&amp;AD822)-COUNTIF($AD$822:$AD$831,"*&gt;*")</f>
        <v>0</v>
      </c>
      <c r="AD822" s="2349" t="str">
        <f t="shared" ref="AD822:AD831" ca="1" si="204">IF(AND(AK822,AS822),AH822," &gt; ")</f>
        <v xml:space="preserve"> &gt; </v>
      </c>
      <c r="AE822" s="2349" t="str">
        <f t="shared" ref="AE822:AE831" ca="1" si="205">IFERROR(VLOOKUP(A1,$AF$822:$AG$831,2,FALSE),"")</f>
        <v/>
      </c>
      <c r="AF822" s="2349">
        <f t="shared" ref="AF822:AF831" ca="1" si="206">COUNTIF($AG$822:$AG$831,"&lt;="&amp;AG822)-COUNTIF($AG$822:$AG$831,"*&gt;*")</f>
        <v>0</v>
      </c>
      <c r="AG822" s="2349" t="str">
        <f t="shared" ref="AG822:AG831" ca="1" si="207">IF(AND(AK822,NOT(AS822)),AH822," &gt; ")</f>
        <v xml:space="preserve"> &gt; </v>
      </c>
      <c r="AH822" s="1911" t="str">
        <f ca="1">IF(AK822,$L$2074," &gt; ")</f>
        <v xml:space="preserve"> &gt; </v>
      </c>
      <c r="AI822" s="2349" t="str">
        <f>ADDRESS(ROW($L$2076),COLUMN($L$2076))&amp;":"&amp;ADDRESS(ROW($L$2104),COLUMN($L$2104))</f>
        <v>$L$2076:$L$2104</v>
      </c>
      <c r="AJ822" s="2349" t="str">
        <f>ADDRESS(ROW($L$2076),COLUMN($L$2076)+1)&amp;":"&amp;ADDRESS(ROW($L$2104),COLUMN($L$2104)+1)</f>
        <v>$M$2076:$M$2104</v>
      </c>
      <c r="AK822" s="2349" t="b">
        <f t="array" aca="1" ref="AK822" ca="1">NOT(ISNA(MATCH(FALSE,ISNA(MATCH($AU$820:$AU$837,INDIRECT(AI822),0)),0)))</f>
        <v>0</v>
      </c>
      <c r="AL822" s="2349">
        <f t="shared" ref="AL822:AL831" ca="1" si="208">IFERROR(VALUE(SUBSTITUTE(SUBSTITUTE(INDEX(INDIRECT(AJ822),MATCH($AU$821,INDIRECT(AI822),0)),$AU$821,""),"Ataque","")),0)+IFERROR(VALUE(SUBSTITUTE(SUBSTITUTE(INDEX(INDIRECT(AJ822),MATCH($AU$837,INDIRECT(AI822),0)),$AU$837,""),"Ataque","")),0)</f>
        <v>0</v>
      </c>
      <c r="AM822" s="2349" t="e">
        <f t="array" aca="1" ref="AM822" ca="1">IF(ISNA(MATCH($AU$824,INDIRECT(AI822),0)),NA(),IFERROR(VALUE(SUBSTITUTE(SUBSTITUTE(INDEX(INDIRECT(AJ822),IFERROR(MATCH(FALSE,ISNA(MATCH(INDIRECT(AJ822),$O$1284:$O$1292,0)),0),MATCH(FALSE,ISNA(MATCH(INDIRECT(AJ822),$AH$1251:$AP$1251,0)),0))),"Ataque especial",""),"Daño Base","")),0))</f>
        <v>#N/A</v>
      </c>
      <c r="AN822" s="2349">
        <f t="shared" ref="AN822:AN831" ca="1" si="209">IF(ISNUMBER(AM822),0,IFERROR(VALUE(SUBSTITUTE(SUBSTITUTE(INDEX(INDIRECT(AJ822),MATCH($AU$822,INDIRECT(AI822),0)),$AU$822,""),"al Daño","")),0))</f>
        <v>0</v>
      </c>
      <c r="AO822" s="2349">
        <f t="shared" ref="AO822:AO831" ca="1" si="210">IFERROR(VALUE(SUBSTITUTE(SUBSTITUTE(INDEX(INDIRECT(AJ822),MATCH($AU$823,INDIRECT(AI822),0)),$AU$823,""),"TA Defensora","")),0)</f>
        <v>0</v>
      </c>
      <c r="AP822" s="2349" t="e">
        <f t="array" aca="1" ref="AP822" ca="1">IF(ISNA(MATCH($AU$824,INDIRECT(AI822),0)),NA(),SUBSTITUTE(INDEX(INDIRECT(AJ822),IFERROR(MATCH(FALSE,ISNA(MATCH(INDIRECT(AJ822),$O$1307:$O$1313,0)),0),MATCH(FALSE,ISNA(MATCH(INDIRECT(AJ822),$BE$1251:$BK$1251,0)),0))),"Ataque especial ",""))</f>
        <v>#N/A</v>
      </c>
      <c r="AQ822" s="2349">
        <f t="shared" ref="AQ822:AQ831" ca="1" si="211">IFERROR(VALUE(SUBSTITUTE(INDEX(INDIRECT(AJ822),MATCH($AU$834,INDIRECT(AI822),0)),$AU$834,"")),0)</f>
        <v>0</v>
      </c>
      <c r="AR822" s="2349" t="b">
        <f t="shared" ref="AR822:AR831" ca="1" si="212">ISNA(MATCH($AU$820,INDIRECT(AI822),0))</f>
        <v>1</v>
      </c>
      <c r="AS822" s="621" t="b">
        <f ca="1">ISNA(MATCH($AU$832,INDIRECT(AI822),0))</f>
        <v>1</v>
      </c>
      <c r="AU822" s="326" t="s">
        <v>1637</v>
      </c>
      <c r="AV822" s="2349"/>
      <c r="AW822" s="2349"/>
      <c r="AX822" s="621"/>
    </row>
    <row r="823" spans="1:50" ht="12.75" customHeight="1" x14ac:dyDescent="0.2">
      <c r="A823" s="227">
        <v>823</v>
      </c>
      <c r="B823" s="5988"/>
      <c r="C823" s="1146"/>
      <c r="D823" s="2629" t="str">
        <f t="shared" ca="1" si="193"/>
        <v/>
      </c>
      <c r="E823" s="2628" t="e">
        <f t="shared" ca="1" si="194"/>
        <v>#N/A</v>
      </c>
      <c r="F823" s="2628">
        <v>20</v>
      </c>
      <c r="G823" s="2628">
        <v>0</v>
      </c>
      <c r="H823" s="2628">
        <v>0</v>
      </c>
      <c r="I823" s="2628" t="str">
        <f t="shared" ca="1" si="195"/>
        <v>-</v>
      </c>
      <c r="J823" s="2628" t="str">
        <f t="shared" si="199"/>
        <v>-</v>
      </c>
      <c r="K823" s="2878" t="s">
        <v>7282</v>
      </c>
      <c r="L823" s="2637" t="s">
        <v>1208</v>
      </c>
      <c r="M823" s="2634">
        <f t="shared" si="200"/>
        <v>4</v>
      </c>
      <c r="N823" s="2634" t="e">
        <f t="shared" ca="1" si="196"/>
        <v>#N/A</v>
      </c>
      <c r="O823" s="2634"/>
      <c r="P823" s="2628"/>
      <c r="Q823" s="2628"/>
      <c r="R823" s="2628"/>
      <c r="S823" s="2628"/>
      <c r="T823" s="2628" t="s">
        <v>1456</v>
      </c>
      <c r="U823" s="2628">
        <f t="shared" si="197"/>
        <v>0</v>
      </c>
      <c r="V823" s="2878" t="s">
        <v>2151</v>
      </c>
      <c r="W823" s="2626"/>
      <c r="X823" s="2680" t="str">
        <f t="shared" si="201"/>
        <v>Mediana</v>
      </c>
      <c r="Y823" s="1149">
        <f t="shared" si="198"/>
        <v>0</v>
      </c>
      <c r="Z823" s="2883"/>
      <c r="AA823" s="227"/>
      <c r="AB823" s="326" t="str">
        <f t="shared" ca="1" si="202"/>
        <v/>
      </c>
      <c r="AC823" s="2349">
        <f t="shared" ca="1" si="203"/>
        <v>0</v>
      </c>
      <c r="AD823" s="2349" t="str">
        <f t="shared" ca="1" si="204"/>
        <v xml:space="preserve"> &gt; </v>
      </c>
      <c r="AE823" s="2349" t="str">
        <f t="shared" ca="1" si="205"/>
        <v/>
      </c>
      <c r="AF823" s="2349">
        <f t="shared" ca="1" si="206"/>
        <v>0</v>
      </c>
      <c r="AG823" s="2349" t="str">
        <f t="shared" ca="1" si="207"/>
        <v xml:space="preserve"> &gt; </v>
      </c>
      <c r="AH823" s="1911" t="str">
        <f ca="1">IF(AK823,$O$2074," &gt; ")</f>
        <v xml:space="preserve"> &gt; </v>
      </c>
      <c r="AI823" s="2349" t="str">
        <f>ADDRESS(ROW($O$2076),COLUMN($O$2076))&amp;":"&amp;ADDRESS(ROW($O$2104),COLUMN($O$2104))</f>
        <v>$O$2076:$O$2104</v>
      </c>
      <c r="AJ823" s="2349" t="str">
        <f>ADDRESS(ROW($O$2076),COLUMN($O$2076)+1)&amp;":"&amp;ADDRESS(ROW($O$2104),COLUMN($O$2104)+1)</f>
        <v>$P$2076:$P$2104</v>
      </c>
      <c r="AK823" s="2349" t="b">
        <f t="array" aca="1" ref="AK823" ca="1">NOT(ISNA(MATCH(FALSE,ISNA(MATCH($AU$820:$AU$837,INDIRECT(AI823),0)),0)))</f>
        <v>0</v>
      </c>
      <c r="AL823" s="2349">
        <f t="shared" ca="1" si="208"/>
        <v>0</v>
      </c>
      <c r="AM823" s="2349" t="e">
        <f t="array" aca="1" ref="AM823" ca="1">IF(ISNA(MATCH($AU$824,INDIRECT(AI823),0)),NA(),IFERROR(VALUE(SUBSTITUTE(SUBSTITUTE(INDEX(INDIRECT(AJ823),IFERROR(MATCH(FALSE,ISNA(MATCH(INDIRECT(AJ823),$O$1284:$O$1292,0)),0),MATCH(FALSE,ISNA(MATCH(INDIRECT(AJ823),$AH$1251:$AP$1251,0)),0))),"Ataque especial",""),"Daño Base","")),0))</f>
        <v>#N/A</v>
      </c>
      <c r="AN823" s="2349">
        <f t="shared" ca="1" si="209"/>
        <v>0</v>
      </c>
      <c r="AO823" s="2349">
        <f t="shared" ca="1" si="210"/>
        <v>0</v>
      </c>
      <c r="AP823" s="2349" t="e">
        <f t="array" aca="1" ref="AP823" ca="1">IF(ISNA(MATCH($AU$824,INDIRECT(AI823),0)),NA(),SUBSTITUTE(INDEX(INDIRECT(AJ823),IFERROR(MATCH(FALSE,ISNA(MATCH(INDIRECT(AJ823),$O$1307:$O$1313,0)),0),MATCH(FALSE,ISNA(MATCH(INDIRECT(AJ823),$BE$1251:$BK$1251,0)),0))),"Ataque especial ",""))</f>
        <v>#N/A</v>
      </c>
      <c r="AQ823" s="2349">
        <f t="shared" ca="1" si="211"/>
        <v>0</v>
      </c>
      <c r="AR823" s="2349" t="b">
        <f t="shared" ca="1" si="212"/>
        <v>1</v>
      </c>
      <c r="AS823" s="621" t="b">
        <f ca="1">ISNA(MATCH($AU$832,INDIRECT(AI823),0))</f>
        <v>1</v>
      </c>
      <c r="AU823" s="326" t="s">
        <v>7334</v>
      </c>
      <c r="AV823" s="2349"/>
      <c r="AW823" s="2349"/>
      <c r="AX823" s="621"/>
    </row>
    <row r="824" spans="1:50" ht="12.75" customHeight="1" x14ac:dyDescent="0.2">
      <c r="A824" s="227">
        <v>824</v>
      </c>
      <c r="B824" s="5988"/>
      <c r="C824" s="1146"/>
      <c r="D824" s="2629" t="str">
        <f t="shared" ca="1" si="193"/>
        <v/>
      </c>
      <c r="E824" s="2628" t="e">
        <f t="shared" ca="1" si="194"/>
        <v>#N/A</v>
      </c>
      <c r="F824" s="2628">
        <v>20</v>
      </c>
      <c r="G824" s="2628">
        <v>0</v>
      </c>
      <c r="H824" s="2628">
        <v>0</v>
      </c>
      <c r="I824" s="2628" t="str">
        <f t="shared" ca="1" si="195"/>
        <v>-</v>
      </c>
      <c r="J824" s="2628" t="str">
        <f t="shared" si="199"/>
        <v>-</v>
      </c>
      <c r="K824" s="2878" t="s">
        <v>7282</v>
      </c>
      <c r="L824" s="2637" t="s">
        <v>1208</v>
      </c>
      <c r="M824" s="2634">
        <f t="shared" si="200"/>
        <v>4</v>
      </c>
      <c r="N824" s="2634" t="e">
        <f t="shared" ca="1" si="196"/>
        <v>#N/A</v>
      </c>
      <c r="O824" s="2634"/>
      <c r="P824" s="2628"/>
      <c r="Q824" s="2628"/>
      <c r="R824" s="2628"/>
      <c r="S824" s="2628"/>
      <c r="T824" s="2628" t="s">
        <v>1456</v>
      </c>
      <c r="U824" s="2628">
        <f t="shared" si="197"/>
        <v>0</v>
      </c>
      <c r="V824" s="2878" t="s">
        <v>2151</v>
      </c>
      <c r="W824" s="2626"/>
      <c r="X824" s="2680" t="str">
        <f t="shared" si="201"/>
        <v>Mediana</v>
      </c>
      <c r="Y824" s="1149">
        <f t="shared" si="198"/>
        <v>0</v>
      </c>
      <c r="Z824" s="2883"/>
      <c r="AA824" s="227"/>
      <c r="AB824" s="326" t="str">
        <f t="shared" ca="1" si="202"/>
        <v/>
      </c>
      <c r="AC824" s="2349">
        <f t="shared" ca="1" si="203"/>
        <v>0</v>
      </c>
      <c r="AD824" s="2349" t="str">
        <f t="shared" ca="1" si="204"/>
        <v xml:space="preserve"> &gt; </v>
      </c>
      <c r="AE824" s="2349" t="str">
        <f t="shared" ca="1" si="205"/>
        <v/>
      </c>
      <c r="AF824" s="2349">
        <f t="shared" ca="1" si="206"/>
        <v>0</v>
      </c>
      <c r="AG824" s="2349" t="str">
        <f t="shared" ca="1" si="207"/>
        <v xml:space="preserve"> &gt; </v>
      </c>
      <c r="AH824" s="1911" t="str">
        <f ca="1">IF(AK824,$R$2074," &gt; ")</f>
        <v xml:space="preserve"> &gt; </v>
      </c>
      <c r="AI824" s="2349" t="str">
        <f>ADDRESS(ROW($R$2076),COLUMN($R$2076))&amp;":"&amp;ADDRESS(ROW($R$2104),COLUMN($R$2104))</f>
        <v>$R$2076:$R$2104</v>
      </c>
      <c r="AJ824" s="2349" t="str">
        <f>ADDRESS(ROW($R$2076),COLUMN($R$2076)+1)&amp;":"&amp;ADDRESS(ROW($R$2104),COLUMN($R$2104)+1)</f>
        <v>$S$2076:$S$2104</v>
      </c>
      <c r="AK824" s="2349" t="b">
        <f t="array" aca="1" ref="AK824" ca="1">NOT(ISNA(MATCH(FALSE,ISNA(MATCH($AU$820:$AU$837,INDIRECT(AI824),0)),0)))</f>
        <v>0</v>
      </c>
      <c r="AL824" s="2349">
        <f t="shared" ca="1" si="208"/>
        <v>0</v>
      </c>
      <c r="AM824" s="2349" t="e">
        <f t="array" aca="1" ref="AM824" ca="1">IF(ISNA(MATCH($AU$824,INDIRECT(AI824),0)),NA(),IFERROR(VALUE(SUBSTITUTE(SUBSTITUTE(INDEX(INDIRECT(AJ824),IFERROR(MATCH(FALSE,ISNA(MATCH(INDIRECT(AJ824),$O$1284:$O$1292,0)),0),MATCH(FALSE,ISNA(MATCH(INDIRECT(AJ824),$AH$1251:$AP$1251,0)),0))),"Ataque especial",""),"Daño Base","")),0))</f>
        <v>#N/A</v>
      </c>
      <c r="AN824" s="2349">
        <f t="shared" ca="1" si="209"/>
        <v>0</v>
      </c>
      <c r="AO824" s="2349">
        <f t="shared" ca="1" si="210"/>
        <v>0</v>
      </c>
      <c r="AP824" s="2349" t="e">
        <f t="array" aca="1" ref="AP824" ca="1">IF(ISNA(MATCH($AU$824,INDIRECT(AI824),0)),NA(),SUBSTITUTE(INDEX(INDIRECT(AJ824),IFERROR(MATCH(FALSE,ISNA(MATCH(INDIRECT(AJ824),$O$1307:$O$1313,0)),0),MATCH(FALSE,ISNA(MATCH(INDIRECT(AJ824),$BE$1251:$BK$1251,0)),0))),"Ataque especial ",""))</f>
        <v>#N/A</v>
      </c>
      <c r="AQ824" s="2349">
        <f t="shared" ca="1" si="211"/>
        <v>0</v>
      </c>
      <c r="AR824" s="2349" t="b">
        <f t="shared" ca="1" si="212"/>
        <v>1</v>
      </c>
      <c r="AS824" s="621" t="b">
        <f t="shared" ref="AS824:AS831" ca="1" si="213">ISNA(MATCH($AU$832,INDIRECT(AI824),0))</f>
        <v>1</v>
      </c>
      <c r="AU824" s="326" t="s">
        <v>7355</v>
      </c>
      <c r="AV824" s="2349"/>
      <c r="AW824" s="2349"/>
      <c r="AX824" s="621"/>
    </row>
    <row r="825" spans="1:50" ht="12.75" customHeight="1" x14ac:dyDescent="0.2">
      <c r="A825" s="227">
        <v>825</v>
      </c>
      <c r="B825" s="5988"/>
      <c r="C825" s="1146"/>
      <c r="D825" s="2629" t="str">
        <f t="shared" ca="1" si="193"/>
        <v/>
      </c>
      <c r="E825" s="2628" t="e">
        <f t="shared" ca="1" si="194"/>
        <v>#N/A</v>
      </c>
      <c r="F825" s="2628">
        <v>20</v>
      </c>
      <c r="G825" s="2628">
        <v>0</v>
      </c>
      <c r="H825" s="2628">
        <v>0</v>
      </c>
      <c r="I825" s="2628" t="str">
        <f t="shared" ca="1" si="195"/>
        <v>-</v>
      </c>
      <c r="J825" s="2628" t="str">
        <f t="shared" si="199"/>
        <v>-</v>
      </c>
      <c r="K825" s="2878" t="s">
        <v>7282</v>
      </c>
      <c r="L825" s="2637" t="s">
        <v>1208</v>
      </c>
      <c r="M825" s="2634">
        <f t="shared" si="200"/>
        <v>4</v>
      </c>
      <c r="N825" s="2634" t="e">
        <f t="shared" ca="1" si="196"/>
        <v>#N/A</v>
      </c>
      <c r="O825" s="2634"/>
      <c r="P825" s="2628"/>
      <c r="Q825" s="2628"/>
      <c r="R825" s="2628"/>
      <c r="S825" s="2628"/>
      <c r="T825" s="2628" t="s">
        <v>1456</v>
      </c>
      <c r="U825" s="2628">
        <f t="shared" si="197"/>
        <v>0</v>
      </c>
      <c r="V825" s="2878" t="s">
        <v>2151</v>
      </c>
      <c r="W825" s="2626"/>
      <c r="X825" s="2680" t="str">
        <f t="shared" si="201"/>
        <v>Mediana</v>
      </c>
      <c r="Y825" s="1149">
        <f t="shared" si="198"/>
        <v>0</v>
      </c>
      <c r="Z825" s="2883"/>
      <c r="AA825" s="227"/>
      <c r="AB825" s="326" t="str">
        <f t="shared" ca="1" si="202"/>
        <v/>
      </c>
      <c r="AC825" s="2349">
        <f t="shared" ca="1" si="203"/>
        <v>0</v>
      </c>
      <c r="AD825" s="2349" t="str">
        <f t="shared" ca="1" si="204"/>
        <v xml:space="preserve"> &gt; </v>
      </c>
      <c r="AE825" s="2349" t="str">
        <f t="shared" ca="1" si="205"/>
        <v/>
      </c>
      <c r="AF825" s="2349">
        <f t="shared" ca="1" si="206"/>
        <v>0</v>
      </c>
      <c r="AG825" s="2349" t="str">
        <f t="shared" ca="1" si="207"/>
        <v xml:space="preserve"> &gt; </v>
      </c>
      <c r="AH825" s="1911" t="str">
        <f ca="1">IF(AK825,$U$2074," &gt; ")</f>
        <v xml:space="preserve"> &gt; </v>
      </c>
      <c r="AI825" s="2349" t="str">
        <f>ADDRESS(ROW($U$2076),COLUMN($U$2076))&amp;":"&amp;ADDRESS(ROW($U$2104),COLUMN($U$2104))</f>
        <v>$U$2076:$U$2104</v>
      </c>
      <c r="AJ825" s="2349" t="str">
        <f>ADDRESS(ROW($U$2076),COLUMN($U$2076)+1)&amp;":"&amp;ADDRESS(ROW($U$2104),COLUMN($U$2104)+1)</f>
        <v>$V$2076:$V$2104</v>
      </c>
      <c r="AK825" s="2349" t="b">
        <f t="array" aca="1" ref="AK825" ca="1">NOT(ISNA(MATCH(FALSE,ISNA(MATCH($AU$820:$AU$837,INDIRECT(AI825),0)),0)))</f>
        <v>0</v>
      </c>
      <c r="AL825" s="2349">
        <f t="shared" ca="1" si="208"/>
        <v>0</v>
      </c>
      <c r="AM825" s="2349" t="e">
        <f t="array" aca="1" ref="AM825" ca="1">IF(ISNA(MATCH($AU$824,INDIRECT(AI825),0)),NA(),IFERROR(VALUE(SUBSTITUTE(SUBSTITUTE(INDEX(INDIRECT(AJ825),IFERROR(MATCH(FALSE,ISNA(MATCH(INDIRECT(AJ825),$O$1284:$O$1292,0)),0),MATCH(FALSE,ISNA(MATCH(INDIRECT(AJ825),$AH$1251:$AP$1251,0)),0))),"Ataque especial",""),"Daño Base","")),0))</f>
        <v>#N/A</v>
      </c>
      <c r="AN825" s="2349">
        <f t="shared" ca="1" si="209"/>
        <v>0</v>
      </c>
      <c r="AO825" s="2349">
        <f t="shared" ca="1" si="210"/>
        <v>0</v>
      </c>
      <c r="AP825" s="2349" t="e">
        <f t="array" aca="1" ref="AP825" ca="1">IF(ISNA(MATCH($AU$824,INDIRECT(AI825),0)),NA(),SUBSTITUTE(INDEX(INDIRECT(AJ825),IFERROR(MATCH(FALSE,ISNA(MATCH(INDIRECT(AJ825),$O$1307:$O$1313,0)),0),MATCH(FALSE,ISNA(MATCH(INDIRECT(AJ825),$BE$1251:$BK$1251,0)),0))),"Ataque especial ",""))</f>
        <v>#N/A</v>
      </c>
      <c r="AQ825" s="2349">
        <f t="shared" ca="1" si="211"/>
        <v>0</v>
      </c>
      <c r="AR825" s="2349" t="b">
        <f t="shared" ca="1" si="212"/>
        <v>1</v>
      </c>
      <c r="AS825" s="621" t="b">
        <f t="shared" ca="1" si="213"/>
        <v>1</v>
      </c>
      <c r="AU825" s="326" t="s">
        <v>7336</v>
      </c>
      <c r="AV825" s="2349"/>
      <c r="AW825" s="2349"/>
      <c r="AX825" s="621"/>
    </row>
    <row r="826" spans="1:50" ht="12.75" customHeight="1" x14ac:dyDescent="0.2">
      <c r="A826" s="227">
        <v>826</v>
      </c>
      <c r="B826" s="5988"/>
      <c r="C826" s="1146"/>
      <c r="D826" s="2629" t="str">
        <f t="shared" ca="1" si="193"/>
        <v/>
      </c>
      <c r="E826" s="2628" t="e">
        <f t="shared" ca="1" si="194"/>
        <v>#N/A</v>
      </c>
      <c r="F826" s="2628">
        <v>20</v>
      </c>
      <c r="G826" s="2628">
        <v>0</v>
      </c>
      <c r="H826" s="2628">
        <v>0</v>
      </c>
      <c r="I826" s="2628" t="str">
        <f t="shared" ca="1" si="195"/>
        <v>-</v>
      </c>
      <c r="J826" s="2628" t="str">
        <f t="shared" si="199"/>
        <v>-</v>
      </c>
      <c r="K826" s="2878" t="s">
        <v>7282</v>
      </c>
      <c r="L826" s="2637" t="s">
        <v>1208</v>
      </c>
      <c r="M826" s="2634">
        <f t="shared" si="200"/>
        <v>4</v>
      </c>
      <c r="N826" s="2634" t="e">
        <f t="shared" ca="1" si="196"/>
        <v>#N/A</v>
      </c>
      <c r="O826" s="2634"/>
      <c r="P826" s="2628"/>
      <c r="Q826" s="2628"/>
      <c r="R826" s="2628"/>
      <c r="S826" s="2628"/>
      <c r="T826" s="2628" t="s">
        <v>1456</v>
      </c>
      <c r="U826" s="2628">
        <f t="shared" si="197"/>
        <v>0</v>
      </c>
      <c r="V826" s="2878" t="s">
        <v>2151</v>
      </c>
      <c r="W826" s="2626"/>
      <c r="X826" s="2680" t="str">
        <f t="shared" si="201"/>
        <v>Mediana</v>
      </c>
      <c r="Y826" s="1149">
        <f t="shared" si="198"/>
        <v>0</v>
      </c>
      <c r="Z826" s="2883"/>
      <c r="AB826" s="326" t="str">
        <f t="shared" ca="1" si="202"/>
        <v/>
      </c>
      <c r="AC826" s="2349">
        <f t="shared" ca="1" si="203"/>
        <v>0</v>
      </c>
      <c r="AD826" s="2349" t="str">
        <f t="shared" ca="1" si="204"/>
        <v xml:space="preserve"> &gt; </v>
      </c>
      <c r="AE826" s="2349" t="str">
        <f t="shared" ca="1" si="205"/>
        <v/>
      </c>
      <c r="AF826" s="2349">
        <f t="shared" ca="1" si="206"/>
        <v>0</v>
      </c>
      <c r="AG826" s="2349" t="str">
        <f t="shared" ca="1" si="207"/>
        <v xml:space="preserve"> &gt; </v>
      </c>
      <c r="AH826" s="1911" t="str">
        <f ca="1">IF(AK826,$X$2074," &gt; ")</f>
        <v xml:space="preserve"> &gt; </v>
      </c>
      <c r="AI826" s="2349" t="str">
        <f>ADDRESS(ROW($X$2076),COLUMN($X$2076))&amp;":"&amp;ADDRESS(ROW($X$2104),COLUMN($X$2104))</f>
        <v>$X$2076:$X$2104</v>
      </c>
      <c r="AJ826" s="2349" t="str">
        <f>ADDRESS(ROW($X$2076),COLUMN($X$2076)+1)&amp;":"&amp;ADDRESS(ROW($X$2104),COLUMN($X$2104)+1)</f>
        <v>$Y$2076:$Y$2104</v>
      </c>
      <c r="AK826" s="2349" t="b">
        <f t="array" aca="1" ref="AK826" ca="1">NOT(ISNA(MATCH(FALSE,ISNA(MATCH($AU$820:$AU$837,INDIRECT(AI826),0)),0)))</f>
        <v>0</v>
      </c>
      <c r="AL826" s="2349">
        <f t="shared" ca="1" si="208"/>
        <v>0</v>
      </c>
      <c r="AM826" s="2349" t="e">
        <f t="array" aca="1" ref="AM826" ca="1">IF(ISNA(MATCH($AU$824,INDIRECT(AI826),0)),NA(),IFERROR(VALUE(SUBSTITUTE(SUBSTITUTE(INDEX(INDIRECT(AJ826),IFERROR(MATCH(FALSE,ISNA(MATCH(INDIRECT(AJ826),$O$1284:$O$1292,0)),0),MATCH(FALSE,ISNA(MATCH(INDIRECT(AJ826),$AH$1251:$AP$1251,0)),0))),"Ataque especial",""),"Daño Base","")),0))</f>
        <v>#N/A</v>
      </c>
      <c r="AN826" s="2349">
        <f t="shared" ca="1" si="209"/>
        <v>0</v>
      </c>
      <c r="AO826" s="2349">
        <f t="shared" ca="1" si="210"/>
        <v>0</v>
      </c>
      <c r="AP826" s="2349" t="e">
        <f t="array" aca="1" ref="AP826" ca="1">IF(ISNA(MATCH($AU$824,INDIRECT(AI826),0)),NA(),SUBSTITUTE(INDEX(INDIRECT(AJ826),IFERROR(MATCH(FALSE,ISNA(MATCH(INDIRECT(AJ826),$O$1307:$O$1313,0)),0),MATCH(FALSE,ISNA(MATCH(INDIRECT(AJ826),$BE$1251:$BK$1251,0)),0))),"Ataque especial ",""))</f>
        <v>#N/A</v>
      </c>
      <c r="AQ826" s="2349">
        <f t="shared" ca="1" si="211"/>
        <v>0</v>
      </c>
      <c r="AR826" s="2349" t="b">
        <f t="shared" ca="1" si="212"/>
        <v>1</v>
      </c>
      <c r="AS826" s="621" t="b">
        <f t="shared" ca="1" si="213"/>
        <v>1</v>
      </c>
      <c r="AU826" s="326" t="s">
        <v>7335</v>
      </c>
      <c r="AV826" s="2349"/>
      <c r="AW826" s="2349"/>
      <c r="AX826" s="621"/>
    </row>
    <row r="827" spans="1:50" ht="12.75" customHeight="1" x14ac:dyDescent="0.2">
      <c r="A827" s="227">
        <v>827</v>
      </c>
      <c r="B827" s="5988"/>
      <c r="C827" s="1146"/>
      <c r="D827" s="2629" t="str">
        <f t="shared" ca="1" si="193"/>
        <v/>
      </c>
      <c r="E827" s="2628" t="e">
        <f t="shared" ca="1" si="194"/>
        <v>#N/A</v>
      </c>
      <c r="F827" s="2628">
        <v>20</v>
      </c>
      <c r="G827" s="2628">
        <v>0</v>
      </c>
      <c r="H827" s="2628">
        <v>0</v>
      </c>
      <c r="I827" s="2628" t="str">
        <f t="shared" ca="1" si="195"/>
        <v>-</v>
      </c>
      <c r="J827" s="2628" t="str">
        <f t="shared" si="199"/>
        <v>-</v>
      </c>
      <c r="K827" s="2878" t="s">
        <v>7282</v>
      </c>
      <c r="L827" s="2637" t="s">
        <v>1208</v>
      </c>
      <c r="M827" s="2634">
        <f t="shared" si="200"/>
        <v>4</v>
      </c>
      <c r="N827" s="2634" t="e">
        <f t="shared" ca="1" si="196"/>
        <v>#N/A</v>
      </c>
      <c r="O827" s="2634"/>
      <c r="P827" s="2628"/>
      <c r="Q827" s="2628"/>
      <c r="R827" s="2628"/>
      <c r="S827" s="2628"/>
      <c r="T827" s="2628" t="s">
        <v>1456</v>
      </c>
      <c r="U827" s="2628">
        <f t="shared" si="197"/>
        <v>0</v>
      </c>
      <c r="V827" s="2878" t="s">
        <v>2151</v>
      </c>
      <c r="W827" s="2626"/>
      <c r="X827" s="2680" t="str">
        <f t="shared" si="201"/>
        <v>Mediana</v>
      </c>
      <c r="Y827" s="1149">
        <f t="shared" si="198"/>
        <v>0</v>
      </c>
      <c r="Z827" s="2883"/>
      <c r="AB827" s="326" t="str">
        <f t="shared" ca="1" si="202"/>
        <v/>
      </c>
      <c r="AC827" s="2349">
        <f t="shared" ca="1" si="203"/>
        <v>0</v>
      </c>
      <c r="AD827" s="2349" t="str">
        <f t="shared" ca="1" si="204"/>
        <v xml:space="preserve"> &gt; </v>
      </c>
      <c r="AE827" s="2349" t="str">
        <f t="shared" ca="1" si="205"/>
        <v/>
      </c>
      <c r="AF827" s="2349">
        <f t="shared" ca="1" si="206"/>
        <v>0</v>
      </c>
      <c r="AG827" s="2349" t="str">
        <f t="shared" ca="1" si="207"/>
        <v xml:space="preserve"> &gt; </v>
      </c>
      <c r="AH827" s="1911" t="str">
        <f ca="1">IF(AK827,$AA$2074," &gt; ")</f>
        <v xml:space="preserve"> &gt; </v>
      </c>
      <c r="AI827" s="2349" t="str">
        <f>ADDRESS(ROW($AA$2076),COLUMN($AA$2076))&amp;":"&amp;ADDRESS(ROW($AA$2104),COLUMN($AA$2104))</f>
        <v>$AA$2076:$AA$2104</v>
      </c>
      <c r="AJ827" s="2349" t="str">
        <f>ADDRESS(ROW($AA$2076),COLUMN($AA$2076)+1)&amp;":"&amp;ADDRESS(ROW($AA$2104),COLUMN($AA$2104)+1)</f>
        <v>$AB$2076:$AB$2104</v>
      </c>
      <c r="AK827" s="2349" t="b">
        <f t="array" aca="1" ref="AK827" ca="1">NOT(ISNA(MATCH(FALSE,ISNA(MATCH($AU$820:$AU$837,INDIRECT(AI827),0)),0)))</f>
        <v>0</v>
      </c>
      <c r="AL827" s="2349">
        <f t="shared" ca="1" si="208"/>
        <v>0</v>
      </c>
      <c r="AM827" s="2349" t="e">
        <f t="array" aca="1" ref="AM827" ca="1">IF(ISNA(MATCH($AU$824,INDIRECT(AI827),0)),NA(),IFERROR(VALUE(SUBSTITUTE(SUBSTITUTE(INDEX(INDIRECT(AJ827),IFERROR(MATCH(FALSE,ISNA(MATCH(INDIRECT(AJ827),$O$1284:$O$1292,0)),0),MATCH(FALSE,ISNA(MATCH(INDIRECT(AJ827),$AH$1251:$AP$1251,0)),0))),"Ataque especial",""),"Daño Base","")),0))</f>
        <v>#N/A</v>
      </c>
      <c r="AN827" s="2349">
        <f t="shared" ca="1" si="209"/>
        <v>0</v>
      </c>
      <c r="AO827" s="2349">
        <f t="shared" ca="1" si="210"/>
        <v>0</v>
      </c>
      <c r="AP827" s="2349" t="e">
        <f t="array" aca="1" ref="AP827" ca="1">IF(ISNA(MATCH($AU$824,INDIRECT(AI827),0)),NA(),SUBSTITUTE(INDEX(INDIRECT(AJ827),IFERROR(MATCH(FALSE,ISNA(MATCH(INDIRECT(AJ827),$O$1307:$O$1313,0)),0),MATCH(FALSE,ISNA(MATCH(INDIRECT(AJ827),$BE$1251:$BK$1251,0)),0))),"Ataque especial ",""))</f>
        <v>#N/A</v>
      </c>
      <c r="AQ827" s="2349">
        <f t="shared" ca="1" si="211"/>
        <v>0</v>
      </c>
      <c r="AR827" s="2349" t="b">
        <f t="shared" ca="1" si="212"/>
        <v>1</v>
      </c>
      <c r="AS827" s="621" t="b">
        <f t="shared" ca="1" si="213"/>
        <v>1</v>
      </c>
      <c r="AU827" s="326" t="s">
        <v>7100</v>
      </c>
      <c r="AV827" s="2349"/>
      <c r="AW827" s="2349"/>
      <c r="AX827" s="621"/>
    </row>
    <row r="828" spans="1:50" ht="12.75" customHeight="1" x14ac:dyDescent="0.2">
      <c r="A828" s="227">
        <v>828</v>
      </c>
      <c r="B828" s="5988"/>
      <c r="C828" s="1146"/>
      <c r="D828" s="2629" t="str">
        <f t="shared" ca="1" si="193"/>
        <v/>
      </c>
      <c r="E828" s="2628" t="e">
        <f t="shared" ca="1" si="194"/>
        <v>#N/A</v>
      </c>
      <c r="F828" s="2628">
        <v>20</v>
      </c>
      <c r="G828" s="2628">
        <v>0</v>
      </c>
      <c r="H828" s="2628">
        <v>0</v>
      </c>
      <c r="I828" s="2628" t="str">
        <f t="shared" ca="1" si="195"/>
        <v>-</v>
      </c>
      <c r="J828" s="2628" t="str">
        <f t="shared" si="199"/>
        <v>-</v>
      </c>
      <c r="K828" s="2878" t="s">
        <v>7282</v>
      </c>
      <c r="L828" s="2637" t="s">
        <v>1208</v>
      </c>
      <c r="M828" s="2634">
        <f t="shared" si="200"/>
        <v>4</v>
      </c>
      <c r="N828" s="2634" t="e">
        <f t="shared" ca="1" si="196"/>
        <v>#N/A</v>
      </c>
      <c r="O828" s="2634"/>
      <c r="P828" s="2628"/>
      <c r="Q828" s="2628"/>
      <c r="R828" s="2628"/>
      <c r="S828" s="2628"/>
      <c r="T828" s="2628" t="s">
        <v>1456</v>
      </c>
      <c r="U828" s="2628">
        <f t="shared" si="197"/>
        <v>0</v>
      </c>
      <c r="V828" s="2878" t="s">
        <v>2151</v>
      </c>
      <c r="W828" s="2626"/>
      <c r="X828" s="2680" t="str">
        <f t="shared" si="201"/>
        <v>Mediana</v>
      </c>
      <c r="Y828" s="1149">
        <f t="shared" si="198"/>
        <v>0</v>
      </c>
      <c r="Z828" s="2883"/>
      <c r="AB828" s="326" t="str">
        <f t="shared" ca="1" si="202"/>
        <v/>
      </c>
      <c r="AC828" s="2349">
        <f t="shared" ca="1" si="203"/>
        <v>0</v>
      </c>
      <c r="AD828" s="2349" t="str">
        <f t="shared" ca="1" si="204"/>
        <v xml:space="preserve"> &gt; </v>
      </c>
      <c r="AE828" s="2349" t="str">
        <f t="shared" ca="1" si="205"/>
        <v/>
      </c>
      <c r="AF828" s="2349">
        <f t="shared" ca="1" si="206"/>
        <v>0</v>
      </c>
      <c r="AG828" s="2349" t="str">
        <f t="shared" ca="1" si="207"/>
        <v xml:space="preserve"> &gt; </v>
      </c>
      <c r="AH828" s="1911" t="str">
        <f ca="1">IF(AK828,$AD$2074," &gt; ")</f>
        <v xml:space="preserve"> &gt; </v>
      </c>
      <c r="AI828" s="2349" t="str">
        <f>ADDRESS(ROW($AD$2076),COLUMN($AD$2076))&amp;":"&amp;ADDRESS(ROW($AD$2104),COLUMN($AD$2104))</f>
        <v>$AD$2076:$AD$2104</v>
      </c>
      <c r="AJ828" s="2349" t="str">
        <f>ADDRESS(ROW($AD$2076),COLUMN($AD$2076)+1)&amp;":"&amp;ADDRESS(ROW($AD$2104),COLUMN($AD$2104)+1)</f>
        <v>$AE$2076:$AE$2104</v>
      </c>
      <c r="AK828" s="2349" t="b">
        <f t="array" aca="1" ref="AK828" ca="1">NOT(ISNA(MATCH(FALSE,ISNA(MATCH($AU$820:$AU$837,INDIRECT(AI828),0)),0)))</f>
        <v>0</v>
      </c>
      <c r="AL828" s="2349">
        <f t="shared" ca="1" si="208"/>
        <v>0</v>
      </c>
      <c r="AM828" s="2349" t="e">
        <f t="array" aca="1" ref="AM828" ca="1">IF(ISNA(MATCH($AU$824,INDIRECT(AI828),0)),NA(),IFERROR(VALUE(SUBSTITUTE(SUBSTITUTE(INDEX(INDIRECT(AJ828),IFERROR(MATCH(FALSE,ISNA(MATCH(INDIRECT(AJ828),$O$1284:$O$1292,0)),0),MATCH(FALSE,ISNA(MATCH(INDIRECT(AJ828),$AH$1251:$AP$1251,0)),0))),"Ataque especial",""),"Daño Base","")),0))</f>
        <v>#N/A</v>
      </c>
      <c r="AN828" s="2349">
        <f t="shared" ca="1" si="209"/>
        <v>0</v>
      </c>
      <c r="AO828" s="2349">
        <f t="shared" ca="1" si="210"/>
        <v>0</v>
      </c>
      <c r="AP828" s="2349" t="e">
        <f t="array" aca="1" ref="AP828" ca="1">IF(ISNA(MATCH($AU$824,INDIRECT(AI828),0)),NA(),SUBSTITUTE(INDEX(INDIRECT(AJ828),IFERROR(MATCH(FALSE,ISNA(MATCH(INDIRECT(AJ828),$O$1307:$O$1313,0)),0),MATCH(FALSE,ISNA(MATCH(INDIRECT(AJ828),$BE$1251:$BK$1251,0)),0))),"Ataque especial ",""))</f>
        <v>#N/A</v>
      </c>
      <c r="AQ828" s="2349">
        <f t="shared" ca="1" si="211"/>
        <v>0</v>
      </c>
      <c r="AR828" s="2349" t="b">
        <f t="shared" ca="1" si="212"/>
        <v>1</v>
      </c>
      <c r="AS828" s="621" t="b">
        <f t="shared" ca="1" si="213"/>
        <v>1</v>
      </c>
      <c r="AU828" s="326" t="s">
        <v>12</v>
      </c>
      <c r="AV828" s="2349"/>
      <c r="AW828" s="2349"/>
      <c r="AX828" s="621"/>
    </row>
    <row r="829" spans="1:50" ht="12.75" customHeight="1" x14ac:dyDescent="0.2">
      <c r="A829" s="227">
        <v>829</v>
      </c>
      <c r="B829" s="5988"/>
      <c r="C829" s="1146"/>
      <c r="D829" s="2629" t="str">
        <f t="shared" ca="1" si="193"/>
        <v/>
      </c>
      <c r="E829" s="2628" t="e">
        <f t="shared" ca="1" si="194"/>
        <v>#N/A</v>
      </c>
      <c r="F829" s="2628">
        <v>20</v>
      </c>
      <c r="G829" s="2628">
        <v>0</v>
      </c>
      <c r="H829" s="2628">
        <v>0</v>
      </c>
      <c r="I829" s="2628" t="str">
        <f t="shared" ca="1" si="195"/>
        <v>-</v>
      </c>
      <c r="J829" s="2628" t="str">
        <f t="shared" si="199"/>
        <v>-</v>
      </c>
      <c r="K829" s="2878" t="s">
        <v>7282</v>
      </c>
      <c r="L829" s="2637" t="s">
        <v>1208</v>
      </c>
      <c r="M829" s="2634">
        <f t="shared" si="200"/>
        <v>4</v>
      </c>
      <c r="N829" s="2634" t="e">
        <f t="shared" ca="1" si="196"/>
        <v>#N/A</v>
      </c>
      <c r="O829" s="2634"/>
      <c r="P829" s="2628"/>
      <c r="Q829" s="2628"/>
      <c r="R829" s="2628"/>
      <c r="S829" s="2628"/>
      <c r="T829" s="2628" t="s">
        <v>1456</v>
      </c>
      <c r="U829" s="2628">
        <f t="shared" si="197"/>
        <v>0</v>
      </c>
      <c r="V829" s="2878" t="s">
        <v>2151</v>
      </c>
      <c r="W829" s="2626"/>
      <c r="X829" s="2680" t="str">
        <f t="shared" si="201"/>
        <v>Mediana</v>
      </c>
      <c r="Y829" s="1149">
        <f t="shared" si="198"/>
        <v>0</v>
      </c>
      <c r="Z829" s="2883"/>
      <c r="AB829" s="326" t="str">
        <f t="shared" ca="1" si="202"/>
        <v/>
      </c>
      <c r="AC829" s="2349">
        <f t="shared" ca="1" si="203"/>
        <v>0</v>
      </c>
      <c r="AD829" s="2349" t="str">
        <f t="shared" ca="1" si="204"/>
        <v xml:space="preserve"> &gt; </v>
      </c>
      <c r="AE829" s="2349" t="str">
        <f t="shared" ca="1" si="205"/>
        <v/>
      </c>
      <c r="AF829" s="2349">
        <f t="shared" ca="1" si="206"/>
        <v>0</v>
      </c>
      <c r="AG829" s="2349" t="str">
        <f t="shared" ca="1" si="207"/>
        <v xml:space="preserve"> &gt; </v>
      </c>
      <c r="AH829" s="1911" t="str">
        <f ca="1">IF(AK829,$AG$2074," &gt; ")</f>
        <v xml:space="preserve"> &gt; </v>
      </c>
      <c r="AI829" s="2349" t="str">
        <f>ADDRESS(ROW($AG$2076),COLUMN($AG$2076))&amp;":"&amp;ADDRESS(ROW($AG$2104),COLUMN($AG$2104))</f>
        <v>$AG$2076:$AG$2104</v>
      </c>
      <c r="AJ829" s="2349" t="str">
        <f>ADDRESS(ROW($AG$2076),COLUMN($AG$2076)+1)&amp;":"&amp;ADDRESS(ROW($AG$2104),COLUMN($AG$2104)+1)</f>
        <v>$AH$2076:$AH$2104</v>
      </c>
      <c r="AK829" s="2349" t="b">
        <f t="array" aca="1" ref="AK829" ca="1">NOT(ISNA(MATCH(FALSE,ISNA(MATCH($AU$820:$AU$837,INDIRECT(AI829),0)),0)))</f>
        <v>0</v>
      </c>
      <c r="AL829" s="2349">
        <f t="shared" ca="1" si="208"/>
        <v>0</v>
      </c>
      <c r="AM829" s="2349" t="e">
        <f t="array" aca="1" ref="AM829" ca="1">IF(ISNA(MATCH($AU$824,INDIRECT(AI829),0)),NA(),IFERROR(VALUE(SUBSTITUTE(SUBSTITUTE(INDEX(INDIRECT(AJ829),IFERROR(MATCH(FALSE,ISNA(MATCH(INDIRECT(AJ829),$O$1284:$O$1292,0)),0),MATCH(FALSE,ISNA(MATCH(INDIRECT(AJ829),$AH$1251:$AP$1251,0)),0))),"Ataque especial",""),"Daño Base","")),0))</f>
        <v>#N/A</v>
      </c>
      <c r="AN829" s="2349">
        <f t="shared" ca="1" si="209"/>
        <v>0</v>
      </c>
      <c r="AO829" s="2349">
        <f t="shared" ca="1" si="210"/>
        <v>0</v>
      </c>
      <c r="AP829" s="2349" t="e">
        <f t="array" aca="1" ref="AP829" ca="1">IF(ISNA(MATCH($AU$824,INDIRECT(AI829),0)),NA(),SUBSTITUTE(INDEX(INDIRECT(AJ829),IFERROR(MATCH(FALSE,ISNA(MATCH(INDIRECT(AJ829),$O$1307:$O$1313,0)),0),MATCH(FALSE,ISNA(MATCH(INDIRECT(AJ829),$BE$1251:$BK$1251,0)),0))),"Ataque especial ",""))</f>
        <v>#N/A</v>
      </c>
      <c r="AQ829" s="2349">
        <f t="shared" ca="1" si="211"/>
        <v>0</v>
      </c>
      <c r="AR829" s="2349" t="b">
        <f t="shared" ca="1" si="212"/>
        <v>1</v>
      </c>
      <c r="AS829" s="621" t="b">
        <f t="shared" ca="1" si="213"/>
        <v>1</v>
      </c>
      <c r="AU829" s="326" t="s">
        <v>7362</v>
      </c>
      <c r="AV829" s="2349"/>
      <c r="AW829" s="2349"/>
      <c r="AX829" s="621"/>
    </row>
    <row r="830" spans="1:50" ht="12.75" customHeight="1" x14ac:dyDescent="0.2">
      <c r="A830" s="227">
        <v>830</v>
      </c>
      <c r="B830" s="5988"/>
      <c r="C830" s="1146"/>
      <c r="D830" s="2629" t="s">
        <v>10308</v>
      </c>
      <c r="E830" s="2628"/>
      <c r="F830" s="2628"/>
      <c r="G830" s="2628"/>
      <c r="H830" s="2628"/>
      <c r="I830" s="2628"/>
      <c r="J830" s="2628"/>
      <c r="K830" s="2878"/>
      <c r="L830" s="2635"/>
      <c r="M830" s="2634"/>
      <c r="N830" s="2634"/>
      <c r="O830" s="2634"/>
      <c r="P830" s="2628"/>
      <c r="Q830" s="2628"/>
      <c r="R830" s="2628"/>
      <c r="S830" s="2628"/>
      <c r="T830" s="2628"/>
      <c r="U830" s="2628"/>
      <c r="V830" s="2878"/>
      <c r="W830" s="2626"/>
      <c r="X830" s="2882"/>
      <c r="Y830" s="1149"/>
      <c r="Z830" s="2883"/>
      <c r="AA830" s="2880"/>
      <c r="AB830" s="326" t="str">
        <f t="shared" ca="1" si="202"/>
        <v/>
      </c>
      <c r="AC830" s="2349">
        <f t="shared" ca="1" si="203"/>
        <v>0</v>
      </c>
      <c r="AD830" s="2349" t="str">
        <f t="shared" ca="1" si="204"/>
        <v xml:space="preserve"> &gt; </v>
      </c>
      <c r="AE830" s="2349" t="str">
        <f t="shared" ca="1" si="205"/>
        <v/>
      </c>
      <c r="AF830" s="2349">
        <f t="shared" ca="1" si="206"/>
        <v>0</v>
      </c>
      <c r="AG830" s="2349" t="str">
        <f t="shared" ca="1" si="207"/>
        <v xml:space="preserve"> &gt; </v>
      </c>
      <c r="AH830" s="1911" t="str">
        <f ca="1">IF(AK830,$AJ$2074," &gt; ")</f>
        <v xml:space="preserve"> &gt; </v>
      </c>
      <c r="AI830" s="2349" t="str">
        <f>ADDRESS(ROW($AJ$2076),COLUMN($AJ$2076))&amp;":"&amp;ADDRESS(ROW($AJ$2104),COLUMN($AJ$2104))</f>
        <v>$AJ$2076:$AJ$2104</v>
      </c>
      <c r="AJ830" s="2349" t="str">
        <f>ADDRESS(ROW($AJ$2076),COLUMN($AJ$2076)+1)&amp;":"&amp;ADDRESS(ROW($AJ$2104),COLUMN($AJ$2104)+1)</f>
        <v>$AK$2076:$AK$2104</v>
      </c>
      <c r="AK830" s="2349" t="b">
        <f t="array" aca="1" ref="AK830" ca="1">NOT(ISNA(MATCH(FALSE,ISNA(MATCH($AU$820:$AU$837,INDIRECT(AI830),0)),0)))</f>
        <v>0</v>
      </c>
      <c r="AL830" s="2349">
        <f t="shared" ca="1" si="208"/>
        <v>0</v>
      </c>
      <c r="AM830" s="2349" t="e">
        <f t="array" aca="1" ref="AM830" ca="1">IF(ISNA(MATCH($AU$824,INDIRECT(AI830),0)),NA(),IFERROR(VALUE(SUBSTITUTE(SUBSTITUTE(INDEX(INDIRECT(AJ830),IFERROR(MATCH(FALSE,ISNA(MATCH(INDIRECT(AJ830),$O$1284:$O$1292,0)),0),MATCH(FALSE,ISNA(MATCH(INDIRECT(AJ830),$AH$1251:$AP$1251,0)),0))),"Ataque especial",""),"Daño Base","")),0))</f>
        <v>#N/A</v>
      </c>
      <c r="AN830" s="2349">
        <f t="shared" ca="1" si="209"/>
        <v>0</v>
      </c>
      <c r="AO830" s="2349">
        <f t="shared" ca="1" si="210"/>
        <v>0</v>
      </c>
      <c r="AP830" s="2349" t="e">
        <f t="array" aca="1" ref="AP830" ca="1">IF(ISNA(MATCH($AU$824,INDIRECT(AI830),0)),NA(),SUBSTITUTE(INDEX(INDIRECT(AJ830),IFERROR(MATCH(FALSE,ISNA(MATCH(INDIRECT(AJ830),$O$1307:$O$1313,0)),0),MATCH(FALSE,ISNA(MATCH(INDIRECT(AJ830),$BE$1251:$BK$1251,0)),0))),"Ataque especial ",""))</f>
        <v>#N/A</v>
      </c>
      <c r="AQ830" s="2349">
        <f t="shared" ca="1" si="211"/>
        <v>0</v>
      </c>
      <c r="AR830" s="2349" t="b">
        <f t="shared" ca="1" si="212"/>
        <v>1</v>
      </c>
      <c r="AS830" s="621" t="b">
        <f t="shared" ca="1" si="213"/>
        <v>1</v>
      </c>
      <c r="AU830" s="326" t="s">
        <v>7363</v>
      </c>
      <c r="AV830" s="2349"/>
      <c r="AW830" s="2349"/>
      <c r="AX830" s="621"/>
    </row>
    <row r="831" spans="1:50" ht="12.75" customHeight="1" thickBot="1" x14ac:dyDescent="0.25">
      <c r="A831" s="227">
        <v>831</v>
      </c>
      <c r="B831" s="5988"/>
      <c r="C831" s="1146"/>
      <c r="D831" s="2629" t="str">
        <f t="shared" ref="D831:D840" ca="1" si="214">AE822</f>
        <v/>
      </c>
      <c r="E831" s="2628" t="e">
        <f t="shared" ref="E831:E840" ca="1" si="215">IFERROR(VLOOKUP(D831,$AH$822:$AQ$831,6,0),ArmasNaturales_Daño)+VLOOKUP(D831,$AH$822:$AQ$831,7,0)</f>
        <v>#N/A</v>
      </c>
      <c r="F831" s="2628">
        <v>20</v>
      </c>
      <c r="G831" s="2628">
        <v>0</v>
      </c>
      <c r="H831" s="2628">
        <v>0</v>
      </c>
      <c r="I831" s="2628" t="str">
        <f t="shared" ref="I831:I840" ca="1" si="216">IFERROR(VLOOKUP(D831,$AH$822:$AQ$831,9,0),$I$639)</f>
        <v>-</v>
      </c>
      <c r="J831" s="2628" t="str">
        <f>$J$639</f>
        <v>-</v>
      </c>
      <c r="K831" s="2878" t="s">
        <v>7282</v>
      </c>
      <c r="L831" s="2637" t="s">
        <v>1208</v>
      </c>
      <c r="M831" s="2634">
        <f>$M$639</f>
        <v>4</v>
      </c>
      <c r="N831" s="2634" t="e">
        <f t="shared" ref="N831:N840" ca="1" si="217">$N$639+VLOOKUP(D831,$AH$822:$AQ$831,10,0)</f>
        <v>#N/A</v>
      </c>
      <c r="O831" s="2634"/>
      <c r="P831" s="2628"/>
      <c r="Q831" s="2628"/>
      <c r="R831" s="2628"/>
      <c r="S831" s="2628" t="str">
        <f>S639</f>
        <v>-</v>
      </c>
      <c r="T831" s="2628">
        <f>T639</f>
        <v>0</v>
      </c>
      <c r="U831" s="2628">
        <f>U639</f>
        <v>0</v>
      </c>
      <c r="V831" s="2878" t="s">
        <v>2151</v>
      </c>
      <c r="W831" s="2626"/>
      <c r="X831" s="2680" t="str">
        <f>$X$639</f>
        <v>Mediana</v>
      </c>
      <c r="Y831" s="1149">
        <f t="shared" si="198"/>
        <v>0</v>
      </c>
      <c r="Z831" s="2883"/>
      <c r="AA831" s="2880"/>
      <c r="AB831" s="664" t="str">
        <f t="shared" ca="1" si="202"/>
        <v/>
      </c>
      <c r="AC831" s="328">
        <f t="shared" ca="1" si="203"/>
        <v>0</v>
      </c>
      <c r="AD831" s="328" t="str">
        <f t="shared" ca="1" si="204"/>
        <v xml:space="preserve"> &gt; </v>
      </c>
      <c r="AE831" s="328" t="str">
        <f t="shared" ca="1" si="205"/>
        <v/>
      </c>
      <c r="AF831" s="328">
        <f t="shared" ca="1" si="206"/>
        <v>0</v>
      </c>
      <c r="AG831" s="328" t="str">
        <f t="shared" ca="1" si="207"/>
        <v xml:space="preserve"> &gt; </v>
      </c>
      <c r="AH831" s="2873" t="str">
        <f ca="1">IF(AK831,$AM$2074," &gt; ")</f>
        <v xml:space="preserve"> &gt; </v>
      </c>
      <c r="AI831" s="328" t="str">
        <f>ADDRESS(ROW($AM$2076),COLUMN($AM$2076))&amp;":"&amp;ADDRESS(ROW($AM$2104),COLUMN($AM$2104))</f>
        <v>$AM$2076:$AM$2104</v>
      </c>
      <c r="AJ831" s="328" t="str">
        <f>ADDRESS(ROW($AM$2076),COLUMN($AM$2076)+1)&amp;":"&amp;ADDRESS(ROW($AM$2104),COLUMN($AM$2104)+1)</f>
        <v>$AN$2076:$AN$2104</v>
      </c>
      <c r="AK831" s="328" t="b">
        <f t="array" aca="1" ref="AK831" ca="1">NOT(ISNA(MATCH(FALSE,ISNA(MATCH($AU$820:$AU$837,INDIRECT(AI831),0)),0)))</f>
        <v>0</v>
      </c>
      <c r="AL831" s="328">
        <f t="shared" ca="1" si="208"/>
        <v>0</v>
      </c>
      <c r="AM831" s="328" t="e">
        <f t="array" aca="1" ref="AM831" ca="1">IF(ISNA(MATCH($AU$824,INDIRECT(AI831),0)),NA(),IFERROR(VALUE(SUBSTITUTE(SUBSTITUTE(INDEX(INDIRECT(AJ831),IFERROR(MATCH(FALSE,ISNA(MATCH(INDIRECT(AJ831),$O$1284:$O$1292,0)),0),MATCH(FALSE,ISNA(MATCH(INDIRECT(AJ831),$AH$1251:$AP$1251,0)),0))),"Ataque especial",""),"Daño Base","")),0))</f>
        <v>#N/A</v>
      </c>
      <c r="AN831" s="328">
        <f t="shared" ca="1" si="209"/>
        <v>0</v>
      </c>
      <c r="AO831" s="328">
        <f t="shared" ca="1" si="210"/>
        <v>0</v>
      </c>
      <c r="AP831" s="328" t="e">
        <f t="array" aca="1" ref="AP831" ca="1">IF(ISNA(MATCH($AU$824,INDIRECT(AI831),0)),NA(),SUBSTITUTE(INDEX(INDIRECT(AJ831),IFERROR(MATCH(FALSE,ISNA(MATCH(INDIRECT(AJ831),$O$1307:$O$1313,0)),0),MATCH(FALSE,ISNA(MATCH(INDIRECT(AJ831),$BE$1251:$BK$1251,0)),0))),"Ataque especial ",""))</f>
        <v>#N/A</v>
      </c>
      <c r="AQ831" s="328">
        <f t="shared" ca="1" si="211"/>
        <v>0</v>
      </c>
      <c r="AR831" s="328" t="b">
        <f t="shared" ca="1" si="212"/>
        <v>1</v>
      </c>
      <c r="AS831" s="622" t="b">
        <f t="shared" ca="1" si="213"/>
        <v>1</v>
      </c>
      <c r="AU831" s="326" t="s">
        <v>7364</v>
      </c>
      <c r="AV831" s="2349"/>
      <c r="AW831" s="2349"/>
      <c r="AX831" s="621"/>
    </row>
    <row r="832" spans="1:50" ht="12.75" customHeight="1" x14ac:dyDescent="0.2">
      <c r="A832" s="227">
        <v>832</v>
      </c>
      <c r="B832" s="5988"/>
      <c r="C832" s="1146"/>
      <c r="D832" s="2629" t="str">
        <f t="shared" ca="1" si="214"/>
        <v/>
      </c>
      <c r="E832" s="2628" t="e">
        <f t="shared" ca="1" si="215"/>
        <v>#N/A</v>
      </c>
      <c r="F832" s="2628">
        <v>20</v>
      </c>
      <c r="G832" s="2628">
        <v>0</v>
      </c>
      <c r="H832" s="2628">
        <v>0</v>
      </c>
      <c r="I832" s="2628" t="str">
        <f t="shared" ca="1" si="216"/>
        <v>-</v>
      </c>
      <c r="J832" s="2628" t="str">
        <f t="shared" ref="J832:J840" si="218">$J$639</f>
        <v>-</v>
      </c>
      <c r="K832" s="2878" t="s">
        <v>7282</v>
      </c>
      <c r="L832" s="2635" t="s">
        <v>1208</v>
      </c>
      <c r="M832" s="2634">
        <f t="shared" ref="M832:M840" si="219">$M$639</f>
        <v>4</v>
      </c>
      <c r="N832" s="2634" t="e">
        <f t="shared" ca="1" si="217"/>
        <v>#N/A</v>
      </c>
      <c r="O832" s="2634"/>
      <c r="P832" s="2628"/>
      <c r="Q832" s="2628"/>
      <c r="R832" s="2628"/>
      <c r="S832" s="2628"/>
      <c r="T832" s="2628" t="s">
        <v>1456</v>
      </c>
      <c r="U832" s="2628">
        <f t="shared" si="197"/>
        <v>0</v>
      </c>
      <c r="V832" s="2878" t="s">
        <v>2151</v>
      </c>
      <c r="W832" s="2626"/>
      <c r="X832" s="2882" t="str">
        <f t="shared" ref="X832:X840" si="220">$X$639</f>
        <v>Mediana</v>
      </c>
      <c r="Y832" s="1149">
        <f t="shared" si="198"/>
        <v>0</v>
      </c>
      <c r="Z832" s="2883"/>
      <c r="AA832" s="2880"/>
      <c r="AB832" s="2880"/>
      <c r="AC832" s="2880"/>
      <c r="AD832" s="2880"/>
      <c r="AE832" s="2880"/>
      <c r="AF832" s="2880"/>
      <c r="AG832" s="2880"/>
      <c r="AH832" s="2880"/>
      <c r="AI832" s="2880"/>
      <c r="AJ832" s="2880"/>
      <c r="AK832" s="2880"/>
      <c r="AL832" s="2880"/>
      <c r="AM832" s="2880"/>
      <c r="AN832" s="2880"/>
      <c r="AO832" s="2880"/>
      <c r="AU832" s="326" t="s">
        <v>13</v>
      </c>
      <c r="AV832" s="2349"/>
      <c r="AW832" s="2349"/>
      <c r="AX832" s="621"/>
    </row>
    <row r="833" spans="1:64" ht="12.75" customHeight="1" x14ac:dyDescent="0.2">
      <c r="A833" s="227">
        <v>833</v>
      </c>
      <c r="B833" s="5988"/>
      <c r="C833" s="1146"/>
      <c r="D833" s="2629" t="str">
        <f t="shared" ca="1" si="214"/>
        <v/>
      </c>
      <c r="E833" s="2628" t="e">
        <f t="shared" ca="1" si="215"/>
        <v>#N/A</v>
      </c>
      <c r="F833" s="2628">
        <v>20</v>
      </c>
      <c r="G833" s="2628">
        <v>0</v>
      </c>
      <c r="H833" s="2628">
        <v>0</v>
      </c>
      <c r="I833" s="2628" t="str">
        <f t="shared" ca="1" si="216"/>
        <v>-</v>
      </c>
      <c r="J833" s="2628" t="str">
        <f t="shared" si="218"/>
        <v>-</v>
      </c>
      <c r="K833" s="2878" t="s">
        <v>7282</v>
      </c>
      <c r="L833" s="2635" t="s">
        <v>1208</v>
      </c>
      <c r="M833" s="2634">
        <f t="shared" si="219"/>
        <v>4</v>
      </c>
      <c r="N833" s="2634" t="e">
        <f t="shared" ca="1" si="217"/>
        <v>#N/A</v>
      </c>
      <c r="O833" s="2634"/>
      <c r="P833" s="2628"/>
      <c r="Q833" s="2628"/>
      <c r="R833" s="2628"/>
      <c r="S833" s="2628"/>
      <c r="T833" s="2628" t="s">
        <v>1456</v>
      </c>
      <c r="U833" s="2628">
        <f t="shared" si="197"/>
        <v>0</v>
      </c>
      <c r="V833" s="2878" t="s">
        <v>2151</v>
      </c>
      <c r="W833" s="2626"/>
      <c r="X833" s="2882" t="str">
        <f t="shared" si="220"/>
        <v>Mediana</v>
      </c>
      <c r="Y833" s="1149">
        <f t="shared" si="198"/>
        <v>0</v>
      </c>
      <c r="Z833" s="2883"/>
      <c r="AA833" s="2880"/>
      <c r="AB833" s="2880"/>
      <c r="AC833" s="2880"/>
      <c r="AD833" s="2880"/>
      <c r="AE833" s="2880"/>
      <c r="AF833" s="2880"/>
      <c r="AG833" s="2880"/>
      <c r="AH833" s="2880"/>
      <c r="AI833" s="2880"/>
      <c r="AJ833" s="2880"/>
      <c r="AK833" s="2880"/>
      <c r="AL833" s="2880"/>
      <c r="AM833" s="2880"/>
      <c r="AN833" s="2880"/>
      <c r="AO833" s="2880"/>
      <c r="AU833" s="326" t="s">
        <v>9954</v>
      </c>
      <c r="AV833" s="2349"/>
      <c r="AW833" s="2349"/>
      <c r="AX833" s="621"/>
    </row>
    <row r="834" spans="1:64" ht="12.75" customHeight="1" x14ac:dyDescent="0.2">
      <c r="A834" s="227">
        <v>834</v>
      </c>
      <c r="B834" s="5988"/>
      <c r="C834" s="1146"/>
      <c r="D834" s="2629" t="str">
        <f t="shared" ca="1" si="214"/>
        <v/>
      </c>
      <c r="E834" s="2628" t="e">
        <f t="shared" ca="1" si="215"/>
        <v>#N/A</v>
      </c>
      <c r="F834" s="2628">
        <v>20</v>
      </c>
      <c r="G834" s="2628">
        <v>0</v>
      </c>
      <c r="H834" s="2628">
        <v>0</v>
      </c>
      <c r="I834" s="2628" t="str">
        <f t="shared" ca="1" si="216"/>
        <v>-</v>
      </c>
      <c r="J834" s="2628" t="str">
        <f t="shared" si="218"/>
        <v>-</v>
      </c>
      <c r="K834" s="2878" t="s">
        <v>7282</v>
      </c>
      <c r="L834" s="2635" t="s">
        <v>1208</v>
      </c>
      <c r="M834" s="2634">
        <f t="shared" si="219"/>
        <v>4</v>
      </c>
      <c r="N834" s="2634" t="e">
        <f t="shared" ca="1" si="217"/>
        <v>#N/A</v>
      </c>
      <c r="O834" s="2634"/>
      <c r="P834" s="2628"/>
      <c r="Q834" s="2628"/>
      <c r="R834" s="2628"/>
      <c r="S834" s="2628"/>
      <c r="T834" s="2628" t="s">
        <v>1456</v>
      </c>
      <c r="U834" s="2628">
        <f t="shared" si="197"/>
        <v>0</v>
      </c>
      <c r="V834" s="2878" t="s">
        <v>2151</v>
      </c>
      <c r="W834" s="2626"/>
      <c r="X834" s="2882" t="str">
        <f t="shared" si="220"/>
        <v>Mediana</v>
      </c>
      <c r="Y834" s="1149">
        <f t="shared" si="198"/>
        <v>0</v>
      </c>
      <c r="Z834" s="2883"/>
      <c r="AA834" s="2880"/>
      <c r="AB834" s="2880"/>
      <c r="AC834" s="2880"/>
      <c r="AD834" s="2880"/>
      <c r="AE834" s="2880"/>
      <c r="AF834" s="2880"/>
      <c r="AG834" s="2880"/>
      <c r="AH834" s="2880"/>
      <c r="AI834" s="2880"/>
      <c r="AJ834" s="2880"/>
      <c r="AK834" s="2880"/>
      <c r="AL834" s="2880"/>
      <c r="AM834" s="2880"/>
      <c r="AN834" s="2880"/>
      <c r="AO834" s="2880"/>
      <c r="AU834" s="326" t="s">
        <v>1570</v>
      </c>
      <c r="AV834" s="2349"/>
      <c r="AW834" s="2349"/>
      <c r="AX834" s="621"/>
    </row>
    <row r="835" spans="1:64" ht="12.75" customHeight="1" x14ac:dyDescent="0.2">
      <c r="A835" s="227">
        <v>835</v>
      </c>
      <c r="B835" s="5988"/>
      <c r="C835" s="1146"/>
      <c r="D835" s="2629" t="str">
        <f t="shared" ca="1" si="214"/>
        <v/>
      </c>
      <c r="E835" s="2628" t="e">
        <f t="shared" ca="1" si="215"/>
        <v>#N/A</v>
      </c>
      <c r="F835" s="2628">
        <v>20</v>
      </c>
      <c r="G835" s="2628">
        <v>0</v>
      </c>
      <c r="H835" s="2628">
        <v>0</v>
      </c>
      <c r="I835" s="2628" t="str">
        <f t="shared" ca="1" si="216"/>
        <v>-</v>
      </c>
      <c r="J835" s="2628" t="str">
        <f t="shared" si="218"/>
        <v>-</v>
      </c>
      <c r="K835" s="2878" t="s">
        <v>7282</v>
      </c>
      <c r="L835" s="2635" t="s">
        <v>1208</v>
      </c>
      <c r="M835" s="2634">
        <f t="shared" si="219"/>
        <v>4</v>
      </c>
      <c r="N835" s="2634" t="e">
        <f t="shared" ca="1" si="217"/>
        <v>#N/A</v>
      </c>
      <c r="O835" s="2634"/>
      <c r="P835" s="2628"/>
      <c r="Q835" s="2628"/>
      <c r="R835" s="2628"/>
      <c r="S835" s="2628"/>
      <c r="T835" s="2628" t="s">
        <v>1456</v>
      </c>
      <c r="U835" s="2628">
        <f t="shared" si="197"/>
        <v>0</v>
      </c>
      <c r="V835" s="2878" t="s">
        <v>2151</v>
      </c>
      <c r="W835" s="2626"/>
      <c r="X835" s="2882" t="str">
        <f t="shared" si="220"/>
        <v>Mediana</v>
      </c>
      <c r="Y835" s="1149">
        <f t="shared" si="198"/>
        <v>0</v>
      </c>
      <c r="Z835" s="2883"/>
      <c r="AA835" s="2880"/>
      <c r="AB835" s="2880"/>
      <c r="AC835" s="2880"/>
      <c r="AD835" s="2880"/>
      <c r="AE835" s="2880"/>
      <c r="AF835" s="2880"/>
      <c r="AG835" s="2880"/>
      <c r="AH835" s="2880"/>
      <c r="AI835" s="2880"/>
      <c r="AJ835" s="2880"/>
      <c r="AK835" s="2880"/>
      <c r="AL835" s="2880"/>
      <c r="AM835" s="2880"/>
      <c r="AN835" s="2880"/>
      <c r="AO835" s="2880"/>
      <c r="AU835" s="326" t="s">
        <v>7347</v>
      </c>
      <c r="AV835" s="2349"/>
      <c r="AW835" s="2349"/>
      <c r="AX835" s="621"/>
    </row>
    <row r="836" spans="1:64" ht="12.75" customHeight="1" x14ac:dyDescent="0.2">
      <c r="A836" s="227">
        <v>836</v>
      </c>
      <c r="B836" s="5988"/>
      <c r="C836" s="1146"/>
      <c r="D836" s="2629" t="str">
        <f t="shared" ca="1" si="214"/>
        <v/>
      </c>
      <c r="E836" s="2628" t="e">
        <f t="shared" ca="1" si="215"/>
        <v>#N/A</v>
      </c>
      <c r="F836" s="2628">
        <v>20</v>
      </c>
      <c r="G836" s="2628">
        <v>0</v>
      </c>
      <c r="H836" s="2628">
        <v>0</v>
      </c>
      <c r="I836" s="2628" t="str">
        <f t="shared" ca="1" si="216"/>
        <v>-</v>
      </c>
      <c r="J836" s="2628" t="str">
        <f t="shared" si="218"/>
        <v>-</v>
      </c>
      <c r="K836" s="2878" t="s">
        <v>7282</v>
      </c>
      <c r="L836" s="2635" t="s">
        <v>1208</v>
      </c>
      <c r="M836" s="2634">
        <f t="shared" si="219"/>
        <v>4</v>
      </c>
      <c r="N836" s="2634" t="e">
        <f t="shared" ca="1" si="217"/>
        <v>#N/A</v>
      </c>
      <c r="O836" s="2634"/>
      <c r="P836" s="2628"/>
      <c r="Q836" s="2628"/>
      <c r="R836" s="2628"/>
      <c r="S836" s="2628"/>
      <c r="T836" s="2628" t="s">
        <v>1456</v>
      </c>
      <c r="U836" s="2628">
        <f t="shared" si="197"/>
        <v>0</v>
      </c>
      <c r="V836" s="2878" t="s">
        <v>2151</v>
      </c>
      <c r="W836" s="2626"/>
      <c r="X836" s="2882" t="str">
        <f t="shared" si="220"/>
        <v>Mediana</v>
      </c>
      <c r="Y836" s="1149">
        <f t="shared" si="198"/>
        <v>0</v>
      </c>
      <c r="Z836" s="2883"/>
      <c r="AA836" s="2880"/>
      <c r="AB836" s="2880"/>
      <c r="AC836" s="2880"/>
      <c r="AD836" s="2880"/>
      <c r="AE836" s="2880"/>
      <c r="AF836" s="2880"/>
      <c r="AG836" s="2880"/>
      <c r="AH836" s="2880"/>
      <c r="AI836" s="2880"/>
      <c r="AJ836" s="2880"/>
      <c r="AK836" s="2880"/>
      <c r="AL836" s="2880"/>
      <c r="AM836" s="2880"/>
      <c r="AN836" s="2880"/>
      <c r="AO836" s="2880"/>
      <c r="AU836" s="326" t="s">
        <v>7349</v>
      </c>
      <c r="AV836" s="2349"/>
      <c r="AW836" s="2349"/>
      <c r="AX836" s="621"/>
    </row>
    <row r="837" spans="1:64" ht="12.75" customHeight="1" thickBot="1" x14ac:dyDescent="0.25">
      <c r="A837" s="227">
        <v>837</v>
      </c>
      <c r="B837" s="5988"/>
      <c r="C837" s="1146"/>
      <c r="D837" s="2629" t="str">
        <f t="shared" ca="1" si="214"/>
        <v/>
      </c>
      <c r="E837" s="2628" t="e">
        <f t="shared" ca="1" si="215"/>
        <v>#N/A</v>
      </c>
      <c r="F837" s="2628">
        <v>20</v>
      </c>
      <c r="G837" s="2628">
        <v>0</v>
      </c>
      <c r="H837" s="2628">
        <v>0</v>
      </c>
      <c r="I837" s="2628" t="str">
        <f t="shared" ca="1" si="216"/>
        <v>-</v>
      </c>
      <c r="J837" s="2628" t="str">
        <f t="shared" si="218"/>
        <v>-</v>
      </c>
      <c r="K837" s="2878" t="s">
        <v>7282</v>
      </c>
      <c r="L837" s="2635" t="s">
        <v>1208</v>
      </c>
      <c r="M837" s="2634">
        <f t="shared" si="219"/>
        <v>4</v>
      </c>
      <c r="N837" s="2634" t="e">
        <f t="shared" ca="1" si="217"/>
        <v>#N/A</v>
      </c>
      <c r="O837" s="2634"/>
      <c r="P837" s="2628"/>
      <c r="Q837" s="2628"/>
      <c r="R837" s="2628"/>
      <c r="S837" s="2628"/>
      <c r="T837" s="2628" t="s">
        <v>1456</v>
      </c>
      <c r="U837" s="2628">
        <f t="shared" si="197"/>
        <v>0</v>
      </c>
      <c r="V837" s="2878" t="s">
        <v>2151</v>
      </c>
      <c r="W837" s="2626"/>
      <c r="X837" s="2882" t="str">
        <f t="shared" si="220"/>
        <v>Mediana</v>
      </c>
      <c r="Y837" s="1149">
        <f t="shared" si="198"/>
        <v>0</v>
      </c>
      <c r="Z837" s="2883"/>
      <c r="AA837" s="2880"/>
      <c r="AB837" s="2880"/>
      <c r="AC837" s="2880"/>
      <c r="AD837" s="2880"/>
      <c r="AE837" s="2880"/>
      <c r="AF837" s="2880"/>
      <c r="AG837" s="2880"/>
      <c r="AH837" s="2880"/>
      <c r="AI837" s="2880"/>
      <c r="AJ837" s="2880"/>
      <c r="AK837" s="2880"/>
      <c r="AL837" s="2880"/>
      <c r="AM837" s="2880"/>
      <c r="AN837" s="2880"/>
      <c r="AO837" s="2880"/>
      <c r="AU837" s="664" t="s">
        <v>7353</v>
      </c>
      <c r="AV837" s="328"/>
      <c r="AW837" s="328"/>
      <c r="AX837" s="622"/>
    </row>
    <row r="838" spans="1:64" ht="12.75" customHeight="1" x14ac:dyDescent="0.2">
      <c r="A838" s="227">
        <v>838</v>
      </c>
      <c r="B838" s="5988"/>
      <c r="C838" s="1146"/>
      <c r="D838" s="2629" t="str">
        <f t="shared" ca="1" si="214"/>
        <v/>
      </c>
      <c r="E838" s="2628" t="e">
        <f t="shared" ca="1" si="215"/>
        <v>#N/A</v>
      </c>
      <c r="F838" s="2628">
        <v>20</v>
      </c>
      <c r="G838" s="2628">
        <v>0</v>
      </c>
      <c r="H838" s="2628">
        <v>0</v>
      </c>
      <c r="I838" s="2628" t="str">
        <f t="shared" ca="1" si="216"/>
        <v>-</v>
      </c>
      <c r="J838" s="2628" t="str">
        <f t="shared" si="218"/>
        <v>-</v>
      </c>
      <c r="K838" s="2878" t="s">
        <v>7282</v>
      </c>
      <c r="L838" s="2635" t="s">
        <v>1208</v>
      </c>
      <c r="M838" s="2634">
        <f t="shared" si="219"/>
        <v>4</v>
      </c>
      <c r="N838" s="2634" t="e">
        <f t="shared" ca="1" si="217"/>
        <v>#N/A</v>
      </c>
      <c r="O838" s="2634"/>
      <c r="P838" s="2628"/>
      <c r="Q838" s="2628"/>
      <c r="R838" s="2628"/>
      <c r="S838" s="2628"/>
      <c r="T838" s="2628" t="s">
        <v>1456</v>
      </c>
      <c r="U838" s="2628">
        <f t="shared" si="197"/>
        <v>0</v>
      </c>
      <c r="V838" s="2878" t="s">
        <v>2151</v>
      </c>
      <c r="W838" s="2626"/>
      <c r="X838" s="2882" t="str">
        <f t="shared" si="220"/>
        <v>Mediana</v>
      </c>
      <c r="Y838" s="1149">
        <f t="shared" si="198"/>
        <v>0</v>
      </c>
      <c r="Z838" s="2883"/>
      <c r="AA838" s="2880"/>
      <c r="AB838" s="2880"/>
      <c r="AC838" s="2880"/>
      <c r="AD838" s="2880"/>
      <c r="AE838" s="2880"/>
      <c r="AF838" s="2880"/>
      <c r="AG838" s="2880"/>
      <c r="AH838" s="2880"/>
      <c r="AI838" s="2880"/>
      <c r="AJ838" s="2880"/>
      <c r="AK838" s="2880"/>
      <c r="AL838" s="2880"/>
      <c r="AM838" s="2880"/>
      <c r="AN838" s="2880"/>
      <c r="AO838" s="2880"/>
    </row>
    <row r="839" spans="1:64" ht="12.75" customHeight="1" x14ac:dyDescent="0.2">
      <c r="A839" s="227">
        <v>839</v>
      </c>
      <c r="B839" s="5988"/>
      <c r="C839" s="1146"/>
      <c r="D839" s="2629" t="str">
        <f t="shared" ca="1" si="214"/>
        <v/>
      </c>
      <c r="E839" s="2628" t="e">
        <f t="shared" ca="1" si="215"/>
        <v>#N/A</v>
      </c>
      <c r="F839" s="2628">
        <v>20</v>
      </c>
      <c r="G839" s="2628">
        <v>0</v>
      </c>
      <c r="H839" s="2628">
        <v>0</v>
      </c>
      <c r="I839" s="2628" t="str">
        <f t="shared" ca="1" si="216"/>
        <v>-</v>
      </c>
      <c r="J839" s="2628" t="str">
        <f t="shared" si="218"/>
        <v>-</v>
      </c>
      <c r="K839" s="2878" t="s">
        <v>7282</v>
      </c>
      <c r="L839" s="2635" t="s">
        <v>1208</v>
      </c>
      <c r="M839" s="2634">
        <f t="shared" si="219"/>
        <v>4</v>
      </c>
      <c r="N839" s="2634" t="e">
        <f t="shared" ca="1" si="217"/>
        <v>#N/A</v>
      </c>
      <c r="O839" s="2634"/>
      <c r="P839" s="2628"/>
      <c r="Q839" s="2628"/>
      <c r="R839" s="2628"/>
      <c r="S839" s="2628"/>
      <c r="T839" s="2628" t="s">
        <v>1456</v>
      </c>
      <c r="U839" s="2628">
        <f t="shared" si="197"/>
        <v>0</v>
      </c>
      <c r="V839" s="2878" t="s">
        <v>2151</v>
      </c>
      <c r="W839" s="2626"/>
      <c r="X839" s="2882" t="str">
        <f t="shared" si="220"/>
        <v>Mediana</v>
      </c>
      <c r="Y839" s="1149">
        <f t="shared" si="198"/>
        <v>0</v>
      </c>
      <c r="Z839" s="2883"/>
      <c r="AA839" s="2880"/>
      <c r="AB839" s="2880"/>
      <c r="AC839" s="2880"/>
      <c r="AD839" s="2880"/>
      <c r="AE839" s="2880"/>
      <c r="AF839" s="2880"/>
      <c r="AG839" s="2880"/>
      <c r="AH839" s="2880"/>
      <c r="AI839" s="2880"/>
      <c r="AJ839" s="2880"/>
      <c r="AK839" s="2880"/>
      <c r="AL839" s="2880"/>
      <c r="AM839" s="2880"/>
      <c r="AN839" s="2880"/>
      <c r="AO839" s="2880"/>
    </row>
    <row r="840" spans="1:64" ht="12.75" customHeight="1" thickBot="1" x14ac:dyDescent="0.25">
      <c r="A840" s="227">
        <v>840</v>
      </c>
      <c r="B840" s="5988"/>
      <c r="C840" s="1150"/>
      <c r="D840" s="1151" t="str">
        <f t="shared" ca="1" si="214"/>
        <v/>
      </c>
      <c r="E840" s="1152" t="e">
        <f t="shared" ca="1" si="215"/>
        <v>#N/A</v>
      </c>
      <c r="F840" s="1152">
        <v>20</v>
      </c>
      <c r="G840" s="1152">
        <v>0</v>
      </c>
      <c r="H840" s="1152">
        <v>0</v>
      </c>
      <c r="I840" s="1152" t="str">
        <f t="shared" ca="1" si="216"/>
        <v>-</v>
      </c>
      <c r="J840" s="1152" t="str">
        <f t="shared" si="218"/>
        <v>-</v>
      </c>
      <c r="K840" s="1065" t="s">
        <v>7282</v>
      </c>
      <c r="L840" s="1153" t="s">
        <v>1208</v>
      </c>
      <c r="M840" s="1154">
        <f t="shared" si="219"/>
        <v>4</v>
      </c>
      <c r="N840" s="1154" t="e">
        <f t="shared" ca="1" si="217"/>
        <v>#N/A</v>
      </c>
      <c r="O840" s="1154"/>
      <c r="P840" s="1152"/>
      <c r="Q840" s="1152"/>
      <c r="R840" s="1152"/>
      <c r="S840" s="1152"/>
      <c r="T840" s="1152" t="s">
        <v>1456</v>
      </c>
      <c r="U840" s="1152">
        <f t="shared" si="197"/>
        <v>0</v>
      </c>
      <c r="V840" s="1065" t="s">
        <v>2151</v>
      </c>
      <c r="W840" s="1155"/>
      <c r="X840" s="2681" t="str">
        <f t="shared" si="220"/>
        <v>Mediana</v>
      </c>
      <c r="Y840" s="2642">
        <f t="shared" si="198"/>
        <v>0</v>
      </c>
      <c r="Z840" s="2884"/>
      <c r="AA840" s="2880"/>
      <c r="AB840" s="2880"/>
      <c r="AC840" s="2880"/>
      <c r="AD840" s="2880"/>
      <c r="AE840" s="2880"/>
      <c r="AF840" s="2880"/>
      <c r="AG840" s="2880"/>
      <c r="AH840" s="2880"/>
      <c r="AI840" s="2880"/>
      <c r="AJ840" s="2880"/>
      <c r="AK840" s="2880"/>
      <c r="AL840" s="2880"/>
      <c r="AM840" s="2880"/>
      <c r="AN840" s="2880"/>
      <c r="AO840" s="2880"/>
    </row>
    <row r="841" spans="1:64" ht="12.75" customHeight="1" x14ac:dyDescent="0.2">
      <c r="A841" s="227">
        <v>841</v>
      </c>
      <c r="B841" s="5988"/>
      <c r="H841"/>
      <c r="I841" s="559"/>
      <c r="N841"/>
      <c r="O841" s="559"/>
    </row>
    <row r="842" spans="1:64" ht="12.75" customHeight="1" x14ac:dyDescent="0.2">
      <c r="A842" s="227">
        <v>842</v>
      </c>
      <c r="B842" s="5988"/>
      <c r="C842" s="6003" t="s">
        <v>7313</v>
      </c>
      <c r="D842" s="6003"/>
      <c r="E842" s="6003"/>
      <c r="F842" s="6003"/>
      <c r="G842" s="6003"/>
      <c r="H842" s="6003"/>
      <c r="I842" s="6003"/>
      <c r="J842" s="6003"/>
      <c r="K842" s="6003"/>
      <c r="L842" s="6003"/>
      <c r="M842" s="6003"/>
      <c r="N842" s="6003"/>
      <c r="O842" s="6003"/>
      <c r="P842" s="6003"/>
      <c r="Q842" s="6003"/>
      <c r="R842" s="6003"/>
      <c r="S842" s="6003"/>
      <c r="T842" s="6003"/>
      <c r="U842" s="6003"/>
      <c r="V842" s="6003"/>
      <c r="W842" s="6003"/>
      <c r="X842" s="6003"/>
      <c r="Y842" s="6003"/>
      <c r="Z842" s="6003"/>
      <c r="AA842" s="6003"/>
      <c r="AB842" s="6003"/>
      <c r="AC842" s="6003"/>
      <c r="AD842" s="6003"/>
      <c r="AE842" s="6003"/>
      <c r="AF842" s="6003"/>
      <c r="AG842" s="6003"/>
      <c r="AH842" s="6003"/>
      <c r="AI842" s="6003"/>
      <c r="AJ842" s="6003"/>
      <c r="AK842" s="6003"/>
      <c r="AL842" s="6003"/>
      <c r="AM842" s="6003"/>
      <c r="AN842" s="6003"/>
      <c r="AO842" s="6003"/>
      <c r="AP842" s="6003"/>
      <c r="AQ842" s="6003"/>
      <c r="AR842" s="6003"/>
      <c r="AS842" s="6003"/>
      <c r="AT842" s="6003"/>
      <c r="AU842" s="6003"/>
      <c r="AV842" s="6003"/>
      <c r="AW842" s="6003"/>
      <c r="AX842" s="6003"/>
      <c r="AY842" s="6003"/>
      <c r="AZ842" s="6003"/>
      <c r="BA842" s="6003"/>
      <c r="BB842" s="6003"/>
      <c r="BC842" s="6003"/>
      <c r="BD842" s="6003"/>
      <c r="BE842" s="6003"/>
      <c r="BF842" s="6003"/>
      <c r="BG842" s="6003"/>
      <c r="BH842" s="6003"/>
      <c r="BI842" s="6003"/>
      <c r="BJ842" s="6003"/>
      <c r="BK842" s="6003"/>
      <c r="BL842" s="6003"/>
    </row>
    <row r="843" spans="1:64" ht="12.75" customHeight="1" x14ac:dyDescent="0.2">
      <c r="A843" s="227">
        <v>843</v>
      </c>
      <c r="B843" s="5988"/>
      <c r="C843" s="6003"/>
      <c r="D843" s="6003"/>
      <c r="E843" s="6003"/>
      <c r="F843" s="6003"/>
      <c r="G843" s="6003"/>
      <c r="H843" s="6003"/>
      <c r="I843" s="6003"/>
      <c r="J843" s="6003"/>
      <c r="K843" s="6003"/>
      <c r="L843" s="6003"/>
      <c r="M843" s="6003"/>
      <c r="N843" s="6003"/>
      <c r="O843" s="6003"/>
      <c r="P843" s="6003"/>
      <c r="Q843" s="6003"/>
      <c r="R843" s="6003"/>
      <c r="S843" s="6003"/>
      <c r="T843" s="6003"/>
      <c r="U843" s="6003"/>
      <c r="V843" s="6003"/>
      <c r="W843" s="6003"/>
      <c r="X843" s="6003"/>
      <c r="Y843" s="6003"/>
      <c r="Z843" s="6003"/>
      <c r="AA843" s="6003"/>
      <c r="AB843" s="6003"/>
      <c r="AC843" s="6003"/>
      <c r="AD843" s="6003"/>
      <c r="AE843" s="6003"/>
      <c r="AF843" s="6003"/>
      <c r="AG843" s="6003"/>
      <c r="AH843" s="6003"/>
      <c r="AI843" s="6003"/>
      <c r="AJ843" s="6003"/>
      <c r="AK843" s="6003"/>
      <c r="AL843" s="6003"/>
      <c r="AM843" s="6003"/>
      <c r="AN843" s="6003"/>
      <c r="AO843" s="6003"/>
      <c r="AP843" s="6003"/>
      <c r="AQ843" s="6003"/>
      <c r="AR843" s="6003"/>
      <c r="AS843" s="6003"/>
      <c r="AT843" s="6003"/>
      <c r="AU843" s="6003"/>
      <c r="AV843" s="6003"/>
      <c r="AW843" s="6003"/>
      <c r="AX843" s="6003"/>
      <c r="AY843" s="6003"/>
      <c r="AZ843" s="6003"/>
      <c r="BA843" s="6003"/>
      <c r="BB843" s="6003"/>
      <c r="BC843" s="6003"/>
      <c r="BD843" s="6003"/>
      <c r="BE843" s="6003"/>
      <c r="BF843" s="6003"/>
      <c r="BG843" s="6003"/>
      <c r="BH843" s="6003"/>
      <c r="BI843" s="6003"/>
      <c r="BJ843" s="6003"/>
      <c r="BK843" s="6003"/>
      <c r="BL843" s="6003"/>
    </row>
    <row r="844" spans="1:64" ht="12.75" customHeight="1" x14ac:dyDescent="0.2">
      <c r="A844" s="227">
        <v>844</v>
      </c>
      <c r="B844" s="5988"/>
      <c r="C844" s="6003"/>
      <c r="D844" s="6003"/>
      <c r="E844" s="6003"/>
      <c r="F844" s="6003"/>
      <c r="G844" s="6003"/>
      <c r="H844" s="6003"/>
      <c r="I844" s="6003"/>
      <c r="J844" s="6003"/>
      <c r="K844" s="6003"/>
      <c r="L844" s="6003"/>
      <c r="M844" s="6003"/>
      <c r="N844" s="6003"/>
      <c r="O844" s="6003"/>
      <c r="P844" s="6003"/>
      <c r="Q844" s="6003"/>
      <c r="R844" s="6003"/>
      <c r="S844" s="6003"/>
      <c r="T844" s="6003"/>
      <c r="U844" s="6003"/>
      <c r="V844" s="6003"/>
      <c r="W844" s="6003"/>
      <c r="X844" s="6003"/>
      <c r="Y844" s="6003"/>
      <c r="Z844" s="6003"/>
      <c r="AA844" s="6003"/>
      <c r="AB844" s="6003"/>
      <c r="AC844" s="6003"/>
      <c r="AD844" s="6003"/>
      <c r="AE844" s="6003"/>
      <c r="AF844" s="6003"/>
      <c r="AG844" s="6003"/>
      <c r="AH844" s="6003"/>
      <c r="AI844" s="6003"/>
      <c r="AJ844" s="6003"/>
      <c r="AK844" s="6003"/>
      <c r="AL844" s="6003"/>
      <c r="AM844" s="6003"/>
      <c r="AN844" s="6003"/>
      <c r="AO844" s="6003"/>
      <c r="AP844" s="6003"/>
      <c r="AQ844" s="6003"/>
      <c r="AR844" s="6003"/>
      <c r="AS844" s="6003"/>
      <c r="AT844" s="6003"/>
      <c r="AU844" s="6003"/>
      <c r="AV844" s="6003"/>
      <c r="AW844" s="6003"/>
      <c r="AX844" s="6003"/>
      <c r="AY844" s="6003"/>
      <c r="AZ844" s="6003"/>
      <c r="BA844" s="6003"/>
      <c r="BB844" s="6003"/>
      <c r="BC844" s="6003"/>
      <c r="BD844" s="6003"/>
      <c r="BE844" s="6003"/>
      <c r="BF844" s="6003"/>
      <c r="BG844" s="6003"/>
      <c r="BH844" s="6003"/>
      <c r="BI844" s="6003"/>
      <c r="BJ844" s="6003"/>
      <c r="BK844" s="6003"/>
      <c r="BL844" s="6003"/>
    </row>
    <row r="845" spans="1:64" ht="12.75" customHeight="1" thickBot="1" x14ac:dyDescent="0.25">
      <c r="A845" s="227">
        <v>845</v>
      </c>
      <c r="B845" s="5988"/>
      <c r="C845" s="699"/>
      <c r="H845"/>
      <c r="N845"/>
    </row>
    <row r="846" spans="1:64" ht="12.75" customHeight="1" thickBot="1" x14ac:dyDescent="0.25">
      <c r="A846" s="227">
        <v>846</v>
      </c>
      <c r="B846" s="5988"/>
      <c r="C846" s="6219" t="s">
        <v>854</v>
      </c>
      <c r="D846" s="6220"/>
      <c r="E846" s="6220"/>
      <c r="F846" s="6220"/>
      <c r="G846" s="6220"/>
      <c r="H846" s="6220"/>
      <c r="I846" s="6220"/>
      <c r="J846" s="6220"/>
      <c r="K846" s="6220"/>
      <c r="L846" s="6220"/>
      <c r="M846" s="6220"/>
      <c r="N846" s="6220"/>
      <c r="O846" s="6220"/>
      <c r="P846" s="6220"/>
      <c r="Q846" s="6220"/>
      <c r="R846" s="6220"/>
      <c r="S846" s="6220"/>
      <c r="T846" s="6220"/>
      <c r="U846" s="6220"/>
      <c r="V846" s="6220"/>
      <c r="W846" s="6220"/>
      <c r="X846" s="6220"/>
      <c r="Y846" s="6220"/>
      <c r="Z846" s="6220"/>
      <c r="AA846" s="6220"/>
      <c r="AB846" s="6220"/>
      <c r="AC846" s="6221"/>
      <c r="AD846" s="2406"/>
      <c r="AE846" s="6204" t="s">
        <v>8745</v>
      </c>
      <c r="AF846" s="6205"/>
      <c r="AG846" s="6206"/>
      <c r="AI846" s="6204" t="s">
        <v>8757</v>
      </c>
      <c r="AJ846" s="6205"/>
      <c r="AK846" s="6205"/>
      <c r="AL846" s="6205"/>
      <c r="AM846" s="6205"/>
      <c r="AN846" s="6205"/>
      <c r="AO846" s="6205"/>
      <c r="AP846" s="6205"/>
      <c r="AQ846" s="6205"/>
      <c r="AR846" s="6205"/>
      <c r="AS846" s="6205"/>
      <c r="AT846" s="6205"/>
      <c r="AU846" s="6205"/>
      <c r="AV846" s="6205"/>
      <c r="AW846" s="6205"/>
      <c r="AX846" s="6205"/>
      <c r="AY846" s="6205"/>
      <c r="AZ846" s="6205"/>
      <c r="BA846" s="6205"/>
      <c r="BB846" s="6205"/>
      <c r="BC846" s="6205"/>
      <c r="BD846" s="6205"/>
      <c r="BE846" s="6205"/>
      <c r="BF846" s="6205"/>
      <c r="BG846" s="6205"/>
      <c r="BH846" s="6205"/>
      <c r="BI846" s="6205"/>
      <c r="BJ846" s="6205"/>
      <c r="BK846" s="6205"/>
      <c r="BL846" s="6206"/>
    </row>
    <row r="847" spans="1:64" ht="12.75" customHeight="1" thickBot="1" x14ac:dyDescent="0.25">
      <c r="A847" s="227">
        <v>847</v>
      </c>
      <c r="B847" s="5988"/>
      <c r="C847" s="6222"/>
      <c r="D847" s="6223"/>
      <c r="E847" s="6223"/>
      <c r="F847" s="6223"/>
      <c r="G847" s="6223"/>
      <c r="H847" s="6223"/>
      <c r="I847" s="6223"/>
      <c r="J847" s="6223"/>
      <c r="K847" s="6223"/>
      <c r="L847" s="6223"/>
      <c r="M847" s="6223"/>
      <c r="N847" s="6223"/>
      <c r="O847" s="6223"/>
      <c r="P847" s="6223"/>
      <c r="Q847" s="6223"/>
      <c r="R847" s="6223"/>
      <c r="S847" s="6223"/>
      <c r="T847" s="6223"/>
      <c r="U847" s="6223"/>
      <c r="V847" s="6223"/>
      <c r="W847" s="6223"/>
      <c r="X847" s="6223"/>
      <c r="Y847" s="6223"/>
      <c r="Z847" s="6223"/>
      <c r="AA847" s="6223"/>
      <c r="AB847" s="6223"/>
      <c r="AC847" s="6224"/>
      <c r="AD847" s="2406"/>
      <c r="AE847" s="1840" t="s">
        <v>6237</v>
      </c>
      <c r="AF847" s="1838" t="s">
        <v>2057</v>
      </c>
      <c r="AG847" s="1839" t="s">
        <v>8746</v>
      </c>
      <c r="AI847" s="6165" t="s">
        <v>8758</v>
      </c>
      <c r="AJ847" s="6166"/>
      <c r="AK847" s="6163" t="b">
        <f>Arma_Desarrollada="Desarmado"</f>
        <v>0</v>
      </c>
      <c r="AL847" s="6164"/>
      <c r="AM847" s="6239" t="str">
        <f>IF(Categoría_1="","",Categoría_1)</f>
        <v/>
      </c>
      <c r="AN847" s="6240"/>
      <c r="AO847" s="6240"/>
      <c r="AP847" s="6240"/>
      <c r="AQ847" s="6241"/>
      <c r="AR847" s="6165" t="str">
        <f>IF(Categoría_2="","",Categoría_2)</f>
        <v/>
      </c>
      <c r="AS847" s="6253"/>
      <c r="AT847" s="6253"/>
      <c r="AU847" s="6253"/>
      <c r="AV847" s="6166"/>
      <c r="AW847" s="6165" t="str">
        <f>IF(Categoría_3="","",Categoría_3)</f>
        <v/>
      </c>
      <c r="AX847" s="6253"/>
      <c r="AY847" s="6253"/>
      <c r="AZ847" s="6253"/>
      <c r="BA847" s="6166"/>
      <c r="BB847" s="6165" t="str">
        <f>IF(Categoría_4="","",Categoría_4)</f>
        <v/>
      </c>
      <c r="BC847" s="6253"/>
      <c r="BD847" s="6253"/>
      <c r="BE847" s="6253"/>
      <c r="BF847" s="6166"/>
      <c r="BG847" s="6165" t="str">
        <f>IF(Categoría_5="","",Categoría_5)</f>
        <v/>
      </c>
      <c r="BH847" s="6253"/>
      <c r="BI847" s="6253"/>
      <c r="BJ847" s="6253"/>
      <c r="BK847" s="6166"/>
      <c r="BL847" s="6245" t="s">
        <v>8759</v>
      </c>
    </row>
    <row r="848" spans="1:64" ht="12.75" customHeight="1" thickBot="1" x14ac:dyDescent="0.25">
      <c r="A848" s="227">
        <v>848</v>
      </c>
      <c r="B848" s="5988"/>
      <c r="C848" s="6198">
        <v>1</v>
      </c>
      <c r="D848" s="6199"/>
      <c r="E848" s="2414">
        <v>2</v>
      </c>
      <c r="F848" s="2414">
        <v>3</v>
      </c>
      <c r="G848" s="2414">
        <v>4</v>
      </c>
      <c r="H848" s="2414">
        <v>5</v>
      </c>
      <c r="I848" s="2414">
        <v>6</v>
      </c>
      <c r="J848" s="2414">
        <v>7</v>
      </c>
      <c r="K848" s="2414">
        <v>8</v>
      </c>
      <c r="L848" s="2414">
        <v>9</v>
      </c>
      <c r="M848" s="2414">
        <v>10</v>
      </c>
      <c r="N848" s="2414">
        <v>11</v>
      </c>
      <c r="O848" s="2414">
        <v>12</v>
      </c>
      <c r="P848" s="2414">
        <v>13</v>
      </c>
      <c r="Q848" s="2414">
        <v>14</v>
      </c>
      <c r="R848" s="2414">
        <v>15</v>
      </c>
      <c r="S848" s="2414">
        <v>16</v>
      </c>
      <c r="T848" s="2414">
        <v>17</v>
      </c>
      <c r="U848" s="2414">
        <v>18</v>
      </c>
      <c r="V848" s="2414">
        <v>19</v>
      </c>
      <c r="W848" s="2414">
        <v>20</v>
      </c>
      <c r="X848" s="2414">
        <v>21</v>
      </c>
      <c r="Y848" s="2414">
        <v>22</v>
      </c>
      <c r="Z848" s="2414">
        <v>23</v>
      </c>
      <c r="AA848" s="6249" t="s">
        <v>8763</v>
      </c>
      <c r="AB848" s="6249"/>
      <c r="AC848" s="6250"/>
      <c r="AE848" s="1841" t="s">
        <v>8747</v>
      </c>
      <c r="AF848" s="304">
        <v>10</v>
      </c>
      <c r="AG848" s="931">
        <v>20</v>
      </c>
      <c r="AI848" s="6266" t="s">
        <v>8764</v>
      </c>
      <c r="AJ848" s="6267"/>
      <c r="AK848" s="6264" t="b">
        <f>OR(Categoría_2&lt;&gt;"",Categoría_3&lt;&gt;"",Categoría_4&lt;&gt;"",Categoría_5&lt;&gt;"")</f>
        <v>0</v>
      </c>
      <c r="AL848" s="6265"/>
      <c r="AM848" s="1828"/>
      <c r="AN848" s="1829">
        <v>1</v>
      </c>
      <c r="AO848" s="1829">
        <v>2</v>
      </c>
      <c r="AP848" s="1829">
        <v>3</v>
      </c>
      <c r="AQ848" s="1830"/>
      <c r="AR848" s="1831"/>
      <c r="AS848" s="1829">
        <v>1</v>
      </c>
      <c r="AT848" s="1829">
        <v>2</v>
      </c>
      <c r="AU848" s="1829">
        <v>3</v>
      </c>
      <c r="AV848" s="1830"/>
      <c r="AW848" s="1831"/>
      <c r="AX848" s="1829">
        <v>1</v>
      </c>
      <c r="AY848" s="1829">
        <v>2</v>
      </c>
      <c r="AZ848" s="1829">
        <v>3</v>
      </c>
      <c r="BA848" s="1830"/>
      <c r="BB848" s="1831"/>
      <c r="BC848" s="1829">
        <v>1</v>
      </c>
      <c r="BD848" s="1829">
        <v>2</v>
      </c>
      <c r="BE848" s="1829">
        <v>3</v>
      </c>
      <c r="BF848" s="1830"/>
      <c r="BG848" s="1832"/>
      <c r="BH848" s="1829">
        <v>1</v>
      </c>
      <c r="BI848" s="1829">
        <v>2</v>
      </c>
      <c r="BJ848" s="1829">
        <v>3</v>
      </c>
      <c r="BK848" s="1833"/>
      <c r="BL848" s="6246"/>
    </row>
    <row r="849" spans="1:64" ht="12.75" customHeight="1" thickBot="1" x14ac:dyDescent="0.25">
      <c r="A849" s="227">
        <v>849</v>
      </c>
      <c r="B849" s="5988"/>
      <c r="C849" s="6130" t="s">
        <v>855</v>
      </c>
      <c r="D849" s="6131"/>
      <c r="E849" s="2415" t="s">
        <v>856</v>
      </c>
      <c r="F849" s="2415" t="s">
        <v>857</v>
      </c>
      <c r="G849" s="2415" t="s">
        <v>8771</v>
      </c>
      <c r="H849" s="2415" t="s">
        <v>858</v>
      </c>
      <c r="I849" s="2415" t="s">
        <v>7194</v>
      </c>
      <c r="J849" s="2415" t="s">
        <v>7195</v>
      </c>
      <c r="K849" s="2415" t="s">
        <v>859</v>
      </c>
      <c r="L849" s="2424" t="s">
        <v>9993</v>
      </c>
      <c r="M849" s="2424" t="s">
        <v>9994</v>
      </c>
      <c r="N849" s="6248" t="s">
        <v>1477</v>
      </c>
      <c r="O849" s="6248"/>
      <c r="P849" s="6248"/>
      <c r="Q849" s="6248"/>
      <c r="R849" s="6248"/>
      <c r="S849" s="2415" t="s">
        <v>8766</v>
      </c>
      <c r="T849" s="2415" t="s">
        <v>861</v>
      </c>
      <c r="U849" s="2415" t="s">
        <v>861</v>
      </c>
      <c r="V849" s="2415" t="s">
        <v>862</v>
      </c>
      <c r="W849" s="2415" t="s">
        <v>863</v>
      </c>
      <c r="X849" s="2415" t="s">
        <v>864</v>
      </c>
      <c r="Y849" s="2415" t="s">
        <v>2252</v>
      </c>
      <c r="Z849" s="2415" t="s">
        <v>860</v>
      </c>
      <c r="AA849" s="2416" t="s">
        <v>7229</v>
      </c>
      <c r="AB849" s="2416" t="s">
        <v>7230</v>
      </c>
      <c r="AC849" s="1254" t="s">
        <v>7231</v>
      </c>
      <c r="AE849" s="1841" t="s">
        <v>8748</v>
      </c>
      <c r="AF849" s="304">
        <v>10</v>
      </c>
      <c r="AG849" s="931">
        <v>30</v>
      </c>
      <c r="AI849" s="1834" t="s">
        <v>8760</v>
      </c>
      <c r="AJ849" s="1835" t="s">
        <v>6237</v>
      </c>
      <c r="AK849" s="1835" t="s">
        <v>1399</v>
      </c>
      <c r="AL849" s="1836" t="s">
        <v>8761</v>
      </c>
      <c r="AM849" s="1834" t="s">
        <v>8558</v>
      </c>
      <c r="AN849" s="1835" t="s">
        <v>1490</v>
      </c>
      <c r="AO849" s="1835" t="s">
        <v>1490</v>
      </c>
      <c r="AP849" s="1835" t="s">
        <v>1490</v>
      </c>
      <c r="AQ849" s="1836" t="s">
        <v>8762</v>
      </c>
      <c r="AR849" s="1834" t="s">
        <v>8558</v>
      </c>
      <c r="AS849" s="1835" t="s">
        <v>1490</v>
      </c>
      <c r="AT849" s="1835" t="s">
        <v>1490</v>
      </c>
      <c r="AU849" s="1835" t="s">
        <v>1490</v>
      </c>
      <c r="AV849" s="1836" t="s">
        <v>8762</v>
      </c>
      <c r="AW849" s="1834" t="s">
        <v>8558</v>
      </c>
      <c r="AX849" s="1835" t="s">
        <v>1490</v>
      </c>
      <c r="AY849" s="1835" t="s">
        <v>1490</v>
      </c>
      <c r="AZ849" s="1835" t="s">
        <v>1490</v>
      </c>
      <c r="BA849" s="1836" t="s">
        <v>8762</v>
      </c>
      <c r="BB849" s="1834" t="s">
        <v>8558</v>
      </c>
      <c r="BC849" s="1835" t="s">
        <v>1490</v>
      </c>
      <c r="BD849" s="1835" t="s">
        <v>1490</v>
      </c>
      <c r="BE849" s="1835" t="s">
        <v>1490</v>
      </c>
      <c r="BF849" s="1836" t="s">
        <v>8762</v>
      </c>
      <c r="BG849" s="1834" t="s">
        <v>8558</v>
      </c>
      <c r="BH849" s="1835" t="s">
        <v>1490</v>
      </c>
      <c r="BI849" s="1835" t="s">
        <v>1490</v>
      </c>
      <c r="BJ849" s="1835" t="s">
        <v>1490</v>
      </c>
      <c r="BK849" s="1836" t="s">
        <v>8762</v>
      </c>
      <c r="BL849" s="6247"/>
    </row>
    <row r="850" spans="1:64" ht="12.75" customHeight="1" x14ac:dyDescent="0.2">
      <c r="A850" s="227">
        <v>850</v>
      </c>
      <c r="B850" s="5988"/>
      <c r="C850" s="489"/>
      <c r="D850" s="2417" t="s">
        <v>865</v>
      </c>
      <c r="E850" s="2418"/>
      <c r="F850" s="2418"/>
      <c r="G850" s="2418"/>
      <c r="H850" s="2418"/>
      <c r="I850" s="2418"/>
      <c r="J850" s="2418"/>
      <c r="K850" s="2418"/>
      <c r="L850" s="2418"/>
      <c r="M850" s="2423"/>
      <c r="N850" s="2423" t="s">
        <v>1456</v>
      </c>
      <c r="O850" s="2423"/>
      <c r="P850" s="2423"/>
      <c r="Q850" s="2423"/>
      <c r="R850" s="2423"/>
      <c r="S850" s="2419">
        <f t="shared" ref="S850:S881" si="221">LEN(N850)</f>
        <v>1</v>
      </c>
      <c r="T850" s="2418"/>
      <c r="U850" s="2418"/>
      <c r="V850" s="2418"/>
      <c r="W850" s="2418"/>
      <c r="X850" s="2418">
        <f t="shared" ref="X850:X881" si="222">Y850*E850</f>
        <v>0</v>
      </c>
      <c r="Y850" s="2418"/>
      <c r="Z850" s="2418" t="s">
        <v>1456</v>
      </c>
      <c r="AA850" s="1025"/>
      <c r="AB850" s="2420"/>
      <c r="AC850" s="1265"/>
      <c r="AE850" s="1841" t="s">
        <v>8749</v>
      </c>
      <c r="AF850" s="304">
        <v>20</v>
      </c>
      <c r="AG850" s="931">
        <v>50</v>
      </c>
      <c r="AI850" s="2649" t="str">
        <f>IF(PDs!E59="","",PDs!E59)</f>
        <v/>
      </c>
      <c r="AJ850" s="2650" t="str">
        <f>IF(PDs!J59="","",PDs!J59)</f>
        <v/>
      </c>
      <c r="AK850" s="2650" t="str">
        <f t="shared" ref="AK850:AK868" si="223">IF(ISNUMBER(MATCH(AI850,$AE$855:$AE$873,0)),"Básica",IF(ISNUMBER(MATCH(AI850,$AE$874:$AE$891,0)),"Avanzada",""))</f>
        <v/>
      </c>
      <c r="AL850" s="2650" t="str">
        <f t="shared" ref="AL850:AL868" si="224">IF(AK850="Básica",MATCH(AJ850,Grado_AM_Básicas,0),IF(AK850="Avanzada",MATCH(AJ850,Grado_AM_Avanzadas,0),""))</f>
        <v/>
      </c>
      <c r="AM850" s="2651" t="str">
        <f>IFERROR("Tablas!"&amp;IF($AK$848,ADDRESS(ROW(),COLUMN(AN850)),ADDRESS(ROW(),COLUMN(INDEX(AN850:AP850,1,$AL850))))&amp;":"&amp;ADDRESS(ROW(),COLUMN(INDEX(AN850:AP850,1,$AL850))),"")</f>
        <v/>
      </c>
      <c r="AN850" s="2652">
        <f>IF(AM$847&lt;&gt;"",IF(AM$847="Tao",VLOOKUP($AK850&amp;AN$848,$AE$848:$AG$852,2,0)*IF($AK$847,0.5,1),VLOOKUP($AK850&amp;AN$848,$AE$848:$AG$852,3,0)*IF($AK$847,0.5,1)),0)</f>
        <v>0</v>
      </c>
      <c r="AO850" s="2652">
        <f>IF(AM$847&lt;&gt;"",AN850+IF(AM$847="Tao",VLOOKUP($AK850&amp;AO$848,$AE$848:$AG$852,2,0)*IF($AK$847,0.5,1),VLOOKUP($AK850&amp;AO$848,$AE$848:$AG$852,3,0)*IF($AK$847,0.5,1)),0)</f>
        <v>0</v>
      </c>
      <c r="AP850" s="2652">
        <f>IF(AM$847&lt;&gt;"",AO850+IF(AM$847="Tao",VLOOKUP($AK850&amp;AP$848,$AE$848:$AG$852,2,0)*IF($AK$847,0.5,1),VLOOKUP($AK850&amp;AP$848,$AE$848:$AG$852,3,0)*IF($AK$847,0.5,1)),0)</f>
        <v>0</v>
      </c>
      <c r="AQ850" s="2653">
        <f>IFERROR(MATCH(PDs!M59,AN850:AP850,0),0)</f>
        <v>1</v>
      </c>
      <c r="AR850" s="2651" t="str">
        <f>IFERROR(IF(AND(AQ850&lt;$AL850,AR$847&lt;&gt;""),"Tablas!"&amp;ADDRESS(ROW(),COLUMN(INDEX(AS850:AU850,1,AQ850+1)))&amp;":"&amp;ADDRESS(ROW(),COLUMN(INDEX(AS850:AU850,1,$AL850))),""),"")</f>
        <v/>
      </c>
      <c r="AS850" s="2652">
        <f>IF(AND(AR$847&lt;&gt;"",AS$848&gt;AQ850),IF(AR$847="Tao",VLOOKUP($AK850&amp;AS$848,$AE$848:$AG$852,2,0)*IF($AK$847,0.5,1),VLOOKUP($AK850&amp;AS$848,$AE$848:$AG$852,3,0)*IF($AK$847,0.5,1)),0)</f>
        <v>0</v>
      </c>
      <c r="AT850" s="2652">
        <f>IF(AND(AR$847&lt;&gt;"",AT$848&gt;AQ850),AS850+IF(AR$847="Tao",VLOOKUP($AK850&amp;AT$848,$AE$848:$AG$852,2,0)*IF($AK$847,0.5,1),VLOOKUP($AK850&amp;AT$848,$AE$848:$AG$852,3,0)*IF($AK$847,0.5,1)),0)</f>
        <v>0</v>
      </c>
      <c r="AU850" s="2652">
        <f>IF(AND(AR$847&lt;&gt;"",AU$848&gt;AQ850),AT850+IF(AR$847="Tao",VLOOKUP($AK850&amp;AU$848,$AE$848:$AG$852,2,0)*IF($AK$847,0.5,1),VLOOKUP($AK850&amp;AU$848,$AE$848:$AG$852,3,0)*IF($AK$847,0.5,1)),0)</f>
        <v>0</v>
      </c>
      <c r="AV850" s="2653">
        <f>IF(AR850="",AQ850,MAX(IFERROR(MATCH(PDs!O59,AS850:AU850,0),0),AQ850))</f>
        <v>1</v>
      </c>
      <c r="AW850" s="2651" t="str">
        <f>IFERROR(IF(AND(AV850&lt;$AL850,AW$847&lt;&gt;""),"Tablas!"&amp;ADDRESS(ROW(),COLUMN(INDEX(AX850:AZ850,1,AV850+1)))&amp;":"&amp;ADDRESS(ROW(),COLUMN(INDEX(AX850:AZ850,1,$AL850))),""),"")</f>
        <v/>
      </c>
      <c r="AX850" s="2652">
        <f>IF(AND(AW$847&lt;&gt;"",AX$848&gt;AV850),IF(AW$847="Tao",VLOOKUP($AK850&amp;AX$848,$AE$848:$AG$852,2,0)*IF($AK$847,0.5,1),VLOOKUP($AK850&amp;AX$848,$AE$848:$AG$852,3,0)*IF($AK$847,0.5,1)),0)</f>
        <v>0</v>
      </c>
      <c r="AY850" s="2652">
        <f>IF(AND(AW$847&lt;&gt;"",AY$848&gt;AV850),AX850+IF(AW$847="Tao",VLOOKUP($AK850&amp;AY$848,$AE$848:$AG$852,2,0)*IF($AK$847,0.5,1),VLOOKUP($AK850&amp;AY$848,$AE$848:$AG$852,3,0)*IF($AK$847,0.5,1)),0)</f>
        <v>0</v>
      </c>
      <c r="AZ850" s="2652">
        <f>IF(AND(AW$847&lt;&gt;"",AZ$848&gt;AV850),AY850+IF(AW$847="Tao",VLOOKUP($AK850&amp;AZ$848,$AE$848:$AG$852,2,0)*IF($AK$847,0.5,1),VLOOKUP($AK850&amp;AZ$848,$AE$848:$AG$852,3,0)*IF($AK$847,0.5,1)),0)</f>
        <v>0</v>
      </c>
      <c r="BA850" s="2653">
        <f>IF(AW850="",AV850,MAX(IFERROR(MATCH(PDs!Q59,AX850:AZ850,0),0),AV850))</f>
        <v>1</v>
      </c>
      <c r="BB850" s="2651" t="str">
        <f>IFERROR(IF(AND(BA850&lt;$AL850,BB$847&lt;&gt;""),"Tablas!"&amp;ADDRESS(ROW(),COLUMN(INDEX(BC850:BE850,1,BA850+1)))&amp;":"&amp;ADDRESS(ROW(),COLUMN(INDEX(BC850:BE850,1,$AL850))),""),"")</f>
        <v/>
      </c>
      <c r="BC850" s="2652">
        <f>IF(AND(BB$847&lt;&gt;"",BC$848&gt;BA850),IF(BB$847="Tao",VLOOKUP($AK850&amp;BC$848,$AE$848:$AG$852,2,0)*IF($AK$847,0.5,1),VLOOKUP($AK850&amp;BC$848,$AE$848:$AG$852,3,0)*IF($AK$847,0.5,1)),0)</f>
        <v>0</v>
      </c>
      <c r="BD850" s="2652">
        <f>IF(AND(BB$847&lt;&gt;"",BD$848&gt;BA850),BC850+IF(BB$847="Tao",VLOOKUP($AK850&amp;BD$848,$AE$848:$AG$852,2,0)*IF($AK$847,0.5,1),VLOOKUP($AK850&amp;BD$848,$AE$848:$AG$852,3,0)*IF($AK$847,0.5,1)),0)</f>
        <v>0</v>
      </c>
      <c r="BE850" s="2652">
        <f>IF(AND(BB$847&lt;&gt;"",BE$848&gt;BA850),BD850+IF(BB$847="Tao",VLOOKUP($AK850&amp;BE$848,$AE$848:$AG$852,2,0)*IF($AK$847,0.5,1),VLOOKUP($AK850&amp;BE$848,$AE$848:$AG$852,3,0)*IF($AK$847,0.5,1)),0)</f>
        <v>0</v>
      </c>
      <c r="BF850" s="2653">
        <f>IF(BB850="",BA850,MAX(IFERROR(MATCH(PDs!S59,BC850:BE850,0),0),BA850))</f>
        <v>1</v>
      </c>
      <c r="BG850" s="2651" t="str">
        <f>IFERROR(IF(AND(BF850&lt;$AL850,BG$847&lt;&gt;""),"Tablas!"&amp;ADDRESS(ROW(),COLUMN(INDEX(BH850:BJ850,1,BF850+1)))&amp;":"&amp;ADDRESS(ROW(),COLUMN(INDEX(BH850:BJ850,1,$AL850))),""),"")</f>
        <v/>
      </c>
      <c r="BH850" s="2652">
        <f>IF(AND(BG$847&lt;&gt;"",BH$848&gt;BF850),IF(BG$847="Tao",VLOOKUP($AK850&amp;BH$848,$AE$848:$AG$852,2,0)*IF($AK$847,0.5,1),VLOOKUP($AK850&amp;BH$848,$AE$848:$AG$852,3,0)*IF($AK$847,0.5,1)),0)</f>
        <v>0</v>
      </c>
      <c r="BI850" s="2652">
        <f>IF(AND(BG$847&lt;&gt;"",BI$848&gt;BF850),BH850+IF(BG$847="Tao",VLOOKUP($AK850&amp;BI$848,$AE$848:$AG$852,2,0)*IF($AK$847,0.5,1),VLOOKUP($AK850&amp;BI$848,$AE$848:$AG$852,3,0)*IF($AK$847,0.5,1)),0)</f>
        <v>0</v>
      </c>
      <c r="BJ850" s="2652">
        <f>IF(AND(BG$847&lt;&gt;"",BJ$848&gt;BF850),BI850+IF(BG$847="Tao",VLOOKUP($AK850&amp;BJ$848,$AE$848:$AG$852,2,0)*IF($AK$847,0.5,1),VLOOKUP($AK850&amp;BJ$848,$AE$848:$AG$852,3,0)*IF($AK$847,0.5,1)),0)</f>
        <v>0</v>
      </c>
      <c r="BK850" s="2653">
        <f>IF(BG850="",BF850,MAX(IFERROR(MATCH(PDs!U59,BH850:BJ850,0),0),BF850))</f>
        <v>1</v>
      </c>
      <c r="BL850" s="2654">
        <f>IF(BK850=AL850,1,0)</f>
        <v>0</v>
      </c>
    </row>
    <row r="851" spans="1:64" ht="12.75" customHeight="1" x14ac:dyDescent="0.2">
      <c r="A851" s="227">
        <v>851</v>
      </c>
      <c r="B851" s="5988"/>
      <c r="C851" s="489"/>
      <c r="D851" s="2421" t="s">
        <v>866</v>
      </c>
      <c r="E851" s="2418">
        <f>10+Bono_Fue</f>
        <v>10</v>
      </c>
      <c r="F851" s="2418"/>
      <c r="G851" s="2418">
        <v>0</v>
      </c>
      <c r="H851" s="2418"/>
      <c r="I851" s="2418"/>
      <c r="J851" s="2418"/>
      <c r="K851" s="2418"/>
      <c r="L851" s="2418"/>
      <c r="M851" s="2423"/>
      <c r="N851" s="2423" t="s">
        <v>867</v>
      </c>
      <c r="O851" s="2423"/>
      <c r="P851" s="2423"/>
      <c r="Q851" s="2423"/>
      <c r="R851" s="2423"/>
      <c r="S851" s="2419">
        <f t="shared" si="221"/>
        <v>45</v>
      </c>
      <c r="T851" s="2418"/>
      <c r="U851" s="2418"/>
      <c r="V851" s="2418"/>
      <c r="W851" s="2418"/>
      <c r="X851" s="2418">
        <f t="shared" si="222"/>
        <v>0</v>
      </c>
      <c r="Y851" s="2418">
        <f>IF(OR(Y852&gt;0,COUNTIF(PDs!$AD$59:$AD$77,Tablas!D851)&gt;0),1,0)</f>
        <v>0</v>
      </c>
      <c r="Z851" s="2418" t="str">
        <f>IF(T.Manos_final&lt;20,"NO","-")</f>
        <v>NO</v>
      </c>
      <c r="AA851" s="1025">
        <f>HA_final-PDs!$X$25+MIN(PDs!$X$25+H$940-H851,50)</f>
        <v>0</v>
      </c>
      <c r="AB851" s="2420">
        <f>HE_final-PDs!$X$27+MIN(PDs!$X$27+I$940-I851,50)</f>
        <v>0</v>
      </c>
      <c r="AC851" s="1265">
        <f>HP_final-PDs!$X$26+MIN(PDs!$X$26+J$940-J851,50)</f>
        <v>0</v>
      </c>
      <c r="AE851" s="1841" t="s">
        <v>8750</v>
      </c>
      <c r="AF851" s="304">
        <v>20</v>
      </c>
      <c r="AG851" s="931">
        <v>50</v>
      </c>
      <c r="AI851" s="1328" t="str">
        <f>IF(PDs!E60="","",PDs!E60)</f>
        <v/>
      </c>
      <c r="AJ851" s="758" t="str">
        <f>IF(PDs!J60="","",PDs!J60)</f>
        <v/>
      </c>
      <c r="AK851" s="758" t="str">
        <f t="shared" si="223"/>
        <v/>
      </c>
      <c r="AL851" s="758" t="str">
        <f t="shared" si="224"/>
        <v/>
      </c>
      <c r="AM851" s="1025" t="str">
        <f t="shared" ref="AM851:AM868" si="225">IFERROR("Tablas!"&amp;IF($AK$848,ADDRESS(ROW(),COLUMN(AN851)),ADDRESS(ROW(),COLUMN(INDEX(AN851:AP851,1,$AL851))))&amp;":"&amp;ADDRESS(ROW(),COLUMN(INDEX(AN851:AP851,1,$AL851))),"")</f>
        <v/>
      </c>
      <c r="AN851" s="758">
        <f>IF(AM$847&lt;&gt;"",IF(AM$847="Tao",VLOOKUP($AK851&amp;AN$848,$AE$848:$AG$852,2,0),VLOOKUP($AK851&amp;AN$848,$AE$848:$AG$852,3,0)),0)</f>
        <v>0</v>
      </c>
      <c r="AO851" s="758">
        <f t="shared" ref="AO851:AO868" si="226">IF(AM$847&lt;&gt;"",AN851+IF(AM$847="Tao",VLOOKUP($AK851&amp;AO$848,$AE$848:$AG$852,2,0),VLOOKUP($AK851&amp;AO$848,$AE$848:$AG$852,3,0)),0)</f>
        <v>0</v>
      </c>
      <c r="AP851" s="758">
        <f t="shared" ref="AP851:AP868" si="227">IF(AM$847&lt;&gt;"",AO851+IF(AM$847="Tao",VLOOKUP($AK851&amp;AP$848,$AE$848:$AG$852,2,0),VLOOKUP($AK851&amp;AP$848,$AE$848:$AG$852,3,0)),0)</f>
        <v>0</v>
      </c>
      <c r="AQ851" s="323">
        <f>IFERROR(MATCH(PDs!M60,AN851:AP851,0),0)</f>
        <v>1</v>
      </c>
      <c r="AR851" s="1025" t="str">
        <f t="shared" ref="AR851:AR868" si="228">IFERROR(IF(AND(AQ851&lt;$AL851,AR$847&lt;&gt;""),"Tablas!"&amp;ADDRESS(ROW(),COLUMN(INDEX(AS851:AU851,1,AQ851+1)))&amp;":"&amp;ADDRESS(ROW(),COLUMN(INDEX(AS851:AU851,1,$AL851))),""),"")</f>
        <v/>
      </c>
      <c r="AS851" s="758">
        <f t="shared" ref="AS851:AS868" si="229">IF(AND(AR$847&lt;&gt;"",AS$848&gt;AQ851),IF(AR$847="Tao",VLOOKUP($AK851&amp;AS$848,$AE$848:$AG$852,2,0),VLOOKUP($AK851&amp;AS$848,$AE$848:$AG$852,3,0)),0)</f>
        <v>0</v>
      </c>
      <c r="AT851" s="758">
        <f t="shared" ref="AT851:AT868" si="230">IF(AND(AR$847&lt;&gt;"",AT$848&gt;AQ851),AS851+IF(AR$847="Tao",VLOOKUP($AK851&amp;AT$848,$AE$848:$AG$852,2,0),VLOOKUP($AK851&amp;AT$848,$AE$848:$AG$852,3,0)),0)</f>
        <v>0</v>
      </c>
      <c r="AU851" s="758">
        <f t="shared" ref="AU851:AU868" si="231">IF(AND(AR$847&lt;&gt;"",AU$848&gt;AQ851),AT851+IF(AR$847="Tao",VLOOKUP($AK851&amp;AU$848,$AE$848:$AG$852,2,0),VLOOKUP($AK851&amp;AU$848,$AE$848:$AG$852,3,0)),0)</f>
        <v>0</v>
      </c>
      <c r="AV851" s="323">
        <f>IF(AR851="",AQ851,MAX(IFERROR(MATCH(PDs!O60,AS851:AU851,0),0),AQ851))</f>
        <v>1</v>
      </c>
      <c r="AW851" s="2647" t="str">
        <f t="shared" ref="AW851:AW868" si="232">IFERROR(IF(AND(AV851&lt;$AL851,AW$847&lt;&gt;""),"Tablas!"&amp;ADDRESS(ROW(),COLUMN(INDEX(AX851:AZ851,1,AV851+1)))&amp;":"&amp;ADDRESS(ROW(),COLUMN(INDEX(AX851:AZ851,1,$AL851))),""),"")</f>
        <v/>
      </c>
      <c r="AX851" s="758">
        <f t="shared" ref="AX851:AX868" si="233">IF(AND(AW$847&lt;&gt;"",AX$848&gt;AV851),IF(AW$847="Tao",VLOOKUP($AK851&amp;AX$848,$AE$848:$AG$852,2,0),VLOOKUP($AK851&amp;AX$848,$AE$848:$AG$852,3,0)),0)</f>
        <v>0</v>
      </c>
      <c r="AY851" s="758">
        <f t="shared" ref="AY851:AY868" si="234">IF(AND(AW$847&lt;&gt;"",AY$848&gt;AV851),AX851+IF(AW$847="Tao",VLOOKUP($AK851&amp;AY$848,$AE$848:$AG$852,2,0),VLOOKUP($AK851&amp;AY$848,$AE$848:$AG$852,3,0)),0)</f>
        <v>0</v>
      </c>
      <c r="AZ851" s="758">
        <f t="shared" ref="AZ851:AZ868" si="235">IF(AND(AW$847&lt;&gt;"",AZ$848&gt;AV851),AY851+IF(AW$847="Tao",VLOOKUP($AK851&amp;AZ$848,$AE$848:$AG$852,2,0),VLOOKUP($AK851&amp;AZ$848,$AE$848:$AG$852,3,0)),0)</f>
        <v>0</v>
      </c>
      <c r="BA851" s="323">
        <f>IF(AW851="",AV851,MAX(IFERROR(MATCH(PDs!Q60,AX851:AZ851,0),0),AV851))</f>
        <v>1</v>
      </c>
      <c r="BB851" s="2647" t="str">
        <f t="shared" ref="BB851:BB868" si="236">IFERROR(IF(AND(BA851&lt;$AL851,BB$847&lt;&gt;""),"Tablas!"&amp;ADDRESS(ROW(),COLUMN(INDEX(BC851:BE851,1,BA851+1)))&amp;":"&amp;ADDRESS(ROW(),COLUMN(INDEX(BC851:BE851,1,$AL851))),""),"")</f>
        <v/>
      </c>
      <c r="BC851" s="758">
        <f t="shared" ref="BC851:BC868" si="237">IF(AND(BB$847&lt;&gt;"",BC$848&gt;BA851),IF(BB$847="Tao",VLOOKUP($AK851&amp;BC$848,$AE$848:$AG$852,2,0),VLOOKUP($AK851&amp;BC$848,$AE$848:$AG$852,3,0)),0)</f>
        <v>0</v>
      </c>
      <c r="BD851" s="758">
        <f t="shared" ref="BD851:BD868" si="238">IF(AND(BB$847&lt;&gt;"",BD$848&gt;BA851),BC851+IF(BB$847="Tao",VLOOKUP($AK851&amp;BD$848,$AE$848:$AG$852,2,0),VLOOKUP($AK851&amp;BD$848,$AE$848:$AG$852,3,0)),0)</f>
        <v>0</v>
      </c>
      <c r="BE851" s="758">
        <f t="shared" ref="BE851:BE868" si="239">IF(AND(BB$847&lt;&gt;"",BE$848&gt;BA851),BD851+IF(BB$847="Tao",VLOOKUP($AK851&amp;BE$848,$AE$848:$AG$852,2,0),VLOOKUP($AK851&amp;BE$848,$AE$848:$AG$852,3,0)),0)</f>
        <v>0</v>
      </c>
      <c r="BF851" s="323">
        <f>IF(BB851="",BA851,MAX(IFERROR(MATCH(PDs!S60,BC851:BE851,0),0),BA851))</f>
        <v>1</v>
      </c>
      <c r="BG851" s="2647" t="str">
        <f t="shared" ref="BG851:BG868" si="240">IFERROR(IF(AND(BF851&lt;$AL851,BG$847&lt;&gt;""),"Tablas!"&amp;ADDRESS(ROW(),COLUMN(INDEX(BH851:BJ851,1,BF851+1)))&amp;":"&amp;ADDRESS(ROW(),COLUMN(INDEX(BH851:BJ851,1,$AL851))),""),"")</f>
        <v/>
      </c>
      <c r="BH851" s="758">
        <f t="shared" ref="BH851:BH868" si="241">IF(AND(BG$847&lt;&gt;"",BH$848&gt;BF851),IF(BG$847="Tao",VLOOKUP($AK851&amp;BH$848,$AE$848:$AG$852,2,0),VLOOKUP($AK851&amp;BH$848,$AE$848:$AG$852,3,0)),0)</f>
        <v>0</v>
      </c>
      <c r="BI851" s="758">
        <f t="shared" ref="BI851:BI868" si="242">IF(AND(BG$847&lt;&gt;"",BI$848&gt;BF851),BH851+IF(BG$847="Tao",VLOOKUP($AK851&amp;BI$848,$AE$848:$AG$852,2,0),VLOOKUP($AK851&amp;BI$848,$AE$848:$AG$852,3,0)),0)</f>
        <v>0</v>
      </c>
      <c r="BJ851" s="758">
        <f t="shared" ref="BJ851:BJ868" si="243">IF(AND(BG$847&lt;&gt;"",BJ$848&gt;BF851),BI851+IF(BG$847="Tao",VLOOKUP($AK851&amp;BJ$848,$AE$848:$AG$852,2,0),VLOOKUP($AK851&amp;BJ$848,$AE$848:$AG$852,3,0)),0)</f>
        <v>0</v>
      </c>
      <c r="BK851" s="323">
        <f>IF(BG851="",BF851,MAX(IFERROR(MATCH(PDs!U60,BH851:BJ851,0),0),BF851))</f>
        <v>1</v>
      </c>
      <c r="BL851" s="654">
        <f>IF(BK851=AL851,1,0)</f>
        <v>0</v>
      </c>
    </row>
    <row r="852" spans="1:64" ht="12.75" customHeight="1" thickBot="1" x14ac:dyDescent="0.25">
      <c r="A852" s="227">
        <v>852</v>
      </c>
      <c r="B852" s="5988"/>
      <c r="C852" s="489"/>
      <c r="D852" s="2421" t="s">
        <v>868</v>
      </c>
      <c r="E852" s="2418">
        <f>10+Bono_Fue</f>
        <v>10</v>
      </c>
      <c r="F852" s="2418"/>
      <c r="G852" s="2418">
        <v>10</v>
      </c>
      <c r="H852" s="2418"/>
      <c r="I852" s="2418">
        <v>10</v>
      </c>
      <c r="J852" s="2418">
        <v>10</v>
      </c>
      <c r="K852" s="2418"/>
      <c r="L852" s="2418"/>
      <c r="M852" s="2423"/>
      <c r="N852" s="2423" t="s">
        <v>8765</v>
      </c>
      <c r="O852" s="2423"/>
      <c r="P852" s="2423"/>
      <c r="Q852" s="2423"/>
      <c r="R852" s="2423"/>
      <c r="S852" s="2419">
        <f t="shared" si="221"/>
        <v>69</v>
      </c>
      <c r="T852" s="2418"/>
      <c r="U852" s="2418"/>
      <c r="V852" s="2418"/>
      <c r="W852" s="2418"/>
      <c r="X852" s="2418">
        <f t="shared" si="222"/>
        <v>0</v>
      </c>
      <c r="Y852" s="2418">
        <f>IF(OR(Y853&gt;0,COUNTIF(PDs!$AD$59:$AD$77,Tablas!D852)&gt;0),1,0)</f>
        <v>0</v>
      </c>
      <c r="Z852" s="2418" t="str">
        <f>IF(OR(T.Manos_final&lt;40,AA852&lt;100,MAX(AB852,AC852)&lt;120),"NO","-")</f>
        <v>NO</v>
      </c>
      <c r="AA852" s="1025">
        <f>HA_final-PDs!$X$25+MIN(PDs!$X$25+H$940-H852,50)</f>
        <v>0</v>
      </c>
      <c r="AB852" s="2420">
        <f>HE_final-PDs!$X$27+MIN(PDs!$X$27+I$940-I852,50)</f>
        <v>-10</v>
      </c>
      <c r="AC852" s="1265">
        <f>HP_final-PDs!$X$26+MIN(PDs!$X$26+J$940-J852,50)</f>
        <v>-10</v>
      </c>
      <c r="AE852" s="1842" t="s">
        <v>8751</v>
      </c>
      <c r="AF852" s="308">
        <v>20</v>
      </c>
      <c r="AG852" s="937">
        <v>50</v>
      </c>
      <c r="AI852" s="1328" t="str">
        <f>IF(PDs!E61="","",PDs!E61)</f>
        <v/>
      </c>
      <c r="AJ852" s="758" t="str">
        <f>IF(PDs!J61="","",PDs!J61)</f>
        <v/>
      </c>
      <c r="AK852" s="758" t="str">
        <f t="shared" si="223"/>
        <v/>
      </c>
      <c r="AL852" s="758" t="str">
        <f t="shared" si="224"/>
        <v/>
      </c>
      <c r="AM852" s="1025" t="str">
        <f t="shared" si="225"/>
        <v/>
      </c>
      <c r="AN852" s="758">
        <f>IF(AM$847&lt;&gt;"",IF(AM$847="Tao",VLOOKUP($AK852&amp;AN$848,$AE$848:$AG$852,2,0),VLOOKUP($AK852&amp;AN$848,$AE$848:$AG$852,3,0)),0)</f>
        <v>0</v>
      </c>
      <c r="AO852" s="758">
        <f t="shared" si="226"/>
        <v>0</v>
      </c>
      <c r="AP852" s="758">
        <f t="shared" si="227"/>
        <v>0</v>
      </c>
      <c r="AQ852" s="323">
        <f>IFERROR(MATCH(PDs!M61,AN852:AP852,0),0)</f>
        <v>1</v>
      </c>
      <c r="AR852" s="1025" t="str">
        <f t="shared" si="228"/>
        <v/>
      </c>
      <c r="AS852" s="758">
        <f t="shared" si="229"/>
        <v>0</v>
      </c>
      <c r="AT852" s="758">
        <f t="shared" si="230"/>
        <v>0</v>
      </c>
      <c r="AU852" s="758">
        <f t="shared" si="231"/>
        <v>0</v>
      </c>
      <c r="AV852" s="323">
        <f>IF(AR852="",AQ852,MAX(IFERROR(MATCH(PDs!O61,AS852:AU852,0),0),AQ852))</f>
        <v>1</v>
      </c>
      <c r="AW852" s="2647" t="str">
        <f t="shared" si="232"/>
        <v/>
      </c>
      <c r="AX852" s="758">
        <f t="shared" si="233"/>
        <v>0</v>
      </c>
      <c r="AY852" s="758">
        <f t="shared" si="234"/>
        <v>0</v>
      </c>
      <c r="AZ852" s="758">
        <f t="shared" si="235"/>
        <v>0</v>
      </c>
      <c r="BA852" s="323">
        <f>IF(AW852="",AV852,MAX(IFERROR(MATCH(PDs!Q61,AX852:AZ852,0),0),AV852))</f>
        <v>1</v>
      </c>
      <c r="BB852" s="2647" t="str">
        <f t="shared" si="236"/>
        <v/>
      </c>
      <c r="BC852" s="758">
        <f t="shared" si="237"/>
        <v>0</v>
      </c>
      <c r="BD852" s="758">
        <f t="shared" si="238"/>
        <v>0</v>
      </c>
      <c r="BE852" s="758">
        <f t="shared" si="239"/>
        <v>0</v>
      </c>
      <c r="BF852" s="323">
        <f>IF(BB852="",BA852,MAX(IFERROR(MATCH(PDs!S61,BC852:BE852,0),0),BA852))</f>
        <v>1</v>
      </c>
      <c r="BG852" s="2647" t="str">
        <f t="shared" si="240"/>
        <v/>
      </c>
      <c r="BH852" s="758">
        <f t="shared" si="241"/>
        <v>0</v>
      </c>
      <c r="BI852" s="758">
        <f t="shared" si="242"/>
        <v>0</v>
      </c>
      <c r="BJ852" s="758">
        <f t="shared" si="243"/>
        <v>0</v>
      </c>
      <c r="BK852" s="323">
        <f>IF(BG852="",BF852,MAX(IFERROR(MATCH(PDs!U61,BH852:BJ852,0),0),BF852))</f>
        <v>1</v>
      </c>
      <c r="BL852" s="654">
        <f t="shared" ref="BL852:BL868" si="244">IF(BK852=AL852,1,0)</f>
        <v>0</v>
      </c>
    </row>
    <row r="853" spans="1:64" ht="12.75" customHeight="1" thickBot="1" x14ac:dyDescent="0.25">
      <c r="A853" s="227">
        <v>853</v>
      </c>
      <c r="B853" s="5988"/>
      <c r="C853" s="489"/>
      <c r="D853" s="2421" t="s">
        <v>869</v>
      </c>
      <c r="E853" s="2418">
        <f>10+Bono_Fue</f>
        <v>10</v>
      </c>
      <c r="F853" s="2418"/>
      <c r="G853" s="2418">
        <v>20</v>
      </c>
      <c r="H853" s="2418"/>
      <c r="I853" s="2418">
        <v>10</v>
      </c>
      <c r="J853" s="2418">
        <v>10</v>
      </c>
      <c r="K853" s="2418"/>
      <c r="L853" s="2418"/>
      <c r="M853" s="2423"/>
      <c r="N853" s="2423" t="s">
        <v>8769</v>
      </c>
      <c r="O853" s="2423"/>
      <c r="P853" s="2423"/>
      <c r="Q853" s="2423"/>
      <c r="R853" s="2423"/>
      <c r="S853" s="2419">
        <f t="shared" si="221"/>
        <v>79</v>
      </c>
      <c r="T853" s="2418"/>
      <c r="U853" s="2418"/>
      <c r="V853" s="2418"/>
      <c r="W853" s="2418"/>
      <c r="X853" s="2418">
        <f t="shared" si="222"/>
        <v>0</v>
      </c>
      <c r="Y853" s="2418">
        <f>IF(COUNTIF(PDs!$AD$59:$AD$77,Tablas!D853)&gt;0,1,0)</f>
        <v>0</v>
      </c>
      <c r="Z853" s="2418" t="str">
        <f>IF(OR(T.Manos_final&lt;80,AA853&lt;100,MAX(AB853,AC853)&lt;200),"NO","-")</f>
        <v>NO</v>
      </c>
      <c r="AA853" s="1025">
        <f>HA_final-PDs!$X$25+MIN(PDs!$X$25+H$940-H853,50)</f>
        <v>0</v>
      </c>
      <c r="AB853" s="2420">
        <f>HE_final-PDs!$X$27+MIN(PDs!$X$27+I$940-I853,50)</f>
        <v>-10</v>
      </c>
      <c r="AC853" s="1265">
        <f>HP_final-PDs!$X$26+MIN(PDs!$X$26+J$940-J853,50)</f>
        <v>-10</v>
      </c>
      <c r="AI853" s="1328" t="str">
        <f>IF(PDs!E62="","",PDs!E62)</f>
        <v/>
      </c>
      <c r="AJ853" s="758" t="str">
        <f>IF(PDs!J62="","",PDs!J62)</f>
        <v/>
      </c>
      <c r="AK853" s="758" t="str">
        <f t="shared" si="223"/>
        <v/>
      </c>
      <c r="AL853" s="758" t="str">
        <f t="shared" si="224"/>
        <v/>
      </c>
      <c r="AM853" s="1025" t="str">
        <f t="shared" si="225"/>
        <v/>
      </c>
      <c r="AN853" s="758">
        <f t="shared" ref="AN853:AN868" si="245">IF(AM$847&lt;&gt;"",IF(AM$847="Tao",VLOOKUP($AK853&amp;AN$848,$AE$848:$AG$852,2,0),VLOOKUP($AK853&amp;AN$848,$AE$848:$AG$852,3,0)),0)</f>
        <v>0</v>
      </c>
      <c r="AO853" s="758">
        <f t="shared" si="226"/>
        <v>0</v>
      </c>
      <c r="AP853" s="758">
        <f t="shared" si="227"/>
        <v>0</v>
      </c>
      <c r="AQ853" s="323">
        <f>IFERROR(MATCH(PDs!M62,AN853:AP853,0),0)</f>
        <v>1</v>
      </c>
      <c r="AR853" s="1025" t="str">
        <f t="shared" si="228"/>
        <v/>
      </c>
      <c r="AS853" s="758">
        <f t="shared" si="229"/>
        <v>0</v>
      </c>
      <c r="AT853" s="758">
        <f t="shared" si="230"/>
        <v>0</v>
      </c>
      <c r="AU853" s="758">
        <f t="shared" si="231"/>
        <v>0</v>
      </c>
      <c r="AV853" s="323">
        <f>IF(AR853="",AQ853,MAX(IFERROR(MATCH(PDs!O62,AS853:AU853,0),0),AQ853))</f>
        <v>1</v>
      </c>
      <c r="AW853" s="2647" t="str">
        <f t="shared" si="232"/>
        <v/>
      </c>
      <c r="AX853" s="758">
        <f t="shared" si="233"/>
        <v>0</v>
      </c>
      <c r="AY853" s="758">
        <f t="shared" si="234"/>
        <v>0</v>
      </c>
      <c r="AZ853" s="758">
        <f t="shared" si="235"/>
        <v>0</v>
      </c>
      <c r="BA853" s="323">
        <f>IF(AW853="",AV853,MAX(IFERROR(MATCH(PDs!Q62,AX853:AZ853,0),0),AV853))</f>
        <v>1</v>
      </c>
      <c r="BB853" s="2647" t="str">
        <f t="shared" si="236"/>
        <v/>
      </c>
      <c r="BC853" s="758">
        <f t="shared" si="237"/>
        <v>0</v>
      </c>
      <c r="BD853" s="758">
        <f t="shared" si="238"/>
        <v>0</v>
      </c>
      <c r="BE853" s="758">
        <f t="shared" si="239"/>
        <v>0</v>
      </c>
      <c r="BF853" s="323">
        <f>IF(BB853="",BA853,MAX(IFERROR(MATCH(PDs!S62,BC853:BE853,0),0),BA853))</f>
        <v>1</v>
      </c>
      <c r="BG853" s="2647" t="str">
        <f t="shared" si="240"/>
        <v/>
      </c>
      <c r="BH853" s="758">
        <f t="shared" si="241"/>
        <v>0</v>
      </c>
      <c r="BI853" s="758">
        <f t="shared" si="242"/>
        <v>0</v>
      </c>
      <c r="BJ853" s="758">
        <f t="shared" si="243"/>
        <v>0</v>
      </c>
      <c r="BK853" s="323">
        <f>IF(BG853="",BF853,MAX(IFERROR(MATCH(PDs!U62,BH853:BJ853,0),0),BF853))</f>
        <v>1</v>
      </c>
      <c r="BL853" s="654">
        <f t="shared" si="244"/>
        <v>0</v>
      </c>
    </row>
    <row r="854" spans="1:64" ht="12.75" customHeight="1" thickBot="1" x14ac:dyDescent="0.25">
      <c r="A854" s="227">
        <v>854</v>
      </c>
      <c r="B854" s="5988"/>
      <c r="C854" s="489"/>
      <c r="D854" s="2421" t="s">
        <v>870</v>
      </c>
      <c r="E854" s="2418">
        <f>10+2*Bono_Fue</f>
        <v>10</v>
      </c>
      <c r="F854" s="2418"/>
      <c r="G854" s="2418">
        <v>0</v>
      </c>
      <c r="H854" s="2418"/>
      <c r="I854" s="2418"/>
      <c r="J854" s="2418"/>
      <c r="K854" s="2418">
        <v>5</v>
      </c>
      <c r="L854" s="2418"/>
      <c r="M854" s="2423"/>
      <c r="N854" s="2423" t="s">
        <v>1456</v>
      </c>
      <c r="O854" s="2423"/>
      <c r="P854" s="2423"/>
      <c r="Q854" s="2423"/>
      <c r="R854" s="2423"/>
      <c r="S854" s="2419">
        <f t="shared" si="221"/>
        <v>1</v>
      </c>
      <c r="T854" s="2418"/>
      <c r="U854" s="2418"/>
      <c r="V854" s="2418"/>
      <c r="W854" s="2418"/>
      <c r="X854" s="2418">
        <f t="shared" si="222"/>
        <v>0</v>
      </c>
      <c r="Y854" s="2418">
        <f>IF(OR(Y855&gt;0,COUNTIF(PDs!$AD$59:$AD$77,Tablas!D854)&gt;0),1,0)</f>
        <v>0</v>
      </c>
      <c r="Z854" s="2418" t="str">
        <f>IF(OR(P.Fuerza_final&lt;30),"NO","-")</f>
        <v>NO</v>
      </c>
      <c r="AA854" s="1025">
        <f>HA_final-PDs!$X$25+MIN(PDs!$X$25+H$940-H854,50)</f>
        <v>0</v>
      </c>
      <c r="AB854" s="2420">
        <f>HE_final-PDs!$X$27+MIN(PDs!$X$27+I$940-I854,50)</f>
        <v>0</v>
      </c>
      <c r="AC854" s="1265">
        <f>HP_final-PDs!$X$26+MIN(PDs!$X$26+J$940-J854,50)</f>
        <v>0</v>
      </c>
      <c r="AE854" s="1262" t="s">
        <v>8300</v>
      </c>
      <c r="AF854" s="1263" t="s">
        <v>7157</v>
      </c>
      <c r="AG854" s="1267" t="s">
        <v>7158</v>
      </c>
      <c r="AI854" s="1328" t="str">
        <f>IF(PDs!E63="","",PDs!E63)</f>
        <v/>
      </c>
      <c r="AJ854" s="758" t="str">
        <f>IF(PDs!J63="","",PDs!J63)</f>
        <v/>
      </c>
      <c r="AK854" s="758" t="str">
        <f t="shared" si="223"/>
        <v/>
      </c>
      <c r="AL854" s="758" t="str">
        <f t="shared" si="224"/>
        <v/>
      </c>
      <c r="AM854" s="1025" t="str">
        <f t="shared" si="225"/>
        <v/>
      </c>
      <c r="AN854" s="758">
        <f t="shared" si="245"/>
        <v>0</v>
      </c>
      <c r="AO854" s="758">
        <f t="shared" si="226"/>
        <v>0</v>
      </c>
      <c r="AP854" s="758">
        <f t="shared" si="227"/>
        <v>0</v>
      </c>
      <c r="AQ854" s="323">
        <f>IFERROR(MATCH(PDs!M63,AN854:AP854,0),0)</f>
        <v>1</v>
      </c>
      <c r="AR854" s="1025" t="str">
        <f t="shared" si="228"/>
        <v/>
      </c>
      <c r="AS854" s="758">
        <f t="shared" si="229"/>
        <v>0</v>
      </c>
      <c r="AT854" s="758">
        <f t="shared" si="230"/>
        <v>0</v>
      </c>
      <c r="AU854" s="758">
        <f t="shared" si="231"/>
        <v>0</v>
      </c>
      <c r="AV854" s="323">
        <f>IF(AR854="",AQ854,MAX(IFERROR(MATCH(PDs!O63,AS854:AU854,0),0),AQ854))</f>
        <v>1</v>
      </c>
      <c r="AW854" s="2647" t="str">
        <f t="shared" si="232"/>
        <v/>
      </c>
      <c r="AX854" s="758">
        <f t="shared" si="233"/>
        <v>0</v>
      </c>
      <c r="AY854" s="758">
        <f t="shared" si="234"/>
        <v>0</v>
      </c>
      <c r="AZ854" s="758">
        <f t="shared" si="235"/>
        <v>0</v>
      </c>
      <c r="BA854" s="323">
        <f>IF(AW854="",AV854,MAX(IFERROR(MATCH(PDs!Q63,AX854:AZ854,0),0),AV854))</f>
        <v>1</v>
      </c>
      <c r="BB854" s="2647" t="str">
        <f t="shared" si="236"/>
        <v/>
      </c>
      <c r="BC854" s="758">
        <f t="shared" si="237"/>
        <v>0</v>
      </c>
      <c r="BD854" s="758">
        <f t="shared" si="238"/>
        <v>0</v>
      </c>
      <c r="BE854" s="758">
        <f t="shared" si="239"/>
        <v>0</v>
      </c>
      <c r="BF854" s="323">
        <f>IF(BB854="",BA854,MAX(IFERROR(MATCH(PDs!S63,BC854:BE854,0),0),BA854))</f>
        <v>1</v>
      </c>
      <c r="BG854" s="2647" t="str">
        <f t="shared" si="240"/>
        <v/>
      </c>
      <c r="BH854" s="758">
        <f t="shared" si="241"/>
        <v>0</v>
      </c>
      <c r="BI854" s="758">
        <f t="shared" si="242"/>
        <v>0</v>
      </c>
      <c r="BJ854" s="758">
        <f t="shared" si="243"/>
        <v>0</v>
      </c>
      <c r="BK854" s="323">
        <f>IF(BG854="",BF854,MAX(IFERROR(MATCH(PDs!U63,BH854:BJ854,0),0),BF854))</f>
        <v>1</v>
      </c>
      <c r="BL854" s="654">
        <f t="shared" si="244"/>
        <v>0</v>
      </c>
    </row>
    <row r="855" spans="1:64" ht="12.75" customHeight="1" x14ac:dyDescent="0.2">
      <c r="A855" s="227">
        <v>855</v>
      </c>
      <c r="B855" s="5988"/>
      <c r="C855" s="489"/>
      <c r="D855" s="2421" t="s">
        <v>871</v>
      </c>
      <c r="E855" s="2418">
        <f>20+2*Bono_Fue</f>
        <v>20</v>
      </c>
      <c r="F855" s="2418"/>
      <c r="G855" s="2418">
        <v>10</v>
      </c>
      <c r="H855" s="2418"/>
      <c r="I855" s="2418"/>
      <c r="J855" s="2418"/>
      <c r="K855" s="2418">
        <v>5</v>
      </c>
      <c r="L855" s="2418"/>
      <c r="M855" s="2423"/>
      <c r="N855" s="2423" t="s">
        <v>872</v>
      </c>
      <c r="O855" s="2423"/>
      <c r="P855" s="2423"/>
      <c r="Q855" s="2423"/>
      <c r="R855" s="2423"/>
      <c r="S855" s="2419">
        <f t="shared" si="221"/>
        <v>36</v>
      </c>
      <c r="T855" s="2418"/>
      <c r="U855" s="2418"/>
      <c r="V855" s="2418"/>
      <c r="W855" s="2418"/>
      <c r="X855" s="2418">
        <f t="shared" si="222"/>
        <v>0</v>
      </c>
      <c r="Y855" s="2418">
        <f>IF(OR(Y856&gt;0,COUNTIF(PDs!$AD$59:$AD$77,Tablas!D855)&gt;0),1,0)</f>
        <v>0</v>
      </c>
      <c r="Z855" s="2418" t="str">
        <f>IF(OR(P.Fuerza_final&lt;60,AA855&lt;120,MAX(AB855,AC855)&lt;120),"NO","-")</f>
        <v>NO</v>
      </c>
      <c r="AA855" s="1025">
        <f>HA_final-PDs!$X$25+MIN(PDs!$X$25+H$940-H855,50)</f>
        <v>0</v>
      </c>
      <c r="AB855" s="2420">
        <f>HE_final-PDs!$X$27+MIN(PDs!$X$27+I$940-I855,50)</f>
        <v>0</v>
      </c>
      <c r="AC855" s="1265">
        <f>HP_final-PDs!$X$26+MIN(PDs!$X$26+J$940-J855,50)</f>
        <v>0</v>
      </c>
      <c r="AE855" s="78" t="s">
        <v>865</v>
      </c>
      <c r="AF855" s="561" t="s">
        <v>1365</v>
      </c>
      <c r="AG855" s="1268" t="s">
        <v>1365</v>
      </c>
      <c r="AI855" s="1328" t="str">
        <f>IF(PDs!E64="","",PDs!E64)</f>
        <v/>
      </c>
      <c r="AJ855" s="758" t="str">
        <f>IF(PDs!J64="","",PDs!J64)</f>
        <v/>
      </c>
      <c r="AK855" s="758" t="str">
        <f t="shared" si="223"/>
        <v/>
      </c>
      <c r="AL855" s="758" t="str">
        <f t="shared" si="224"/>
        <v/>
      </c>
      <c r="AM855" s="1025" t="str">
        <f t="shared" si="225"/>
        <v/>
      </c>
      <c r="AN855" s="758">
        <f t="shared" si="245"/>
        <v>0</v>
      </c>
      <c r="AO855" s="758">
        <f t="shared" si="226"/>
        <v>0</v>
      </c>
      <c r="AP855" s="758">
        <f t="shared" si="227"/>
        <v>0</v>
      </c>
      <c r="AQ855" s="323">
        <f>IFERROR(MATCH(PDs!M64,AN855:AP855,0),0)</f>
        <v>1</v>
      </c>
      <c r="AR855" s="1025" t="str">
        <f t="shared" si="228"/>
        <v/>
      </c>
      <c r="AS855" s="758">
        <f t="shared" si="229"/>
        <v>0</v>
      </c>
      <c r="AT855" s="758">
        <f t="shared" si="230"/>
        <v>0</v>
      </c>
      <c r="AU855" s="758">
        <f t="shared" si="231"/>
        <v>0</v>
      </c>
      <c r="AV855" s="323">
        <f>IF(AR855="",AQ855,MAX(IFERROR(MATCH(PDs!O64,AS855:AU855,0),0),AQ855))</f>
        <v>1</v>
      </c>
      <c r="AW855" s="2647" t="str">
        <f t="shared" si="232"/>
        <v/>
      </c>
      <c r="AX855" s="758">
        <f t="shared" si="233"/>
        <v>0</v>
      </c>
      <c r="AY855" s="758">
        <f t="shared" si="234"/>
        <v>0</v>
      </c>
      <c r="AZ855" s="758">
        <f t="shared" si="235"/>
        <v>0</v>
      </c>
      <c r="BA855" s="323">
        <f>IF(AW855="",AV855,MAX(IFERROR(MATCH(PDs!Q64,AX855:AZ855,0),0),AV855))</f>
        <v>1</v>
      </c>
      <c r="BB855" s="2647" t="str">
        <f t="shared" si="236"/>
        <v/>
      </c>
      <c r="BC855" s="758">
        <f t="shared" si="237"/>
        <v>0</v>
      </c>
      <c r="BD855" s="758">
        <f t="shared" si="238"/>
        <v>0</v>
      </c>
      <c r="BE855" s="758">
        <f t="shared" si="239"/>
        <v>0</v>
      </c>
      <c r="BF855" s="323">
        <f>IF(BB855="",BA855,MAX(IFERROR(MATCH(PDs!S64,BC855:BE855,0),0),BA855))</f>
        <v>1</v>
      </c>
      <c r="BG855" s="2647" t="str">
        <f t="shared" si="240"/>
        <v/>
      </c>
      <c r="BH855" s="758">
        <f t="shared" si="241"/>
        <v>0</v>
      </c>
      <c r="BI855" s="758">
        <f t="shared" si="242"/>
        <v>0</v>
      </c>
      <c r="BJ855" s="758">
        <f t="shared" si="243"/>
        <v>0</v>
      </c>
      <c r="BK855" s="323">
        <f>IF(BG855="",BF855,MAX(IFERROR(MATCH(PDs!U64,BH855:BJ855,0),0),BF855))</f>
        <v>1</v>
      </c>
      <c r="BL855" s="654">
        <f t="shared" si="244"/>
        <v>0</v>
      </c>
    </row>
    <row r="856" spans="1:64" ht="12.75" customHeight="1" thickBot="1" x14ac:dyDescent="0.25">
      <c r="A856" s="227">
        <v>856</v>
      </c>
      <c r="B856" s="5988"/>
      <c r="C856" s="489"/>
      <c r="D856" s="2421" t="s">
        <v>873</v>
      </c>
      <c r="E856" s="2418">
        <f>30+2*Bono_Fue</f>
        <v>30</v>
      </c>
      <c r="F856" s="2418"/>
      <c r="G856" s="2418">
        <v>20</v>
      </c>
      <c r="H856" s="2418">
        <v>10</v>
      </c>
      <c r="I856" s="2418"/>
      <c r="J856" s="2418"/>
      <c r="K856" s="2418">
        <v>10</v>
      </c>
      <c r="L856" s="2418"/>
      <c r="M856" s="2423"/>
      <c r="N856" s="2423" t="s">
        <v>872</v>
      </c>
      <c r="O856" s="2423"/>
      <c r="P856" s="2423"/>
      <c r="Q856" s="2423"/>
      <c r="R856" s="2423"/>
      <c r="S856" s="2419">
        <f t="shared" si="221"/>
        <v>36</v>
      </c>
      <c r="T856" s="2418"/>
      <c r="U856" s="2418"/>
      <c r="V856" s="2418"/>
      <c r="W856" s="2418"/>
      <c r="X856" s="2418">
        <f t="shared" si="222"/>
        <v>0</v>
      </c>
      <c r="Y856" s="2418">
        <f>IF(COUNTIF(PDs!$AD$59:$AD$77,Tablas!D856)&gt;0,1,0)</f>
        <v>0</v>
      </c>
      <c r="Z856" s="2418" t="str">
        <f>IF(OR(P.Fuerza_final&lt;120,AA856&lt;200,MAX(AB856,AC856)&lt;200),"NO","-")</f>
        <v>NO</v>
      </c>
      <c r="AA856" s="1025">
        <f>HA_final-PDs!$X$25+MIN(PDs!$X$25+H$940-H856,50)</f>
        <v>-10</v>
      </c>
      <c r="AB856" s="2420">
        <f>HE_final-PDs!$X$27+MIN(PDs!$X$27+I$940-I856,50)</f>
        <v>0</v>
      </c>
      <c r="AC856" s="1265">
        <f>HP_final-PDs!$X$26+MIN(PDs!$X$26+J$940-J856,50)</f>
        <v>0</v>
      </c>
      <c r="AE856" s="1264" t="s">
        <v>7121</v>
      </c>
      <c r="AF856" s="561" t="s">
        <v>3198</v>
      </c>
      <c r="AG856" s="1266" t="s">
        <v>3199</v>
      </c>
      <c r="AI856" s="1328" t="str">
        <f>IF(PDs!E65="","",PDs!E65)</f>
        <v/>
      </c>
      <c r="AJ856" s="758" t="str">
        <f>IF(PDs!J65="","",PDs!J65)</f>
        <v/>
      </c>
      <c r="AK856" s="758" t="str">
        <f t="shared" si="223"/>
        <v/>
      </c>
      <c r="AL856" s="758" t="str">
        <f t="shared" si="224"/>
        <v/>
      </c>
      <c r="AM856" s="1025" t="str">
        <f t="shared" si="225"/>
        <v/>
      </c>
      <c r="AN856" s="758">
        <f t="shared" si="245"/>
        <v>0</v>
      </c>
      <c r="AO856" s="758">
        <f t="shared" si="226"/>
        <v>0</v>
      </c>
      <c r="AP856" s="758">
        <f t="shared" si="227"/>
        <v>0</v>
      </c>
      <c r="AQ856" s="323">
        <f>IFERROR(MATCH(PDs!M65,AN856:AP856,0),0)</f>
        <v>1</v>
      </c>
      <c r="AR856" s="1025" t="str">
        <f t="shared" si="228"/>
        <v/>
      </c>
      <c r="AS856" s="758">
        <f t="shared" si="229"/>
        <v>0</v>
      </c>
      <c r="AT856" s="758">
        <f t="shared" si="230"/>
        <v>0</v>
      </c>
      <c r="AU856" s="758">
        <f t="shared" si="231"/>
        <v>0</v>
      </c>
      <c r="AV856" s="323">
        <f>IF(AR856="",AQ856,MAX(IFERROR(MATCH(PDs!O65,AS856:AU856,0),0),AQ856))</f>
        <v>1</v>
      </c>
      <c r="AW856" s="2647" t="str">
        <f t="shared" si="232"/>
        <v/>
      </c>
      <c r="AX856" s="758">
        <f t="shared" si="233"/>
        <v>0</v>
      </c>
      <c r="AY856" s="758">
        <f t="shared" si="234"/>
        <v>0</v>
      </c>
      <c r="AZ856" s="758">
        <f t="shared" si="235"/>
        <v>0</v>
      </c>
      <c r="BA856" s="323">
        <f>IF(AW856="",AV856,MAX(IFERROR(MATCH(PDs!Q65,AX856:AZ856,0),0),AV856))</f>
        <v>1</v>
      </c>
      <c r="BB856" s="2647" t="str">
        <f t="shared" si="236"/>
        <v/>
      </c>
      <c r="BC856" s="758">
        <f t="shared" si="237"/>
        <v>0</v>
      </c>
      <c r="BD856" s="758">
        <f t="shared" si="238"/>
        <v>0</v>
      </c>
      <c r="BE856" s="758">
        <f t="shared" si="239"/>
        <v>0</v>
      </c>
      <c r="BF856" s="323">
        <f>IF(BB856="",BA856,MAX(IFERROR(MATCH(PDs!S65,BC856:BE856,0),0),BA856))</f>
        <v>1</v>
      </c>
      <c r="BG856" s="2647" t="str">
        <f t="shared" si="240"/>
        <v/>
      </c>
      <c r="BH856" s="758">
        <f t="shared" si="241"/>
        <v>0</v>
      </c>
      <c r="BI856" s="758">
        <f t="shared" si="242"/>
        <v>0</v>
      </c>
      <c r="BJ856" s="758">
        <f t="shared" si="243"/>
        <v>0</v>
      </c>
      <c r="BK856" s="323">
        <f>IF(BG856="",BF856,MAX(IFERROR(MATCH(PDs!U65,BH856:BJ856,0),0),BF856))</f>
        <v>1</v>
      </c>
      <c r="BL856" s="654">
        <f t="shared" si="244"/>
        <v>0</v>
      </c>
    </row>
    <row r="857" spans="1:64" ht="12.75" customHeight="1" thickBot="1" x14ac:dyDescent="0.25">
      <c r="A857" s="227">
        <v>857</v>
      </c>
      <c r="B857" s="5988"/>
      <c r="C857" s="489"/>
      <c r="D857" s="2421" t="s">
        <v>874</v>
      </c>
      <c r="E857" s="2418">
        <f>20+Bono_Fue</f>
        <v>20</v>
      </c>
      <c r="F857" s="2418"/>
      <c r="G857" s="2418">
        <v>0</v>
      </c>
      <c r="H857" s="2418"/>
      <c r="I857" s="2418"/>
      <c r="J857" s="2418"/>
      <c r="K857" s="2418"/>
      <c r="L857" s="2418"/>
      <c r="M857" s="2423"/>
      <c r="N857" s="2423" t="s">
        <v>875</v>
      </c>
      <c r="O857" s="2423"/>
      <c r="P857" s="2423"/>
      <c r="Q857" s="2423"/>
      <c r="R857" s="2423"/>
      <c r="S857" s="2419">
        <f t="shared" si="221"/>
        <v>30</v>
      </c>
      <c r="T857" s="2418"/>
      <c r="U857" s="2418"/>
      <c r="V857" s="2418"/>
      <c r="W857" s="2418"/>
      <c r="X857" s="2418">
        <f t="shared" si="222"/>
        <v>0</v>
      </c>
      <c r="Y857" s="2418">
        <f>IF(OR(Y858&gt;0,COUNTIF(PDs!$AD$59:$AD$77,Tablas!D857)&gt;0),1,0)</f>
        <v>0</v>
      </c>
      <c r="Z857" s="2418" t="str">
        <f>IF(OR(Baile_final&lt;20,Baile_final="-"),"NO","-")</f>
        <v>NO</v>
      </c>
      <c r="AA857" s="1025">
        <f>HA_final-PDs!$X$25+MIN(PDs!$X$25+H$940-H857,50)</f>
        <v>0</v>
      </c>
      <c r="AB857" s="2420">
        <f>HE_final-PDs!$X$27+MIN(PDs!$X$27+I$940-I857,50)</f>
        <v>0</v>
      </c>
      <c r="AC857" s="1265">
        <f>HP_final-PDs!$X$26+MIN(PDs!$X$26+J$940-J857,50)</f>
        <v>0</v>
      </c>
      <c r="AE857" s="1264" t="s">
        <v>7122</v>
      </c>
      <c r="AF857" s="1266" t="s">
        <v>7156</v>
      </c>
      <c r="AI857" s="1328" t="str">
        <f>IF(PDs!E66="","",PDs!E66)</f>
        <v/>
      </c>
      <c r="AJ857" s="758" t="str">
        <f>IF(PDs!J66="","",PDs!J66)</f>
        <v/>
      </c>
      <c r="AK857" s="758" t="str">
        <f t="shared" si="223"/>
        <v/>
      </c>
      <c r="AL857" s="758" t="str">
        <f t="shared" si="224"/>
        <v/>
      </c>
      <c r="AM857" s="1025" t="str">
        <f t="shared" si="225"/>
        <v/>
      </c>
      <c r="AN857" s="758">
        <f t="shared" si="245"/>
        <v>0</v>
      </c>
      <c r="AO857" s="758">
        <f t="shared" si="226"/>
        <v>0</v>
      </c>
      <c r="AP857" s="758">
        <f t="shared" si="227"/>
        <v>0</v>
      </c>
      <c r="AQ857" s="323">
        <f>IFERROR(MATCH(PDs!M66,AN857:AP857,0),0)</f>
        <v>1</v>
      </c>
      <c r="AR857" s="1025" t="str">
        <f t="shared" si="228"/>
        <v/>
      </c>
      <c r="AS857" s="758">
        <f t="shared" si="229"/>
        <v>0</v>
      </c>
      <c r="AT857" s="758">
        <f t="shared" si="230"/>
        <v>0</v>
      </c>
      <c r="AU857" s="758">
        <f t="shared" si="231"/>
        <v>0</v>
      </c>
      <c r="AV857" s="323">
        <f>IF(AR857="",AQ857,MAX(IFERROR(MATCH(PDs!O66,AS857:AU857,0),0),AQ857))</f>
        <v>1</v>
      </c>
      <c r="AW857" s="2647" t="str">
        <f t="shared" si="232"/>
        <v/>
      </c>
      <c r="AX857" s="758">
        <f t="shared" si="233"/>
        <v>0</v>
      </c>
      <c r="AY857" s="758">
        <f t="shared" si="234"/>
        <v>0</v>
      </c>
      <c r="AZ857" s="758">
        <f t="shared" si="235"/>
        <v>0</v>
      </c>
      <c r="BA857" s="323">
        <f>IF(AW857="",AV857,MAX(IFERROR(MATCH(PDs!Q66,AX857:AZ857,0),0),AV857))</f>
        <v>1</v>
      </c>
      <c r="BB857" s="2647" t="str">
        <f t="shared" si="236"/>
        <v/>
      </c>
      <c r="BC857" s="758">
        <f t="shared" si="237"/>
        <v>0</v>
      </c>
      <c r="BD857" s="758">
        <f t="shared" si="238"/>
        <v>0</v>
      </c>
      <c r="BE857" s="758">
        <f t="shared" si="239"/>
        <v>0</v>
      </c>
      <c r="BF857" s="323">
        <f>IF(BB857="",BA857,MAX(IFERROR(MATCH(PDs!S66,BC857:BE857,0),0),BA857))</f>
        <v>1</v>
      </c>
      <c r="BG857" s="2647" t="str">
        <f t="shared" si="240"/>
        <v/>
      </c>
      <c r="BH857" s="758">
        <f t="shared" si="241"/>
        <v>0</v>
      </c>
      <c r="BI857" s="758">
        <f t="shared" si="242"/>
        <v>0</v>
      </c>
      <c r="BJ857" s="758">
        <f t="shared" si="243"/>
        <v>0</v>
      </c>
      <c r="BK857" s="323">
        <f>IF(BG857="",BF857,MAX(IFERROR(MATCH(PDs!U66,BH857:BJ857,0),0),BF857))</f>
        <v>1</v>
      </c>
      <c r="BL857" s="654">
        <f t="shared" si="244"/>
        <v>0</v>
      </c>
    </row>
    <row r="858" spans="1:64" ht="12.75" customHeight="1" thickBot="1" x14ac:dyDescent="0.25">
      <c r="A858" s="227">
        <v>858</v>
      </c>
      <c r="B858" s="5988"/>
      <c r="C858" s="489"/>
      <c r="D858" s="2421" t="s">
        <v>876</v>
      </c>
      <c r="E858" s="2418">
        <f>20+Bono_Fue</f>
        <v>20</v>
      </c>
      <c r="F858" s="2418"/>
      <c r="G858" s="2418">
        <v>10</v>
      </c>
      <c r="H858" s="2418"/>
      <c r="I858" s="2418">
        <v>10</v>
      </c>
      <c r="J858" s="2418"/>
      <c r="K858" s="2418"/>
      <c r="L858" s="2418"/>
      <c r="M858" s="2423"/>
      <c r="N858" s="2423" t="s">
        <v>877</v>
      </c>
      <c r="O858" s="2423"/>
      <c r="P858" s="2423"/>
      <c r="Q858" s="2423"/>
      <c r="R858" s="2423"/>
      <c r="S858" s="2419">
        <f t="shared" si="221"/>
        <v>31</v>
      </c>
      <c r="T858" s="2418"/>
      <c r="U858" s="2418"/>
      <c r="V858" s="2418"/>
      <c r="W858" s="2418"/>
      <c r="X858" s="2418">
        <f t="shared" si="222"/>
        <v>0</v>
      </c>
      <c r="Y858" s="2418">
        <f>IF(OR(Y859&gt;0,COUNTIF(PDs!$AD$59:$AD$77,Tablas!D858)&gt;0),1,0)</f>
        <v>0</v>
      </c>
      <c r="Z858" s="2418" t="str">
        <f>IF(OR(Baile_final&lt;40,Baile_final="-",AB858&lt;120),"NO","-")</f>
        <v>NO</v>
      </c>
      <c r="AA858" s="1025">
        <f>HA_final-PDs!$X$25+MIN(PDs!$X$25+H$940-H858,50)</f>
        <v>0</v>
      </c>
      <c r="AB858" s="2420">
        <f>HE_final-PDs!$X$27+MIN(PDs!$X$27+I$940-I858,50)</f>
        <v>-10</v>
      </c>
      <c r="AC858" s="1265">
        <f>HP_final-PDs!$X$26+MIN(PDs!$X$26+J$940-J858,50)</f>
        <v>0</v>
      </c>
      <c r="AE858" s="1264" t="s">
        <v>7123</v>
      </c>
      <c r="AI858" s="1328" t="str">
        <f>IF(PDs!E67="","",PDs!E67)</f>
        <v/>
      </c>
      <c r="AJ858" s="758" t="str">
        <f>IF(PDs!J67="","",PDs!J67)</f>
        <v/>
      </c>
      <c r="AK858" s="758" t="str">
        <f t="shared" si="223"/>
        <v/>
      </c>
      <c r="AL858" s="758" t="str">
        <f t="shared" si="224"/>
        <v/>
      </c>
      <c r="AM858" s="1025" t="str">
        <f t="shared" si="225"/>
        <v/>
      </c>
      <c r="AN858" s="758">
        <f t="shared" si="245"/>
        <v>0</v>
      </c>
      <c r="AO858" s="758">
        <f t="shared" si="226"/>
        <v>0</v>
      </c>
      <c r="AP858" s="758">
        <f t="shared" si="227"/>
        <v>0</v>
      </c>
      <c r="AQ858" s="323">
        <f>IFERROR(MATCH(PDs!M67,AN858:AP858,0),0)</f>
        <v>1</v>
      </c>
      <c r="AR858" s="1025" t="str">
        <f t="shared" si="228"/>
        <v/>
      </c>
      <c r="AS858" s="758">
        <f t="shared" si="229"/>
        <v>0</v>
      </c>
      <c r="AT858" s="758">
        <f t="shared" si="230"/>
        <v>0</v>
      </c>
      <c r="AU858" s="758">
        <f t="shared" si="231"/>
        <v>0</v>
      </c>
      <c r="AV858" s="323">
        <f>IF(AR858="",AQ858,MAX(IFERROR(MATCH(PDs!O67,AS858:AU858,0),0),AQ858))</f>
        <v>1</v>
      </c>
      <c r="AW858" s="2647" t="str">
        <f t="shared" si="232"/>
        <v/>
      </c>
      <c r="AX858" s="758">
        <f t="shared" si="233"/>
        <v>0</v>
      </c>
      <c r="AY858" s="758">
        <f t="shared" si="234"/>
        <v>0</v>
      </c>
      <c r="AZ858" s="758">
        <f t="shared" si="235"/>
        <v>0</v>
      </c>
      <c r="BA858" s="323">
        <f>IF(AW858="",AV858,MAX(IFERROR(MATCH(PDs!Q67,AX858:AZ858,0),0),AV858))</f>
        <v>1</v>
      </c>
      <c r="BB858" s="2647" t="str">
        <f t="shared" si="236"/>
        <v/>
      </c>
      <c r="BC858" s="758">
        <f t="shared" si="237"/>
        <v>0</v>
      </c>
      <c r="BD858" s="758">
        <f t="shared" si="238"/>
        <v>0</v>
      </c>
      <c r="BE858" s="758">
        <f t="shared" si="239"/>
        <v>0</v>
      </c>
      <c r="BF858" s="323">
        <f>IF(BB858="",BA858,MAX(IFERROR(MATCH(PDs!S67,BC858:BE858,0),0),BA858))</f>
        <v>1</v>
      </c>
      <c r="BG858" s="2647" t="str">
        <f t="shared" si="240"/>
        <v/>
      </c>
      <c r="BH858" s="758">
        <f t="shared" si="241"/>
        <v>0</v>
      </c>
      <c r="BI858" s="758">
        <f t="shared" si="242"/>
        <v>0</v>
      </c>
      <c r="BJ858" s="758">
        <f t="shared" si="243"/>
        <v>0</v>
      </c>
      <c r="BK858" s="323">
        <f>IF(BG858="",BF858,MAX(IFERROR(MATCH(PDs!U67,BH858:BJ858,0),0),BF858))</f>
        <v>1</v>
      </c>
      <c r="BL858" s="654">
        <f t="shared" si="244"/>
        <v>0</v>
      </c>
    </row>
    <row r="859" spans="1:64" ht="12.75" customHeight="1" thickBot="1" x14ac:dyDescent="0.25">
      <c r="A859" s="227">
        <v>859</v>
      </c>
      <c r="B859" s="5988"/>
      <c r="C859" s="489"/>
      <c r="D859" s="2421" t="s">
        <v>878</v>
      </c>
      <c r="E859" s="2418">
        <f>20+Bono_Fue</f>
        <v>20</v>
      </c>
      <c r="F859" s="2418"/>
      <c r="G859" s="2418">
        <v>20</v>
      </c>
      <c r="H859" s="2418"/>
      <c r="I859" s="2418">
        <v>10</v>
      </c>
      <c r="J859" s="2418"/>
      <c r="K859" s="2418"/>
      <c r="L859" s="2418"/>
      <c r="M859" s="2423"/>
      <c r="N859" s="2423" t="s">
        <v>8767</v>
      </c>
      <c r="O859" s="2423"/>
      <c r="P859" s="2423"/>
      <c r="Q859" s="2423"/>
      <c r="R859" s="2423"/>
      <c r="S859" s="2419">
        <f t="shared" si="221"/>
        <v>64</v>
      </c>
      <c r="T859" s="2418"/>
      <c r="U859" s="2418"/>
      <c r="V859" s="2418"/>
      <c r="W859" s="2418"/>
      <c r="X859" s="2418">
        <f t="shared" si="222"/>
        <v>0</v>
      </c>
      <c r="Y859" s="2418">
        <f>IF(COUNTIF(PDs!$AD$59:$AD$77,Tablas!D859)&gt;0,1,0)</f>
        <v>0</v>
      </c>
      <c r="Z859" s="2418" t="str">
        <f>IF(OR(Baile_final&lt;120,Baile_final="-",AB859&lt;200),"NO","-")</f>
        <v>NO</v>
      </c>
      <c r="AA859" s="1025">
        <f>HA_final-PDs!$X$25+MIN(PDs!$X$25+H$940-H859,50)</f>
        <v>0</v>
      </c>
      <c r="AB859" s="2420">
        <f>HE_final-PDs!$X$27+MIN(PDs!$X$27+I$940-I859,50)</f>
        <v>-10</v>
      </c>
      <c r="AC859" s="1265">
        <f>HP_final-PDs!$X$26+MIN(PDs!$X$26+J$940-J859,50)</f>
        <v>0</v>
      </c>
      <c r="AE859" s="1264" t="s">
        <v>7124</v>
      </c>
      <c r="AF859" s="1263" t="s">
        <v>8752</v>
      </c>
      <c r="AG859" s="1267" t="s">
        <v>8753</v>
      </c>
      <c r="AI859" s="1328" t="str">
        <f>IF(PDs!E68="","",PDs!E68)</f>
        <v/>
      </c>
      <c r="AJ859" s="758" t="str">
        <f>IF(PDs!J68="","",PDs!J68)</f>
        <v/>
      </c>
      <c r="AK859" s="758" t="str">
        <f t="shared" si="223"/>
        <v/>
      </c>
      <c r="AL859" s="758" t="str">
        <f t="shared" si="224"/>
        <v/>
      </c>
      <c r="AM859" s="1025" t="str">
        <f t="shared" si="225"/>
        <v/>
      </c>
      <c r="AN859" s="758">
        <f t="shared" si="245"/>
        <v>0</v>
      </c>
      <c r="AO859" s="758">
        <f t="shared" si="226"/>
        <v>0</v>
      </c>
      <c r="AP859" s="758">
        <f t="shared" si="227"/>
        <v>0</v>
      </c>
      <c r="AQ859" s="323">
        <f>IFERROR(MATCH(PDs!M68,AN859:AP859,0),0)</f>
        <v>1</v>
      </c>
      <c r="AR859" s="1025" t="str">
        <f t="shared" si="228"/>
        <v/>
      </c>
      <c r="AS859" s="758">
        <f t="shared" si="229"/>
        <v>0</v>
      </c>
      <c r="AT859" s="758">
        <f t="shared" si="230"/>
        <v>0</v>
      </c>
      <c r="AU859" s="758">
        <f t="shared" si="231"/>
        <v>0</v>
      </c>
      <c r="AV859" s="323">
        <f>IF(AR859="",AQ859,MAX(IFERROR(MATCH(PDs!O68,AS859:AU859,0),0),AQ859))</f>
        <v>1</v>
      </c>
      <c r="AW859" s="2647" t="str">
        <f t="shared" si="232"/>
        <v/>
      </c>
      <c r="AX859" s="758">
        <f t="shared" si="233"/>
        <v>0</v>
      </c>
      <c r="AY859" s="758">
        <f t="shared" si="234"/>
        <v>0</v>
      </c>
      <c r="AZ859" s="758">
        <f t="shared" si="235"/>
        <v>0</v>
      </c>
      <c r="BA859" s="323">
        <f>IF(AW859="",AV859,MAX(IFERROR(MATCH(PDs!Q68,AX859:AZ859,0),0),AV859))</f>
        <v>1</v>
      </c>
      <c r="BB859" s="2647" t="str">
        <f t="shared" si="236"/>
        <v/>
      </c>
      <c r="BC859" s="758">
        <f t="shared" si="237"/>
        <v>0</v>
      </c>
      <c r="BD859" s="758">
        <f t="shared" si="238"/>
        <v>0</v>
      </c>
      <c r="BE859" s="758">
        <f t="shared" si="239"/>
        <v>0</v>
      </c>
      <c r="BF859" s="323">
        <f>IF(BB859="",BA859,MAX(IFERROR(MATCH(PDs!S68,BC859:BE859,0),0),BA859))</f>
        <v>1</v>
      </c>
      <c r="BG859" s="2647" t="str">
        <f t="shared" si="240"/>
        <v/>
      </c>
      <c r="BH859" s="758">
        <f t="shared" si="241"/>
        <v>0</v>
      </c>
      <c r="BI859" s="758">
        <f t="shared" si="242"/>
        <v>0</v>
      </c>
      <c r="BJ859" s="758">
        <f t="shared" si="243"/>
        <v>0</v>
      </c>
      <c r="BK859" s="323">
        <f>IF(BG859="",BF859,MAX(IFERROR(MATCH(PDs!U68,BH859:BJ859,0),0),BF859))</f>
        <v>1</v>
      </c>
      <c r="BL859" s="654">
        <f t="shared" si="244"/>
        <v>0</v>
      </c>
    </row>
    <row r="860" spans="1:64" ht="12.75" customHeight="1" x14ac:dyDescent="0.2">
      <c r="A860" s="227">
        <v>860</v>
      </c>
      <c r="B860" s="5988"/>
      <c r="C860" s="489"/>
      <c r="D860" s="2421" t="s">
        <v>879</v>
      </c>
      <c r="E860" s="2418">
        <f>10+Bono_Fue</f>
        <v>10</v>
      </c>
      <c r="F860" s="2418"/>
      <c r="G860" s="2418">
        <v>0</v>
      </c>
      <c r="H860" s="2418"/>
      <c r="I860" s="2418"/>
      <c r="J860" s="2418"/>
      <c r="K860" s="2418"/>
      <c r="L860" s="2418"/>
      <c r="M860" s="2423"/>
      <c r="N860" s="2423" t="s">
        <v>880</v>
      </c>
      <c r="O860" s="2423"/>
      <c r="P860" s="2423"/>
      <c r="Q860" s="2423"/>
      <c r="R860" s="2423"/>
      <c r="S860" s="2419">
        <f t="shared" si="221"/>
        <v>42</v>
      </c>
      <c r="T860" s="2418"/>
      <c r="U860" s="2418"/>
      <c r="V860" s="2418"/>
      <c r="W860" s="2418"/>
      <c r="X860" s="2418">
        <f t="shared" si="222"/>
        <v>0</v>
      </c>
      <c r="Y860" s="2418">
        <f>IF(OR(Y861&gt;0,COUNTIF(PDs!$AD$59:$AD$77,Tablas!D860)&gt;0),1,0)</f>
        <v>0</v>
      </c>
      <c r="Z860" s="2418" t="str">
        <f>IF(P.Fuerza_final&lt;20,"NO","-")</f>
        <v>NO</v>
      </c>
      <c r="AA860" s="1025">
        <f>HA_final-PDs!$X$25+MIN(PDs!$X$25+H$940-H860,50)</f>
        <v>0</v>
      </c>
      <c r="AB860" s="2420">
        <f>HE_final-PDs!$X$27+MIN(PDs!$X$27+I$940-I860,50)</f>
        <v>0</v>
      </c>
      <c r="AC860" s="1265">
        <f>HP_final-PDs!$X$26+MIN(PDs!$X$26+J$940-J860,50)</f>
        <v>0</v>
      </c>
      <c r="AE860" s="1264" t="s">
        <v>7125</v>
      </c>
      <c r="AF860" s="561" t="s">
        <v>1365</v>
      </c>
      <c r="AG860" s="1268" t="s">
        <v>1365</v>
      </c>
      <c r="AI860" s="1328" t="str">
        <f>IF(PDs!E69="","",PDs!E69)</f>
        <v/>
      </c>
      <c r="AJ860" s="758" t="str">
        <f>IF(PDs!J69="","",PDs!J69)</f>
        <v/>
      </c>
      <c r="AK860" s="758" t="str">
        <f t="shared" si="223"/>
        <v/>
      </c>
      <c r="AL860" s="758" t="str">
        <f t="shared" si="224"/>
        <v/>
      </c>
      <c r="AM860" s="1025" t="str">
        <f t="shared" si="225"/>
        <v/>
      </c>
      <c r="AN860" s="758">
        <f t="shared" si="245"/>
        <v>0</v>
      </c>
      <c r="AO860" s="758">
        <f t="shared" si="226"/>
        <v>0</v>
      </c>
      <c r="AP860" s="758">
        <f t="shared" si="227"/>
        <v>0</v>
      </c>
      <c r="AQ860" s="323">
        <f>IFERROR(MATCH(PDs!M69,AN860:AP860,0),0)</f>
        <v>1</v>
      </c>
      <c r="AR860" s="1025" t="str">
        <f t="shared" si="228"/>
        <v/>
      </c>
      <c r="AS860" s="758">
        <f t="shared" si="229"/>
        <v>0</v>
      </c>
      <c r="AT860" s="758">
        <f t="shared" si="230"/>
        <v>0</v>
      </c>
      <c r="AU860" s="758">
        <f t="shared" si="231"/>
        <v>0</v>
      </c>
      <c r="AV860" s="323">
        <f>IF(AR860="",AQ860,MAX(IFERROR(MATCH(PDs!O69,AS860:AU860,0),0),AQ860))</f>
        <v>1</v>
      </c>
      <c r="AW860" s="2647" t="str">
        <f t="shared" si="232"/>
        <v/>
      </c>
      <c r="AX860" s="758">
        <f t="shared" si="233"/>
        <v>0</v>
      </c>
      <c r="AY860" s="758">
        <f t="shared" si="234"/>
        <v>0</v>
      </c>
      <c r="AZ860" s="758">
        <f t="shared" si="235"/>
        <v>0</v>
      </c>
      <c r="BA860" s="323">
        <f>IF(AW860="",AV860,MAX(IFERROR(MATCH(PDs!Q69,AX860:AZ860,0),0),AV860))</f>
        <v>1</v>
      </c>
      <c r="BB860" s="2647" t="str">
        <f t="shared" si="236"/>
        <v/>
      </c>
      <c r="BC860" s="758">
        <f t="shared" si="237"/>
        <v>0</v>
      </c>
      <c r="BD860" s="758">
        <f t="shared" si="238"/>
        <v>0</v>
      </c>
      <c r="BE860" s="758">
        <f t="shared" si="239"/>
        <v>0</v>
      </c>
      <c r="BF860" s="323">
        <f>IF(BB860="",BA860,MAX(IFERROR(MATCH(PDs!S69,BC860:BE860,0),0),BA860))</f>
        <v>1</v>
      </c>
      <c r="BG860" s="2647" t="str">
        <f t="shared" si="240"/>
        <v/>
      </c>
      <c r="BH860" s="758">
        <f t="shared" si="241"/>
        <v>0</v>
      </c>
      <c r="BI860" s="758">
        <f t="shared" si="242"/>
        <v>0</v>
      </c>
      <c r="BJ860" s="758">
        <f t="shared" si="243"/>
        <v>0</v>
      </c>
      <c r="BK860" s="323">
        <f>IF(BG860="",BF860,MAX(IFERROR(MATCH(PDs!U69,BH860:BJ860,0),0),BF860))</f>
        <v>1</v>
      </c>
      <c r="BL860" s="654">
        <f t="shared" si="244"/>
        <v>0</v>
      </c>
    </row>
    <row r="861" spans="1:64" ht="12.75" customHeight="1" thickBot="1" x14ac:dyDescent="0.25">
      <c r="A861" s="227">
        <v>861</v>
      </c>
      <c r="B861" s="5988"/>
      <c r="C861" s="489"/>
      <c r="D861" s="2421" t="s">
        <v>881</v>
      </c>
      <c r="E861" s="2418">
        <f>20+Bono_Fue</f>
        <v>20</v>
      </c>
      <c r="F861" s="2418"/>
      <c r="G861" s="2418">
        <v>10</v>
      </c>
      <c r="H861" s="2418"/>
      <c r="I861" s="2418"/>
      <c r="J861" s="2418"/>
      <c r="K861" s="2418"/>
      <c r="L861" s="2418"/>
      <c r="M861" s="2423"/>
      <c r="N861" s="2423" t="s">
        <v>882</v>
      </c>
      <c r="O861" s="2423"/>
      <c r="P861" s="2423"/>
      <c r="Q861" s="2423"/>
      <c r="R861" s="2423"/>
      <c r="S861" s="2419">
        <f t="shared" si="221"/>
        <v>33</v>
      </c>
      <c r="T861" s="2418"/>
      <c r="U861" s="2418"/>
      <c r="V861" s="2418"/>
      <c r="W861" s="2418"/>
      <c r="X861" s="2418">
        <f t="shared" si="222"/>
        <v>0</v>
      </c>
      <c r="Y861" s="2418">
        <f>IF(OR(Y862&gt;0,COUNTIF(PDs!$AD$59:$AD$77,Tablas!D861)&gt;0),1,0)</f>
        <v>0</v>
      </c>
      <c r="Z861" s="2418" t="str">
        <f>IF(OR(P.Fuerza_final&lt;40,AA861&lt;130),"NO","-")</f>
        <v>NO</v>
      </c>
      <c r="AA861" s="1025">
        <f>HA_final-PDs!$X$25+MIN(PDs!$X$25+H$940-H861,50)</f>
        <v>0</v>
      </c>
      <c r="AB861" s="2420">
        <f>HE_final-PDs!$X$27+MIN(PDs!$X$27+I$940-I861,50)</f>
        <v>0</v>
      </c>
      <c r="AC861" s="1265">
        <f>HP_final-PDs!$X$26+MIN(PDs!$X$26+J$940-J861,50)</f>
        <v>0</v>
      </c>
      <c r="AE861" s="1264" t="s">
        <v>7126</v>
      </c>
      <c r="AF861" s="561" t="s">
        <v>8754</v>
      </c>
      <c r="AG861" s="1266" t="s">
        <v>8755</v>
      </c>
      <c r="AI861" s="1328" t="str">
        <f>IF(PDs!E70="","",PDs!E70)</f>
        <v/>
      </c>
      <c r="AJ861" s="758" t="str">
        <f>IF(PDs!J70="","",PDs!J70)</f>
        <v/>
      </c>
      <c r="AK861" s="758" t="str">
        <f t="shared" si="223"/>
        <v/>
      </c>
      <c r="AL861" s="758" t="str">
        <f t="shared" si="224"/>
        <v/>
      </c>
      <c r="AM861" s="1025" t="str">
        <f t="shared" si="225"/>
        <v/>
      </c>
      <c r="AN861" s="758">
        <f t="shared" si="245"/>
        <v>0</v>
      </c>
      <c r="AO861" s="758">
        <f t="shared" si="226"/>
        <v>0</v>
      </c>
      <c r="AP861" s="758">
        <f t="shared" si="227"/>
        <v>0</v>
      </c>
      <c r="AQ861" s="323">
        <f>IFERROR(MATCH(PDs!M70,AN861:AP861,0),0)</f>
        <v>1</v>
      </c>
      <c r="AR861" s="1025" t="str">
        <f t="shared" si="228"/>
        <v/>
      </c>
      <c r="AS861" s="758">
        <f t="shared" si="229"/>
        <v>0</v>
      </c>
      <c r="AT861" s="758">
        <f t="shared" si="230"/>
        <v>0</v>
      </c>
      <c r="AU861" s="758">
        <f t="shared" si="231"/>
        <v>0</v>
      </c>
      <c r="AV861" s="323">
        <f>IF(AR861="",AQ861,MAX(IFERROR(MATCH(PDs!O70,AS861:AU861,0),0),AQ861))</f>
        <v>1</v>
      </c>
      <c r="AW861" s="2647" t="str">
        <f t="shared" si="232"/>
        <v/>
      </c>
      <c r="AX861" s="758">
        <f t="shared" si="233"/>
        <v>0</v>
      </c>
      <c r="AY861" s="758">
        <f t="shared" si="234"/>
        <v>0</v>
      </c>
      <c r="AZ861" s="758">
        <f t="shared" si="235"/>
        <v>0</v>
      </c>
      <c r="BA861" s="323">
        <f>IF(AW861="",AV861,MAX(IFERROR(MATCH(PDs!Q70,AX861:AZ861,0),0),AV861))</f>
        <v>1</v>
      </c>
      <c r="BB861" s="2647" t="str">
        <f t="shared" si="236"/>
        <v/>
      </c>
      <c r="BC861" s="758">
        <f t="shared" si="237"/>
        <v>0</v>
      </c>
      <c r="BD861" s="758">
        <f t="shared" si="238"/>
        <v>0</v>
      </c>
      <c r="BE861" s="758">
        <f t="shared" si="239"/>
        <v>0</v>
      </c>
      <c r="BF861" s="323">
        <f>IF(BB861="",BA861,MAX(IFERROR(MATCH(PDs!S70,BC861:BE861,0),0),BA861))</f>
        <v>1</v>
      </c>
      <c r="BG861" s="2647" t="str">
        <f t="shared" si="240"/>
        <v/>
      </c>
      <c r="BH861" s="758">
        <f t="shared" si="241"/>
        <v>0</v>
      </c>
      <c r="BI861" s="758">
        <f t="shared" si="242"/>
        <v>0</v>
      </c>
      <c r="BJ861" s="758">
        <f t="shared" si="243"/>
        <v>0</v>
      </c>
      <c r="BK861" s="323">
        <f>IF(BG861="",BF861,MAX(IFERROR(MATCH(PDs!U70,BH861:BJ861,0),0),BF861))</f>
        <v>1</v>
      </c>
      <c r="BL861" s="654">
        <f t="shared" si="244"/>
        <v>0</v>
      </c>
    </row>
    <row r="862" spans="1:64" ht="12.75" customHeight="1" thickBot="1" x14ac:dyDescent="0.25">
      <c r="A862" s="227">
        <v>862</v>
      </c>
      <c r="B862" s="5988"/>
      <c r="C862" s="489"/>
      <c r="D862" s="2421" t="s">
        <v>883</v>
      </c>
      <c r="E862" s="2418">
        <f>20+Bono_Fue</f>
        <v>20</v>
      </c>
      <c r="F862" s="2418"/>
      <c r="G862" s="2418">
        <v>20</v>
      </c>
      <c r="H862" s="2418"/>
      <c r="I862" s="2418"/>
      <c r="J862" s="2418"/>
      <c r="K862" s="2418"/>
      <c r="L862" s="2418"/>
      <c r="M862" s="2423"/>
      <c r="N862" s="2423" t="s">
        <v>8768</v>
      </c>
      <c r="O862" s="2423"/>
      <c r="P862" s="2423"/>
      <c r="Q862" s="2423"/>
      <c r="R862" s="2423"/>
      <c r="S862" s="2419">
        <f t="shared" si="221"/>
        <v>82</v>
      </c>
      <c r="T862" s="2418"/>
      <c r="U862" s="2418"/>
      <c r="V862" s="2418"/>
      <c r="W862" s="2418"/>
      <c r="X862" s="2418">
        <f t="shared" si="222"/>
        <v>0</v>
      </c>
      <c r="Y862" s="2418">
        <f>IF(COUNTIF(PDs!$AD$59:$AD$77,Tablas!D862)&gt;0,1,0)</f>
        <v>0</v>
      </c>
      <c r="Z862" s="2418" t="str">
        <f>IF(OR(P.Fuerza_final&lt;120,AA862&lt;200),"NO","-")</f>
        <v>NO</v>
      </c>
      <c r="AA862" s="1025">
        <f>HA_final-PDs!$X$25+MIN(PDs!$X$25+H$940-H862,50)</f>
        <v>0</v>
      </c>
      <c r="AB862" s="2420">
        <f>HE_final-PDs!$X$27+MIN(PDs!$X$27+I$940-I862,50)</f>
        <v>0</v>
      </c>
      <c r="AC862" s="1265">
        <f>HP_final-PDs!$X$26+MIN(PDs!$X$26+J$940-J862,50)</f>
        <v>0</v>
      </c>
      <c r="AE862" s="1264" t="s">
        <v>7127</v>
      </c>
      <c r="AF862" s="1266" t="s">
        <v>8756</v>
      </c>
      <c r="AI862" s="1328" t="str">
        <f>IF(PDs!E71="","",PDs!E71)</f>
        <v/>
      </c>
      <c r="AJ862" s="758" t="str">
        <f>IF(PDs!J71="","",PDs!J71)</f>
        <v/>
      </c>
      <c r="AK862" s="758" t="str">
        <f t="shared" si="223"/>
        <v/>
      </c>
      <c r="AL862" s="758" t="str">
        <f t="shared" si="224"/>
        <v/>
      </c>
      <c r="AM862" s="1025" t="str">
        <f t="shared" si="225"/>
        <v/>
      </c>
      <c r="AN862" s="758">
        <f t="shared" si="245"/>
        <v>0</v>
      </c>
      <c r="AO862" s="758">
        <f t="shared" si="226"/>
        <v>0</v>
      </c>
      <c r="AP862" s="758">
        <f t="shared" si="227"/>
        <v>0</v>
      </c>
      <c r="AQ862" s="323">
        <f>IFERROR(MATCH(PDs!M71,AN862:AP862,0),0)</f>
        <v>1</v>
      </c>
      <c r="AR862" s="1025" t="str">
        <f t="shared" si="228"/>
        <v/>
      </c>
      <c r="AS862" s="758">
        <f t="shared" si="229"/>
        <v>0</v>
      </c>
      <c r="AT862" s="758">
        <f t="shared" si="230"/>
        <v>0</v>
      </c>
      <c r="AU862" s="758">
        <f t="shared" si="231"/>
        <v>0</v>
      </c>
      <c r="AV862" s="323">
        <f>IF(AR862="",AQ862,MAX(IFERROR(MATCH(PDs!O71,AS862:AU862,0),0),AQ862))</f>
        <v>1</v>
      </c>
      <c r="AW862" s="2647" t="str">
        <f t="shared" si="232"/>
        <v/>
      </c>
      <c r="AX862" s="758">
        <f t="shared" si="233"/>
        <v>0</v>
      </c>
      <c r="AY862" s="758">
        <f t="shared" si="234"/>
        <v>0</v>
      </c>
      <c r="AZ862" s="758">
        <f t="shared" si="235"/>
        <v>0</v>
      </c>
      <c r="BA862" s="323">
        <f>IF(AW862="",AV862,MAX(IFERROR(MATCH(PDs!Q71,AX862:AZ862,0),0),AV862))</f>
        <v>1</v>
      </c>
      <c r="BB862" s="2647" t="str">
        <f t="shared" si="236"/>
        <v/>
      </c>
      <c r="BC862" s="758">
        <f t="shared" si="237"/>
        <v>0</v>
      </c>
      <c r="BD862" s="758">
        <f t="shared" si="238"/>
        <v>0</v>
      </c>
      <c r="BE862" s="758">
        <f t="shared" si="239"/>
        <v>0</v>
      </c>
      <c r="BF862" s="323">
        <f>IF(BB862="",BA862,MAX(IFERROR(MATCH(PDs!S71,BC862:BE862,0),0),BA862))</f>
        <v>1</v>
      </c>
      <c r="BG862" s="2647" t="str">
        <f t="shared" si="240"/>
        <v/>
      </c>
      <c r="BH862" s="758">
        <f t="shared" si="241"/>
        <v>0</v>
      </c>
      <c r="BI862" s="758">
        <f t="shared" si="242"/>
        <v>0</v>
      </c>
      <c r="BJ862" s="758">
        <f t="shared" si="243"/>
        <v>0</v>
      </c>
      <c r="BK862" s="323">
        <f>IF(BG862="",BF862,MAX(IFERROR(MATCH(PDs!U71,BH862:BJ862,0),0),BF862))</f>
        <v>1</v>
      </c>
      <c r="BL862" s="654">
        <f t="shared" si="244"/>
        <v>0</v>
      </c>
    </row>
    <row r="863" spans="1:64" ht="12.75" customHeight="1" x14ac:dyDescent="0.2">
      <c r="A863" s="227">
        <v>863</v>
      </c>
      <c r="B863" s="5988"/>
      <c r="C863" s="489"/>
      <c r="D863" s="2421" t="s">
        <v>884</v>
      </c>
      <c r="E863" s="2418">
        <f>10+Bono_Fue</f>
        <v>10</v>
      </c>
      <c r="F863" s="2418"/>
      <c r="G863" s="2418">
        <v>0</v>
      </c>
      <c r="H863" s="2418"/>
      <c r="I863" s="2418"/>
      <c r="J863" s="2418"/>
      <c r="K863" s="2418"/>
      <c r="L863" s="2418"/>
      <c r="M863" s="2423"/>
      <c r="N863" s="2423" t="s">
        <v>885</v>
      </c>
      <c r="O863" s="2423"/>
      <c r="P863" s="2423"/>
      <c r="Q863" s="2423"/>
      <c r="R863" s="2423"/>
      <c r="S863" s="2419">
        <f t="shared" si="221"/>
        <v>61</v>
      </c>
      <c r="T863" s="2418"/>
      <c r="U863" s="2418"/>
      <c r="V863" s="2418"/>
      <c r="W863" s="2418"/>
      <c r="X863" s="2418">
        <f t="shared" si="222"/>
        <v>0</v>
      </c>
      <c r="Y863" s="2418">
        <f>IF(OR(Y864&gt;0,COUNTIF(PDs!$AD$59:$AD$77,Tablas!D863)&gt;0),1,0)</f>
        <v>0</v>
      </c>
      <c r="Z863" s="2418" t="str">
        <f>IF(OR(T.Manos_final&lt;20,Atletismo_final&lt;40),"NO","-")</f>
        <v>NO</v>
      </c>
      <c r="AA863" s="1025">
        <f>HA_final-PDs!$X$25+MIN(PDs!$X$25+H$940-H863,50)</f>
        <v>0</v>
      </c>
      <c r="AB863" s="2420">
        <f>HE_final-PDs!$X$27+MIN(PDs!$X$27+I$940-I863,50)</f>
        <v>0</v>
      </c>
      <c r="AC863" s="1265">
        <f>HP_final-PDs!$X$26+MIN(PDs!$X$26+J$940-J863,50)</f>
        <v>0</v>
      </c>
      <c r="AE863" s="1264" t="s">
        <v>7128</v>
      </c>
      <c r="AI863" s="1328" t="str">
        <f>IF(PDs!E72="","",PDs!E72)</f>
        <v/>
      </c>
      <c r="AJ863" s="758" t="str">
        <f>IF(PDs!J72="","",PDs!J72)</f>
        <v/>
      </c>
      <c r="AK863" s="758" t="str">
        <f t="shared" si="223"/>
        <v/>
      </c>
      <c r="AL863" s="758" t="str">
        <f t="shared" si="224"/>
        <v/>
      </c>
      <c r="AM863" s="1025" t="str">
        <f t="shared" si="225"/>
        <v/>
      </c>
      <c r="AN863" s="758">
        <f t="shared" si="245"/>
        <v>0</v>
      </c>
      <c r="AO863" s="758">
        <f t="shared" si="226"/>
        <v>0</v>
      </c>
      <c r="AP863" s="758">
        <f t="shared" si="227"/>
        <v>0</v>
      </c>
      <c r="AQ863" s="323">
        <f>IFERROR(MATCH(PDs!M72,AN863:AP863,0),0)</f>
        <v>1</v>
      </c>
      <c r="AR863" s="1025" t="str">
        <f t="shared" si="228"/>
        <v/>
      </c>
      <c r="AS863" s="758">
        <f t="shared" si="229"/>
        <v>0</v>
      </c>
      <c r="AT863" s="758">
        <f t="shared" si="230"/>
        <v>0</v>
      </c>
      <c r="AU863" s="758">
        <f t="shared" si="231"/>
        <v>0</v>
      </c>
      <c r="AV863" s="323">
        <f>IF(AR863="",AQ863,MAX(IFERROR(MATCH(PDs!O72,AS863:AU863,0),0),AQ863))</f>
        <v>1</v>
      </c>
      <c r="AW863" s="2647" t="str">
        <f t="shared" si="232"/>
        <v/>
      </c>
      <c r="AX863" s="758">
        <f t="shared" si="233"/>
        <v>0</v>
      </c>
      <c r="AY863" s="758">
        <f t="shared" si="234"/>
        <v>0</v>
      </c>
      <c r="AZ863" s="758">
        <f t="shared" si="235"/>
        <v>0</v>
      </c>
      <c r="BA863" s="323">
        <f>IF(AW863="",AV863,MAX(IFERROR(MATCH(PDs!Q72,AX863:AZ863,0),0),AV863))</f>
        <v>1</v>
      </c>
      <c r="BB863" s="2647" t="str">
        <f t="shared" si="236"/>
        <v/>
      </c>
      <c r="BC863" s="758">
        <f t="shared" si="237"/>
        <v>0</v>
      </c>
      <c r="BD863" s="758">
        <f t="shared" si="238"/>
        <v>0</v>
      </c>
      <c r="BE863" s="758">
        <f t="shared" si="239"/>
        <v>0</v>
      </c>
      <c r="BF863" s="323">
        <f>IF(BB863="",BA863,MAX(IFERROR(MATCH(PDs!S72,BC863:BE863,0),0),BA863))</f>
        <v>1</v>
      </c>
      <c r="BG863" s="2647" t="str">
        <f t="shared" si="240"/>
        <v/>
      </c>
      <c r="BH863" s="758">
        <f t="shared" si="241"/>
        <v>0</v>
      </c>
      <c r="BI863" s="758">
        <f t="shared" si="242"/>
        <v>0</v>
      </c>
      <c r="BJ863" s="758">
        <f t="shared" si="243"/>
        <v>0</v>
      </c>
      <c r="BK863" s="323">
        <f>IF(BG863="",BF863,MAX(IFERROR(MATCH(PDs!U72,BH863:BJ863,0),0),BF863))</f>
        <v>1</v>
      </c>
      <c r="BL863" s="654">
        <f t="shared" si="244"/>
        <v>0</v>
      </c>
    </row>
    <row r="864" spans="1:64" ht="12.75" customHeight="1" x14ac:dyDescent="0.2">
      <c r="A864" s="227">
        <v>864</v>
      </c>
      <c r="B864" s="5988"/>
      <c r="C864" s="489"/>
      <c r="D864" s="2421" t="s">
        <v>886</v>
      </c>
      <c r="E864" s="2418">
        <f>20+Bono_Fue</f>
        <v>20</v>
      </c>
      <c r="F864" s="2418"/>
      <c r="G864" s="2418">
        <v>10</v>
      </c>
      <c r="H864" s="2418"/>
      <c r="I864" s="2418">
        <v>10</v>
      </c>
      <c r="J864" s="2418">
        <v>10</v>
      </c>
      <c r="K864" s="2418"/>
      <c r="L864" s="2418"/>
      <c r="M864" s="2423"/>
      <c r="N864" s="2423" t="s">
        <v>887</v>
      </c>
      <c r="O864" s="2423"/>
      <c r="P864" s="2423"/>
      <c r="Q864" s="2423"/>
      <c r="R864" s="2423"/>
      <c r="S864" s="2419">
        <f t="shared" si="221"/>
        <v>61</v>
      </c>
      <c r="T864" s="2418"/>
      <c r="U864" s="2418"/>
      <c r="V864" s="2418"/>
      <c r="W864" s="2418"/>
      <c r="X864" s="2418">
        <f t="shared" si="222"/>
        <v>0</v>
      </c>
      <c r="Y864" s="2418">
        <f>IF(OR(Y865&gt;0,COUNTIF(PDs!$AD$59:$AD$77,Tablas!D864)&gt;0),1,0)</f>
        <v>0</v>
      </c>
      <c r="Z864" s="2418" t="str">
        <f>IF(OR(T.Manos_final&lt;40,Atletismo_final&lt;60,MAX(AB864,AC864)&lt;120),"NO","-")</f>
        <v>NO</v>
      </c>
      <c r="AA864" s="1025">
        <f>HA_final-PDs!$X$25+MIN(PDs!$X$25+H$940-H864,50)</f>
        <v>0</v>
      </c>
      <c r="AB864" s="2420">
        <f>HE_final-PDs!$X$27+MIN(PDs!$X$27+I$940-I864,50)</f>
        <v>-10</v>
      </c>
      <c r="AC864" s="1265">
        <f>HP_final-PDs!$X$26+MIN(PDs!$X$26+J$940-J864,50)</f>
        <v>-10</v>
      </c>
      <c r="AE864" s="1264" t="s">
        <v>7129</v>
      </c>
      <c r="AI864" s="1328" t="str">
        <f>IF(PDs!E73="","",PDs!E73)</f>
        <v/>
      </c>
      <c r="AJ864" s="758" t="str">
        <f>IF(PDs!J73="","",PDs!J73)</f>
        <v/>
      </c>
      <c r="AK864" s="758" t="str">
        <f t="shared" si="223"/>
        <v/>
      </c>
      <c r="AL864" s="758" t="str">
        <f t="shared" si="224"/>
        <v/>
      </c>
      <c r="AM864" s="1025" t="str">
        <f t="shared" si="225"/>
        <v/>
      </c>
      <c r="AN864" s="758">
        <f t="shared" si="245"/>
        <v>0</v>
      </c>
      <c r="AO864" s="758">
        <f t="shared" si="226"/>
        <v>0</v>
      </c>
      <c r="AP864" s="758">
        <f t="shared" si="227"/>
        <v>0</v>
      </c>
      <c r="AQ864" s="323">
        <f>IFERROR(MATCH(PDs!M73,AN864:AP864,0),0)</f>
        <v>1</v>
      </c>
      <c r="AR864" s="1025" t="str">
        <f t="shared" si="228"/>
        <v/>
      </c>
      <c r="AS864" s="758">
        <f t="shared" si="229"/>
        <v>0</v>
      </c>
      <c r="AT864" s="758">
        <f t="shared" si="230"/>
        <v>0</v>
      </c>
      <c r="AU864" s="758">
        <f t="shared" si="231"/>
        <v>0</v>
      </c>
      <c r="AV864" s="323">
        <f>IF(AR864="",AQ864,MAX(IFERROR(MATCH(PDs!O73,AS864:AU864,0),0),AQ864))</f>
        <v>1</v>
      </c>
      <c r="AW864" s="2647" t="str">
        <f t="shared" si="232"/>
        <v/>
      </c>
      <c r="AX864" s="758">
        <f t="shared" si="233"/>
        <v>0</v>
      </c>
      <c r="AY864" s="758">
        <f t="shared" si="234"/>
        <v>0</v>
      </c>
      <c r="AZ864" s="758">
        <f t="shared" si="235"/>
        <v>0</v>
      </c>
      <c r="BA864" s="323">
        <f>IF(AW864="",AV864,MAX(IFERROR(MATCH(PDs!Q73,AX864:AZ864,0),0),AV864))</f>
        <v>1</v>
      </c>
      <c r="BB864" s="2647" t="str">
        <f t="shared" si="236"/>
        <v/>
      </c>
      <c r="BC864" s="758">
        <f t="shared" si="237"/>
        <v>0</v>
      </c>
      <c r="BD864" s="758">
        <f t="shared" si="238"/>
        <v>0</v>
      </c>
      <c r="BE864" s="758">
        <f t="shared" si="239"/>
        <v>0</v>
      </c>
      <c r="BF864" s="323">
        <f>IF(BB864="",BA864,MAX(IFERROR(MATCH(PDs!S73,BC864:BE864,0),0),BA864))</f>
        <v>1</v>
      </c>
      <c r="BG864" s="2647" t="str">
        <f t="shared" si="240"/>
        <v/>
      </c>
      <c r="BH864" s="758">
        <f t="shared" si="241"/>
        <v>0</v>
      </c>
      <c r="BI864" s="758">
        <f t="shared" si="242"/>
        <v>0</v>
      </c>
      <c r="BJ864" s="758">
        <f t="shared" si="243"/>
        <v>0</v>
      </c>
      <c r="BK864" s="323">
        <f>IF(BG864="",BF864,MAX(IFERROR(MATCH(PDs!U73,BH864:BJ864,0),0),BF864))</f>
        <v>1</v>
      </c>
      <c r="BL864" s="654">
        <f t="shared" si="244"/>
        <v>0</v>
      </c>
    </row>
    <row r="865" spans="1:64" ht="12.75" customHeight="1" x14ac:dyDescent="0.2">
      <c r="A865" s="227">
        <v>865</v>
      </c>
      <c r="B865" s="5988"/>
      <c r="C865" s="489"/>
      <c r="D865" s="2421" t="s">
        <v>888</v>
      </c>
      <c r="E865" s="2418">
        <f>30+Bono_Fue</f>
        <v>30</v>
      </c>
      <c r="F865" s="2418"/>
      <c r="G865" s="2418">
        <v>20</v>
      </c>
      <c r="H865" s="2418"/>
      <c r="I865" s="2418">
        <v>10</v>
      </c>
      <c r="J865" s="2418">
        <v>10</v>
      </c>
      <c r="K865" s="2418"/>
      <c r="L865" s="2418"/>
      <c r="M865" s="2423"/>
      <c r="N865" s="2423" t="s">
        <v>8770</v>
      </c>
      <c r="O865" s="2423"/>
      <c r="P865" s="2423"/>
      <c r="Q865" s="2423"/>
      <c r="R865" s="2423"/>
      <c r="S865" s="2419">
        <f t="shared" si="221"/>
        <v>85</v>
      </c>
      <c r="T865" s="2418"/>
      <c r="U865" s="2418"/>
      <c r="V865" s="2418"/>
      <c r="W865" s="2418"/>
      <c r="X865" s="2418">
        <f t="shared" si="222"/>
        <v>0</v>
      </c>
      <c r="Y865" s="2418">
        <f>IF(COUNTIF(PDs!$AD$59:$AD$77,Tablas!D865)&gt;0,1,0)</f>
        <v>0</v>
      </c>
      <c r="Z865" s="2418" t="str">
        <f>IF(OR(T.Manos_final&lt;100,Atletismo_final&lt;120,MAX(AB865,AC865)&lt;130),"NO","-")</f>
        <v>NO</v>
      </c>
      <c r="AA865" s="1025">
        <f>HA_final-PDs!$X$25+MIN(PDs!$X$25+H$940-H865,50)</f>
        <v>0</v>
      </c>
      <c r="AB865" s="2420">
        <f>HE_final-PDs!$X$27+MIN(PDs!$X$27+I$940-I865,50)</f>
        <v>-10</v>
      </c>
      <c r="AC865" s="1265">
        <f>HP_final-PDs!$X$26+MIN(PDs!$X$26+J$940-J865,50)</f>
        <v>-10</v>
      </c>
      <c r="AE865" s="1264" t="s">
        <v>7130</v>
      </c>
      <c r="AI865" s="1328" t="str">
        <f>IF(PDs!E74="","",PDs!E74)</f>
        <v/>
      </c>
      <c r="AJ865" s="758" t="str">
        <f>IF(PDs!J74="","",PDs!J74)</f>
        <v/>
      </c>
      <c r="AK865" s="758" t="str">
        <f t="shared" si="223"/>
        <v/>
      </c>
      <c r="AL865" s="758" t="str">
        <f t="shared" si="224"/>
        <v/>
      </c>
      <c r="AM865" s="1025" t="str">
        <f t="shared" si="225"/>
        <v/>
      </c>
      <c r="AN865" s="758">
        <f t="shared" si="245"/>
        <v>0</v>
      </c>
      <c r="AO865" s="758">
        <f t="shared" si="226"/>
        <v>0</v>
      </c>
      <c r="AP865" s="758">
        <f t="shared" si="227"/>
        <v>0</v>
      </c>
      <c r="AQ865" s="323">
        <f>IFERROR(MATCH(PDs!M74,AN865:AP865,0),0)</f>
        <v>1</v>
      </c>
      <c r="AR865" s="1025" t="str">
        <f t="shared" si="228"/>
        <v/>
      </c>
      <c r="AS865" s="758">
        <f t="shared" si="229"/>
        <v>0</v>
      </c>
      <c r="AT865" s="758">
        <f t="shared" si="230"/>
        <v>0</v>
      </c>
      <c r="AU865" s="758">
        <f t="shared" si="231"/>
        <v>0</v>
      </c>
      <c r="AV865" s="323">
        <f>IF(AR865="",AQ865,MAX(IFERROR(MATCH(PDs!O74,AS865:AU865,0),0),AQ865))</f>
        <v>1</v>
      </c>
      <c r="AW865" s="2647" t="str">
        <f t="shared" si="232"/>
        <v/>
      </c>
      <c r="AX865" s="758">
        <f t="shared" si="233"/>
        <v>0</v>
      </c>
      <c r="AY865" s="758">
        <f t="shared" si="234"/>
        <v>0</v>
      </c>
      <c r="AZ865" s="758">
        <f t="shared" si="235"/>
        <v>0</v>
      </c>
      <c r="BA865" s="323">
        <f>IF(AW865="",AV865,MAX(IFERROR(MATCH(PDs!Q74,AX865:AZ865,0),0),AV865))</f>
        <v>1</v>
      </c>
      <c r="BB865" s="2647" t="str">
        <f t="shared" si="236"/>
        <v/>
      </c>
      <c r="BC865" s="758">
        <f t="shared" si="237"/>
        <v>0</v>
      </c>
      <c r="BD865" s="758">
        <f t="shared" si="238"/>
        <v>0</v>
      </c>
      <c r="BE865" s="758">
        <f t="shared" si="239"/>
        <v>0</v>
      </c>
      <c r="BF865" s="323">
        <f>IF(BB865="",BA865,MAX(IFERROR(MATCH(PDs!S74,BC865:BE865,0),0),BA865))</f>
        <v>1</v>
      </c>
      <c r="BG865" s="2647" t="str">
        <f t="shared" si="240"/>
        <v/>
      </c>
      <c r="BH865" s="758">
        <f t="shared" si="241"/>
        <v>0</v>
      </c>
      <c r="BI865" s="758">
        <f t="shared" si="242"/>
        <v>0</v>
      </c>
      <c r="BJ865" s="758">
        <f t="shared" si="243"/>
        <v>0</v>
      </c>
      <c r="BK865" s="323">
        <f>IF(BG865="",BF865,MAX(IFERROR(MATCH(PDs!U74,BH865:BJ865,0),0),BF865))</f>
        <v>1</v>
      </c>
      <c r="BL865" s="654">
        <f t="shared" si="244"/>
        <v>0</v>
      </c>
    </row>
    <row r="866" spans="1:64" ht="12.75" customHeight="1" x14ac:dyDescent="0.2">
      <c r="A866" s="227">
        <v>866</v>
      </c>
      <c r="B866" s="5988"/>
      <c r="C866" s="489"/>
      <c r="D866" s="2421" t="s">
        <v>889</v>
      </c>
      <c r="E866" s="2418">
        <f>10+Bono_Fue</f>
        <v>10</v>
      </c>
      <c r="F866" s="2418"/>
      <c r="G866" s="2418">
        <v>0</v>
      </c>
      <c r="H866" s="2418"/>
      <c r="I866" s="2418"/>
      <c r="J866" s="2418"/>
      <c r="K866" s="2418"/>
      <c r="L866" s="2418"/>
      <c r="M866" s="2423"/>
      <c r="N866" s="2423" t="s">
        <v>890</v>
      </c>
      <c r="O866" s="2423"/>
      <c r="P866" s="2423"/>
      <c r="Q866" s="2423"/>
      <c r="R866" s="2423"/>
      <c r="S866" s="2419">
        <f t="shared" si="221"/>
        <v>50</v>
      </c>
      <c r="T866" s="2418"/>
      <c r="U866" s="2418"/>
      <c r="V866" s="2418"/>
      <c r="W866" s="2418"/>
      <c r="X866" s="2418">
        <f t="shared" si="222"/>
        <v>0</v>
      </c>
      <c r="Y866" s="2418">
        <f>IF(OR(Y867&gt;0,COUNTIF(PDs!$AD$59:$AD$77,Tablas!D866)&gt;0),1,0)</f>
        <v>0</v>
      </c>
      <c r="Z866" s="2418" t="s">
        <v>1456</v>
      </c>
      <c r="AA866" s="1025">
        <f>HA_final-PDs!$X$25+MIN(PDs!$X$25+H$940-H866,50)</f>
        <v>0</v>
      </c>
      <c r="AB866" s="2420">
        <f>HE_final-PDs!$X$27+MIN(PDs!$X$27+I$940-I866,50)</f>
        <v>0</v>
      </c>
      <c r="AC866" s="1265">
        <f>HP_final-PDs!$X$26+MIN(PDs!$X$26+J$940-J866,50)</f>
        <v>0</v>
      </c>
      <c r="AE866" s="1264" t="s">
        <v>7131</v>
      </c>
      <c r="AI866" s="1328" t="str">
        <f>IF(PDs!E75="","",PDs!E75)</f>
        <v/>
      </c>
      <c r="AJ866" s="758" t="str">
        <f>IF(PDs!J75="","",PDs!J75)</f>
        <v/>
      </c>
      <c r="AK866" s="758" t="str">
        <f t="shared" si="223"/>
        <v/>
      </c>
      <c r="AL866" s="758" t="str">
        <f t="shared" si="224"/>
        <v/>
      </c>
      <c r="AM866" s="1025" t="str">
        <f t="shared" si="225"/>
        <v/>
      </c>
      <c r="AN866" s="758">
        <f t="shared" si="245"/>
        <v>0</v>
      </c>
      <c r="AO866" s="758">
        <f t="shared" si="226"/>
        <v>0</v>
      </c>
      <c r="AP866" s="758">
        <f t="shared" si="227"/>
        <v>0</v>
      </c>
      <c r="AQ866" s="323">
        <f>IFERROR(MATCH(PDs!M75,AN866:AP866,0),0)</f>
        <v>1</v>
      </c>
      <c r="AR866" s="1025" t="str">
        <f t="shared" si="228"/>
        <v/>
      </c>
      <c r="AS866" s="758">
        <f t="shared" si="229"/>
        <v>0</v>
      </c>
      <c r="AT866" s="758">
        <f t="shared" si="230"/>
        <v>0</v>
      </c>
      <c r="AU866" s="758">
        <f t="shared" si="231"/>
        <v>0</v>
      </c>
      <c r="AV866" s="323">
        <f>IF(AR866="",AQ866,MAX(IFERROR(MATCH(PDs!O75,AS866:AU866,0),0),AQ866))</f>
        <v>1</v>
      </c>
      <c r="AW866" s="2647" t="str">
        <f t="shared" si="232"/>
        <v/>
      </c>
      <c r="AX866" s="758">
        <f t="shared" si="233"/>
        <v>0</v>
      </c>
      <c r="AY866" s="758">
        <f t="shared" si="234"/>
        <v>0</v>
      </c>
      <c r="AZ866" s="758">
        <f t="shared" si="235"/>
        <v>0</v>
      </c>
      <c r="BA866" s="323">
        <f>IF(AW866="",AV866,MAX(IFERROR(MATCH(PDs!Q75,AX866:AZ866,0),0),AV866))</f>
        <v>1</v>
      </c>
      <c r="BB866" s="2647" t="str">
        <f t="shared" si="236"/>
        <v/>
      </c>
      <c r="BC866" s="758">
        <f t="shared" si="237"/>
        <v>0</v>
      </c>
      <c r="BD866" s="758">
        <f t="shared" si="238"/>
        <v>0</v>
      </c>
      <c r="BE866" s="758">
        <f t="shared" si="239"/>
        <v>0</v>
      </c>
      <c r="BF866" s="323">
        <f>IF(BB866="",BA866,MAX(IFERROR(MATCH(PDs!S75,BC866:BE866,0),0),BA866))</f>
        <v>1</v>
      </c>
      <c r="BG866" s="2647" t="str">
        <f t="shared" si="240"/>
        <v/>
      </c>
      <c r="BH866" s="758">
        <f t="shared" si="241"/>
        <v>0</v>
      </c>
      <c r="BI866" s="758">
        <f t="shared" si="242"/>
        <v>0</v>
      </c>
      <c r="BJ866" s="758">
        <f t="shared" si="243"/>
        <v>0</v>
      </c>
      <c r="BK866" s="323">
        <f>IF(BG866="",BF866,MAX(IFERROR(MATCH(PDs!U75,BH866:BJ866,0),0),BF866))</f>
        <v>1</v>
      </c>
      <c r="BL866" s="654">
        <f t="shared" si="244"/>
        <v>0</v>
      </c>
    </row>
    <row r="867" spans="1:64" ht="12.75" customHeight="1" x14ac:dyDescent="0.2">
      <c r="A867" s="227">
        <v>867</v>
      </c>
      <c r="B867" s="5988"/>
      <c r="C867" s="489"/>
      <c r="D867" s="2421" t="s">
        <v>891</v>
      </c>
      <c r="E867" s="2418">
        <f>20+Bono_Fue</f>
        <v>20</v>
      </c>
      <c r="F867" s="2418"/>
      <c r="G867" s="2418">
        <v>10</v>
      </c>
      <c r="H867" s="2418"/>
      <c r="I867" s="2418"/>
      <c r="J867" s="2418"/>
      <c r="K867" s="2418"/>
      <c r="L867" s="2418"/>
      <c r="M867" s="2423"/>
      <c r="N867" s="2423" t="s">
        <v>892</v>
      </c>
      <c r="O867" s="2423"/>
      <c r="P867" s="2423"/>
      <c r="Q867" s="2423"/>
      <c r="R867" s="2423"/>
      <c r="S867" s="2419">
        <f t="shared" si="221"/>
        <v>50</v>
      </c>
      <c r="T867" s="2418"/>
      <c r="U867" s="2418"/>
      <c r="V867" s="2418"/>
      <c r="W867" s="2418"/>
      <c r="X867" s="2418">
        <f t="shared" si="222"/>
        <v>0</v>
      </c>
      <c r="Y867" s="2418">
        <f>IF(OR(Y868&gt;0,COUNTIF(PDs!$AD$59:$AD$77,Tablas!D867)&gt;0),1,0)</f>
        <v>0</v>
      </c>
      <c r="Z867" s="2422" t="str">
        <f>IF(OR(AA867&lt;120),"NO","-")</f>
        <v>NO</v>
      </c>
      <c r="AA867" s="1025">
        <f>HA_final-PDs!$X$25+MIN(PDs!$X$25+H$940-H867,50)</f>
        <v>0</v>
      </c>
      <c r="AB867" s="2420">
        <f>HE_final-PDs!$X$27+MIN(PDs!$X$27+I$940-I867,50)</f>
        <v>0</v>
      </c>
      <c r="AC867" s="1265">
        <f>HP_final-PDs!$X$26+MIN(PDs!$X$26+J$940-J867,50)</f>
        <v>0</v>
      </c>
      <c r="AE867" s="1264" t="s">
        <v>7132</v>
      </c>
      <c r="AI867" s="1328" t="str">
        <f>IF(PDs!E76="","",PDs!E76)</f>
        <v/>
      </c>
      <c r="AJ867" s="758" t="str">
        <f>IF(PDs!J76="","",PDs!J76)</f>
        <v/>
      </c>
      <c r="AK867" s="758" t="str">
        <f t="shared" si="223"/>
        <v/>
      </c>
      <c r="AL867" s="758" t="str">
        <f t="shared" si="224"/>
        <v/>
      </c>
      <c r="AM867" s="1025" t="str">
        <f t="shared" si="225"/>
        <v/>
      </c>
      <c r="AN867" s="758">
        <f t="shared" si="245"/>
        <v>0</v>
      </c>
      <c r="AO867" s="758">
        <f t="shared" si="226"/>
        <v>0</v>
      </c>
      <c r="AP867" s="758">
        <f t="shared" si="227"/>
        <v>0</v>
      </c>
      <c r="AQ867" s="323">
        <f>IFERROR(MATCH(PDs!M76,AN867:AP867,0),0)</f>
        <v>1</v>
      </c>
      <c r="AR867" s="1025" t="str">
        <f t="shared" si="228"/>
        <v/>
      </c>
      <c r="AS867" s="758">
        <f t="shared" si="229"/>
        <v>0</v>
      </c>
      <c r="AT867" s="758">
        <f t="shared" si="230"/>
        <v>0</v>
      </c>
      <c r="AU867" s="758">
        <f t="shared" si="231"/>
        <v>0</v>
      </c>
      <c r="AV867" s="323">
        <f>IF(AR867="",AQ867,MAX(IFERROR(MATCH(PDs!O76,AS867:AU867,0),0),AQ867))</f>
        <v>1</v>
      </c>
      <c r="AW867" s="2647" t="str">
        <f t="shared" si="232"/>
        <v/>
      </c>
      <c r="AX867" s="758">
        <f t="shared" si="233"/>
        <v>0</v>
      </c>
      <c r="AY867" s="758">
        <f t="shared" si="234"/>
        <v>0</v>
      </c>
      <c r="AZ867" s="758">
        <f t="shared" si="235"/>
        <v>0</v>
      </c>
      <c r="BA867" s="323">
        <f>IF(AW867="",AV867,MAX(IFERROR(MATCH(PDs!Q76,AX867:AZ867,0),0),AV867))</f>
        <v>1</v>
      </c>
      <c r="BB867" s="2647" t="str">
        <f t="shared" si="236"/>
        <v/>
      </c>
      <c r="BC867" s="758">
        <f t="shared" si="237"/>
        <v>0</v>
      </c>
      <c r="BD867" s="758">
        <f t="shared" si="238"/>
        <v>0</v>
      </c>
      <c r="BE867" s="758">
        <f t="shared" si="239"/>
        <v>0</v>
      </c>
      <c r="BF867" s="323">
        <f>IF(BB867="",BA867,MAX(IFERROR(MATCH(PDs!S76,BC867:BE867,0),0),BA867))</f>
        <v>1</v>
      </c>
      <c r="BG867" s="2647" t="str">
        <f t="shared" si="240"/>
        <v/>
      </c>
      <c r="BH867" s="758">
        <f t="shared" si="241"/>
        <v>0</v>
      </c>
      <c r="BI867" s="758">
        <f t="shared" si="242"/>
        <v>0</v>
      </c>
      <c r="BJ867" s="758">
        <f t="shared" si="243"/>
        <v>0</v>
      </c>
      <c r="BK867" s="323">
        <f>IF(BG867="",BF867,MAX(IFERROR(MATCH(PDs!U76,BH867:BJ867,0),0),BF867))</f>
        <v>1</v>
      </c>
      <c r="BL867" s="654">
        <f t="shared" si="244"/>
        <v>0</v>
      </c>
    </row>
    <row r="868" spans="1:64" ht="12.75" customHeight="1" thickBot="1" x14ac:dyDescent="0.25">
      <c r="A868" s="227">
        <v>868</v>
      </c>
      <c r="B868" s="5988"/>
      <c r="C868" s="489"/>
      <c r="D868" s="2421" t="s">
        <v>893</v>
      </c>
      <c r="E868" s="2418">
        <f>20+Bono_Fue</f>
        <v>20</v>
      </c>
      <c r="F868" s="2418"/>
      <c r="G868" s="2418">
        <v>20</v>
      </c>
      <c r="H868" s="2418">
        <v>10</v>
      </c>
      <c r="I868" s="2418"/>
      <c r="J868" s="2418"/>
      <c r="K868" s="2418"/>
      <c r="L868" s="2418"/>
      <c r="M868" s="2423"/>
      <c r="N868" s="2423" t="s">
        <v>8777</v>
      </c>
      <c r="O868" s="2423"/>
      <c r="P868" s="2423"/>
      <c r="Q868" s="2423"/>
      <c r="R868" s="2423"/>
      <c r="S868" s="2419">
        <f t="shared" si="221"/>
        <v>81</v>
      </c>
      <c r="T868" s="2418"/>
      <c r="U868" s="2418"/>
      <c r="V868" s="2418"/>
      <c r="W868" s="2418"/>
      <c r="X868" s="2418">
        <f t="shared" si="222"/>
        <v>0</v>
      </c>
      <c r="Y868" s="2418">
        <f>IF(COUNTIF(PDs!$AD$59:$AD$77,Tablas!D868)&gt;0,1,0)</f>
        <v>0</v>
      </c>
      <c r="Z868" s="2422" t="str">
        <f>IF(OR(AA868&lt;200),"NO","-")</f>
        <v>NO</v>
      </c>
      <c r="AA868" s="1025">
        <f>HA_final-PDs!$X$25+MIN(PDs!$X$25+H$940-H868,50)</f>
        <v>-10</v>
      </c>
      <c r="AB868" s="2420">
        <f>HE_final-PDs!$X$27+MIN(PDs!$X$27+I$940-I868,50)</f>
        <v>0</v>
      </c>
      <c r="AC868" s="1265">
        <f>HP_final-PDs!$X$26+MIN(PDs!$X$26+J$940-J868,50)</f>
        <v>0</v>
      </c>
      <c r="AE868" s="1264" t="s">
        <v>7133</v>
      </c>
      <c r="AI868" s="1329" t="str">
        <f>IF(PDs!E77="","",PDs!E77)</f>
        <v/>
      </c>
      <c r="AJ868" s="1235" t="str">
        <f>IF(PDs!J77="","",PDs!J77)</f>
        <v/>
      </c>
      <c r="AK868" s="1235" t="str">
        <f t="shared" si="223"/>
        <v/>
      </c>
      <c r="AL868" s="1235" t="str">
        <f t="shared" si="224"/>
        <v/>
      </c>
      <c r="AM868" s="1234" t="str">
        <f t="shared" si="225"/>
        <v/>
      </c>
      <c r="AN868" s="1235">
        <f t="shared" si="245"/>
        <v>0</v>
      </c>
      <c r="AO868" s="1235">
        <f t="shared" si="226"/>
        <v>0</v>
      </c>
      <c r="AP868" s="1235">
        <f t="shared" si="227"/>
        <v>0</v>
      </c>
      <c r="AQ868" s="328">
        <f>IFERROR(MATCH(PDs!M77,AN868:AP868,0),0)</f>
        <v>1</v>
      </c>
      <c r="AR868" s="1234" t="str">
        <f t="shared" si="228"/>
        <v/>
      </c>
      <c r="AS868" s="1235">
        <f t="shared" si="229"/>
        <v>0</v>
      </c>
      <c r="AT868" s="1235">
        <f t="shared" si="230"/>
        <v>0</v>
      </c>
      <c r="AU868" s="1235">
        <f t="shared" si="231"/>
        <v>0</v>
      </c>
      <c r="AV868" s="328">
        <f>IF(AR868="",AQ868,MAX(IFERROR(MATCH(PDs!O77,AS868:AU868,0),0),AQ868))</f>
        <v>1</v>
      </c>
      <c r="AW868" s="1234" t="str">
        <f t="shared" si="232"/>
        <v/>
      </c>
      <c r="AX868" s="1235">
        <f t="shared" si="233"/>
        <v>0</v>
      </c>
      <c r="AY868" s="1235">
        <f t="shared" si="234"/>
        <v>0</v>
      </c>
      <c r="AZ868" s="1235">
        <f t="shared" si="235"/>
        <v>0</v>
      </c>
      <c r="BA868" s="328">
        <f>IF(AW868="",AV868,MAX(IFERROR(MATCH(PDs!Q77,AX868:AZ868,0),0),AV868))</f>
        <v>1</v>
      </c>
      <c r="BB868" s="1234" t="str">
        <f t="shared" si="236"/>
        <v/>
      </c>
      <c r="BC868" s="1235">
        <f t="shared" si="237"/>
        <v>0</v>
      </c>
      <c r="BD868" s="1235">
        <f t="shared" si="238"/>
        <v>0</v>
      </c>
      <c r="BE868" s="1235">
        <f t="shared" si="239"/>
        <v>0</v>
      </c>
      <c r="BF868" s="328">
        <f>IF(BB868="",BA868,MAX(IFERROR(MATCH(PDs!S77,BC868:BE868,0),0),BA868))</f>
        <v>1</v>
      </c>
      <c r="BG868" s="1234" t="str">
        <f t="shared" si="240"/>
        <v/>
      </c>
      <c r="BH868" s="1235">
        <f t="shared" si="241"/>
        <v>0</v>
      </c>
      <c r="BI868" s="1235">
        <f t="shared" si="242"/>
        <v>0</v>
      </c>
      <c r="BJ868" s="1235">
        <f t="shared" si="243"/>
        <v>0</v>
      </c>
      <c r="BK868" s="328">
        <f>IF(BG868="",BF868,MAX(IFERROR(MATCH(PDs!U77,BH868:BJ868,0),0),BF868))</f>
        <v>1</v>
      </c>
      <c r="BL868" s="1837">
        <f t="shared" si="244"/>
        <v>0</v>
      </c>
    </row>
    <row r="869" spans="1:64" ht="12.75" customHeight="1" x14ac:dyDescent="0.2">
      <c r="A869" s="227">
        <v>869</v>
      </c>
      <c r="B869" s="5988"/>
      <c r="C869" s="489"/>
      <c r="D869" s="2421" t="s">
        <v>894</v>
      </c>
      <c r="E869" s="2418">
        <f>10+Bono_Fue</f>
        <v>10</v>
      </c>
      <c r="F869" s="2418"/>
      <c r="G869" s="2418">
        <v>0</v>
      </c>
      <c r="H869" s="2418"/>
      <c r="I869" s="2418"/>
      <c r="J869" s="2418"/>
      <c r="K869" s="2418"/>
      <c r="L869" s="2418"/>
      <c r="M869" s="2423"/>
      <c r="N869" s="2423" t="s">
        <v>895</v>
      </c>
      <c r="O869" s="2423"/>
      <c r="P869" s="2423"/>
      <c r="Q869" s="2423"/>
      <c r="R869" s="2423"/>
      <c r="S869" s="2419">
        <f t="shared" si="221"/>
        <v>52</v>
      </c>
      <c r="T869" s="2418"/>
      <c r="U869" s="2418"/>
      <c r="V869" s="2418"/>
      <c r="W869" s="2418"/>
      <c r="X869" s="2418">
        <f t="shared" si="222"/>
        <v>0</v>
      </c>
      <c r="Y869" s="2418">
        <f>IF(OR(Y870&gt;0,COUNTIF(PDs!$AD$59:$AD$77,Tablas!D869)&gt;0),1,0)</f>
        <v>0</v>
      </c>
      <c r="Z869" s="2422" t="str">
        <f>IF(T.Manos_final&lt;40,"NO","-")</f>
        <v>NO</v>
      </c>
      <c r="AA869" s="1025">
        <f>HA_final-PDs!$X$25+MIN(PDs!$X$25+H$940-H869,50)</f>
        <v>0</v>
      </c>
      <c r="AB869" s="2420">
        <f>HE_final-PDs!$X$27+MIN(PDs!$X$27+I$940-I869,50)</f>
        <v>0</v>
      </c>
      <c r="AC869" s="1265">
        <f>HP_final-PDs!$X$26+MIN(PDs!$X$26+J$940-J869,50)</f>
        <v>0</v>
      </c>
      <c r="AE869" s="1264" t="s">
        <v>7134</v>
      </c>
    </row>
    <row r="870" spans="1:64" ht="12.75" customHeight="1" x14ac:dyDescent="0.2">
      <c r="A870" s="227">
        <v>870</v>
      </c>
      <c r="B870" s="5988"/>
      <c r="C870" s="489"/>
      <c r="D870" s="2421" t="s">
        <v>896</v>
      </c>
      <c r="E870" s="2418">
        <f>20+Bono_Fue</f>
        <v>20</v>
      </c>
      <c r="F870" s="2418"/>
      <c r="G870" s="2418">
        <v>10</v>
      </c>
      <c r="H870" s="2418"/>
      <c r="I870" s="2418"/>
      <c r="J870" s="2418">
        <v>10</v>
      </c>
      <c r="K870" s="2418"/>
      <c r="L870" s="2418"/>
      <c r="M870" s="2423"/>
      <c r="N870" s="2423" t="s">
        <v>8772</v>
      </c>
      <c r="O870" s="2423"/>
      <c r="P870" s="2423"/>
      <c r="Q870" s="2423"/>
      <c r="R870" s="2423"/>
      <c r="S870" s="2419">
        <f t="shared" si="221"/>
        <v>67</v>
      </c>
      <c r="T870" s="2418"/>
      <c r="U870" s="2418"/>
      <c r="V870" s="2418"/>
      <c r="W870" s="2418"/>
      <c r="X870" s="2418">
        <f t="shared" si="222"/>
        <v>0</v>
      </c>
      <c r="Y870" s="2418">
        <f>IF(OR(Y871&gt;0,COUNTIF(PDs!$AD$59:$AD$77,Tablas!D870)&gt;0),1,0)</f>
        <v>0</v>
      </c>
      <c r="Z870" s="2422" t="str">
        <f>IF(OR(T.Manos_final&lt;60,MAX(AB870,AC870)&lt;120),"NO","-")</f>
        <v>NO</v>
      </c>
      <c r="AA870" s="1025">
        <f>HA_final-PDs!$X$25+MIN(PDs!$X$25+H$940-H870,50)</f>
        <v>0</v>
      </c>
      <c r="AB870" s="2420">
        <f>HE_final-PDs!$X$27+MIN(PDs!$X$27+I$940-I870,50)</f>
        <v>0</v>
      </c>
      <c r="AC870" s="1265">
        <f>HP_final-PDs!$X$26+MIN(PDs!$X$26+J$940-J870,50)</f>
        <v>-10</v>
      </c>
      <c r="AE870" s="1264" t="s">
        <v>7135</v>
      </c>
    </row>
    <row r="871" spans="1:64" ht="12.75" customHeight="1" x14ac:dyDescent="0.2">
      <c r="A871" s="227">
        <v>871</v>
      </c>
      <c r="B871" s="5988"/>
      <c r="C871" s="489"/>
      <c r="D871" s="2421" t="s">
        <v>897</v>
      </c>
      <c r="E871" s="2418">
        <f>20+Bono_Fue</f>
        <v>20</v>
      </c>
      <c r="F871" s="2418"/>
      <c r="G871" s="2418">
        <v>20</v>
      </c>
      <c r="H871" s="2418"/>
      <c r="I871" s="2418"/>
      <c r="J871" s="2418">
        <v>10</v>
      </c>
      <c r="K871" s="2418"/>
      <c r="L871" s="2418"/>
      <c r="M871" s="2423"/>
      <c r="N871" s="2423" t="s">
        <v>8773</v>
      </c>
      <c r="O871" s="2423"/>
      <c r="P871" s="2423"/>
      <c r="Q871" s="2423"/>
      <c r="R871" s="2423"/>
      <c r="S871" s="2419">
        <f t="shared" si="221"/>
        <v>61</v>
      </c>
      <c r="T871" s="2418"/>
      <c r="U871" s="2418"/>
      <c r="V871" s="2418"/>
      <c r="W871" s="2418"/>
      <c r="X871" s="2418">
        <f t="shared" si="222"/>
        <v>0</v>
      </c>
      <c r="Y871" s="2418">
        <f>IF(COUNTIF(PDs!$AD$59:$AD$77,Tablas!D871)&gt;0,1,0)</f>
        <v>0</v>
      </c>
      <c r="Z871" s="2422" t="str">
        <f>IF(OR(T.Manos_final&lt;140,MAX(AB871,AC871)&lt;200),"NO","-")</f>
        <v>NO</v>
      </c>
      <c r="AA871" s="1025">
        <f>HA_final-PDs!$X$25+MIN(PDs!$X$25+H$940-H871,50)</f>
        <v>0</v>
      </c>
      <c r="AB871" s="2420">
        <f>HE_final-PDs!$X$27+MIN(PDs!$X$27+I$940-I871,50)</f>
        <v>0</v>
      </c>
      <c r="AC871" s="1265">
        <f>HP_final-PDs!$X$26+MIN(PDs!$X$26+J$940-J871,50)</f>
        <v>-10</v>
      </c>
      <c r="AE871" s="1264" t="s">
        <v>7136</v>
      </c>
    </row>
    <row r="872" spans="1:64" ht="12.75" customHeight="1" x14ac:dyDescent="0.2">
      <c r="A872" s="227">
        <v>872</v>
      </c>
      <c r="B872" s="5988"/>
      <c r="C872" s="489"/>
      <c r="D872" s="2421" t="s">
        <v>898</v>
      </c>
      <c r="E872" s="2418">
        <f>20+Bono_Fue</f>
        <v>20</v>
      </c>
      <c r="F872" s="2418"/>
      <c r="G872" s="2418">
        <v>0</v>
      </c>
      <c r="H872" s="2418"/>
      <c r="I872" s="2418"/>
      <c r="J872" s="2418"/>
      <c r="K872" s="2418"/>
      <c r="L872" s="2418"/>
      <c r="M872" s="2423"/>
      <c r="N872" s="2423" t="s">
        <v>1456</v>
      </c>
      <c r="O872" s="2423"/>
      <c r="P872" s="2423"/>
      <c r="Q872" s="2423"/>
      <c r="R872" s="2423"/>
      <c r="S872" s="2419">
        <f t="shared" si="221"/>
        <v>1</v>
      </c>
      <c r="T872" s="2418"/>
      <c r="U872" s="2418"/>
      <c r="V872" s="2418"/>
      <c r="W872" s="2418"/>
      <c r="X872" s="2418">
        <f t="shared" si="222"/>
        <v>0</v>
      </c>
      <c r="Y872" s="2418">
        <f>IF(OR(Y873&gt;0,COUNTIF(PDs!$AD$59:$AD$77,Tablas!D872)&gt;0),1,0)</f>
        <v>0</v>
      </c>
      <c r="Z872" s="2422" t="str">
        <f>IF(OR(Acrobacias_final&lt;20,Estilo_final&lt;10,T.Manos_final&lt;20),"NO","-")</f>
        <v>NO</v>
      </c>
      <c r="AA872" s="1025">
        <f>HA_final-PDs!$X$25+MIN(PDs!$X$25+H$940-H872,50)</f>
        <v>0</v>
      </c>
      <c r="AB872" s="2420">
        <f>HE_final-PDs!$X$27+MIN(PDs!$X$27+I$940-I872,50)</f>
        <v>0</v>
      </c>
      <c r="AC872" s="1265">
        <f>HP_final-PDs!$X$26+MIN(PDs!$X$26+J$940-J872,50)</f>
        <v>0</v>
      </c>
      <c r="AE872" s="1264" t="s">
        <v>7137</v>
      </c>
    </row>
    <row r="873" spans="1:64" ht="12.75" customHeight="1" x14ac:dyDescent="0.2">
      <c r="A873" s="227">
        <v>873</v>
      </c>
      <c r="B873" s="5988"/>
      <c r="C873" s="489"/>
      <c r="D873" s="2421" t="s">
        <v>899</v>
      </c>
      <c r="E873" s="2418">
        <f>20+Bono_Fue</f>
        <v>20</v>
      </c>
      <c r="F873" s="2418"/>
      <c r="G873" s="2418">
        <v>10</v>
      </c>
      <c r="H873" s="2418"/>
      <c r="I873" s="2418"/>
      <c r="J873" s="2418"/>
      <c r="K873" s="2418"/>
      <c r="L873" s="2418"/>
      <c r="M873" s="2423"/>
      <c r="N873" s="2423" t="s">
        <v>900</v>
      </c>
      <c r="O873" s="2423"/>
      <c r="P873" s="2423"/>
      <c r="Q873" s="2423"/>
      <c r="R873" s="2423"/>
      <c r="S873" s="2419">
        <f t="shared" si="221"/>
        <v>58</v>
      </c>
      <c r="T873" s="2418"/>
      <c r="U873" s="2418"/>
      <c r="V873" s="2418"/>
      <c r="W873" s="2418"/>
      <c r="X873" s="2418">
        <f t="shared" si="222"/>
        <v>0</v>
      </c>
      <c r="Y873" s="2418">
        <f>IF(OR(Y874&gt;0,COUNTIF(PDs!$AD$59:$AD$77,Tablas!D873)&gt;0),1,0)</f>
        <v>0</v>
      </c>
      <c r="Z873" s="2422" t="str">
        <f>IF(OR(Acrobacias_final&lt;40,Estilo_final&lt;20,T.Manos_final&lt;40,AA873&lt;120,MAX(AB873,AC873)&lt;120),"NO","-")</f>
        <v>NO</v>
      </c>
      <c r="AA873" s="1025">
        <f>HA_final-PDs!$X$25+MIN(PDs!$X$25+H$940-H873,50)</f>
        <v>0</v>
      </c>
      <c r="AB873" s="2420">
        <f>HE_final-PDs!$X$27+MIN(PDs!$X$27+I$940-I873,50)</f>
        <v>0</v>
      </c>
      <c r="AC873" s="1265">
        <f>HP_final-PDs!$X$26+MIN(PDs!$X$26+J$940-J873,50)</f>
        <v>0</v>
      </c>
      <c r="AE873" s="1264" t="s">
        <v>7138</v>
      </c>
    </row>
    <row r="874" spans="1:64" ht="12.75" customHeight="1" x14ac:dyDescent="0.2">
      <c r="A874" s="227">
        <v>874</v>
      </c>
      <c r="B874" s="5988"/>
      <c r="C874" s="489"/>
      <c r="D874" s="2421" t="s">
        <v>901</v>
      </c>
      <c r="E874" s="2418">
        <f>20+Bono_Fue</f>
        <v>20</v>
      </c>
      <c r="F874" s="2418"/>
      <c r="G874" s="2418">
        <v>20</v>
      </c>
      <c r="H874" s="2418"/>
      <c r="I874" s="2418"/>
      <c r="J874" s="2418"/>
      <c r="K874" s="2418"/>
      <c r="L874" s="2418"/>
      <c r="M874" s="2423"/>
      <c r="N874" s="2423" t="s">
        <v>8774</v>
      </c>
      <c r="O874" s="2423"/>
      <c r="P874" s="2423"/>
      <c r="Q874" s="2423"/>
      <c r="R874" s="2423"/>
      <c r="S874" s="2419">
        <f t="shared" si="221"/>
        <v>58</v>
      </c>
      <c r="T874" s="2418"/>
      <c r="U874" s="2418" t="s">
        <v>1552</v>
      </c>
      <c r="V874" s="2418"/>
      <c r="W874" s="2418"/>
      <c r="X874" s="2418">
        <f t="shared" si="222"/>
        <v>0</v>
      </c>
      <c r="Y874" s="2418">
        <f>IF(COUNTIF(PDs!$AD$59:$AD$77,Tablas!D874)&gt;0,1,0)</f>
        <v>0</v>
      </c>
      <c r="Z874" s="2422" t="str">
        <f>IF(OR(Acrobacias_final&lt;120,Estilo_final&lt;100,T.Manos_final&lt;120,AA874&lt;200,MAX(AB874,AC874)&lt;200),"NO","-")</f>
        <v>NO</v>
      </c>
      <c r="AA874" s="1025">
        <f>HA_final-PDs!$X$25+MIN(PDs!$X$25+H$940-H874,50)</f>
        <v>0</v>
      </c>
      <c r="AB874" s="2420">
        <f>HE_final-PDs!$X$27+MIN(PDs!$X$27+I$940-I874,50)</f>
        <v>0</v>
      </c>
      <c r="AC874" s="1265">
        <f>HP_final-PDs!$X$26+MIN(PDs!$X$26+J$940-J874,50)</f>
        <v>0</v>
      </c>
      <c r="AE874" s="1269" t="s">
        <v>946</v>
      </c>
    </row>
    <row r="875" spans="1:64" ht="12.75" customHeight="1" x14ac:dyDescent="0.2">
      <c r="A875" s="227">
        <v>875</v>
      </c>
      <c r="B875" s="5988"/>
      <c r="C875" s="489"/>
      <c r="D875" s="2421" t="s">
        <v>902</v>
      </c>
      <c r="E875" s="2418">
        <f>10+Bono_Fue</f>
        <v>10</v>
      </c>
      <c r="F875" s="2418"/>
      <c r="G875" s="2418">
        <v>0</v>
      </c>
      <c r="H875" s="2418"/>
      <c r="I875" s="2418">
        <v>10</v>
      </c>
      <c r="J875" s="2418">
        <v>10</v>
      </c>
      <c r="K875" s="2418"/>
      <c r="L875" s="2418"/>
      <c r="M875" s="2423"/>
      <c r="N875" s="2423" t="s">
        <v>1456</v>
      </c>
      <c r="O875" s="2423"/>
      <c r="P875" s="2423"/>
      <c r="Q875" s="2423"/>
      <c r="R875" s="2423"/>
      <c r="S875" s="2419">
        <f t="shared" si="221"/>
        <v>1</v>
      </c>
      <c r="T875" s="2418"/>
      <c r="U875" s="2418"/>
      <c r="V875" s="2418"/>
      <c r="W875" s="2418"/>
      <c r="X875" s="2418">
        <f t="shared" si="222"/>
        <v>0</v>
      </c>
      <c r="Y875" s="2418">
        <f>IF(OR(Y876&gt;0,COUNTIF(PDs!$AD$59:$AD$77,Tablas!D875)&gt;0),1,0)</f>
        <v>0</v>
      </c>
      <c r="Z875" s="2422" t="str">
        <f>IF(Estilo_final&lt;20,"NO","-")</f>
        <v>NO</v>
      </c>
      <c r="AA875" s="1025">
        <f>HA_final-PDs!$X$25+MIN(PDs!$X$25+H$940-H875,50)</f>
        <v>0</v>
      </c>
      <c r="AB875" s="2420">
        <f>HE_final-PDs!$X$27+MIN(PDs!$X$27+I$940-I875,50)</f>
        <v>-10</v>
      </c>
      <c r="AC875" s="1265">
        <f>HP_final-PDs!$X$26+MIN(PDs!$X$26+J$940-J875,50)</f>
        <v>-10</v>
      </c>
      <c r="AE875" s="1264" t="s">
        <v>7139</v>
      </c>
    </row>
    <row r="876" spans="1:64" ht="12.75" customHeight="1" x14ac:dyDescent="0.2">
      <c r="A876" s="227">
        <v>876</v>
      </c>
      <c r="B876" s="5988"/>
      <c r="C876" s="489"/>
      <c r="D876" s="2421" t="s">
        <v>903</v>
      </c>
      <c r="E876" s="2418">
        <f>20+Bono_Fue</f>
        <v>20</v>
      </c>
      <c r="F876" s="2418"/>
      <c r="G876" s="2418">
        <v>10</v>
      </c>
      <c r="H876" s="2418"/>
      <c r="I876" s="2418"/>
      <c r="J876" s="2418"/>
      <c r="K876" s="2418"/>
      <c r="L876" s="2418"/>
      <c r="M876" s="2423"/>
      <c r="N876" s="2423" t="s">
        <v>904</v>
      </c>
      <c r="O876" s="2423"/>
      <c r="P876" s="2423"/>
      <c r="Q876" s="2423"/>
      <c r="R876" s="2423"/>
      <c r="S876" s="2419">
        <f t="shared" si="221"/>
        <v>45</v>
      </c>
      <c r="T876" s="2418"/>
      <c r="U876" s="2418"/>
      <c r="V876" s="2418"/>
      <c r="W876" s="2418"/>
      <c r="X876" s="2418">
        <f t="shared" si="222"/>
        <v>0</v>
      </c>
      <c r="Y876" s="2418">
        <f>IF(OR(Y877&gt;0,COUNTIF(PDs!$AD$59:$AD$77,Tablas!D876)&gt;0),1,0)</f>
        <v>0</v>
      </c>
      <c r="Z876" s="2422" t="str">
        <f>IF(OR(Estilo_final&lt;40,MAX(AB876,AC876)&lt;130),"NO","-")</f>
        <v>NO</v>
      </c>
      <c r="AA876" s="1025">
        <f>HA_final-PDs!$X$25+MIN(PDs!$X$25+H$940-H876,50)</f>
        <v>0</v>
      </c>
      <c r="AB876" s="2420">
        <f>HE_final-PDs!$X$27+MIN(PDs!$X$27+I$940-I876,50)</f>
        <v>0</v>
      </c>
      <c r="AC876" s="1265">
        <f>HP_final-PDs!$X$26+MIN(PDs!$X$26+J$940-J876,50)</f>
        <v>0</v>
      </c>
      <c r="AE876" s="1264" t="s">
        <v>7140</v>
      </c>
    </row>
    <row r="877" spans="1:64" ht="12.75" customHeight="1" x14ac:dyDescent="0.2">
      <c r="A877" s="227">
        <v>877</v>
      </c>
      <c r="B877" s="5988"/>
      <c r="C877" s="489"/>
      <c r="D877" s="2421" t="s">
        <v>905</v>
      </c>
      <c r="E877" s="2418">
        <f>20+Bono_Fue</f>
        <v>20</v>
      </c>
      <c r="F877" s="2418"/>
      <c r="G877" s="2418">
        <v>20</v>
      </c>
      <c r="H877" s="2418"/>
      <c r="I877" s="2418">
        <v>10</v>
      </c>
      <c r="J877" s="2418">
        <v>10</v>
      </c>
      <c r="K877" s="2418"/>
      <c r="L877" s="2418"/>
      <c r="M877" s="2423"/>
      <c r="N877" s="2423" t="s">
        <v>8775</v>
      </c>
      <c r="O877" s="2423"/>
      <c r="P877" s="2423"/>
      <c r="Q877" s="2423"/>
      <c r="R877" s="2423"/>
      <c r="S877" s="2419">
        <f t="shared" si="221"/>
        <v>48</v>
      </c>
      <c r="T877" s="2418"/>
      <c r="U877" s="2418"/>
      <c r="V877" s="2418"/>
      <c r="W877" s="2418"/>
      <c r="X877" s="2418">
        <f t="shared" si="222"/>
        <v>0</v>
      </c>
      <c r="Y877" s="2418">
        <f>IF(COUNTIF(PDs!$AD$59:$AD$77,Tablas!D877)&gt;0,1,0)</f>
        <v>0</v>
      </c>
      <c r="Z877" s="2422" t="str">
        <f>IF(OR(Estilo_final&lt;80,MAX(AB877,AC877)&lt;200),"NO","-")</f>
        <v>NO</v>
      </c>
      <c r="AA877" s="1025">
        <f>HA_final-PDs!$X$25+MIN(PDs!$X$25+H$940-H877,50)</f>
        <v>0</v>
      </c>
      <c r="AB877" s="2420">
        <f>HE_final-PDs!$X$27+MIN(PDs!$X$27+I$940-I877,50)</f>
        <v>-10</v>
      </c>
      <c r="AC877" s="1265">
        <f>HP_final-PDs!$X$26+MIN(PDs!$X$26+J$940-J877,50)</f>
        <v>-10</v>
      </c>
      <c r="AE877" s="1264" t="s">
        <v>7141</v>
      </c>
    </row>
    <row r="878" spans="1:64" ht="12.75" customHeight="1" x14ac:dyDescent="0.2">
      <c r="A878" s="227">
        <v>878</v>
      </c>
      <c r="B878" s="5988"/>
      <c r="C878" s="489"/>
      <c r="D878" s="2421" t="s">
        <v>906</v>
      </c>
      <c r="E878" s="2418">
        <f>20+Bono_Fue</f>
        <v>20</v>
      </c>
      <c r="F878" s="2418"/>
      <c r="G878" s="2418">
        <v>0</v>
      </c>
      <c r="H878" s="2418"/>
      <c r="I878" s="2418"/>
      <c r="J878" s="2418"/>
      <c r="K878" s="2418"/>
      <c r="L878" s="2418">
        <v>10</v>
      </c>
      <c r="M878" s="2423"/>
      <c r="N878" s="2423" t="s">
        <v>9995</v>
      </c>
      <c r="O878" s="2423"/>
      <c r="P878" s="2423"/>
      <c r="Q878" s="2423"/>
      <c r="R878" s="2423"/>
      <c r="S878" s="2419">
        <f t="shared" si="221"/>
        <v>67</v>
      </c>
      <c r="T878" s="2418"/>
      <c r="U878" s="2418"/>
      <c r="V878" s="2418"/>
      <c r="W878" s="2418"/>
      <c r="X878" s="2418">
        <f t="shared" si="222"/>
        <v>0</v>
      </c>
      <c r="Y878" s="2418">
        <f>IF(OR(Y879&gt;0,COUNTIF(PDs!$AD$59:$AD$77,Tablas!D878)&gt;0),1,0)</f>
        <v>0</v>
      </c>
      <c r="Z878" s="2422" t="str">
        <f>IF(T.Manos_final&lt;20,"NO","-")</f>
        <v>NO</v>
      </c>
      <c r="AA878" s="1025">
        <f>HA_final-PDs!$X$25+MIN(PDs!$X$25+H$940-H878,50)</f>
        <v>0</v>
      </c>
      <c r="AB878" s="2420">
        <f>HE_final-PDs!$X$27+MIN(PDs!$X$27+I$940-I878,50)</f>
        <v>0</v>
      </c>
      <c r="AC878" s="1265">
        <f>HP_final-PDs!$X$26+MIN(PDs!$X$26+J$940-J878,50)</f>
        <v>0</v>
      </c>
      <c r="AE878" s="1264" t="s">
        <v>7142</v>
      </c>
    </row>
    <row r="879" spans="1:64" ht="12.75" customHeight="1" x14ac:dyDescent="0.2">
      <c r="A879" s="227">
        <v>879</v>
      </c>
      <c r="B879" s="5988"/>
      <c r="C879" s="489"/>
      <c r="D879" s="2421" t="s">
        <v>907</v>
      </c>
      <c r="E879" s="2418">
        <f>30+Bono_Fue</f>
        <v>30</v>
      </c>
      <c r="F879" s="2418"/>
      <c r="G879" s="2418">
        <v>10</v>
      </c>
      <c r="H879" s="2418"/>
      <c r="I879" s="2418"/>
      <c r="J879" s="2418">
        <v>10</v>
      </c>
      <c r="K879" s="2418"/>
      <c r="L879" s="2418"/>
      <c r="M879" s="2423"/>
      <c r="N879" s="2423" t="s">
        <v>908</v>
      </c>
      <c r="O879" s="2423"/>
      <c r="P879" s="2423"/>
      <c r="Q879" s="2423"/>
      <c r="R879" s="2423"/>
      <c r="S879" s="2419">
        <f t="shared" si="221"/>
        <v>46</v>
      </c>
      <c r="T879" s="2418"/>
      <c r="U879" s="2418"/>
      <c r="V879" s="2418"/>
      <c r="W879" s="2418"/>
      <c r="X879" s="2418">
        <f t="shared" si="222"/>
        <v>0</v>
      </c>
      <c r="Y879" s="2418">
        <f>IF(OR(Y880&gt;0,COUNTIF(PDs!$AD$59:$AD$77,Tablas!D879)&gt;0),1,0)</f>
        <v>0</v>
      </c>
      <c r="Z879" s="2422" t="str">
        <f>IF(OR(T.Manos_final&lt;40,MAX(AB879,AC879)&lt;120),"NO","-")</f>
        <v>NO</v>
      </c>
      <c r="AA879" s="1025">
        <f>HA_final-PDs!$X$25+MIN(PDs!$X$25+H$940-H879,50)</f>
        <v>0</v>
      </c>
      <c r="AB879" s="2420">
        <f>HE_final-PDs!$X$27+MIN(PDs!$X$27+I$940-I879,50)</f>
        <v>0</v>
      </c>
      <c r="AC879" s="1265">
        <f>HP_final-PDs!$X$26+MIN(PDs!$X$26+J$940-J879,50)</f>
        <v>-10</v>
      </c>
      <c r="AE879" s="1264" t="s">
        <v>7143</v>
      </c>
    </row>
    <row r="880" spans="1:64" ht="12.75" customHeight="1" x14ac:dyDescent="0.2">
      <c r="A880" s="227">
        <v>880</v>
      </c>
      <c r="B880" s="5988"/>
      <c r="C880" s="489"/>
      <c r="D880" s="2421" t="s">
        <v>909</v>
      </c>
      <c r="E880" s="2418">
        <f>40+Bono_Fue</f>
        <v>40</v>
      </c>
      <c r="F880" s="2418"/>
      <c r="G880" s="2418">
        <v>20</v>
      </c>
      <c r="H880" s="2418"/>
      <c r="I880" s="2418"/>
      <c r="J880" s="2418">
        <v>20</v>
      </c>
      <c r="K880" s="2418"/>
      <c r="L880" s="2418"/>
      <c r="M880" s="2423"/>
      <c r="N880" s="2423" t="s">
        <v>910</v>
      </c>
      <c r="O880" s="2423"/>
      <c r="P880" s="2423"/>
      <c r="Q880" s="2423"/>
      <c r="R880" s="2423"/>
      <c r="S880" s="2419">
        <f t="shared" si="221"/>
        <v>40</v>
      </c>
      <c r="T880" s="2418"/>
      <c r="U880" s="2418"/>
      <c r="V880" s="2418"/>
      <c r="W880" s="2418"/>
      <c r="X880" s="2418">
        <f t="shared" si="222"/>
        <v>0</v>
      </c>
      <c r="Y880" s="2418">
        <f>IF(COUNTIF(PDs!$AD$59:$AD$77,Tablas!D880)&gt;0,1,0)</f>
        <v>0</v>
      </c>
      <c r="Z880" s="2422" t="str">
        <f>IF(OR(T.Manos_final&lt;100,AC880&lt;200),"NO","-")</f>
        <v>NO</v>
      </c>
      <c r="AA880" s="1025">
        <f>HA_final-PDs!$X$25+MIN(PDs!$X$25+H$940-H880,50)</f>
        <v>0</v>
      </c>
      <c r="AB880" s="2420">
        <f>HE_final-PDs!$X$27+MIN(PDs!$X$27+I$940-I880,50)</f>
        <v>0</v>
      </c>
      <c r="AC880" s="1265">
        <f>HP_final-PDs!$X$26+MIN(PDs!$X$26+J$940-J880,50)</f>
        <v>-20</v>
      </c>
      <c r="AE880" s="1264" t="s">
        <v>7144</v>
      </c>
    </row>
    <row r="881" spans="1:43" ht="12.75" customHeight="1" x14ac:dyDescent="0.2">
      <c r="A881" s="227">
        <v>881</v>
      </c>
      <c r="B881" s="5988"/>
      <c r="C881" s="489"/>
      <c r="D881" s="2421" t="s">
        <v>911</v>
      </c>
      <c r="E881" s="2418">
        <f>20+2*Bono_Fue</f>
        <v>20</v>
      </c>
      <c r="F881" s="2418"/>
      <c r="G881" s="2418">
        <v>0</v>
      </c>
      <c r="H881" s="2418"/>
      <c r="I881" s="2418"/>
      <c r="J881" s="2418"/>
      <c r="K881" s="2418"/>
      <c r="L881" s="2418"/>
      <c r="M881" s="2423"/>
      <c r="N881" s="2423" t="s">
        <v>1456</v>
      </c>
      <c r="O881" s="2423"/>
      <c r="P881" s="2423"/>
      <c r="Q881" s="2423"/>
      <c r="R881" s="2423"/>
      <c r="S881" s="2419">
        <f t="shared" si="221"/>
        <v>1</v>
      </c>
      <c r="T881" s="2418"/>
      <c r="U881" s="2418"/>
      <c r="V881" s="2418"/>
      <c r="W881" s="2418"/>
      <c r="X881" s="2418">
        <f t="shared" si="222"/>
        <v>0</v>
      </c>
      <c r="Y881" s="2418">
        <f>IF(OR(Y882&gt;0,COUNTIF(PDs!$AD$59:$AD$77,Tablas!D881)&gt;0),1,0)</f>
        <v>0</v>
      </c>
      <c r="Z881" s="2422" t="str">
        <f>IF(P.Fuerza_final&lt;30,"NO","-")</f>
        <v>NO</v>
      </c>
      <c r="AA881" s="1025">
        <f>HA_final-PDs!$X$25+MIN(PDs!$X$25+H$940-H881,50)</f>
        <v>0</v>
      </c>
      <c r="AB881" s="2420">
        <f>HE_final-PDs!$X$27+MIN(PDs!$X$27+I$940-I881,50)</f>
        <v>0</v>
      </c>
      <c r="AC881" s="1265">
        <f>HP_final-PDs!$X$26+MIN(PDs!$X$26+J$940-J881,50)</f>
        <v>0</v>
      </c>
      <c r="AE881" s="1264" t="s">
        <v>7145</v>
      </c>
    </row>
    <row r="882" spans="1:43" ht="12.75" customHeight="1" x14ac:dyDescent="0.2">
      <c r="A882" s="227">
        <v>882</v>
      </c>
      <c r="B882" s="5988"/>
      <c r="C882" s="489"/>
      <c r="D882" s="2421" t="s">
        <v>912</v>
      </c>
      <c r="E882" s="2418">
        <f>20+3*Bono_Fue</f>
        <v>20</v>
      </c>
      <c r="F882" s="2418"/>
      <c r="G882" s="2418">
        <v>10</v>
      </c>
      <c r="H882" s="2418"/>
      <c r="I882" s="2418"/>
      <c r="J882" s="2418"/>
      <c r="K882" s="2418"/>
      <c r="L882" s="2418"/>
      <c r="M882" s="2423"/>
      <c r="N882" s="2423" t="s">
        <v>1456</v>
      </c>
      <c r="O882" s="2423"/>
      <c r="P882" s="2423"/>
      <c r="Q882" s="2423"/>
      <c r="R882" s="2423"/>
      <c r="S882" s="2419">
        <f t="shared" ref="S882:S913" si="246">LEN(N882)</f>
        <v>1</v>
      </c>
      <c r="T882" s="2418"/>
      <c r="U882" s="2418"/>
      <c r="V882" s="2418"/>
      <c r="W882" s="2418"/>
      <c r="X882" s="2418">
        <f t="shared" ref="X882:X913" si="247">Y882*E882</f>
        <v>0</v>
      </c>
      <c r="Y882" s="2418">
        <f>IF(OR(Y883&gt;0,COUNTIF(PDs!$AD$59:$AD$77,Tablas!D882)&gt;0),1,0)</f>
        <v>0</v>
      </c>
      <c r="Z882" s="2422" t="str">
        <f>IF(OR(P.Fuerza_final&lt;40,AA882&lt;130),"NO","-")</f>
        <v>NO</v>
      </c>
      <c r="AA882" s="1025">
        <f>HA_final-PDs!$X$25+MIN(PDs!$X$25+H$940-H882,50)</f>
        <v>0</v>
      </c>
      <c r="AB882" s="2420">
        <f>HE_final-PDs!$X$27+MIN(PDs!$X$27+I$940-I882,50)</f>
        <v>0</v>
      </c>
      <c r="AC882" s="1265">
        <f>HP_final-PDs!$X$26+MIN(PDs!$X$26+J$940-J882,50)</f>
        <v>0</v>
      </c>
      <c r="AE882" s="1264" t="s">
        <v>7146</v>
      </c>
    </row>
    <row r="883" spans="1:43" ht="12.75" customHeight="1" x14ac:dyDescent="0.2">
      <c r="A883" s="227">
        <v>883</v>
      </c>
      <c r="B883" s="5988"/>
      <c r="C883" s="489"/>
      <c r="D883" s="2421" t="s">
        <v>913</v>
      </c>
      <c r="E883" s="2418">
        <f>20+4*Bono_Fue</f>
        <v>20</v>
      </c>
      <c r="F883" s="2418"/>
      <c r="G883" s="2418">
        <v>20</v>
      </c>
      <c r="H883" s="2418"/>
      <c r="I883" s="2418"/>
      <c r="J883" s="2418"/>
      <c r="K883" s="2418"/>
      <c r="L883" s="2418"/>
      <c r="M883" s="2423"/>
      <c r="N883" s="2423" t="s">
        <v>914</v>
      </c>
      <c r="O883" s="2423"/>
      <c r="P883" s="2423"/>
      <c r="Q883" s="2423"/>
      <c r="R883" s="2423"/>
      <c r="S883" s="2419">
        <f t="shared" si="246"/>
        <v>39</v>
      </c>
      <c r="T883" s="2418"/>
      <c r="U883" s="2418"/>
      <c r="V883" s="2418"/>
      <c r="W883" s="2418"/>
      <c r="X883" s="2418">
        <f t="shared" si="247"/>
        <v>0</v>
      </c>
      <c r="Y883" s="2418">
        <f>IF(COUNTIF(PDs!$AD$59:$AD$77,Tablas!D883)&gt;0,1,0)</f>
        <v>0</v>
      </c>
      <c r="Z883" s="2422" t="str">
        <f>IF(OR(P.Fuerza_final&lt;160,AA883&lt;200),"NO","-")</f>
        <v>NO</v>
      </c>
      <c r="AA883" s="1025">
        <f>HA_final-PDs!$X$25+MIN(PDs!$X$25+H$940-H883,50)</f>
        <v>0</v>
      </c>
      <c r="AB883" s="2420">
        <f>HE_final-PDs!$X$27+MIN(PDs!$X$27+I$940-I883,50)</f>
        <v>0</v>
      </c>
      <c r="AC883" s="1265">
        <f>HP_final-PDs!$X$26+MIN(PDs!$X$26+J$940-J883,50)</f>
        <v>0</v>
      </c>
      <c r="AE883" s="1264" t="s">
        <v>7147</v>
      </c>
    </row>
    <row r="884" spans="1:43" ht="12.75" customHeight="1" x14ac:dyDescent="0.2">
      <c r="A884" s="227">
        <v>884</v>
      </c>
      <c r="B884" s="5988"/>
      <c r="C884" s="489"/>
      <c r="D884" s="2421" t="s">
        <v>915</v>
      </c>
      <c r="E884" s="2418">
        <f>20+Bono_Fue</f>
        <v>20</v>
      </c>
      <c r="F884" s="2418"/>
      <c r="G884" s="2418">
        <v>0</v>
      </c>
      <c r="H884" s="2418"/>
      <c r="I884" s="2418"/>
      <c r="J884" s="2418"/>
      <c r="K884" s="2418"/>
      <c r="L884" s="2418"/>
      <c r="M884" s="2423"/>
      <c r="N884" s="2423" t="s">
        <v>916</v>
      </c>
      <c r="O884" s="2423"/>
      <c r="P884" s="2423"/>
      <c r="Q884" s="2423"/>
      <c r="R884" s="2423"/>
      <c r="S884" s="2419">
        <f t="shared" si="246"/>
        <v>31</v>
      </c>
      <c r="T884" s="2418"/>
      <c r="U884" s="2418"/>
      <c r="V884" s="2418"/>
      <c r="W884" s="2418"/>
      <c r="X884" s="2418">
        <f t="shared" si="247"/>
        <v>0</v>
      </c>
      <c r="Y884" s="2418">
        <f>IF(OR(Y885&gt;0,COUNTIF(PDs!$AD$59:$AD$77,Tablas!D884)&gt;0),1,0)</f>
        <v>0</v>
      </c>
      <c r="Z884" s="2422" t="str">
        <f>IF(OR(Atletismo_final&lt;30,P.Fuerza_final&lt;30),"NO","-")</f>
        <v>NO</v>
      </c>
      <c r="AA884" s="1025">
        <f>HA_final-PDs!$X$25+MIN(PDs!$X$25+H$940-H884,50)</f>
        <v>0</v>
      </c>
      <c r="AB884" s="2420">
        <f>HE_final-PDs!$X$27+MIN(PDs!$X$27+I$940-I884,50)</f>
        <v>0</v>
      </c>
      <c r="AC884" s="1265">
        <f>HP_final-PDs!$X$26+MIN(PDs!$X$26+J$940-J884,50)</f>
        <v>0</v>
      </c>
      <c r="AE884" s="1264" t="s">
        <v>7148</v>
      </c>
    </row>
    <row r="885" spans="1:43" ht="12.75" customHeight="1" x14ac:dyDescent="0.2">
      <c r="A885" s="227">
        <v>885</v>
      </c>
      <c r="B885" s="5988"/>
      <c r="C885" s="489"/>
      <c r="D885" s="2421" t="s">
        <v>917</v>
      </c>
      <c r="E885" s="2418">
        <f>20+Bono_Fue</f>
        <v>20</v>
      </c>
      <c r="F885" s="2418"/>
      <c r="G885" s="2418">
        <v>10</v>
      </c>
      <c r="H885" s="2418"/>
      <c r="I885" s="2418"/>
      <c r="J885" s="2418"/>
      <c r="K885" s="2418"/>
      <c r="L885" s="2418"/>
      <c r="M885" s="2423"/>
      <c r="N885" s="2423" t="s">
        <v>8776</v>
      </c>
      <c r="O885" s="2423"/>
      <c r="P885" s="2423"/>
      <c r="Q885" s="2423"/>
      <c r="R885" s="2423"/>
      <c r="S885" s="2419">
        <f t="shared" si="246"/>
        <v>82</v>
      </c>
      <c r="T885" s="2418"/>
      <c r="U885" s="2418"/>
      <c r="V885" s="2418"/>
      <c r="W885" s="2418"/>
      <c r="X885" s="2418">
        <f t="shared" si="247"/>
        <v>0</v>
      </c>
      <c r="Y885" s="2418">
        <f>IF(OR(Y886&gt;0,COUNTIF(PDs!$AD$59:$AD$77,Tablas!D885)&gt;0),1,0)</f>
        <v>0</v>
      </c>
      <c r="Z885" s="2422" t="str">
        <f>IF(OR(Atletismo_final&lt;50,P.Fuerza_final&lt;50,AA885&lt;110,MAX(AB885,AC885)&lt;110),"NO","-")</f>
        <v>NO</v>
      </c>
      <c r="AA885" s="1025">
        <f>HA_final-PDs!$X$25+MIN(PDs!$X$25+H$940-H885,50)</f>
        <v>0</v>
      </c>
      <c r="AB885" s="2420">
        <f>HE_final-PDs!$X$27+MIN(PDs!$X$27+I$940-I885,50)</f>
        <v>0</v>
      </c>
      <c r="AC885" s="1265">
        <f>HP_final-PDs!$X$26+MIN(PDs!$X$26+J$940-J885,50)</f>
        <v>0</v>
      </c>
      <c r="AE885" s="1264" t="s">
        <v>7149</v>
      </c>
    </row>
    <row r="886" spans="1:43" ht="12.75" customHeight="1" x14ac:dyDescent="0.2">
      <c r="A886" s="227">
        <v>886</v>
      </c>
      <c r="B886" s="5988"/>
      <c r="C886" s="489"/>
      <c r="D886" s="2421" t="s">
        <v>918</v>
      </c>
      <c r="E886" s="2418">
        <f>20+Bono_Fue</f>
        <v>20</v>
      </c>
      <c r="F886" s="2418"/>
      <c r="G886" s="2418">
        <v>20</v>
      </c>
      <c r="H886" s="2418"/>
      <c r="I886" s="2418">
        <v>10</v>
      </c>
      <c r="J886" s="2418">
        <v>10</v>
      </c>
      <c r="K886" s="2418"/>
      <c r="L886" s="2418"/>
      <c r="M886" s="2423"/>
      <c r="N886" s="2423" t="s">
        <v>8778</v>
      </c>
      <c r="O886" s="2423"/>
      <c r="P886" s="2423"/>
      <c r="Q886" s="2423"/>
      <c r="R886" s="2423"/>
      <c r="S886" s="2419">
        <f t="shared" si="246"/>
        <v>82</v>
      </c>
      <c r="T886" s="2418"/>
      <c r="U886" s="2418"/>
      <c r="V886" s="2418"/>
      <c r="W886" s="2418"/>
      <c r="X886" s="2418">
        <f t="shared" si="247"/>
        <v>0</v>
      </c>
      <c r="Y886" s="2418">
        <f>IF(COUNTIF(PDs!$AD$59:$AD$77,Tablas!D886)&gt;0,1,0)</f>
        <v>0</v>
      </c>
      <c r="Z886" s="2422" t="str">
        <f>IF(OR(Atletismo_final&lt;50,P.Fuerza_final&lt;120,AA886&lt;110,MAX(AB886,AC886)&lt;200),"NO","-")</f>
        <v>NO</v>
      </c>
      <c r="AA886" s="1025">
        <f>HA_final-PDs!$X$25+MIN(PDs!$X$25+H$940-H886,50)</f>
        <v>0</v>
      </c>
      <c r="AB886" s="2420">
        <f>HE_final-PDs!$X$27+MIN(PDs!$X$27+I$940-I886,50)</f>
        <v>-10</v>
      </c>
      <c r="AC886" s="1265">
        <f>HP_final-PDs!$X$26+MIN(PDs!$X$26+J$940-J886,50)</f>
        <v>-10</v>
      </c>
      <c r="AE886" s="1264" t="s">
        <v>7150</v>
      </c>
    </row>
    <row r="887" spans="1:43" ht="12.75" customHeight="1" x14ac:dyDescent="0.2">
      <c r="A887" s="227">
        <v>887</v>
      </c>
      <c r="B887" s="5988"/>
      <c r="C887" s="489"/>
      <c r="D887" s="2421" t="s">
        <v>919</v>
      </c>
      <c r="E887" s="2418">
        <f>10+Bono_Fue</f>
        <v>10</v>
      </c>
      <c r="F887" s="2418"/>
      <c r="G887" s="2418">
        <v>0</v>
      </c>
      <c r="H887" s="2418"/>
      <c r="I887" s="2418"/>
      <c r="J887" s="2418"/>
      <c r="K887" s="2418"/>
      <c r="L887" s="2418"/>
      <c r="M887" s="2423"/>
      <c r="N887" s="2423" t="s">
        <v>920</v>
      </c>
      <c r="O887" s="2423"/>
      <c r="P887" s="2423"/>
      <c r="Q887" s="2423"/>
      <c r="R887" s="2423"/>
      <c r="S887" s="2419">
        <f t="shared" si="246"/>
        <v>40</v>
      </c>
      <c r="T887" s="2418"/>
      <c r="U887" s="2418"/>
      <c r="V887" s="2418"/>
      <c r="W887" s="2418"/>
      <c r="X887" s="2418">
        <f t="shared" si="247"/>
        <v>0</v>
      </c>
      <c r="Y887" s="2418">
        <f>IF(OR(Y888&gt;0,COUNTIF(PDs!$AD$59:$AD$77,Tablas!D887)&gt;0),1,0)</f>
        <v>0</v>
      </c>
      <c r="Z887" s="2422" t="s">
        <v>1456</v>
      </c>
      <c r="AA887" s="1025">
        <f>HA_final-PDs!$X$25+MIN(PDs!$X$25+H$940-H887,50)</f>
        <v>0</v>
      </c>
      <c r="AB887" s="2420">
        <f>HE_final-PDs!$X$27+MIN(PDs!$X$27+I$940-I887,50)</f>
        <v>0</v>
      </c>
      <c r="AC887" s="1265">
        <f>HP_final-PDs!$X$26+MIN(PDs!$X$26+J$940-J887,50)</f>
        <v>0</v>
      </c>
      <c r="AE887" s="1264" t="s">
        <v>7151</v>
      </c>
    </row>
    <row r="888" spans="1:43" ht="12.75" customHeight="1" x14ac:dyDescent="0.2">
      <c r="A888" s="227">
        <v>888</v>
      </c>
      <c r="B888" s="5988"/>
      <c r="C888" s="489"/>
      <c r="D888" s="2421" t="s">
        <v>921</v>
      </c>
      <c r="E888" s="2418">
        <f>20+Bono_Fue</f>
        <v>20</v>
      </c>
      <c r="F888" s="2418"/>
      <c r="G888" s="2418">
        <v>10</v>
      </c>
      <c r="H888" s="2418"/>
      <c r="I888" s="2418"/>
      <c r="J888" s="2418">
        <v>10</v>
      </c>
      <c r="K888" s="2418"/>
      <c r="L888" s="2418"/>
      <c r="M888" s="2423"/>
      <c r="N888" s="2423" t="s">
        <v>8780</v>
      </c>
      <c r="O888" s="2423"/>
      <c r="P888" s="2423"/>
      <c r="Q888" s="2423"/>
      <c r="R888" s="2423"/>
      <c r="S888" s="2419">
        <f t="shared" si="246"/>
        <v>63</v>
      </c>
      <c r="T888" s="2418"/>
      <c r="U888" s="2418"/>
      <c r="V888" s="2418"/>
      <c r="W888" s="2418"/>
      <c r="X888" s="2418">
        <f t="shared" si="247"/>
        <v>0</v>
      </c>
      <c r="Y888" s="2418">
        <f>IF(OR(Y889&gt;0,COUNTIF(PDs!$AD$59:$AD$77,Tablas!D888)&gt;0),1,0)</f>
        <v>0</v>
      </c>
      <c r="Z888" s="2422" t="str">
        <f>IF(OR(AA888&lt;130),"NO","-")</f>
        <v>NO</v>
      </c>
      <c r="AA888" s="1025">
        <f>HA_final-PDs!$X$25+MIN(PDs!$X$25+H$940-H888,50)</f>
        <v>0</v>
      </c>
      <c r="AB888" s="2420">
        <f>HE_final-PDs!$X$27+MIN(PDs!$X$27+I$940-I888,50)</f>
        <v>0</v>
      </c>
      <c r="AC888" s="1265">
        <f>HP_final-PDs!$X$26+MIN(PDs!$X$26+J$940-J888,50)</f>
        <v>-10</v>
      </c>
      <c r="AE888" s="1264" t="s">
        <v>7152</v>
      </c>
    </row>
    <row r="889" spans="1:43" ht="12.75" customHeight="1" x14ac:dyDescent="0.2">
      <c r="A889" s="227">
        <v>889</v>
      </c>
      <c r="B889" s="5988"/>
      <c r="C889" s="489"/>
      <c r="D889" s="2421" t="s">
        <v>922</v>
      </c>
      <c r="E889" s="2418">
        <f>30+Bono_Fue</f>
        <v>30</v>
      </c>
      <c r="F889" s="2418"/>
      <c r="G889" s="2418">
        <v>20</v>
      </c>
      <c r="H889" s="2418"/>
      <c r="I889" s="2418"/>
      <c r="J889" s="2418">
        <v>10</v>
      </c>
      <c r="K889" s="2418"/>
      <c r="L889" s="2418"/>
      <c r="M889" s="2423"/>
      <c r="N889" s="2423" t="s">
        <v>8779</v>
      </c>
      <c r="O889" s="2423"/>
      <c r="P889" s="2423"/>
      <c r="Q889" s="2423"/>
      <c r="R889" s="2423"/>
      <c r="S889" s="2419">
        <f t="shared" si="246"/>
        <v>82</v>
      </c>
      <c r="T889" s="2418"/>
      <c r="U889" s="2418"/>
      <c r="V889" s="2418"/>
      <c r="W889" s="2418"/>
      <c r="X889" s="2418">
        <f t="shared" si="247"/>
        <v>0</v>
      </c>
      <c r="Y889" s="2418">
        <f>IF(COUNTIF(PDs!$AD$59:$AD$77,Tablas!D889)&gt;0,1,0)</f>
        <v>0</v>
      </c>
      <c r="Z889" s="2422" t="str">
        <f>IF(OR(AA889&lt;200,MAX(AB889,AC889)&lt;200),"NO","-")</f>
        <v>NO</v>
      </c>
      <c r="AA889" s="1025">
        <f>HA_final-PDs!$X$25+MIN(PDs!$X$25+H$940-H889,50)</f>
        <v>0</v>
      </c>
      <c r="AB889" s="2420">
        <f>HE_final-PDs!$X$27+MIN(PDs!$X$27+I$940-I889,50)</f>
        <v>0</v>
      </c>
      <c r="AC889" s="1265">
        <f>HP_final-PDs!$X$26+MIN(PDs!$X$26+J$940-J889,50)</f>
        <v>-10</v>
      </c>
      <c r="AE889" s="1264" t="s">
        <v>7153</v>
      </c>
    </row>
    <row r="890" spans="1:43" ht="12.75" customHeight="1" x14ac:dyDescent="0.2">
      <c r="A890" s="227">
        <v>890</v>
      </c>
      <c r="B890" s="5988"/>
      <c r="C890" s="489"/>
      <c r="D890" s="2421" t="s">
        <v>923</v>
      </c>
      <c r="E890" s="2418">
        <f>20+Bono_Fue</f>
        <v>20</v>
      </c>
      <c r="F890" s="2418"/>
      <c r="G890" s="2418">
        <v>0</v>
      </c>
      <c r="H890" s="2418">
        <v>5</v>
      </c>
      <c r="I890" s="2418"/>
      <c r="J890" s="2418"/>
      <c r="K890" s="2418"/>
      <c r="L890" s="2418"/>
      <c r="M890" s="2423"/>
      <c r="N890" s="2423" t="s">
        <v>1456</v>
      </c>
      <c r="O890" s="2423"/>
      <c r="P890" s="2423"/>
      <c r="Q890" s="2423"/>
      <c r="R890" s="2423"/>
      <c r="S890" s="2419">
        <f t="shared" si="246"/>
        <v>1</v>
      </c>
      <c r="T890" s="2418"/>
      <c r="U890" s="2418"/>
      <c r="V890" s="2418"/>
      <c r="W890" s="2418"/>
      <c r="X890" s="2418">
        <f t="shared" si="247"/>
        <v>0</v>
      </c>
      <c r="Y890" s="2418">
        <f>IF(OR(Y891&gt;0,COUNTIF(PDs!$AD$59:$AD$77,Tablas!D890)&gt;0),1,0)</f>
        <v>0</v>
      </c>
      <c r="Z890" s="2422" t="s">
        <v>1456</v>
      </c>
      <c r="AA890" s="1025">
        <f>HA_final-PDs!$X$25+MIN(PDs!$X$25+H$940-H890,50)</f>
        <v>-5</v>
      </c>
      <c r="AB890" s="2420">
        <f>HE_final-PDs!$X$27+MIN(PDs!$X$27+I$940-I890,50)</f>
        <v>0</v>
      </c>
      <c r="AC890" s="1265">
        <f>HP_final-PDs!$X$26+MIN(PDs!$X$26+J$940-J890,50)</f>
        <v>0</v>
      </c>
      <c r="AE890" s="1264" t="s">
        <v>7154</v>
      </c>
    </row>
    <row r="891" spans="1:43" ht="12.75" customHeight="1" thickBot="1" x14ac:dyDescent="0.25">
      <c r="A891" s="227">
        <v>891</v>
      </c>
      <c r="B891" s="5988"/>
      <c r="C891" s="489"/>
      <c r="D891" s="2421" t="s">
        <v>924</v>
      </c>
      <c r="E891" s="2418">
        <f>30+Bono_Fue</f>
        <v>30</v>
      </c>
      <c r="F891" s="2418"/>
      <c r="G891" s="2418">
        <v>10</v>
      </c>
      <c r="H891" s="2418">
        <v>5</v>
      </c>
      <c r="I891" s="2418"/>
      <c r="J891" s="2418"/>
      <c r="K891" s="2418"/>
      <c r="L891" s="2418"/>
      <c r="M891" s="2423"/>
      <c r="N891" s="2423" t="s">
        <v>1456</v>
      </c>
      <c r="O891" s="2423"/>
      <c r="P891" s="2423"/>
      <c r="Q891" s="2423"/>
      <c r="R891" s="2423"/>
      <c r="S891" s="2419">
        <f t="shared" si="246"/>
        <v>1</v>
      </c>
      <c r="T891" s="2418"/>
      <c r="U891" s="2418"/>
      <c r="V891" s="2418"/>
      <c r="W891" s="2418"/>
      <c r="X891" s="2418">
        <f t="shared" si="247"/>
        <v>0</v>
      </c>
      <c r="Y891" s="2418">
        <f>IF(OR(Y892&gt;0,COUNTIF(PDs!$AD$59:$AD$77,Tablas!D891)&gt;0),1,0)</f>
        <v>0</v>
      </c>
      <c r="Z891" s="2422" t="str">
        <f>IF(OR(AA891&lt;120,MAX(AB891,AC891)&lt;120),"NO","-")</f>
        <v>NO</v>
      </c>
      <c r="AA891" s="1025">
        <f>HA_final-PDs!$X$25+MIN(PDs!$X$25+H$940-H891,50)</f>
        <v>-5</v>
      </c>
      <c r="AB891" s="2420">
        <f>HE_final-PDs!$X$27+MIN(PDs!$X$27+I$940-I891,50)</f>
        <v>0</v>
      </c>
      <c r="AC891" s="1265">
        <f>HP_final-PDs!$X$26+MIN(PDs!$X$26+J$940-J891,50)</f>
        <v>0</v>
      </c>
      <c r="AE891" s="1266" t="s">
        <v>7155</v>
      </c>
    </row>
    <row r="892" spans="1:43" ht="12.75" customHeight="1" x14ac:dyDescent="0.2">
      <c r="A892" s="227">
        <v>892</v>
      </c>
      <c r="B892" s="5988"/>
      <c r="C892" s="489"/>
      <c r="D892" s="2421" t="s">
        <v>925</v>
      </c>
      <c r="E892" s="2418">
        <f>50+Bono_Fue</f>
        <v>50</v>
      </c>
      <c r="F892" s="2418"/>
      <c r="G892" s="2418">
        <v>20</v>
      </c>
      <c r="H892" s="2418">
        <v>10</v>
      </c>
      <c r="I892" s="2418"/>
      <c r="J892" s="2418"/>
      <c r="K892" s="2418"/>
      <c r="L892" s="2418"/>
      <c r="M892" s="2423"/>
      <c r="N892" s="2423" t="s">
        <v>1456</v>
      </c>
      <c r="O892" s="2423"/>
      <c r="P892" s="2423"/>
      <c r="Q892" s="2423"/>
      <c r="R892" s="2423"/>
      <c r="S892" s="2419">
        <f t="shared" si="246"/>
        <v>1</v>
      </c>
      <c r="T892" s="2418"/>
      <c r="U892" s="2418"/>
      <c r="V892" s="2418"/>
      <c r="W892" s="2418"/>
      <c r="X892" s="2418">
        <f t="shared" si="247"/>
        <v>0</v>
      </c>
      <c r="Y892" s="2418">
        <f>IF(COUNTIF(PDs!$AD$59:$AD$77,Tablas!D892)&gt;0,1,0)</f>
        <v>0</v>
      </c>
      <c r="Z892" s="2422" t="str">
        <f>IF(OR(AA892&lt;200,MAX(AB892,AC892)&lt;120),"NO","-")</f>
        <v>NO</v>
      </c>
      <c r="AA892" s="1025">
        <f>HA_final-PDs!$X$25+MIN(PDs!$X$25+H$940-H892,50)</f>
        <v>-10</v>
      </c>
      <c r="AB892" s="2420">
        <f>HE_final-PDs!$X$27+MIN(PDs!$X$27+I$940-I892,50)</f>
        <v>0</v>
      </c>
      <c r="AC892" s="1265">
        <f>HP_final-PDs!$X$26+MIN(PDs!$X$26+J$940-J892,50)</f>
        <v>0</v>
      </c>
      <c r="AP892" s="559"/>
      <c r="AQ892" s="559"/>
    </row>
    <row r="893" spans="1:43" ht="12.75" customHeight="1" x14ac:dyDescent="0.2">
      <c r="A893" s="227">
        <v>893</v>
      </c>
      <c r="B893" s="5988"/>
      <c r="C893" s="489"/>
      <c r="D893" s="2421" t="s">
        <v>926</v>
      </c>
      <c r="E893" s="2418">
        <f>10+Bono_Fue</f>
        <v>10</v>
      </c>
      <c r="F893" s="2418"/>
      <c r="G893" s="2418">
        <v>0</v>
      </c>
      <c r="H893" s="2418"/>
      <c r="I893" s="2418"/>
      <c r="J893" s="2418"/>
      <c r="K893" s="2418"/>
      <c r="L893" s="2418"/>
      <c r="M893" s="2423"/>
      <c r="N893" s="2423" t="s">
        <v>927</v>
      </c>
      <c r="O893" s="2423"/>
      <c r="P893" s="2423"/>
      <c r="Q893" s="2423"/>
      <c r="R893" s="2423"/>
      <c r="S893" s="2419">
        <f t="shared" si="246"/>
        <v>31</v>
      </c>
      <c r="T893" s="2418"/>
      <c r="U893" s="2418"/>
      <c r="V893" s="2418"/>
      <c r="W893" s="2418"/>
      <c r="X893" s="2418">
        <f t="shared" si="247"/>
        <v>0</v>
      </c>
      <c r="Y893" s="2418">
        <f>IF(OR(Y894&gt;0,COUNTIF(PDs!$AD$59:$AD$77,Tablas!D893)&gt;0),1,0)</f>
        <v>0</v>
      </c>
      <c r="Z893" s="2418" t="str">
        <f>IF(Advertir_final&lt;50,"NO","-")</f>
        <v>NO</v>
      </c>
      <c r="AA893" s="1025">
        <f>HA_final-PDs!$X$25+MIN(PDs!$X$25+H$940-H893,50)</f>
        <v>0</v>
      </c>
      <c r="AB893" s="2420">
        <f>HE_final-PDs!$X$27+MIN(PDs!$X$27+I$940-I893,50)</f>
        <v>0</v>
      </c>
      <c r="AC893" s="1265">
        <f>HP_final-PDs!$X$26+MIN(PDs!$X$26+J$940-J893,50)</f>
        <v>0</v>
      </c>
      <c r="AP893" s="559"/>
      <c r="AQ893" s="559"/>
    </row>
    <row r="894" spans="1:43" ht="12.75" customHeight="1" x14ac:dyDescent="0.2">
      <c r="A894" s="227">
        <v>894</v>
      </c>
      <c r="B894" s="5988"/>
      <c r="C894" s="489"/>
      <c r="D894" s="2421" t="s">
        <v>928</v>
      </c>
      <c r="E894" s="2418">
        <f>20+Bono_Fue</f>
        <v>20</v>
      </c>
      <c r="F894" s="2418"/>
      <c r="G894" s="2418">
        <v>10</v>
      </c>
      <c r="H894" s="2418"/>
      <c r="I894" s="2418">
        <v>10</v>
      </c>
      <c r="J894" s="2418">
        <v>10</v>
      </c>
      <c r="K894" s="2418"/>
      <c r="L894" s="2418"/>
      <c r="M894" s="2423"/>
      <c r="N894" s="2423" t="s">
        <v>929</v>
      </c>
      <c r="O894" s="2423"/>
      <c r="P894" s="2423"/>
      <c r="Q894" s="2423"/>
      <c r="R894" s="2423"/>
      <c r="S894" s="2419">
        <f t="shared" si="246"/>
        <v>26</v>
      </c>
      <c r="T894" s="2418"/>
      <c r="U894" s="2418"/>
      <c r="V894" s="2418"/>
      <c r="W894" s="2418"/>
      <c r="X894" s="2418">
        <f t="shared" si="247"/>
        <v>0</v>
      </c>
      <c r="Y894" s="2418">
        <f>IF(OR(Y895&gt;0,COUNTIF(PDs!$AD$59:$AD$77,Tablas!D894)&gt;0),1,0)</f>
        <v>0</v>
      </c>
      <c r="Z894" s="2418" t="str">
        <f>IF(OR(Advertir_final&lt;90,MAX(AB894,AC894)&lt;120),"NO","-")</f>
        <v>NO</v>
      </c>
      <c r="AA894" s="1025">
        <f>HA_final-PDs!$X$25+MIN(PDs!$X$25+H$940-H894,50)</f>
        <v>0</v>
      </c>
      <c r="AB894" s="2420">
        <f>HE_final-PDs!$X$27+MIN(PDs!$X$27+I$940-I894,50)</f>
        <v>-10</v>
      </c>
      <c r="AC894" s="1265">
        <f>HP_final-PDs!$X$26+MIN(PDs!$X$26+J$940-J894,50)</f>
        <v>-10</v>
      </c>
      <c r="AP894" s="559"/>
      <c r="AQ894" s="559"/>
    </row>
    <row r="895" spans="1:43" ht="12.75" customHeight="1" x14ac:dyDescent="0.2">
      <c r="A895" s="227">
        <v>895</v>
      </c>
      <c r="B895" s="5988"/>
      <c r="C895" s="489"/>
      <c r="D895" s="2421" t="s">
        <v>930</v>
      </c>
      <c r="E895" s="2418">
        <f>30+Bono_Fue</f>
        <v>30</v>
      </c>
      <c r="F895" s="2418"/>
      <c r="G895" s="2418">
        <v>20</v>
      </c>
      <c r="H895" s="2418"/>
      <c r="I895" s="2418">
        <v>10</v>
      </c>
      <c r="J895" s="2418">
        <v>10</v>
      </c>
      <c r="K895" s="2418"/>
      <c r="L895" s="2418"/>
      <c r="M895" s="2423"/>
      <c r="N895" s="2423" t="s">
        <v>8781</v>
      </c>
      <c r="O895" s="2423"/>
      <c r="P895" s="2423"/>
      <c r="Q895" s="2423"/>
      <c r="R895" s="2423"/>
      <c r="S895" s="2419">
        <f t="shared" si="246"/>
        <v>38</v>
      </c>
      <c r="T895" s="2418"/>
      <c r="U895" s="2418"/>
      <c r="V895" s="2418"/>
      <c r="W895" s="2418"/>
      <c r="X895" s="2418">
        <f t="shared" si="247"/>
        <v>0</v>
      </c>
      <c r="Y895" s="2418">
        <f>IF(COUNTIF(PDs!$AD$59:$AD$77,Tablas!D895)&gt;0,1,0)</f>
        <v>0</v>
      </c>
      <c r="Z895" s="2418" t="str">
        <f>IF(OR(Advertir_final&lt;120,Acrobacias_final&lt;60,MAX(AB895,AC895)&lt;200),"NO","-")</f>
        <v>NO</v>
      </c>
      <c r="AA895" s="1025">
        <f>HA_final-PDs!$X$25+MIN(PDs!$X$25+H$940-H895,50)</f>
        <v>0</v>
      </c>
      <c r="AB895" s="2420">
        <f>HE_final-PDs!$X$27+MIN(PDs!$X$27+I$940-I895,50)</f>
        <v>-10</v>
      </c>
      <c r="AC895" s="1265">
        <f>HP_final-PDs!$X$26+MIN(PDs!$X$26+J$940-J895,50)</f>
        <v>-10</v>
      </c>
      <c r="AP895" s="559"/>
      <c r="AQ895" s="559"/>
    </row>
    <row r="896" spans="1:43" ht="12.75" customHeight="1" x14ac:dyDescent="0.2">
      <c r="A896" s="227">
        <v>896</v>
      </c>
      <c r="B896" s="5988"/>
      <c r="C896" s="489"/>
      <c r="D896" s="2421" t="s">
        <v>931</v>
      </c>
      <c r="E896" s="2418">
        <f>10+Bono_Fue</f>
        <v>10</v>
      </c>
      <c r="F896" s="2418"/>
      <c r="G896" s="2418">
        <v>0</v>
      </c>
      <c r="H896" s="2418"/>
      <c r="I896" s="2418"/>
      <c r="J896" s="2418"/>
      <c r="K896" s="2418"/>
      <c r="L896" s="2418"/>
      <c r="M896" s="2423"/>
      <c r="N896" s="2423" t="s">
        <v>932</v>
      </c>
      <c r="O896" s="2423"/>
      <c r="P896" s="2423"/>
      <c r="Q896" s="2423"/>
      <c r="R896" s="2423"/>
      <c r="S896" s="2419">
        <f t="shared" si="246"/>
        <v>54</v>
      </c>
      <c r="T896" s="2418"/>
      <c r="U896" s="2418"/>
      <c r="V896" s="2418"/>
      <c r="W896" s="2418"/>
      <c r="X896" s="2418">
        <f t="shared" si="247"/>
        <v>0</v>
      </c>
      <c r="Y896" s="2418">
        <f>IF(OR(Y897&gt;0,COUNTIF(PDs!$AD$59:$AD$77,Tablas!D896)&gt;0),1,0)</f>
        <v>0</v>
      </c>
      <c r="Z896" s="2418" t="s">
        <v>1456</v>
      </c>
      <c r="AA896" s="1025">
        <f>HA_final-PDs!$X$25+MIN(PDs!$X$25+H$940-H896,50)</f>
        <v>0</v>
      </c>
      <c r="AB896" s="2420">
        <f>HE_final-PDs!$X$27+MIN(PDs!$X$27+I$940-I896,50)</f>
        <v>0</v>
      </c>
      <c r="AC896" s="1265">
        <f>HP_final-PDs!$X$26+MIN(PDs!$X$26+J$940-J896,50)</f>
        <v>0</v>
      </c>
      <c r="AP896" s="559"/>
      <c r="AQ896" s="559"/>
    </row>
    <row r="897" spans="1:43" ht="12.75" customHeight="1" x14ac:dyDescent="0.2">
      <c r="A897" s="227">
        <v>897</v>
      </c>
      <c r="B897" s="5988"/>
      <c r="C897" s="489"/>
      <c r="D897" s="2421" t="s">
        <v>933</v>
      </c>
      <c r="E897" s="2418">
        <f>20+Bono_Fue</f>
        <v>20</v>
      </c>
      <c r="F897" s="2418"/>
      <c r="G897" s="2418">
        <v>10</v>
      </c>
      <c r="H897" s="2418"/>
      <c r="I897" s="2418"/>
      <c r="J897" s="2418"/>
      <c r="K897" s="2418"/>
      <c r="L897" s="2418"/>
      <c r="M897" s="2423"/>
      <c r="N897" s="2423" t="s">
        <v>934</v>
      </c>
      <c r="O897" s="2423"/>
      <c r="P897" s="2423"/>
      <c r="Q897" s="2423"/>
      <c r="R897" s="2423"/>
      <c r="S897" s="2419">
        <f t="shared" si="246"/>
        <v>54</v>
      </c>
      <c r="T897" s="2418"/>
      <c r="U897" s="2418"/>
      <c r="V897" s="2418"/>
      <c r="W897" s="2418"/>
      <c r="X897" s="2418">
        <f t="shared" si="247"/>
        <v>0</v>
      </c>
      <c r="Y897" s="2418">
        <f>IF(OR(Y898&gt;0,COUNTIF(PDs!$AD$59:$AD$77,Tablas!D897)&gt;0),1,0)</f>
        <v>0</v>
      </c>
      <c r="Z897" s="2418" t="str">
        <f>IF(OR(AA897&lt;130,MAX(AB897,AC897)&lt;100),"NO","-")</f>
        <v>NO</v>
      </c>
      <c r="AA897" s="1025">
        <f>HA_final-PDs!$X$25+MIN(PDs!$X$25+H$940-H897,50)</f>
        <v>0</v>
      </c>
      <c r="AB897" s="2420">
        <f>HE_final-PDs!$X$27+MIN(PDs!$X$27+I$940-I897,50)</f>
        <v>0</v>
      </c>
      <c r="AC897" s="1265">
        <f>HP_final-PDs!$X$26+MIN(PDs!$X$26+J$940-J897,50)</f>
        <v>0</v>
      </c>
      <c r="AP897" s="559"/>
      <c r="AQ897" s="559"/>
    </row>
    <row r="898" spans="1:43" ht="12.75" customHeight="1" x14ac:dyDescent="0.2">
      <c r="A898" s="227">
        <v>898</v>
      </c>
      <c r="B898" s="5988"/>
      <c r="C898" s="489"/>
      <c r="D898" s="2421" t="s">
        <v>935</v>
      </c>
      <c r="E898" s="2418">
        <f>20+Bono_Fue</f>
        <v>20</v>
      </c>
      <c r="F898" s="2418"/>
      <c r="G898" s="2418">
        <v>20</v>
      </c>
      <c r="H898" s="2418"/>
      <c r="I898" s="2418"/>
      <c r="J898" s="2418"/>
      <c r="K898" s="2418"/>
      <c r="L898" s="2418"/>
      <c r="M898" s="2423"/>
      <c r="N898" s="2423" t="s">
        <v>936</v>
      </c>
      <c r="O898" s="2423"/>
      <c r="P898" s="2423"/>
      <c r="Q898" s="2423"/>
      <c r="R898" s="2423"/>
      <c r="S898" s="2419">
        <f t="shared" si="246"/>
        <v>64</v>
      </c>
      <c r="T898" s="2418"/>
      <c r="U898" s="2418"/>
      <c r="V898" s="2418"/>
      <c r="W898" s="2418"/>
      <c r="X898" s="2418">
        <f t="shared" si="247"/>
        <v>0</v>
      </c>
      <c r="Y898" s="2418">
        <f>IF(COUNTIF(PDs!$AD$59:$AD$77,Tablas!D898)&gt;0,1,0)</f>
        <v>0</v>
      </c>
      <c r="Z898" s="2418" t="str">
        <f>IF(OR(AA898&lt;200,MAX(AB898,AC898)&lt;100),"NO","-")</f>
        <v>NO</v>
      </c>
      <c r="AA898" s="1025">
        <f>HA_final-PDs!$X$25+MIN(PDs!$X$25+H$940-H898,50)</f>
        <v>0</v>
      </c>
      <c r="AB898" s="2420">
        <f>HE_final-PDs!$X$27+MIN(PDs!$X$27+I$940-I898,50)</f>
        <v>0</v>
      </c>
      <c r="AC898" s="1265">
        <f>HP_final-PDs!$X$26+MIN(PDs!$X$26+J$940-J898,50)</f>
        <v>0</v>
      </c>
      <c r="AP898" s="559"/>
      <c r="AQ898" s="559"/>
    </row>
    <row r="899" spans="1:43" ht="12.75" customHeight="1" x14ac:dyDescent="0.2">
      <c r="A899" s="227">
        <v>899</v>
      </c>
      <c r="B899" s="5988"/>
      <c r="C899" s="489"/>
      <c r="D899" s="2421" t="s">
        <v>937</v>
      </c>
      <c r="E899" s="2418">
        <f>20+Bono_Pod</f>
        <v>20</v>
      </c>
      <c r="F899" s="2418"/>
      <c r="G899" s="2418">
        <v>10</v>
      </c>
      <c r="H899" s="2418"/>
      <c r="I899" s="2418"/>
      <c r="J899" s="2418"/>
      <c r="K899" s="2418"/>
      <c r="L899" s="2418"/>
      <c r="M899" s="2423"/>
      <c r="N899" s="2423" t="s">
        <v>1456</v>
      </c>
      <c r="O899" s="2423"/>
      <c r="P899" s="2423"/>
      <c r="Q899" s="2423"/>
      <c r="R899" s="2423"/>
      <c r="S899" s="2419">
        <f t="shared" si="246"/>
        <v>1</v>
      </c>
      <c r="T899" s="2418"/>
      <c r="U899" s="2418"/>
      <c r="V899" s="2418"/>
      <c r="W899" s="2418"/>
      <c r="X899" s="2418">
        <f t="shared" si="247"/>
        <v>0</v>
      </c>
      <c r="Y899" s="2418">
        <f>IF(OR(Y900&gt;0,COUNTIF(PDs!$AD$59:$AD$77,Tablas!D899)&gt;0),1,0)</f>
        <v>0</v>
      </c>
      <c r="Z899" s="2418" t="s">
        <v>1456</v>
      </c>
      <c r="AA899" s="1025">
        <f>HA_final-PDs!$X$25+MIN(PDs!$X$25+H$940-H899,50)</f>
        <v>0</v>
      </c>
      <c r="AB899" s="2420">
        <f>HE_final-PDs!$X$27+MIN(PDs!$X$27+I$940-I899,50)</f>
        <v>0</v>
      </c>
      <c r="AC899" s="1265">
        <f>HP_final-PDs!$X$26+MIN(PDs!$X$26+J$940-J899,50)</f>
        <v>0</v>
      </c>
      <c r="AP899" s="559"/>
      <c r="AQ899" s="559"/>
    </row>
    <row r="900" spans="1:43" ht="12.75" customHeight="1" x14ac:dyDescent="0.2">
      <c r="A900" s="227">
        <v>900</v>
      </c>
      <c r="B900" s="5988"/>
      <c r="C900" s="489"/>
      <c r="D900" s="2421" t="s">
        <v>938</v>
      </c>
      <c r="E900" s="2418">
        <f>20+2*Bono_Pod</f>
        <v>20</v>
      </c>
      <c r="F900" s="2418"/>
      <c r="G900" s="2418">
        <v>30</v>
      </c>
      <c r="H900" s="2418"/>
      <c r="I900" s="2418"/>
      <c r="J900" s="2418"/>
      <c r="K900" s="2418"/>
      <c r="L900" s="2418"/>
      <c r="M900" s="2423"/>
      <c r="N900" s="2423" t="s">
        <v>1456</v>
      </c>
      <c r="O900" s="2423"/>
      <c r="P900" s="2423"/>
      <c r="Q900" s="2423"/>
      <c r="R900" s="2423"/>
      <c r="S900" s="2419">
        <f t="shared" si="246"/>
        <v>1</v>
      </c>
      <c r="T900" s="2418"/>
      <c r="U900" s="2418"/>
      <c r="V900" s="2418"/>
      <c r="W900" s="2418"/>
      <c r="X900" s="2418">
        <f t="shared" si="247"/>
        <v>0</v>
      </c>
      <c r="Y900" s="2418">
        <f>IF(OR(Y901&gt;0,COUNTIF(PDs!$AD$59:$AD$77,Tablas!D900)&gt;0),1,0)</f>
        <v>0</v>
      </c>
      <c r="Z900" s="2418" t="str">
        <f>IF(OR(NOT(UsodelKi)),"NO","-")</f>
        <v>NO</v>
      </c>
      <c r="AA900" s="1025">
        <f>HA_final-PDs!$X$25+MIN(PDs!$X$25+H$940-H900,50)</f>
        <v>0</v>
      </c>
      <c r="AB900" s="2420">
        <f>HE_final-PDs!$X$27+MIN(PDs!$X$27+I$940-I900,50)</f>
        <v>0</v>
      </c>
      <c r="AC900" s="1265">
        <f>HP_final-PDs!$X$26+MIN(PDs!$X$26+J$940-J900,50)</f>
        <v>0</v>
      </c>
      <c r="AP900" s="559"/>
      <c r="AQ900" s="559"/>
    </row>
    <row r="901" spans="1:43" ht="12.75" customHeight="1" x14ac:dyDescent="0.2">
      <c r="A901" s="227">
        <v>901</v>
      </c>
      <c r="B901" s="5988"/>
      <c r="C901" s="489"/>
      <c r="D901" s="2421" t="s">
        <v>939</v>
      </c>
      <c r="E901" s="2418">
        <f>20+2*Bono_Pod</f>
        <v>20</v>
      </c>
      <c r="F901" s="2418">
        <f>Bono_Pod</f>
        <v>0</v>
      </c>
      <c r="G901" s="2418">
        <v>60</v>
      </c>
      <c r="H901" s="2418"/>
      <c r="I901" s="2418"/>
      <c r="J901" s="2418"/>
      <c r="K901" s="2418"/>
      <c r="L901" s="2418"/>
      <c r="M901" s="2423"/>
      <c r="N901" s="2423" t="s">
        <v>1456</v>
      </c>
      <c r="O901" s="2423"/>
      <c r="P901" s="2423"/>
      <c r="Q901" s="2423"/>
      <c r="R901" s="2423"/>
      <c r="S901" s="2419">
        <f t="shared" si="246"/>
        <v>1</v>
      </c>
      <c r="T901" s="2418"/>
      <c r="U901" s="2418"/>
      <c r="V901" s="2418"/>
      <c r="W901" s="2418"/>
      <c r="X901" s="2418">
        <f t="shared" si="247"/>
        <v>0</v>
      </c>
      <c r="Y901" s="2418">
        <f>IF(COUNTIF(PDs!$AD$59:$AD$77,Tablas!D901)&gt;0,1,0)</f>
        <v>0</v>
      </c>
      <c r="Z901" s="2418" t="str">
        <f>IF(OR(NOT(UsodelKi),NOT(Usodelaenergíanecesaria),AA901&lt;180,MAX(AB901,AC901)&lt;180),"NO","-")</f>
        <v>NO</v>
      </c>
      <c r="AA901" s="1025">
        <f>HA_final-PDs!$X$25+MIN(PDs!$X$25+H$940-H901,50)</f>
        <v>0</v>
      </c>
      <c r="AB901" s="2420">
        <f>HE_final-PDs!$X$27+MIN(PDs!$X$27+I$940-I901,50)</f>
        <v>0</v>
      </c>
      <c r="AC901" s="1265">
        <f>HP_final-PDs!$X$26+MIN(PDs!$X$26+J$940-J901,50)</f>
        <v>0</v>
      </c>
      <c r="AP901" s="559"/>
      <c r="AQ901" s="559"/>
    </row>
    <row r="902" spans="1:43" ht="12.75" customHeight="1" x14ac:dyDescent="0.2">
      <c r="A902" s="227">
        <v>902</v>
      </c>
      <c r="B902" s="5988"/>
      <c r="C902" s="489"/>
      <c r="D902" s="2421" t="s">
        <v>940</v>
      </c>
      <c r="E902" s="2418">
        <f>10+Bono_Fue</f>
        <v>10</v>
      </c>
      <c r="F902" s="2418"/>
      <c r="G902" s="2418">
        <v>0</v>
      </c>
      <c r="H902" s="2418"/>
      <c r="I902" s="2418"/>
      <c r="J902" s="2418"/>
      <c r="K902" s="2418"/>
      <c r="L902" s="2418"/>
      <c r="M902" s="2423"/>
      <c r="N902" s="2423" t="s">
        <v>941</v>
      </c>
      <c r="O902" s="2423"/>
      <c r="P902" s="2423"/>
      <c r="Q902" s="2423"/>
      <c r="R902" s="2423"/>
      <c r="S902" s="2419">
        <f t="shared" si="246"/>
        <v>62</v>
      </c>
      <c r="T902" s="2418"/>
      <c r="U902" s="2418"/>
      <c r="V902" s="2418"/>
      <c r="W902" s="2418"/>
      <c r="X902" s="2418">
        <f t="shared" si="247"/>
        <v>0</v>
      </c>
      <c r="Y902" s="2418">
        <f>IF(OR(Y903&gt;0,COUNTIF(PDs!$AD$59:$AD$77,Tablas!D902)&gt;0),1,0)</f>
        <v>0</v>
      </c>
      <c r="Z902" s="2418" t="str">
        <f>IF(T.Manos_final&lt;20,"NO","-")</f>
        <v>NO</v>
      </c>
      <c r="AA902" s="1025">
        <f>HA_final-PDs!$X$25+MIN(PDs!$X$25+H$940-H902,50)</f>
        <v>0</v>
      </c>
      <c r="AB902" s="2420">
        <f>HE_final-PDs!$X$27+MIN(PDs!$X$27+I$940-I902,50)</f>
        <v>0</v>
      </c>
      <c r="AC902" s="1265">
        <f>HP_final-PDs!$X$26+MIN(PDs!$X$26+J$940-J902,50)</f>
        <v>0</v>
      </c>
      <c r="AP902" s="559"/>
      <c r="AQ902" s="559"/>
    </row>
    <row r="903" spans="1:43" ht="12.75" customHeight="1" x14ac:dyDescent="0.2">
      <c r="A903" s="227">
        <v>903</v>
      </c>
      <c r="B903" s="5988"/>
      <c r="C903" s="489"/>
      <c r="D903" s="2421" t="s">
        <v>942</v>
      </c>
      <c r="E903" s="2418">
        <f>20+Bono_Fue</f>
        <v>20</v>
      </c>
      <c r="F903" s="2418"/>
      <c r="G903" s="2418">
        <v>10</v>
      </c>
      <c r="H903" s="2418"/>
      <c r="I903" s="2418"/>
      <c r="J903" s="2418"/>
      <c r="K903" s="2418"/>
      <c r="L903" s="2418"/>
      <c r="M903" s="2423"/>
      <c r="N903" s="2423" t="s">
        <v>943</v>
      </c>
      <c r="O903" s="2423"/>
      <c r="P903" s="2423"/>
      <c r="Q903" s="2423"/>
      <c r="R903" s="2423"/>
      <c r="S903" s="2419">
        <f t="shared" si="246"/>
        <v>62</v>
      </c>
      <c r="T903" s="2418"/>
      <c r="U903" s="2418"/>
      <c r="V903" s="2418"/>
      <c r="W903" s="2418"/>
      <c r="X903" s="2418">
        <f t="shared" si="247"/>
        <v>0</v>
      </c>
      <c r="Y903" s="2418">
        <f>IF(OR(Y904&gt;0,COUNTIF(PDs!$AD$59:$AD$77,Tablas!D903)&gt;0),1,0)</f>
        <v>0</v>
      </c>
      <c r="Z903" s="2418" t="str">
        <f>IF(OR(T.Manos_final&lt;50,Turno_SinArmas_final-IFERROR(VLOOKUP(Combate!E20,Tablas!AC590:AF594,3,FALSE),0)&lt;100,AA903&lt;120),"NO","-")</f>
        <v>NO</v>
      </c>
      <c r="AA903" s="1025">
        <f>HA_final-PDs!$X$25+MIN(PDs!$X$25+H$940-H903,50)</f>
        <v>0</v>
      </c>
      <c r="AB903" s="2420">
        <f>HE_final-PDs!$X$27+MIN(PDs!$X$27+I$940-I903,50)</f>
        <v>0</v>
      </c>
      <c r="AC903" s="1265">
        <f>HP_final-PDs!$X$26+MIN(PDs!$X$26+J$940-J903,50)</f>
        <v>0</v>
      </c>
      <c r="AP903" s="559"/>
      <c r="AQ903" s="559"/>
    </row>
    <row r="904" spans="1:43" ht="12.75" customHeight="1" x14ac:dyDescent="0.2">
      <c r="A904" s="227">
        <v>904</v>
      </c>
      <c r="B904" s="5988"/>
      <c r="C904" s="489"/>
      <c r="D904" s="2421" t="s">
        <v>944</v>
      </c>
      <c r="E904" s="2418">
        <f>30+Bono_Fue</f>
        <v>30</v>
      </c>
      <c r="F904" s="2418"/>
      <c r="G904" s="2418">
        <v>20</v>
      </c>
      <c r="H904" s="2418"/>
      <c r="I904" s="2418"/>
      <c r="J904" s="2418"/>
      <c r="K904" s="2418"/>
      <c r="L904" s="2418"/>
      <c r="M904" s="2423"/>
      <c r="N904" s="2423" t="s">
        <v>945</v>
      </c>
      <c r="O904" s="2423"/>
      <c r="P904" s="2423"/>
      <c r="Q904" s="2423"/>
      <c r="R904" s="2423"/>
      <c r="S904" s="2419">
        <f t="shared" si="246"/>
        <v>62</v>
      </c>
      <c r="T904" s="2418"/>
      <c r="U904" s="2418"/>
      <c r="V904" s="2418"/>
      <c r="W904" s="2418"/>
      <c r="X904" s="2418">
        <f t="shared" si="247"/>
        <v>0</v>
      </c>
      <c r="Y904" s="2418">
        <f>IF(COUNTIF(PDs!$AD$59:$AD$77,Tablas!D904)&gt;0,1,0)</f>
        <v>0</v>
      </c>
      <c r="Z904" s="2418" t="str">
        <f>IF(OR(T.Manos_final&lt;100,Turno_SinArmas_final-IFERROR(VLOOKUP(Combate!E20,Tablas!AC590:AF594,3,FALSE),0)&lt;120,AA904&lt;200),"NO","-")</f>
        <v>NO</v>
      </c>
      <c r="AA904" s="1025">
        <f>HA_final-PDs!$X$25+MIN(PDs!$X$25+H$940-H904,50)</f>
        <v>0</v>
      </c>
      <c r="AB904" s="2420">
        <f>HE_final-PDs!$X$27+MIN(PDs!$X$27+I$940-I904,50)</f>
        <v>0</v>
      </c>
      <c r="AC904" s="1265">
        <f>HP_final-PDs!$X$26+MIN(PDs!$X$26+J$940-J904,50)</f>
        <v>0</v>
      </c>
      <c r="AP904" s="559"/>
      <c r="AQ904" s="559"/>
    </row>
    <row r="905" spans="1:43" ht="12.75" customHeight="1" x14ac:dyDescent="0.2">
      <c r="A905" s="227">
        <v>905</v>
      </c>
      <c r="B905" s="5988"/>
      <c r="C905" s="489"/>
      <c r="D905" s="2417" t="s">
        <v>946</v>
      </c>
      <c r="E905" s="2418"/>
      <c r="F905" s="2418"/>
      <c r="G905" s="2418"/>
      <c r="H905" s="2418"/>
      <c r="I905" s="2418"/>
      <c r="J905" s="2418"/>
      <c r="K905" s="2418"/>
      <c r="L905" s="2418"/>
      <c r="M905" s="2423"/>
      <c r="N905" s="2423" t="s">
        <v>1456</v>
      </c>
      <c r="O905" s="2423"/>
      <c r="P905" s="2423"/>
      <c r="Q905" s="2423"/>
      <c r="R905" s="2423"/>
      <c r="S905" s="2419">
        <f t="shared" si="246"/>
        <v>1</v>
      </c>
      <c r="T905" s="2418"/>
      <c r="U905" s="2418"/>
      <c r="V905" s="2418"/>
      <c r="W905" s="2418"/>
      <c r="X905" s="2418">
        <f t="shared" si="247"/>
        <v>0</v>
      </c>
      <c r="Y905" s="2418">
        <f>IF(OR(Y906&gt;0,COUNTIF(PDs!$AD$59:$AD$77,Tablas!D905)&gt;0),1,0)</f>
        <v>0</v>
      </c>
      <c r="Z905" s="2418" t="s">
        <v>1456</v>
      </c>
      <c r="AA905" s="1025"/>
      <c r="AB905" s="2420"/>
      <c r="AC905" s="1265"/>
      <c r="AP905" s="559"/>
      <c r="AQ905" s="559"/>
    </row>
    <row r="906" spans="1:43" ht="12.75" customHeight="1" x14ac:dyDescent="0.2">
      <c r="A906" s="227">
        <v>906</v>
      </c>
      <c r="B906" s="5988"/>
      <c r="C906" s="489"/>
      <c r="D906" s="2421" t="s">
        <v>947</v>
      </c>
      <c r="E906" s="2418">
        <v>0</v>
      </c>
      <c r="F906" s="2418">
        <v>10</v>
      </c>
      <c r="G906" s="2418">
        <v>10</v>
      </c>
      <c r="H906" s="2418">
        <v>10</v>
      </c>
      <c r="I906" s="2418">
        <v>10</v>
      </c>
      <c r="J906" s="2418">
        <v>10</v>
      </c>
      <c r="K906" s="2418">
        <v>10</v>
      </c>
      <c r="L906" s="2418"/>
      <c r="M906" s="2423"/>
      <c r="N906" s="2423" t="s">
        <v>1456</v>
      </c>
      <c r="O906" s="2423"/>
      <c r="P906" s="2423"/>
      <c r="Q906" s="2423"/>
      <c r="R906" s="2423"/>
      <c r="S906" s="2419">
        <f t="shared" si="246"/>
        <v>1</v>
      </c>
      <c r="T906" s="2418"/>
      <c r="U906" s="2418"/>
      <c r="V906" s="2418"/>
      <c r="W906" s="2418"/>
      <c r="X906" s="2418">
        <f t="shared" si="247"/>
        <v>0</v>
      </c>
      <c r="Y906" s="2418">
        <f>IF(OR(Y907&gt;0,COUNTIF(PDs!$AD$59:$AD$77,Tablas!D906)&gt;0),1,0)</f>
        <v>0</v>
      </c>
      <c r="Z906" s="2418" t="str">
        <f>IF(OR(AA906&lt;160,MAX(AB906,AC906)&lt;160,$Y$873=0),"NO","-")</f>
        <v>NO</v>
      </c>
      <c r="AA906" s="1025">
        <f t="array" ref="AA906">HA_final-PDs!$X$25+MIN(PDs!$X$25+H$940-H906,50)+MAX(V$850:V905*$Y$850:$Y905,V907:V$939*$Y907:$Y$939)</f>
        <v>-10</v>
      </c>
      <c r="AB906" s="2420">
        <f t="array" ref="AB906">HE_final-PDs!$X$27+MIN(PDs!$X$27+I$940-I906,50)+MAX(W$850:W905*$Y$850:$Y905,W907:W$939*$Y907:$Y$939)</f>
        <v>-10</v>
      </c>
      <c r="AC906" s="1265">
        <f t="array" ref="AC906">HP_final-PDs!$X$26+MIN(PDs!$X$26+J$940-J906,50)+MAX(W$850:W905*$Y$850:$Y905,W907:W$939*$Y907:$Y$939)</f>
        <v>-10</v>
      </c>
      <c r="AP906" s="559"/>
      <c r="AQ906" s="559"/>
    </row>
    <row r="907" spans="1:43" ht="12.75" customHeight="1" x14ac:dyDescent="0.2">
      <c r="A907" s="227">
        <v>907</v>
      </c>
      <c r="B907" s="5988"/>
      <c r="C907" s="489"/>
      <c r="D907" s="2421" t="s">
        <v>948</v>
      </c>
      <c r="E907" s="2418">
        <v>0</v>
      </c>
      <c r="F907" s="2418"/>
      <c r="G907" s="2418">
        <v>20</v>
      </c>
      <c r="H907" s="2418"/>
      <c r="I907" s="2418"/>
      <c r="J907" s="2418"/>
      <c r="K907" s="2418"/>
      <c r="L907" s="2418"/>
      <c r="M907" s="2423"/>
      <c r="N907" s="2423" t="s">
        <v>949</v>
      </c>
      <c r="O907" s="2423"/>
      <c r="P907" s="2423"/>
      <c r="Q907" s="2423"/>
      <c r="R907" s="2423"/>
      <c r="S907" s="2419">
        <f t="shared" si="246"/>
        <v>61</v>
      </c>
      <c r="T907" s="2418"/>
      <c r="U907" s="2418"/>
      <c r="V907" s="2418">
        <v>10</v>
      </c>
      <c r="W907" s="2418">
        <v>10</v>
      </c>
      <c r="X907" s="2418">
        <f t="shared" si="247"/>
        <v>0</v>
      </c>
      <c r="Y907" s="2418">
        <f>IF(COUNTIF(PDs!$AD$59:$AD$77,Tablas!D907)&gt;0,1,0)</f>
        <v>0</v>
      </c>
      <c r="Z907" s="2418" t="str">
        <f>IF(OR(AA907&lt;280,MAX(AB907,AC907)&lt;280,$Y$874=0,NOT(Inhumanidad)),"NO","-")</f>
        <v>NO</v>
      </c>
      <c r="AA907" s="1025">
        <f t="array" ref="AA907">HA_final-PDs!$X$25+MIN(PDs!$X$25+H$940-H907,50)+MAX(V$850:V906*$Y$850:$Y906,V908:V$939*$Y908:$Y$939)</f>
        <v>0</v>
      </c>
      <c r="AB907" s="2420">
        <f t="array" ref="AB907">HE_final-PDs!$X$27+MIN(PDs!$X$27+I$940-I907,50)+MAX(W$850:W906*$Y$850:$Y906,W908:W$939*$Y908:$Y$939)</f>
        <v>0</v>
      </c>
      <c r="AC907" s="1265">
        <f t="array" ref="AC907">HP_final-PDs!$X$26+MIN(PDs!$X$26+J$940-J907,50)+MAX(W$850:W906*$Y$850:$Y906,W908:W$939*$Y908:$Y$939)</f>
        <v>0</v>
      </c>
      <c r="AP907" s="559"/>
      <c r="AQ907" s="559"/>
    </row>
    <row r="908" spans="1:43" ht="12.75" customHeight="1" x14ac:dyDescent="0.2">
      <c r="A908" s="227">
        <v>908</v>
      </c>
      <c r="B908" s="5988"/>
      <c r="C908" s="489"/>
      <c r="D908" s="2421" t="s">
        <v>950</v>
      </c>
      <c r="E908" s="2418">
        <v>0</v>
      </c>
      <c r="F908" s="2418">
        <v>10</v>
      </c>
      <c r="G908" s="2418">
        <v>10</v>
      </c>
      <c r="H908" s="2418">
        <v>20</v>
      </c>
      <c r="I908" s="2418"/>
      <c r="J908" s="2418"/>
      <c r="K908" s="2418"/>
      <c r="L908" s="2418"/>
      <c r="M908" s="2418">
        <v>10</v>
      </c>
      <c r="N908" s="2423" t="s">
        <v>9996</v>
      </c>
      <c r="O908" s="2423"/>
      <c r="P908" s="2423"/>
      <c r="Q908" s="2423"/>
      <c r="R908" s="2423"/>
      <c r="S908" s="2419">
        <f t="shared" si="246"/>
        <v>43</v>
      </c>
      <c r="T908" s="2418" t="s">
        <v>1551</v>
      </c>
      <c r="U908" s="2418" t="s">
        <v>1552</v>
      </c>
      <c r="V908" s="2418"/>
      <c r="W908" s="2418"/>
      <c r="X908" s="2418">
        <f t="shared" si="247"/>
        <v>0</v>
      </c>
      <c r="Y908" s="2418">
        <f>IF(OR(Y909&gt;0,COUNTIF(PDs!$AD$59:$AD$77,Tablas!D908)&gt;0),1,0)</f>
        <v>0</v>
      </c>
      <c r="Z908" s="2418" t="str">
        <f>IF(OR(NOT(OR($Y$867=1,$Y$858=1)),NOT(Extrusióndepresencia)),"NO","-")</f>
        <v>NO</v>
      </c>
      <c r="AA908" s="1025">
        <f t="array" ref="AA908">HA_final-PDs!$X$25+MIN(PDs!$X$25+H$940-H908,50)+MAX(V$850:V907*$Y$850:$Y907,V909:V$939*$Y909:$Y$939)</f>
        <v>-20</v>
      </c>
      <c r="AB908" s="2420">
        <f t="array" ref="AB908">HE_final-PDs!$X$27+MIN(PDs!$X$27+I$940-I908,50)+MAX(W$850:W907*$Y$850:$Y907,W909:W$939*$Y909:$Y$939)</f>
        <v>0</v>
      </c>
      <c r="AC908" s="1265">
        <f t="array" ref="AC908">HP_final-PDs!$X$26+MIN(PDs!$X$26+J$940-J908,50)+MAX(W$850:W907*$Y$850:$Y907,W909:W$939*$Y909:$Y$939)</f>
        <v>0</v>
      </c>
      <c r="AP908" s="559"/>
      <c r="AQ908" s="559"/>
    </row>
    <row r="909" spans="1:43" ht="12.75" customHeight="1" x14ac:dyDescent="0.2">
      <c r="A909" s="227">
        <v>909</v>
      </c>
      <c r="B909" s="5988"/>
      <c r="C909" s="489"/>
      <c r="D909" s="2421" t="s">
        <v>951</v>
      </c>
      <c r="E909" s="2418">
        <v>0</v>
      </c>
      <c r="F909" s="2418">
        <v>10</v>
      </c>
      <c r="G909" s="2418">
        <v>20</v>
      </c>
      <c r="H909" s="2418"/>
      <c r="I909" s="2418"/>
      <c r="J909" s="2418"/>
      <c r="K909" s="2418"/>
      <c r="L909" s="2418"/>
      <c r="M909" s="2418">
        <v>15</v>
      </c>
      <c r="N909" s="2423" t="s">
        <v>9997</v>
      </c>
      <c r="O909" s="2423"/>
      <c r="P909" s="2423"/>
      <c r="Q909" s="2423"/>
      <c r="R909" s="2423"/>
      <c r="S909" s="2419">
        <f t="shared" si="246"/>
        <v>67</v>
      </c>
      <c r="T909" s="2418"/>
      <c r="U909" s="2418"/>
      <c r="V909" s="2418">
        <v>20</v>
      </c>
      <c r="W909" s="2418"/>
      <c r="X909" s="2418">
        <f t="shared" si="247"/>
        <v>0</v>
      </c>
      <c r="Y909" s="2418">
        <f>IF(COUNTIF(PDs!$AD$59:$AD$77,Tablas!D909)&gt;0,1,0)</f>
        <v>0</v>
      </c>
      <c r="Z909" s="2418" t="str">
        <f>IF(OR(NOT(OR($Y$868=1,$Y$859=1)),NOT(Extrusióndepresencia),NOT(Inhumanidad),AA909&lt;280),"NO","-")</f>
        <v>NO</v>
      </c>
      <c r="AA909" s="1025">
        <f t="array" ref="AA909">HA_final-PDs!$X$25+MIN(PDs!$X$25+H$940-H909,50)+MAX(V$850:V908*$Y$850:$Y908,V910:V$939*$Y910:$Y$939)</f>
        <v>0</v>
      </c>
      <c r="AB909" s="2420">
        <f t="array" ref="AB909">HE_final-PDs!$X$27+MIN(PDs!$X$27+I$940-I909,50)+MAX(W$850:W908*$Y$850:$Y908,W910:W$939*$Y910:$Y$939)</f>
        <v>0</v>
      </c>
      <c r="AC909" s="1265">
        <f t="array" ref="AC909">HP_final-PDs!$X$26+MIN(PDs!$X$26+J$940-J909,50)+MAX(W$850:W908*$Y$850:$Y908,W910:W$939*$Y910:$Y$939)</f>
        <v>0</v>
      </c>
      <c r="AP909" s="559"/>
      <c r="AQ909" s="559"/>
    </row>
    <row r="910" spans="1:43" ht="12.75" customHeight="1" x14ac:dyDescent="0.2">
      <c r="A910" s="227">
        <v>910</v>
      </c>
      <c r="B910" s="5988"/>
      <c r="C910" s="489"/>
      <c r="D910" s="2421" t="s">
        <v>952</v>
      </c>
      <c r="E910" s="2418">
        <v>0</v>
      </c>
      <c r="F910" s="2418"/>
      <c r="G910" s="2418">
        <v>10</v>
      </c>
      <c r="H910" s="2418">
        <v>20</v>
      </c>
      <c r="I910" s="2418"/>
      <c r="J910" s="2418"/>
      <c r="K910" s="2418">
        <v>10</v>
      </c>
      <c r="L910" s="2418"/>
      <c r="M910" s="2423"/>
      <c r="N910" s="2423" t="str">
        <f>IF($Y$880=0,"Desarmar sin penalizador y con +3 a los controles enfrentados","Desarmar sin penalizador y con +4 a los controles enfrentados")</f>
        <v>Desarmar sin penalizador y con +3 a los controles enfrentados</v>
      </c>
      <c r="O910" s="2423"/>
      <c r="P910" s="2423"/>
      <c r="Q910" s="2423"/>
      <c r="R910" s="2423"/>
      <c r="S910" s="2419">
        <f t="shared" si="246"/>
        <v>61</v>
      </c>
      <c r="T910" s="2418"/>
      <c r="U910" s="2418"/>
      <c r="V910" s="2418"/>
      <c r="W910" s="2418"/>
      <c r="X910" s="2418">
        <f t="shared" si="247"/>
        <v>0</v>
      </c>
      <c r="Y910" s="2418">
        <f>IF(OR(Y911&gt;0,COUNTIF(PDs!$AD$59:$AD$77,Tablas!D910)&gt;0),1,0)</f>
        <v>0</v>
      </c>
      <c r="Z910" s="2418" t="str">
        <f>IF(OR(NOT(OR($Y$867=1,$Y$869=1,$Y$879=1)),AA910&lt;200),"NO","-")</f>
        <v>NO</v>
      </c>
      <c r="AA910" s="1025">
        <f t="array" ref="AA910">HA_final-PDs!$X$25+MIN(PDs!$X$25+H$940-H910,50)+MAX(V$850:V909*$Y$850:$Y909,V911:V$939*$Y911:$Y$939)</f>
        <v>-20</v>
      </c>
      <c r="AB910" s="2420">
        <f t="array" ref="AB910">HE_final-PDs!$X$27+MIN(PDs!$X$27+I$940-I910,50)+MAX(W$850:W909*$Y$850:$Y909,W911:W$939*$Y911:$Y$939)</f>
        <v>0</v>
      </c>
      <c r="AC910" s="1265">
        <f t="array" ref="AC910">HP_final-PDs!$X$26+MIN(PDs!$X$26+J$940-J910,50)+MAX(W$850:W909*$Y$850:$Y909,W911:W$939*$Y911:$Y$939)</f>
        <v>0</v>
      </c>
      <c r="AP910" s="559"/>
      <c r="AQ910" s="559"/>
    </row>
    <row r="911" spans="1:43" ht="12.75" customHeight="1" x14ac:dyDescent="0.2">
      <c r="A911" s="227">
        <v>911</v>
      </c>
      <c r="B911" s="5988"/>
      <c r="C911" s="489"/>
      <c r="D911" s="2421" t="s">
        <v>953</v>
      </c>
      <c r="E911" s="2418">
        <v>0</v>
      </c>
      <c r="F911" s="2418"/>
      <c r="G911" s="2418">
        <v>20</v>
      </c>
      <c r="H911" s="2418"/>
      <c r="I911" s="2418"/>
      <c r="J911" s="2418"/>
      <c r="K911" s="2418">
        <v>10</v>
      </c>
      <c r="L911" s="2418"/>
      <c r="M911" s="2423"/>
      <c r="N911" s="2423" t="str">
        <f>IF($Y$880=0,"Desarmar bono +3 y sin penalizador","Desarmar bono +4 y sin penalizador")&amp;". Chequeo de Desarmar en cada Parada con éxito"</f>
        <v>Desarmar bono +3 y sin penalizador. Chequeo de Desarmar en cada Parada con éxito</v>
      </c>
      <c r="O911" s="2423"/>
      <c r="P911" s="2423"/>
      <c r="Q911" s="2423"/>
      <c r="R911" s="2423"/>
      <c r="S911" s="2419">
        <f t="shared" si="246"/>
        <v>80</v>
      </c>
      <c r="T911" s="2418"/>
      <c r="U911" s="2418"/>
      <c r="V911" s="2418">
        <v>20</v>
      </c>
      <c r="W911" s="2418"/>
      <c r="X911" s="2418">
        <f t="shared" si="247"/>
        <v>0</v>
      </c>
      <c r="Y911" s="2418">
        <f>IF(COUNTIF(PDs!$AD$59:$AD$77,Tablas!D911)&gt;0,1,0)</f>
        <v>0</v>
      </c>
      <c r="Z911" s="2418" t="str">
        <f>IF(OR(NOT(OR($Y$868=1,$Y$871=1,$Y$880=1)),AA911&lt;280,MAX(AB911,AC911)&lt;260),"NO","-")</f>
        <v>NO</v>
      </c>
      <c r="AA911" s="1025">
        <f t="array" ref="AA911">HA_final-PDs!$X$25+MIN(PDs!$X$25+H$940-H911,50)+MAX(V$850:V910*$Y$850:$Y910,V912:V$939*$Y912:$Y$939)</f>
        <v>0</v>
      </c>
      <c r="AB911" s="2420">
        <f t="array" ref="AB911">HE_final-PDs!$X$27+MIN(PDs!$X$27+I$940-I911,50)+MAX(W$850:W910*$Y$850:$Y910,W912:W$939*$Y912:$Y$939)</f>
        <v>0</v>
      </c>
      <c r="AC911" s="1265">
        <f t="array" ref="AC911">HP_final-PDs!$X$26+MIN(PDs!$X$26+J$940-J911,50)+MAX(W$850:W910*$Y$850:$Y910,W912:W$939*$Y912:$Y$939)</f>
        <v>0</v>
      </c>
      <c r="AP911" s="559"/>
      <c r="AQ911" s="559"/>
    </row>
    <row r="912" spans="1:43" ht="12.75" customHeight="1" x14ac:dyDescent="0.2">
      <c r="A912" s="227">
        <v>912</v>
      </c>
      <c r="B912" s="5988"/>
      <c r="C912" s="489"/>
      <c r="D912" s="2421" t="s">
        <v>954</v>
      </c>
      <c r="E912" s="2418">
        <v>0</v>
      </c>
      <c r="F912" s="2418"/>
      <c r="G912" s="2418">
        <v>10</v>
      </c>
      <c r="H912" s="2418"/>
      <c r="I912" s="2418">
        <v>20</v>
      </c>
      <c r="J912" s="2418">
        <v>20</v>
      </c>
      <c r="K912" s="2418"/>
      <c r="L912" s="2418"/>
      <c r="M912" s="2423"/>
      <c r="N912" s="2423" t="s">
        <v>955</v>
      </c>
      <c r="O912" s="2423"/>
      <c r="P912" s="2423"/>
      <c r="Q912" s="2423"/>
      <c r="R912" s="2423"/>
      <c r="S912" s="2419">
        <f t="shared" si="246"/>
        <v>62</v>
      </c>
      <c r="T912" s="2418"/>
      <c r="U912" s="2418"/>
      <c r="V912" s="2418"/>
      <c r="W912" s="2418"/>
      <c r="X912" s="2418">
        <f t="shared" si="247"/>
        <v>0</v>
      </c>
      <c r="Y912" s="2418">
        <f>IF(OR(Y913&gt;0,COUNTIF(PDs!$AD$59:$AD$77,Tablas!D912)&gt;0),1,0)</f>
        <v>0</v>
      </c>
      <c r="Z912" s="2418" t="str">
        <f>IF(OR(NOT(OR($Y$888=1,$Y$891=1)),AA912&lt;160,MAX(AB912,AC912)&lt;160),"NO","-")</f>
        <v>NO</v>
      </c>
      <c r="AA912" s="1025">
        <f t="array" ref="AA912">HA_final-PDs!$X$25+MIN(PDs!$X$25+H$940-H912,50)+MAX(V$850:V911*$Y$850:$Y911,V913:V$939*$Y913:$Y$939)</f>
        <v>0</v>
      </c>
      <c r="AB912" s="2420">
        <f t="array" ref="AB912">HE_final-PDs!$X$27+MIN(PDs!$X$27+I$940-I912,50)+MAX(W$850:W911*$Y$850:$Y911,W913:W$939*$Y913:$Y$939)</f>
        <v>-20</v>
      </c>
      <c r="AC912" s="1265">
        <f t="array" ref="AC912">HP_final-PDs!$X$26+MIN(PDs!$X$26+J$940-J912,50)+MAX(W$850:W911*$Y$850:$Y911,W913:W$939*$Y913:$Y$939)</f>
        <v>-20</v>
      </c>
      <c r="AP912" s="559"/>
      <c r="AQ912" s="559"/>
    </row>
    <row r="913" spans="1:43" ht="12.75" customHeight="1" x14ac:dyDescent="0.2">
      <c r="A913" s="227">
        <v>913</v>
      </c>
      <c r="B913" s="5988"/>
      <c r="C913" s="489"/>
      <c r="D913" s="2421" t="s">
        <v>956</v>
      </c>
      <c r="E913" s="2418">
        <v>0</v>
      </c>
      <c r="F913" s="2418"/>
      <c r="G913" s="2418">
        <v>20</v>
      </c>
      <c r="H913" s="2418"/>
      <c r="I913" s="2418"/>
      <c r="J913" s="2418"/>
      <c r="K913" s="2418"/>
      <c r="L913" s="2418"/>
      <c r="M913" s="2423"/>
      <c r="N913" s="2423" t="s">
        <v>8782</v>
      </c>
      <c r="O913" s="2423"/>
      <c r="P913" s="2423"/>
      <c r="Q913" s="2423"/>
      <c r="R913" s="2423"/>
      <c r="S913" s="2419">
        <f t="shared" si="246"/>
        <v>84</v>
      </c>
      <c r="T913" s="2418"/>
      <c r="U913" s="2418"/>
      <c r="V913" s="2418">
        <v>15</v>
      </c>
      <c r="W913" s="2418">
        <v>15</v>
      </c>
      <c r="X913" s="2418">
        <f t="shared" si="247"/>
        <v>0</v>
      </c>
      <c r="Y913" s="2418">
        <f>IF(COUNTIF(PDs!$AD$59:$AD$77,Tablas!D913)&gt;0,1,0)</f>
        <v>0</v>
      </c>
      <c r="Z913" s="2418" t="str">
        <f>IF(OR(NOT(OR($Y$889=1,$Y$892=1)),AA913&lt;280,MAX(AB913,AC913)&lt;280,NOT(Inhumanidad),NOT(Erudición)),"NO","-")</f>
        <v>NO</v>
      </c>
      <c r="AA913" s="1025">
        <f t="array" ref="AA913">HA_final-PDs!$X$25+MIN(PDs!$X$25+H$940-H913,50)+MAX(V$850:V912*$Y$850:$Y912,V914:V$939*$Y914:$Y$939)</f>
        <v>0</v>
      </c>
      <c r="AB913" s="2420">
        <f t="array" ref="AB913">HE_final-PDs!$X$27+MIN(PDs!$X$27+I$940-I913,50)+MAX(W$850:W912*$Y$850:$Y912,W914:W$939*$Y914:$Y$939)</f>
        <v>0</v>
      </c>
      <c r="AC913" s="1265">
        <f t="array" ref="AC913">HP_final-PDs!$X$26+MIN(PDs!$X$26+J$940-J913,50)+MAX(W$850:W912*$Y$850:$Y912,W914:W$939*$Y914:$Y$939)</f>
        <v>0</v>
      </c>
      <c r="AP913" s="559"/>
      <c r="AQ913" s="559"/>
    </row>
    <row r="914" spans="1:43" ht="12.75" customHeight="1" x14ac:dyDescent="0.2">
      <c r="A914" s="227">
        <v>914</v>
      </c>
      <c r="B914" s="5988"/>
      <c r="C914" s="489"/>
      <c r="D914" s="2421" t="s">
        <v>957</v>
      </c>
      <c r="E914" s="2418">
        <f>2*Presencia_final+Bono_Pod-Combate!$L$24</f>
        <v>40</v>
      </c>
      <c r="F914" s="2418"/>
      <c r="G914" s="2418">
        <v>15</v>
      </c>
      <c r="H914" s="2418">
        <v>10</v>
      </c>
      <c r="I914" s="2418"/>
      <c r="J914" s="2418"/>
      <c r="K914" s="2418"/>
      <c r="L914" s="2418"/>
      <c r="M914" s="2423"/>
      <c r="N914" s="2423" t="s">
        <v>958</v>
      </c>
      <c r="O914" s="2423"/>
      <c r="P914" s="2423"/>
      <c r="Q914" s="2423"/>
      <c r="R914" s="2423"/>
      <c r="S914" s="2419">
        <f t="shared" ref="S914:S939" si="248">LEN(N914)</f>
        <v>37</v>
      </c>
      <c r="T914" s="2418"/>
      <c r="U914" s="2418"/>
      <c r="V914" s="2418"/>
      <c r="W914" s="2418"/>
      <c r="X914" s="2418">
        <f t="shared" ref="X914:X939" si="249">Y914*E914</f>
        <v>0</v>
      </c>
      <c r="Y914" s="2418">
        <f>IF(OR(Y915&gt;0,COUNTIF(PDs!$AD$59:$AD$77,Tablas!D914)&gt;0),1,0)</f>
        <v>0</v>
      </c>
      <c r="Z914" s="2418" t="str">
        <f>IF(OR(NOT(OR($Y$864=1,$Y$900=1)),AA914&lt;200,NOT(Extensióndelauraalarma)),"NO","-")</f>
        <v>NO</v>
      </c>
      <c r="AA914" s="1025">
        <f t="array" ref="AA914">HA_final-PDs!$X$25+MIN(PDs!$X$25+H$940-H914,50)+MAX(V$850:V913*$Y$850:$Y913,V915:V$939*$Y915:$Y$939)</f>
        <v>-10</v>
      </c>
      <c r="AB914" s="2420">
        <f t="array" ref="AB914">HE_final-PDs!$X$27+MIN(PDs!$X$27+I$940-I914,50)+MAX(W$850:W913*$Y$850:$Y913,W915:W$939*$Y915:$Y$939)</f>
        <v>0</v>
      </c>
      <c r="AC914" s="1265">
        <f t="array" ref="AC914">HP_final-PDs!$X$26+MIN(PDs!$X$26+J$940-J914,50)+MAX(W$850:W913*$Y$850:$Y913,W915:W$939*$Y915:$Y$939)</f>
        <v>0</v>
      </c>
      <c r="AP914" s="559"/>
      <c r="AQ914" s="559"/>
    </row>
    <row r="915" spans="1:43" ht="12.75" customHeight="1" x14ac:dyDescent="0.2">
      <c r="A915" s="227">
        <v>915</v>
      </c>
      <c r="B915" s="5988"/>
      <c r="C915" s="489"/>
      <c r="D915" s="2421" t="s">
        <v>959</v>
      </c>
      <c r="E915" s="2418">
        <f>2*Presencia_final+Bono_Pod-Combate!$L$24</f>
        <v>40</v>
      </c>
      <c r="F915" s="2418"/>
      <c r="G915" s="2418">
        <v>35</v>
      </c>
      <c r="H915" s="2418"/>
      <c r="I915" s="2418"/>
      <c r="J915" s="2418"/>
      <c r="K915" s="2418"/>
      <c r="L915" s="2418"/>
      <c r="M915" s="2423"/>
      <c r="N915" s="2423" t="s">
        <v>958</v>
      </c>
      <c r="O915" s="2423"/>
      <c r="P915" s="2423"/>
      <c r="Q915" s="2423"/>
      <c r="R915" s="2423"/>
      <c r="S915" s="2419">
        <f t="shared" si="248"/>
        <v>37</v>
      </c>
      <c r="T915" s="2418"/>
      <c r="U915" s="2418"/>
      <c r="V915" s="2418">
        <v>25</v>
      </c>
      <c r="W915" s="2418"/>
      <c r="X915" s="2418">
        <f t="shared" si="249"/>
        <v>0</v>
      </c>
      <c r="Y915" s="2418">
        <f>IF(COUNTIF(PDs!$AD$59:$AD$77,Tablas!D915)&gt;0,1,0)</f>
        <v>0</v>
      </c>
      <c r="Z915" s="2418" t="str">
        <f>IF(OR(NOT(OR($Y$865=1,$Y$901=1)),AA915&lt;300,NOT(Extensióndelauraalarma),NOT(Inhumanidad)),"NO","-")</f>
        <v>NO</v>
      </c>
      <c r="AA915" s="1025">
        <f t="array" ref="AA915">HA_final-PDs!$X$25+MIN(PDs!$X$25+H$940-H915,50)+MAX(V$850:V914*$Y$850:$Y914,V916:V$939*$Y916:$Y$939)</f>
        <v>0</v>
      </c>
      <c r="AB915" s="2420">
        <f t="array" ref="AB915">HE_final-PDs!$X$27+MIN(PDs!$X$27+I$940-I915,50)+MAX(W$850:W914*$Y$850:$Y914,W916:W$939*$Y916:$Y$939)</f>
        <v>0</v>
      </c>
      <c r="AC915" s="1265">
        <f t="array" ref="AC915">HP_final-PDs!$X$26+MIN(PDs!$X$26+J$940-J915,50)+MAX(W$850:W914*$Y$850:$Y914,W916:W$939*$Y916:$Y$939)</f>
        <v>0</v>
      </c>
      <c r="AP915" s="559"/>
      <c r="AQ915" s="559"/>
    </row>
    <row r="916" spans="1:43" ht="12.75" customHeight="1" x14ac:dyDescent="0.2">
      <c r="A916" s="227">
        <v>916</v>
      </c>
      <c r="B916" s="5988"/>
      <c r="C916" s="489"/>
      <c r="D916" s="2421" t="s">
        <v>960</v>
      </c>
      <c r="E916" s="2418">
        <v>0</v>
      </c>
      <c r="F916" s="2418"/>
      <c r="G916" s="2418">
        <v>10</v>
      </c>
      <c r="H916" s="2418">
        <v>10</v>
      </c>
      <c r="I916" s="2418"/>
      <c r="J916" s="2418"/>
      <c r="K916" s="2418"/>
      <c r="L916" s="2418"/>
      <c r="M916" s="2423"/>
      <c r="N916" s="2423" t="s">
        <v>961</v>
      </c>
      <c r="O916" s="2423"/>
      <c r="P916" s="2423"/>
      <c r="Q916" s="2423"/>
      <c r="R916" s="2423"/>
      <c r="S916" s="2419">
        <f t="shared" si="248"/>
        <v>64</v>
      </c>
      <c r="T916" s="2418"/>
      <c r="U916" s="2418"/>
      <c r="V916" s="2418"/>
      <c r="W916" s="2418"/>
      <c r="X916" s="2418">
        <f t="shared" si="249"/>
        <v>0</v>
      </c>
      <c r="Y916" s="2418">
        <f>IF(OR(Y917&gt;0,COUNTIF(PDs!$AD$59:$AD$77,Tablas!D916)&gt;0),1,0)</f>
        <v>0</v>
      </c>
      <c r="Z916" s="2418" t="str">
        <f>IF(OR(NOT(OR($Y$855=1,$Y$891=1)),AA916&lt;200),"NO","-")</f>
        <v>NO</v>
      </c>
      <c r="AA916" s="1025">
        <f t="array" ref="AA916">HA_final-PDs!$X$25+MIN(PDs!$X$25+H$940-H916,50)+MAX(V$850:V915*$Y$850:$Y915,V917:V$939*$Y917:$Y$939)</f>
        <v>-10</v>
      </c>
      <c r="AB916" s="2420">
        <f t="array" ref="AB916">HE_final-PDs!$X$27+MIN(PDs!$X$27+I$940-I916,50)+MAX(W$850:W915*$Y$850:$Y915,W917:W$939*$Y917:$Y$939)</f>
        <v>0</v>
      </c>
      <c r="AC916" s="1265">
        <f t="array" ref="AC916">HP_final-PDs!$X$26+MIN(PDs!$X$26+J$940-J916,50)+MAX(W$850:W915*$Y$850:$Y915,W917:W$939*$Y917:$Y$939)</f>
        <v>0</v>
      </c>
      <c r="AP916" s="559"/>
      <c r="AQ916" s="559"/>
    </row>
    <row r="917" spans="1:43" ht="12.75" customHeight="1" x14ac:dyDescent="0.2">
      <c r="A917" s="227">
        <v>917</v>
      </c>
      <c r="B917" s="5988"/>
      <c r="C917" s="489"/>
      <c r="D917" s="2421" t="s">
        <v>962</v>
      </c>
      <c r="E917" s="2418">
        <v>0</v>
      </c>
      <c r="F917" s="2418"/>
      <c r="G917" s="2418">
        <v>20</v>
      </c>
      <c r="H917" s="2418"/>
      <c r="I917" s="2418"/>
      <c r="J917" s="2418"/>
      <c r="K917" s="2418"/>
      <c r="L917" s="2418"/>
      <c r="M917" s="2423"/>
      <c r="N917" s="2423" t="s">
        <v>8783</v>
      </c>
      <c r="O917" s="2423"/>
      <c r="P917" s="2423"/>
      <c r="Q917" s="2423"/>
      <c r="R917" s="2423"/>
      <c r="S917" s="2419">
        <f t="shared" si="248"/>
        <v>65</v>
      </c>
      <c r="T917" s="2418"/>
      <c r="U917" s="2418"/>
      <c r="V917" s="2418">
        <v>15</v>
      </c>
      <c r="W917" s="2418"/>
      <c r="X917" s="2418">
        <f t="shared" si="249"/>
        <v>0</v>
      </c>
      <c r="Y917" s="2418">
        <f>IF(COUNTIF(PDs!$AD$59:$AD$77,Tablas!D917)&gt;0,1,0)</f>
        <v>0</v>
      </c>
      <c r="Z917" s="2418" t="str">
        <f>IF(OR(NOT(OR($Y$856=1,$Y$892=1)),AA917&lt;300,NOT(Extrusióndepresencia),NOT(Inhumanidad)),"NO","-")</f>
        <v>NO</v>
      </c>
      <c r="AA917" s="1025">
        <f t="array" ref="AA917">HA_final-PDs!$X$25+MIN(PDs!$X$25+H$940-H917,50)+MAX(V$850:V916*$Y$850:$Y916,V918:V$939*$Y918:$Y$939)</f>
        <v>0</v>
      </c>
      <c r="AB917" s="2420">
        <f t="array" ref="AB917">HE_final-PDs!$X$27+MIN(PDs!$X$27+I$940-I917,50)+MAX(W$850:W916*$Y$850:$Y916,W918:W$939*$Y918:$Y$939)</f>
        <v>0</v>
      </c>
      <c r="AC917" s="1265">
        <f t="array" ref="AC917">HP_final-PDs!$X$26+MIN(PDs!$X$26+J$940-J917,50)+MAX(W$850:W916*$Y$850:$Y916,W918:W$939*$Y918:$Y$939)</f>
        <v>0</v>
      </c>
      <c r="AP917" s="559"/>
      <c r="AQ917" s="559"/>
    </row>
    <row r="918" spans="1:43" ht="12.75" customHeight="1" x14ac:dyDescent="0.2">
      <c r="A918" s="227">
        <v>918</v>
      </c>
      <c r="B918" s="5988"/>
      <c r="C918" s="489"/>
      <c r="D918" s="2421" t="s">
        <v>963</v>
      </c>
      <c r="E918" s="2418">
        <v>0</v>
      </c>
      <c r="F918" s="2418">
        <v>20</v>
      </c>
      <c r="G918" s="2418">
        <v>10</v>
      </c>
      <c r="H918" s="2418">
        <v>10</v>
      </c>
      <c r="I918" s="2418"/>
      <c r="J918" s="2418"/>
      <c r="K918" s="2418">
        <v>20</v>
      </c>
      <c r="L918" s="2418"/>
      <c r="M918" s="2423"/>
      <c r="N918" s="2423" t="s">
        <v>964</v>
      </c>
      <c r="O918" s="2423"/>
      <c r="P918" s="2423"/>
      <c r="Q918" s="2423"/>
      <c r="R918" s="2423"/>
      <c r="S918" s="2419">
        <f t="shared" si="248"/>
        <v>66</v>
      </c>
      <c r="T918" s="2418"/>
      <c r="U918" s="2418"/>
      <c r="V918" s="2418"/>
      <c r="W918" s="2418"/>
      <c r="X918" s="2418">
        <f t="shared" si="249"/>
        <v>0</v>
      </c>
      <c r="Y918" s="2418">
        <f>IF(OR(Y919&gt;0,COUNTIF(PDs!$AD$59:$AD$77,Tablas!D918)&gt;0),1,0)</f>
        <v>0</v>
      </c>
      <c r="Z918" s="2418" t="str">
        <f>IF(OR(NOT(OR($Y$882=1,$Y$891=1)),AA918&lt;200),"NO","-")</f>
        <v>NO</v>
      </c>
      <c r="AA918" s="1025">
        <f t="array" ref="AA918">HA_final-PDs!$X$25+MIN(PDs!$X$25+H$940-H918,50)+MAX(V$850:V917*$Y$850:$Y917,V919:V$939*$Y919:$Y$939)</f>
        <v>-10</v>
      </c>
      <c r="AB918" s="2420">
        <f t="array" ref="AB918">HE_final-PDs!$X$27+MIN(PDs!$X$27+I$940-I918,50)+MAX(W$850:W917*$Y$850:$Y917,W919:W$939*$Y919:$Y$939)</f>
        <v>0</v>
      </c>
      <c r="AC918" s="1265">
        <f t="array" ref="AC918">HP_final-PDs!$X$26+MIN(PDs!$X$26+J$940-J918,50)+MAX(W$850:W917*$Y$850:$Y917,W919:W$939*$Y919:$Y$939)</f>
        <v>0</v>
      </c>
      <c r="AP918" s="559"/>
      <c r="AQ918" s="559"/>
    </row>
    <row r="919" spans="1:43" ht="12.75" customHeight="1" x14ac:dyDescent="0.2">
      <c r="A919" s="227">
        <v>919</v>
      </c>
      <c r="B919" s="5988"/>
      <c r="C919" s="489"/>
      <c r="D919" s="2421" t="s">
        <v>965</v>
      </c>
      <c r="E919" s="2418">
        <v>0</v>
      </c>
      <c r="F919" s="2418">
        <v>10</v>
      </c>
      <c r="G919" s="2418">
        <v>20</v>
      </c>
      <c r="H919" s="2418"/>
      <c r="I919" s="2418"/>
      <c r="J919" s="2418"/>
      <c r="K919" s="2418">
        <v>20</v>
      </c>
      <c r="L919" s="2418"/>
      <c r="M919" s="2423"/>
      <c r="N919" s="2423" t="s">
        <v>966</v>
      </c>
      <c r="O919" s="2423"/>
      <c r="P919" s="2423"/>
      <c r="Q919" s="2423"/>
      <c r="R919" s="2423"/>
      <c r="S919" s="2419">
        <f t="shared" si="248"/>
        <v>53</v>
      </c>
      <c r="T919" s="2418"/>
      <c r="U919" s="2418"/>
      <c r="V919" s="2418">
        <v>20</v>
      </c>
      <c r="W919" s="2418"/>
      <c r="X919" s="2418">
        <f t="shared" si="249"/>
        <v>0</v>
      </c>
      <c r="Y919" s="2418">
        <f>IF(COUNTIF(PDs!$AD$59:$AD$77,Tablas!D919)&gt;0,1,0)</f>
        <v>0</v>
      </c>
      <c r="Z919" s="2418" t="str">
        <f>IF(OR(NOT(OR($Y$883=1,$Y$892=1)),AA919&lt;300,NOT(Usodelaenergíanecesaria),NOT(Inhumanidad)),"NO","-")</f>
        <v>NO</v>
      </c>
      <c r="AA919" s="1025">
        <f t="array" ref="AA919">HA_final-PDs!$X$25+MIN(PDs!$X$25+H$940-H919,50)+MAX(V$850:V918*$Y$850:$Y918,V920:V$939*$Y920:$Y$939)</f>
        <v>0</v>
      </c>
      <c r="AB919" s="2420">
        <f t="array" ref="AB919">HE_final-PDs!$X$27+MIN(PDs!$X$27+I$940-I919,50)+MAX(W$850:W918*$Y$850:$Y918,W920:W$939*$Y920:$Y$939)</f>
        <v>0</v>
      </c>
      <c r="AC919" s="1265">
        <f t="array" ref="AC919">HP_final-PDs!$X$26+MIN(PDs!$X$26+J$940-J919,50)+MAX(W$850:W918*$Y$850:$Y918,W920:W$939*$Y920:$Y$939)</f>
        <v>0</v>
      </c>
      <c r="AP919" s="559"/>
      <c r="AQ919" s="559"/>
    </row>
    <row r="920" spans="1:43" ht="12.75" customHeight="1" x14ac:dyDescent="0.2">
      <c r="A920" s="227">
        <v>920</v>
      </c>
      <c r="B920" s="5988"/>
      <c r="C920" s="489"/>
      <c r="D920" s="2421" t="s">
        <v>967</v>
      </c>
      <c r="E920" s="2418">
        <v>0</v>
      </c>
      <c r="F920" s="2418"/>
      <c r="G920" s="2418">
        <v>10</v>
      </c>
      <c r="H920" s="2418"/>
      <c r="I920" s="2418">
        <v>10</v>
      </c>
      <c r="J920" s="2418">
        <v>10</v>
      </c>
      <c r="K920" s="2418"/>
      <c r="L920" s="2418"/>
      <c r="M920" s="2423"/>
      <c r="N920" s="2423" t="s">
        <v>8784</v>
      </c>
      <c r="O920" s="2423"/>
      <c r="P920" s="2423"/>
      <c r="Q920" s="2423"/>
      <c r="R920" s="2423"/>
      <c r="S920" s="2419">
        <f t="shared" si="248"/>
        <v>46</v>
      </c>
      <c r="T920" s="2418"/>
      <c r="U920" s="2418"/>
      <c r="V920" s="2418"/>
      <c r="W920" s="2418"/>
      <c r="X920" s="2418">
        <f t="shared" si="249"/>
        <v>0</v>
      </c>
      <c r="Y920" s="2418">
        <f>IF(OR(Y921&gt;0,COUNTIF(PDs!$AD$59:$AD$77,Tablas!D920)&gt;0),1,0)</f>
        <v>0</v>
      </c>
      <c r="Z920" s="2418" t="str">
        <f>IF(OR($Y$894=0,Advertir_final&lt;200,MAX(AB920,AC920)&lt;200,NOT(DeteccióndelKi)),"NO","-")</f>
        <v>NO</v>
      </c>
      <c r="AA920" s="1025">
        <f t="array" ref="AA920">HA_final-PDs!$X$25+MIN(PDs!$X$25+H$940-H920,50)+MAX(V$850:V919*$Y$850:$Y919,V921:V$939*$Y921:$Y$939)</f>
        <v>0</v>
      </c>
      <c r="AB920" s="2420">
        <f t="array" ref="AB920">HE_final-PDs!$X$27+MIN(PDs!$X$27+I$940-I920,50)+MAX(W$850:W919*$Y$850:$Y919,W921:W$939*$Y921:$Y$939)</f>
        <v>-10</v>
      </c>
      <c r="AC920" s="1265">
        <f t="array" ref="AC920">HP_final-PDs!$X$26+MIN(PDs!$X$26+J$940-J920,50)+MAX(W$850:W919*$Y$850:$Y919,W921:W$939*$Y921:$Y$939)</f>
        <v>-10</v>
      </c>
      <c r="AP920" s="559"/>
      <c r="AQ920" s="559"/>
    </row>
    <row r="921" spans="1:43" ht="12.75" customHeight="1" x14ac:dyDescent="0.2">
      <c r="A921" s="227">
        <v>921</v>
      </c>
      <c r="B921" s="5988"/>
      <c r="C921" s="489"/>
      <c r="D921" s="2421" t="s">
        <v>968</v>
      </c>
      <c r="E921" s="2418">
        <v>0</v>
      </c>
      <c r="F921" s="2418"/>
      <c r="G921" s="2418">
        <v>20</v>
      </c>
      <c r="H921" s="2418"/>
      <c r="I921" s="2418"/>
      <c r="J921" s="2418"/>
      <c r="K921" s="2418"/>
      <c r="L921" s="2418"/>
      <c r="M921" s="2423"/>
      <c r="N921" s="2423" t="s">
        <v>8785</v>
      </c>
      <c r="O921" s="2423"/>
      <c r="P921" s="2423"/>
      <c r="Q921" s="2423"/>
      <c r="R921" s="2423"/>
      <c r="S921" s="2419">
        <f t="shared" si="248"/>
        <v>84</v>
      </c>
      <c r="T921" s="2418"/>
      <c r="U921" s="2418"/>
      <c r="V921" s="2418">
        <v>20</v>
      </c>
      <c r="W921" s="2418"/>
      <c r="X921" s="2418">
        <f t="shared" si="249"/>
        <v>0</v>
      </c>
      <c r="Y921" s="2418">
        <f>IF(COUNTIF(PDs!$AD$59:$AD$77,Tablas!D921)&gt;0,1,0)</f>
        <v>0</v>
      </c>
      <c r="Z921" s="2418" t="str">
        <f>IF(OR($Y$895=0,Advertir_final&lt;240,MAX(AB921,AC921)&lt;300,NOT(Inhumanidad),NOT(Erudición)),"NO","-")</f>
        <v>NO</v>
      </c>
      <c r="AA921" s="1025">
        <f t="array" ref="AA921">HA_final-PDs!$X$25+MIN(PDs!$X$25+H$940-H921,50)+MAX(V$850:V920*$Y$850:$Y920,V922:V$939*$Y922:$Y$939)</f>
        <v>0</v>
      </c>
      <c r="AB921" s="2420">
        <f t="array" ref="AB921">HE_final-PDs!$X$27+MIN(PDs!$X$27+I$940-I921,50)+MAX(W$850:W920*$Y$850:$Y920,W922:W$939*$Y922:$Y$939)</f>
        <v>0</v>
      </c>
      <c r="AC921" s="1265">
        <f t="array" ref="AC921">HP_final-PDs!$X$26+MIN(PDs!$X$26+J$940-J921,50)+MAX(W$850:W920*$Y$850:$Y920,W922:W$939*$Y922:$Y$939)</f>
        <v>0</v>
      </c>
      <c r="AP921" s="559"/>
      <c r="AQ921" s="559"/>
    </row>
    <row r="922" spans="1:43" ht="12.75" customHeight="1" x14ac:dyDescent="0.2">
      <c r="A922" s="227">
        <v>922</v>
      </c>
      <c r="B922" s="5988"/>
      <c r="C922" s="489"/>
      <c r="D922" s="2421" t="s">
        <v>969</v>
      </c>
      <c r="E922" s="2418">
        <v>0</v>
      </c>
      <c r="F922" s="2418"/>
      <c r="G922" s="2418">
        <v>10</v>
      </c>
      <c r="H922" s="2418"/>
      <c r="I922" s="2418">
        <v>20</v>
      </c>
      <c r="J922" s="2418">
        <v>20</v>
      </c>
      <c r="K922" s="2418"/>
      <c r="L922" s="2418"/>
      <c r="M922" s="2423"/>
      <c r="N922" s="2423" t="s">
        <v>970</v>
      </c>
      <c r="O922" s="2423"/>
      <c r="P922" s="2423"/>
      <c r="Q922" s="2423"/>
      <c r="R922" s="2423"/>
      <c r="S922" s="2419">
        <f t="shared" si="248"/>
        <v>44</v>
      </c>
      <c r="T922" s="2418"/>
      <c r="U922" s="2418"/>
      <c r="V922" s="2418"/>
      <c r="W922" s="2418"/>
      <c r="X922" s="2418">
        <f t="shared" si="249"/>
        <v>0</v>
      </c>
      <c r="Y922" s="2418">
        <f>IF(OR(Y923&gt;0,COUNTIF(PDs!$AD$59:$AD$77,Tablas!D922)&gt;0),1,0)</f>
        <v>0</v>
      </c>
      <c r="Z922" s="2418" t="str">
        <f>IF(OR($Y$876=0,Estilo_final&lt;120,MAX(AB922,AC922)&lt;220,NOT(DeteccióndelKi)),"NO","-")</f>
        <v>NO</v>
      </c>
      <c r="AA922" s="1025">
        <f t="array" ref="AA922">HA_final-PDs!$X$25+MIN(PDs!$X$25+H$940-H922,50)+MAX(V$850:V921*$Y$850:$Y921,V923:V$939*$Y923:$Y$939)</f>
        <v>0</v>
      </c>
      <c r="AB922" s="2420">
        <f t="array" ref="AB922">HE_final-PDs!$X$27+MIN(PDs!$X$27+I$940-I922,50)+MAX(W$850:W921*$Y$850:$Y921,W923:W$939*$Y923:$Y$939)</f>
        <v>-20</v>
      </c>
      <c r="AC922" s="1265">
        <f t="array" ref="AC922">HP_final-PDs!$X$26+MIN(PDs!$X$26+J$940-J922,50)+MAX(W$850:W921*$Y$850:$Y921,W923:W$939*$Y923:$Y$939)</f>
        <v>-20</v>
      </c>
      <c r="AP922" s="559"/>
      <c r="AQ922" s="559"/>
    </row>
    <row r="923" spans="1:43" ht="12.75" customHeight="1" x14ac:dyDescent="0.2">
      <c r="A923" s="227">
        <v>923</v>
      </c>
      <c r="B923" s="5988"/>
      <c r="C923" s="489"/>
      <c r="D923" s="2421" t="s">
        <v>971</v>
      </c>
      <c r="E923" s="2418">
        <v>0</v>
      </c>
      <c r="F923" s="2418"/>
      <c r="G923" s="2418">
        <v>20</v>
      </c>
      <c r="H923" s="2418"/>
      <c r="I923" s="2418"/>
      <c r="J923" s="2418"/>
      <c r="K923" s="2418"/>
      <c r="L923" s="2418"/>
      <c r="M923" s="2423"/>
      <c r="N923" s="2423" t="s">
        <v>972</v>
      </c>
      <c r="O923" s="2423"/>
      <c r="P923" s="2423"/>
      <c r="Q923" s="2423"/>
      <c r="R923" s="2423"/>
      <c r="S923" s="2419">
        <f t="shared" si="248"/>
        <v>49</v>
      </c>
      <c r="T923" s="2418"/>
      <c r="U923" s="2418"/>
      <c r="V923" s="2418"/>
      <c r="W923" s="2418">
        <v>20</v>
      </c>
      <c r="X923" s="2418">
        <f t="shared" si="249"/>
        <v>0</v>
      </c>
      <c r="Y923" s="2418">
        <f>IF(COUNTIF(PDs!$AD$59:$AD$77,Tablas!D923)&gt;0,1,0)</f>
        <v>0</v>
      </c>
      <c r="Z923" s="2418" t="str">
        <f>IF(OR($Y$877=0,Estilo_final&lt;140,MAX(AB923,AC923)&lt;300,NOT(DeteccióndelKi),NOT(Erudición)),"NO","-")</f>
        <v>NO</v>
      </c>
      <c r="AA923" s="1025">
        <f t="array" ref="AA923">HA_final-PDs!$X$25+MIN(PDs!$X$25+H$940-H923,50)+MAX(V$850:V922*$Y$850:$Y922,V924:V$939*$Y924:$Y$939)</f>
        <v>0</v>
      </c>
      <c r="AB923" s="2420">
        <f t="array" ref="AB923">HE_final-PDs!$X$27+MIN(PDs!$X$27+I$940-I923,50)+MAX(W$850:W922*$Y$850:$Y922,W924:W$939*$Y924:$Y$939)</f>
        <v>0</v>
      </c>
      <c r="AC923" s="1265">
        <f t="array" ref="AC923">HP_final-PDs!$X$26+MIN(PDs!$X$26+J$940-J923,50)+MAX(W$850:W922*$Y$850:$Y922,W924:W$939*$Y924:$Y$939)</f>
        <v>0</v>
      </c>
      <c r="AP923" s="559"/>
      <c r="AQ923" s="559"/>
    </row>
    <row r="924" spans="1:43" ht="12.75" customHeight="1" x14ac:dyDescent="0.2">
      <c r="A924" s="227">
        <v>924</v>
      </c>
      <c r="B924" s="5988"/>
      <c r="C924" s="489"/>
      <c r="D924" s="2421" t="s">
        <v>973</v>
      </c>
      <c r="E924" s="2418">
        <v>0</v>
      </c>
      <c r="F924" s="2418"/>
      <c r="G924" s="2418">
        <v>10</v>
      </c>
      <c r="H924" s="2418">
        <v>10</v>
      </c>
      <c r="I924" s="2418"/>
      <c r="J924" s="2418"/>
      <c r="K924" s="2418"/>
      <c r="L924" s="2418"/>
      <c r="M924" s="2423"/>
      <c r="N924" s="2423" t="s">
        <v>974</v>
      </c>
      <c r="O924" s="2423"/>
      <c r="P924" s="2423"/>
      <c r="Q924" s="2423"/>
      <c r="R924" s="2423"/>
      <c r="S924" s="2419">
        <f t="shared" si="248"/>
        <v>52</v>
      </c>
      <c r="T924" s="2418"/>
      <c r="U924" s="2418"/>
      <c r="V924" s="2418"/>
      <c r="W924" s="2418"/>
      <c r="X924" s="2418">
        <f t="shared" si="249"/>
        <v>0</v>
      </c>
      <c r="Y924" s="2418">
        <f>IF(OR(Y925&gt;0,COUNTIF(PDs!$AD$59:$AD$77,Tablas!D924)&gt;0),1,0)</f>
        <v>0</v>
      </c>
      <c r="Z924" s="2418" t="str">
        <f>IF(OR(NOT(OR($Y$861=1,$Y$885=1)),AA924&lt;160,MAX(AB924,AC924)&lt;160,NOT(Inhumanidad)),"NO","-")</f>
        <v>NO</v>
      </c>
      <c r="AA924" s="1025">
        <f t="array" ref="AA924">HA_final-PDs!$X$25+MIN(PDs!$X$25+H$940-H924,50)+MAX(V$850:V923*$Y$850:$Y923,V925:V$939*$Y925:$Y$939)</f>
        <v>-10</v>
      </c>
      <c r="AB924" s="2420">
        <f t="array" ref="AB924">HE_final-PDs!$X$27+MIN(PDs!$X$27+I$940-I924,50)+MAX(W$850:W923*$Y$850:$Y923,W925:W$939*$Y925:$Y$939)</f>
        <v>0</v>
      </c>
      <c r="AC924" s="1265">
        <f t="array" ref="AC924">HP_final-PDs!$X$26+MIN(PDs!$X$26+J$940-J924,50)+MAX(W$850:W923*$Y$850:$Y923,W925:W$939*$Y925:$Y$939)</f>
        <v>0</v>
      </c>
      <c r="AP924" s="559"/>
      <c r="AQ924" s="559"/>
    </row>
    <row r="925" spans="1:43" ht="12.75" customHeight="1" x14ac:dyDescent="0.2">
      <c r="A925" s="227">
        <v>925</v>
      </c>
      <c r="B925" s="5988"/>
      <c r="C925" s="489"/>
      <c r="D925" s="2421" t="s">
        <v>975</v>
      </c>
      <c r="E925" s="2418">
        <v>0</v>
      </c>
      <c r="F925" s="2418"/>
      <c r="G925" s="2418">
        <v>20</v>
      </c>
      <c r="H925" s="2418"/>
      <c r="I925" s="2418"/>
      <c r="J925" s="2418"/>
      <c r="K925" s="2418"/>
      <c r="L925" s="2418"/>
      <c r="M925" s="2423"/>
      <c r="N925" s="2423" t="s">
        <v>8786</v>
      </c>
      <c r="O925" s="2423"/>
      <c r="P925" s="2423"/>
      <c r="Q925" s="2423"/>
      <c r="R925" s="2423"/>
      <c r="S925" s="2419">
        <f t="shared" si="248"/>
        <v>83</v>
      </c>
      <c r="T925" s="2418"/>
      <c r="U925" s="2418"/>
      <c r="V925" s="2418">
        <v>10</v>
      </c>
      <c r="W925" s="2418">
        <v>10</v>
      </c>
      <c r="X925" s="2418">
        <f t="shared" si="249"/>
        <v>0</v>
      </c>
      <c r="Y925" s="2418">
        <f>IF(COUNTIF(PDs!$AD$59:$AD$77,Tablas!D925)&gt;0,1,0)</f>
        <v>0</v>
      </c>
      <c r="Z925" s="2418" t="str">
        <f>IF(OR(NOT(OR($Y$862=1,$Y$886=1)),AA925&lt;260,MAX(AB925,AC925)&lt;260,NOT(Inhumanidad)),"NO","-")</f>
        <v>NO</v>
      </c>
      <c r="AA925" s="1025">
        <f t="array" ref="AA925">HA_final-PDs!$X$25+MIN(PDs!$X$25+H$940-H925,50)+MAX(V$850:V924*$Y$850:$Y924,V926:V$939*$Y926:$Y$939)</f>
        <v>0</v>
      </c>
      <c r="AB925" s="2420">
        <f t="array" ref="AB925">HE_final-PDs!$X$27+MIN(PDs!$X$27+I$940-I925,50)+MAX(W$850:W924*$Y$850:$Y924,W926:W$939*$Y926:$Y$939)</f>
        <v>0</v>
      </c>
      <c r="AC925" s="1265">
        <f t="array" ref="AC925">HP_final-PDs!$X$26+MIN(PDs!$X$26+J$940-J925,50)+MAX(W$850:W924*$Y$850:$Y924,W926:W$939*$Y926:$Y$939)</f>
        <v>0</v>
      </c>
      <c r="AP925" s="559"/>
      <c r="AQ925" s="559"/>
    </row>
    <row r="926" spans="1:43" ht="12.75" customHeight="1" x14ac:dyDescent="0.2">
      <c r="A926" s="227">
        <v>926</v>
      </c>
      <c r="B926" s="5988"/>
      <c r="C926" s="489"/>
      <c r="D926" s="2421" t="s">
        <v>976</v>
      </c>
      <c r="E926" s="2418">
        <v>0</v>
      </c>
      <c r="F926" s="2418"/>
      <c r="G926" s="2418">
        <v>15</v>
      </c>
      <c r="H926" s="2418">
        <v>10</v>
      </c>
      <c r="I926" s="2418"/>
      <c r="J926" s="2418"/>
      <c r="K926" s="2418"/>
      <c r="L926" s="2418"/>
      <c r="M926" s="2423"/>
      <c r="N926" s="2423" t="s">
        <v>8787</v>
      </c>
      <c r="O926" s="2423"/>
      <c r="P926" s="2423"/>
      <c r="Q926" s="2423"/>
      <c r="R926" s="2423"/>
      <c r="S926" s="2419">
        <f t="shared" si="248"/>
        <v>66</v>
      </c>
      <c r="T926" s="2418"/>
      <c r="U926" s="2418"/>
      <c r="V926" s="2418"/>
      <c r="W926" s="2418"/>
      <c r="X926" s="2418">
        <f t="shared" si="249"/>
        <v>0</v>
      </c>
      <c r="Y926" s="2418">
        <f>IF(OR(Y927&gt;0,COUNTIF(PDs!$AD$59:$AD$77,Tablas!D926)&gt;0),1,0)</f>
        <v>0</v>
      </c>
      <c r="Z926" s="2418" t="str">
        <f>IF(OR(NOT(OR($Y$873=1,$Y$903=1)),Medicina_final="-",NOT(OR(Medicina_final&gt;=100,AND(PDs!I152="Anatomía",Medicina_final&gt;=60))),AA926&lt;200),"NO","-")</f>
        <v>NO</v>
      </c>
      <c r="AA926" s="1025">
        <f t="array" ref="AA926">HA_final-PDs!$X$25+MIN(PDs!$X$25+H$940-H926,50)+MAX(V$850:V925*$Y$850:$Y925,V927:V$939*$Y927:$Y$939)</f>
        <v>-10</v>
      </c>
      <c r="AB926" s="2420">
        <f t="array" ref="AB926">HE_final-PDs!$X$27+MIN(PDs!$X$27+I$940-I926,50)+MAX(W$850:W925*$Y$850:$Y925,W927:W$939*$Y927:$Y$939)</f>
        <v>0</v>
      </c>
      <c r="AC926" s="1265">
        <f t="array" ref="AC926">HP_final-PDs!$X$26+MIN(PDs!$X$26+J$940-J926,50)+MAX(W$850:W925*$Y$850:$Y925,W927:W$939*$Y927:$Y$939)</f>
        <v>0</v>
      </c>
      <c r="AP926" s="559"/>
      <c r="AQ926" s="559"/>
    </row>
    <row r="927" spans="1:43" ht="12.75" customHeight="1" x14ac:dyDescent="0.2">
      <c r="A927" s="227">
        <v>927</v>
      </c>
      <c r="B927" s="5988"/>
      <c r="C927" s="489"/>
      <c r="D927" s="2421" t="s">
        <v>977</v>
      </c>
      <c r="E927" s="2418">
        <v>0</v>
      </c>
      <c r="F927" s="2418"/>
      <c r="G927" s="2418">
        <v>30</v>
      </c>
      <c r="H927" s="2418"/>
      <c r="I927" s="2418"/>
      <c r="J927" s="2418"/>
      <c r="K927" s="2418"/>
      <c r="L927" s="2418"/>
      <c r="M927" s="2423"/>
      <c r="N927" s="2423" t="s">
        <v>8788</v>
      </c>
      <c r="O927" s="2423"/>
      <c r="P927" s="2423"/>
      <c r="Q927" s="2423"/>
      <c r="R927" s="2423"/>
      <c r="S927" s="2419">
        <f t="shared" si="248"/>
        <v>80</v>
      </c>
      <c r="T927" s="2418"/>
      <c r="U927" s="2418"/>
      <c r="V927" s="2418">
        <v>20</v>
      </c>
      <c r="W927" s="2418"/>
      <c r="X927" s="2418">
        <f t="shared" si="249"/>
        <v>0</v>
      </c>
      <c r="Y927" s="2418">
        <f>IF(COUNTIF(PDs!$AD$59:$AD$77,Tablas!D927)&gt;0,1,0)</f>
        <v>0</v>
      </c>
      <c r="Z927" s="2418" t="str">
        <f>IF(OR(NOT(OR($Y$874=1,$Y$904=1)),Medicina_final="-",NOT(OR(Medicina_final&gt;=120,AND(PDs!I152="Anatomía",Medicina_final&gt;=80))),AA927&lt;300,NOT(Inhumanidad)),"NO","-")</f>
        <v>NO</v>
      </c>
      <c r="AA927" s="1025">
        <f t="array" ref="AA927">HA_final-PDs!$X$25+MIN(PDs!$X$25+H$940-H927,50)+MAX(V$850:V926*$Y$850:$Y926,V928:V$939*$Y928:$Y$939)</f>
        <v>0</v>
      </c>
      <c r="AB927" s="2420">
        <f t="array" ref="AB927">HE_final-PDs!$X$27+MIN(PDs!$X$27+I$940-I927,50)+MAX(W$850:W926*$Y$850:$Y926,W928:W$939*$Y928:$Y$939)</f>
        <v>0</v>
      </c>
      <c r="AC927" s="1265">
        <f t="array" ref="AC927">HP_final-PDs!$X$26+MIN(PDs!$X$26+J$940-J927,50)+MAX(W$850:W926*$Y$850:$Y926,W928:W$939*$Y928:$Y$939)</f>
        <v>0</v>
      </c>
      <c r="AP927" s="559"/>
      <c r="AQ927" s="559"/>
    </row>
    <row r="928" spans="1:43" ht="12.75" customHeight="1" x14ac:dyDescent="0.2">
      <c r="A928" s="227">
        <v>928</v>
      </c>
      <c r="B928" s="5988"/>
      <c r="C928" s="489"/>
      <c r="D928" s="2421" t="s">
        <v>978</v>
      </c>
      <c r="E928" s="2418">
        <v>0</v>
      </c>
      <c r="F928" s="2418"/>
      <c r="G928" s="2418">
        <v>10</v>
      </c>
      <c r="H928" s="2418"/>
      <c r="I928" s="2418">
        <v>10</v>
      </c>
      <c r="J928" s="2418">
        <v>10</v>
      </c>
      <c r="K928" s="2418"/>
      <c r="L928" s="2418"/>
      <c r="M928" s="2423"/>
      <c r="N928" s="2423" t="s">
        <v>979</v>
      </c>
      <c r="O928" s="2423"/>
      <c r="P928" s="2423"/>
      <c r="Q928" s="2423"/>
      <c r="R928" s="2423"/>
      <c r="S928" s="2419">
        <f t="shared" si="248"/>
        <v>36</v>
      </c>
      <c r="T928" s="2418"/>
      <c r="U928" s="2418"/>
      <c r="V928" s="2418"/>
      <c r="W928" s="2418"/>
      <c r="X928" s="2418">
        <f t="shared" si="249"/>
        <v>0</v>
      </c>
      <c r="Y928" s="2418">
        <f>IF(OR(Y929&gt;0,COUNTIF(PDs!$AD$59:$AD$77,Tablas!D928)&gt;0),1,0)</f>
        <v>0</v>
      </c>
      <c r="Z928" s="2418" t="str">
        <f>IF(OR(NOT(OR($Y$882=1,$Y$879=1)),MAX(AB928,AC928)&lt;200,NOT(Inhumanidad)),"NO","-")</f>
        <v>NO</v>
      </c>
      <c r="AA928" s="1025">
        <f t="array" ref="AA928">HA_final-PDs!$X$25+MIN(PDs!$X$25+H$940-H928,50)+MAX(V$850:V927*$Y$850:$Y927,V929:V$939*$Y929:$Y$939)</f>
        <v>0</v>
      </c>
      <c r="AB928" s="2420">
        <f t="array" ref="AB928">HE_final-PDs!$X$27+MIN(PDs!$X$27+I$940-I928,50)+MAX(W$850:W927*$Y$850:$Y927,W929:W$939*$Y929:$Y$939)</f>
        <v>-10</v>
      </c>
      <c r="AC928" s="1265">
        <f t="array" ref="AC928">HP_final-PDs!$X$26+MIN(PDs!$X$26+J$940-J928,50)+MAX(W$850:W927*$Y$850:$Y927,W929:W$939*$Y929:$Y$939)</f>
        <v>-10</v>
      </c>
      <c r="AP928" s="559"/>
      <c r="AQ928" s="559"/>
    </row>
    <row r="929" spans="1:43" ht="12.75" customHeight="1" x14ac:dyDescent="0.2">
      <c r="A929" s="227">
        <v>929</v>
      </c>
      <c r="B929" s="5988"/>
      <c r="C929" s="489"/>
      <c r="D929" s="2421" t="s">
        <v>980</v>
      </c>
      <c r="E929" s="2418">
        <v>0</v>
      </c>
      <c r="F929" s="2418"/>
      <c r="G929" s="2418">
        <v>30</v>
      </c>
      <c r="H929" s="2418"/>
      <c r="I929" s="2418"/>
      <c r="J929" s="2418"/>
      <c r="K929" s="2418"/>
      <c r="L929" s="2418"/>
      <c r="M929" s="2423"/>
      <c r="N929" s="2423" t="s">
        <v>981</v>
      </c>
      <c r="O929" s="2423"/>
      <c r="P929" s="2423"/>
      <c r="Q929" s="2423"/>
      <c r="R929" s="2423"/>
      <c r="S929" s="2419">
        <f t="shared" si="248"/>
        <v>37</v>
      </c>
      <c r="T929" s="2418"/>
      <c r="U929" s="2418"/>
      <c r="V929" s="2418"/>
      <c r="W929" s="2418">
        <v>20</v>
      </c>
      <c r="X929" s="2418">
        <f t="shared" si="249"/>
        <v>0</v>
      </c>
      <c r="Y929" s="2418">
        <f>IF(COUNTIF(PDs!$AD$59:$AD$77,Tablas!D929)&gt;0,1,0)</f>
        <v>0</v>
      </c>
      <c r="Z929" s="2418" t="str">
        <f>IF(OR(NOT(OR($Y$883=1,$Y$880=1)),MAX(AB929,AC929)&lt;300,NOT(Zen)),"NO","-")</f>
        <v>NO</v>
      </c>
      <c r="AA929" s="1025">
        <f t="array" ref="AA929">HA_final-PDs!$X$25+MIN(PDs!$X$25+H$940-H929,50)+MAX(V$850:V928*$Y$850:$Y928,V930:V$939*$Y930:$Y$939)</f>
        <v>0</v>
      </c>
      <c r="AB929" s="2420">
        <f t="array" ref="AB929">HE_final-PDs!$X$27+MIN(PDs!$X$27+I$940-I929,50)+MAX(W$850:W928*$Y$850:$Y928,W930:W$939*$Y930:$Y$939)</f>
        <v>0</v>
      </c>
      <c r="AC929" s="1265">
        <f t="array" ref="AC929">HP_final-PDs!$X$26+MIN(PDs!$X$26+J$940-J929,50)+MAX(W$850:W928*$Y$850:$Y928,W930:W$939*$Y930:$Y$939)</f>
        <v>0</v>
      </c>
      <c r="AP929" s="559"/>
      <c r="AQ929" s="559"/>
    </row>
    <row r="930" spans="1:43" ht="12.75" customHeight="1" x14ac:dyDescent="0.2">
      <c r="A930" s="227">
        <v>930</v>
      </c>
      <c r="B930" s="5988"/>
      <c r="C930" s="489"/>
      <c r="D930" s="2421" t="s">
        <v>982</v>
      </c>
      <c r="E930" s="2418">
        <v>0</v>
      </c>
      <c r="F930" s="2418"/>
      <c r="G930" s="2418">
        <v>10</v>
      </c>
      <c r="H930" s="2418"/>
      <c r="I930" s="2418">
        <v>20</v>
      </c>
      <c r="J930" s="2418">
        <v>20</v>
      </c>
      <c r="K930" s="2418"/>
      <c r="L930" s="2418"/>
      <c r="M930" s="2423"/>
      <c r="N930" s="2423" t="s">
        <v>8789</v>
      </c>
      <c r="O930" s="2423"/>
      <c r="P930" s="2423"/>
      <c r="Q930" s="2423"/>
      <c r="R930" s="2423"/>
      <c r="S930" s="2419">
        <f t="shared" si="248"/>
        <v>49</v>
      </c>
      <c r="T930" s="2418"/>
      <c r="U930" s="2418"/>
      <c r="V930" s="2418"/>
      <c r="W930" s="2418"/>
      <c r="X930" s="2418">
        <f t="shared" si="249"/>
        <v>0</v>
      </c>
      <c r="Y930" s="2418">
        <f>IF(OR(Y931&gt;0,COUNTIF(PDs!$AD$59:$AD$77,Tablas!D930)&gt;0),1,0)</f>
        <v>0</v>
      </c>
      <c r="Z930" s="2418" t="str">
        <f>IF(OR($Y$852=0,MAX(AB930,AC930)&lt;200),"NO","-")</f>
        <v>NO</v>
      </c>
      <c r="AA930" s="1025">
        <f t="array" ref="AA930">HA_final-PDs!$X$25+MIN(PDs!$X$25+H$940-H930,50)+MAX(V$850:V929*$Y$850:$Y929,V931:V$939*$Y931:$Y$939)</f>
        <v>0</v>
      </c>
      <c r="AB930" s="2420">
        <f t="array" ref="AB930">HE_final-PDs!$X$27+MIN(PDs!$X$27+I$940-I930,50)+MAX(W$850:W929*$Y$850:$Y929,W931:W$939*$Y931:$Y$939)</f>
        <v>-20</v>
      </c>
      <c r="AC930" s="1265">
        <f t="array" ref="AC930">HP_final-PDs!$X$26+MIN(PDs!$X$26+J$940-J930,50)+MAX(W$850:W929*$Y$850:$Y929,W931:W$939*$Y931:$Y$939)</f>
        <v>-20</v>
      </c>
      <c r="AP930" s="559"/>
      <c r="AQ930" s="559"/>
    </row>
    <row r="931" spans="1:43" ht="12.75" customHeight="1" x14ac:dyDescent="0.2">
      <c r="A931" s="227">
        <v>931</v>
      </c>
      <c r="B931" s="5988"/>
      <c r="C931" s="489"/>
      <c r="D931" s="2421" t="s">
        <v>983</v>
      </c>
      <c r="E931" s="2418">
        <v>0</v>
      </c>
      <c r="F931" s="2418"/>
      <c r="G931" s="2418">
        <v>20</v>
      </c>
      <c r="H931" s="2418"/>
      <c r="I931" s="2418"/>
      <c r="J931" s="2418"/>
      <c r="K931" s="2418"/>
      <c r="L931" s="2418"/>
      <c r="M931" s="2423"/>
      <c r="N931" s="2423" t="s">
        <v>8790</v>
      </c>
      <c r="O931" s="2423"/>
      <c r="P931" s="2423"/>
      <c r="Q931" s="2423"/>
      <c r="R931" s="2423"/>
      <c r="S931" s="2419">
        <f t="shared" si="248"/>
        <v>69</v>
      </c>
      <c r="T931" s="2418"/>
      <c r="U931" s="2418"/>
      <c r="V931" s="2418"/>
      <c r="W931" s="2418">
        <v>20</v>
      </c>
      <c r="X931" s="2418">
        <f t="shared" si="249"/>
        <v>0</v>
      </c>
      <c r="Y931" s="2418">
        <f>IF(COUNTIF(PDs!$AD$59:$AD$77,Tablas!D931)&gt;0,1,0)</f>
        <v>0</v>
      </c>
      <c r="Z931" s="2418" t="str">
        <f>IF(OR($Y$853=0,MAX(AB931,AC931)&lt;300,NOT(Inhumanidad)),"NO","-")</f>
        <v>NO</v>
      </c>
      <c r="AA931" s="1025">
        <f t="array" ref="AA931">HA_final-PDs!$X$25+MIN(PDs!$X$25+H$940-H931,50)+MAX(V$850:V930*$Y$850:$Y930,V932:V$939*$Y932:$Y$939)</f>
        <v>0</v>
      </c>
      <c r="AB931" s="2420">
        <f t="array" ref="AB931">HE_final-PDs!$X$27+MIN(PDs!$X$27+I$940-I931,50)+MAX(W$850:W930*$Y$850:$Y930,W932:W$939*$Y932:$Y$939)</f>
        <v>0</v>
      </c>
      <c r="AC931" s="1265">
        <f t="array" ref="AC931">HP_final-PDs!$X$26+MIN(PDs!$X$26+J$940-J931,50)+MAX(W$850:W930*$Y$850:$Y930,W932:W$939*$Y932:$Y$939)</f>
        <v>0</v>
      </c>
      <c r="AP931" s="559"/>
      <c r="AQ931" s="559"/>
    </row>
    <row r="932" spans="1:43" ht="12.75" customHeight="1" x14ac:dyDescent="0.2">
      <c r="A932" s="227">
        <v>932</v>
      </c>
      <c r="B932" s="5988"/>
      <c r="C932" s="489"/>
      <c r="D932" s="2421" t="s">
        <v>984</v>
      </c>
      <c r="E932" s="2418">
        <v>0</v>
      </c>
      <c r="F932" s="2418">
        <v>10</v>
      </c>
      <c r="G932" s="2418">
        <v>10</v>
      </c>
      <c r="H932" s="2418">
        <v>20</v>
      </c>
      <c r="I932" s="2418"/>
      <c r="J932" s="2418"/>
      <c r="K932" s="2418"/>
      <c r="L932" s="2418"/>
      <c r="M932" s="2423"/>
      <c r="N932" s="2423" t="s">
        <v>8791</v>
      </c>
      <c r="O932" s="2423"/>
      <c r="P932" s="2423"/>
      <c r="Q932" s="2423"/>
      <c r="R932" s="2423"/>
      <c r="S932" s="2419">
        <f t="shared" si="248"/>
        <v>45</v>
      </c>
      <c r="T932" s="2418"/>
      <c r="U932" s="2418"/>
      <c r="V932" s="2418"/>
      <c r="W932" s="2418"/>
      <c r="X932" s="2418">
        <f t="shared" si="249"/>
        <v>0</v>
      </c>
      <c r="Y932" s="2418">
        <f>IF(OR(Y933&gt;0,COUNTIF(PDs!$AD$59:$AD$77,Tablas!D932)&gt;0),1,0)</f>
        <v>0</v>
      </c>
      <c r="Z932" s="2422" t="str">
        <f>IF(OR(NOT(OR($Y$891=1,$Y$867=1)),AA932&lt;180,NOT(Extrusióndepresencia)),"NO","-")</f>
        <v>NO</v>
      </c>
      <c r="AA932" s="1025">
        <f t="array" ref="AA932">HA_final-PDs!$X$25+MIN(PDs!$X$25+H$940-H932,50)+MAX(V$850:V931*$Y$850:$Y931,V933:V$939*$Y933:$Y$939)</f>
        <v>-20</v>
      </c>
      <c r="AB932" s="2420">
        <f t="array" ref="AB932">HE_final-PDs!$X$27+MIN(PDs!$X$27+I$940-I932,50)+MAX(W$850:W931*$Y$850:$Y931,W933:W$939*$Y933:$Y$939)</f>
        <v>0</v>
      </c>
      <c r="AC932" s="1265">
        <f t="array" ref="AC932">HP_final-PDs!$X$26+MIN(PDs!$X$26+J$940-J932,50)+MAX(W$850:W931*$Y$850:$Y931,W933:W$939*$Y933:$Y$939)</f>
        <v>0</v>
      </c>
      <c r="AP932" s="559"/>
      <c r="AQ932" s="559"/>
    </row>
    <row r="933" spans="1:43" ht="12.75" customHeight="1" x14ac:dyDescent="0.2">
      <c r="A933" s="227">
        <v>933</v>
      </c>
      <c r="B933" s="5988"/>
      <c r="C933" s="489"/>
      <c r="D933" s="2421" t="s">
        <v>985</v>
      </c>
      <c r="E933" s="2418">
        <v>0</v>
      </c>
      <c r="F933" s="2418"/>
      <c r="G933" s="2418">
        <v>20</v>
      </c>
      <c r="H933" s="2418"/>
      <c r="I933" s="2418"/>
      <c r="J933" s="2418"/>
      <c r="K933" s="2418"/>
      <c r="L933" s="2418"/>
      <c r="M933" s="2423"/>
      <c r="N933" s="2423" t="s">
        <v>986</v>
      </c>
      <c r="O933" s="2423"/>
      <c r="P933" s="2423"/>
      <c r="Q933" s="2423"/>
      <c r="R933" s="2423"/>
      <c r="S933" s="2419">
        <f t="shared" si="248"/>
        <v>63</v>
      </c>
      <c r="T933" s="2418"/>
      <c r="U933" s="2418"/>
      <c r="V933" s="2418">
        <v>20</v>
      </c>
      <c r="W933" s="2418"/>
      <c r="X933" s="2418">
        <f t="shared" si="249"/>
        <v>0</v>
      </c>
      <c r="Y933" s="2418">
        <f>IF(COUNTIF(PDs!$AD$59:$AD$77,Tablas!D933)&gt;0,1,0)</f>
        <v>0</v>
      </c>
      <c r="Z933" s="2418" t="str">
        <f>IF(OR(NOT(OR($Y$892=1,$Y$868=1)),AA933&lt;280,NOT(Extrusióndepresencia)),"NO","-")</f>
        <v>NO</v>
      </c>
      <c r="AA933" s="1025">
        <f t="array" ref="AA933">HA_final-PDs!$X$25+MIN(PDs!$X$25+H$940-H933,50)+MAX(V$850:V932*$Y$850:$Y932,V934:V$939*$Y934:$Y$939)</f>
        <v>0</v>
      </c>
      <c r="AB933" s="2420">
        <f t="array" ref="AB933">HE_final-PDs!$X$27+MIN(PDs!$X$27+I$940-I933,50)+MAX(W$850:W932*$Y$850:$Y932,W934:W$939*$Y934:$Y$939)</f>
        <v>0</v>
      </c>
      <c r="AC933" s="1265">
        <f t="array" ref="AC933">HP_final-PDs!$X$26+MIN(PDs!$X$26+J$940-J933,50)+MAX(W$850:W932*$Y$850:$Y932,W934:W$939*$Y934:$Y$939)</f>
        <v>0</v>
      </c>
      <c r="AP933" s="559"/>
      <c r="AQ933" s="559"/>
    </row>
    <row r="934" spans="1:43" ht="12.75" customHeight="1" x14ac:dyDescent="0.2">
      <c r="A934" s="227">
        <v>934</v>
      </c>
      <c r="B934" s="5988"/>
      <c r="C934" s="489"/>
      <c r="D934" s="2421" t="s">
        <v>987</v>
      </c>
      <c r="E934" s="2418">
        <v>0</v>
      </c>
      <c r="F934" s="2418"/>
      <c r="G934" s="2418">
        <v>10</v>
      </c>
      <c r="H934" s="2418"/>
      <c r="I934" s="2418">
        <v>20</v>
      </c>
      <c r="J934" s="2418">
        <v>20</v>
      </c>
      <c r="K934" s="2418"/>
      <c r="L934" s="2418"/>
      <c r="M934" s="2423"/>
      <c r="N934" s="2423" t="s">
        <v>988</v>
      </c>
      <c r="O934" s="2423"/>
      <c r="P934" s="2423"/>
      <c r="Q934" s="2423"/>
      <c r="R934" s="2423"/>
      <c r="S934" s="2419">
        <f t="shared" si="248"/>
        <v>36</v>
      </c>
      <c r="T934" s="2418"/>
      <c r="U934" s="2418"/>
      <c r="V934" s="2418"/>
      <c r="W934" s="2418"/>
      <c r="X934" s="2418">
        <f t="shared" si="249"/>
        <v>0</v>
      </c>
      <c r="Y934" s="2418">
        <f>IF(OR(Y935&gt;0,COUNTIF(PDs!$AD$59:$AD$77,Tablas!D934)&gt;0),1,0)</f>
        <v>0</v>
      </c>
      <c r="Z934" s="2422" t="str">
        <f>IF(OR(NOT(OR($Y$852=1,$Y$870=1)),MAX(AC934,AB934)&lt;200,NOT(UsodelKi)),"NO","-")</f>
        <v>NO</v>
      </c>
      <c r="AA934" s="1025">
        <f t="array" ref="AA934">HA_final-PDs!$X$25+MIN(PDs!$X$25+H$940-H934,50)+MAX(V$850:V933*$Y$850:$Y933,V935:V$939*$Y935:$Y$939)</f>
        <v>0</v>
      </c>
      <c r="AB934" s="2420">
        <f t="array" ref="AB934">HE_final-PDs!$X$27+MIN(PDs!$X$27+I$940-I934,50)+MAX(W$850:W933*$Y$850:$Y933,W935:W$939*$Y935:$Y$939)</f>
        <v>-20</v>
      </c>
      <c r="AC934" s="1265">
        <f t="array" ref="AC934">HP_final-PDs!$X$26+MIN(PDs!$X$26+J$940-J934,50)+MAX(W$850:W933*$Y$850:$Y933,W935:W$939*$Y935:$Y$939)</f>
        <v>-20</v>
      </c>
      <c r="AP934" s="559"/>
      <c r="AQ934" s="559"/>
    </row>
    <row r="935" spans="1:43" ht="12.75" customHeight="1" x14ac:dyDescent="0.2">
      <c r="A935" s="227">
        <v>935</v>
      </c>
      <c r="B935" s="5988"/>
      <c r="C935" s="489"/>
      <c r="D935" s="2421" t="s">
        <v>989</v>
      </c>
      <c r="E935" s="2418">
        <v>0</v>
      </c>
      <c r="F935" s="2418"/>
      <c r="G935" s="2418">
        <v>20</v>
      </c>
      <c r="H935" s="2418"/>
      <c r="I935" s="2418"/>
      <c r="J935" s="2418"/>
      <c r="K935" s="2418"/>
      <c r="L935" s="2418"/>
      <c r="M935" s="2423"/>
      <c r="N935" s="2423" t="s">
        <v>990</v>
      </c>
      <c r="O935" s="2423"/>
      <c r="P935" s="2423"/>
      <c r="Q935" s="2423"/>
      <c r="R935" s="2423"/>
      <c r="S935" s="2419">
        <f t="shared" si="248"/>
        <v>37</v>
      </c>
      <c r="T935" s="2418"/>
      <c r="U935" s="2418"/>
      <c r="V935" s="2418"/>
      <c r="W935" s="2418">
        <v>20</v>
      </c>
      <c r="X935" s="2418">
        <f t="shared" si="249"/>
        <v>0</v>
      </c>
      <c r="Y935" s="2418">
        <f>IF(COUNTIF(PDs!$AD$59:$AD$77,Tablas!D935)&gt;0,1,0)</f>
        <v>0</v>
      </c>
      <c r="Z935" s="2422" t="str">
        <f>IF(OR(NOT(OR($Y$853=1,$Y$871=1)),MAX(AB935,AC935)&lt;300,NOT(UsodelKi)),"NO","-")</f>
        <v>NO</v>
      </c>
      <c r="AA935" s="1025">
        <f t="array" ref="AA935">HA_final-PDs!$X$25+MIN(PDs!$X$25+H$940-H935,50)+MAX(V$850:V934*$Y$850:$Y934,V936:V$939*$Y936:$Y$939)</f>
        <v>0</v>
      </c>
      <c r="AB935" s="2420">
        <f t="array" ref="AB935">HE_final-PDs!$X$27+MIN(PDs!$X$27+I$940-I935,50)+MAX(W$850:W934*$Y$850:$Y934,W936:W$939*$Y936:$Y$939)</f>
        <v>0</v>
      </c>
      <c r="AC935" s="1265">
        <f t="array" ref="AC935">HP_final-PDs!$X$26+MIN(PDs!$X$26+J$940-J935,50)+MAX(W$850:W934*$Y$850:$Y934,W936:W$939*$Y936:$Y$939)</f>
        <v>0</v>
      </c>
      <c r="AP935" s="559"/>
      <c r="AQ935" s="559"/>
    </row>
    <row r="936" spans="1:43" ht="12.75" customHeight="1" x14ac:dyDescent="0.2">
      <c r="A936" s="227">
        <v>936</v>
      </c>
      <c r="B936" s="5988"/>
      <c r="C936" s="489"/>
      <c r="D936" s="2421" t="s">
        <v>991</v>
      </c>
      <c r="E936" s="2418">
        <v>0</v>
      </c>
      <c r="F936" s="2418"/>
      <c r="G936" s="2418">
        <v>15</v>
      </c>
      <c r="H936" s="2418">
        <v>10</v>
      </c>
      <c r="I936" s="2418"/>
      <c r="J936" s="2418"/>
      <c r="K936" s="2418"/>
      <c r="L936" s="2418"/>
      <c r="M936" s="2423"/>
      <c r="N936" s="2423" t="s">
        <v>992</v>
      </c>
      <c r="O936" s="2423"/>
      <c r="P936" s="2423"/>
      <c r="Q936" s="2423"/>
      <c r="R936" s="2423"/>
      <c r="S936" s="2419">
        <f t="shared" si="248"/>
        <v>59</v>
      </c>
      <c r="T936" s="2418"/>
      <c r="U936" s="2418"/>
      <c r="V936" s="2418"/>
      <c r="W936" s="2418"/>
      <c r="X936" s="2418">
        <f t="shared" si="249"/>
        <v>0</v>
      </c>
      <c r="Y936" s="2418">
        <f>IF(OR(Y937&gt;0,COUNTIF(PDs!$AD$59:$AD$77,Tablas!D936)&gt;0),1,0)</f>
        <v>0</v>
      </c>
      <c r="Z936" s="2422" t="str">
        <f>IF(OR($Y$900=0,AA936&lt;200,NOT(Extrusióndepresencia)),"NO","-")</f>
        <v>NO</v>
      </c>
      <c r="AA936" s="1025">
        <f t="array" ref="AA936">HA_final-PDs!$X$25+MIN(PDs!$X$25+H$940-H936,50)+MAX(V$850:V935*$Y$850:$Y935,V937:V$939*$Y937:$Y$939)</f>
        <v>-10</v>
      </c>
      <c r="AB936" s="2420">
        <f t="array" ref="AB936">HE_final-PDs!$X$27+MIN(PDs!$X$27+I$940-I936,50)+MAX(W$850:W935*$Y$850:$Y935,W937:W$939*$Y937:$Y$939)</f>
        <v>0</v>
      </c>
      <c r="AC936" s="1265">
        <f t="array" ref="AC936">HP_final-PDs!$X$26+MIN(PDs!$X$26+J$940-J936,50)+MAX(W$850:W935*$Y$850:$Y935,W937:W$939*$Y937:$Y$939)</f>
        <v>0</v>
      </c>
      <c r="AP936" s="559"/>
      <c r="AQ936" s="559"/>
    </row>
    <row r="937" spans="1:43" ht="12.75" customHeight="1" x14ac:dyDescent="0.2">
      <c r="A937" s="227">
        <v>937</v>
      </c>
      <c r="B937" s="5988"/>
      <c r="C937" s="489"/>
      <c r="D937" s="2421" t="s">
        <v>993</v>
      </c>
      <c r="E937" s="2418">
        <v>0</v>
      </c>
      <c r="F937" s="2418">
        <f>Bono_Pod</f>
        <v>0</v>
      </c>
      <c r="G937" s="2418">
        <v>35</v>
      </c>
      <c r="H937" s="2418"/>
      <c r="I937" s="2418"/>
      <c r="J937" s="2418"/>
      <c r="K937" s="2418"/>
      <c r="L937" s="2418"/>
      <c r="M937" s="2423"/>
      <c r="N937" s="2423" t="s">
        <v>994</v>
      </c>
      <c r="O937" s="2423"/>
      <c r="P937" s="2423"/>
      <c r="Q937" s="2423"/>
      <c r="R937" s="2423"/>
      <c r="S937" s="2419">
        <f t="shared" si="248"/>
        <v>40</v>
      </c>
      <c r="T937" s="2418"/>
      <c r="U937" s="2418"/>
      <c r="V937" s="2418">
        <v>15</v>
      </c>
      <c r="W937" s="2418"/>
      <c r="X937" s="2418">
        <f t="shared" si="249"/>
        <v>0</v>
      </c>
      <c r="Y937" s="2418">
        <f>IF(COUNTIF(PDs!$AD$59:$AD$77,Tablas!D937)&gt;0,1,0)</f>
        <v>0</v>
      </c>
      <c r="Z937" s="2422" t="str">
        <f>IF(OR($Y$901=0,AA937&lt;300,NOT(Extrusióndepresencia),NOT(Inhumanidad)),"NO","-")</f>
        <v>NO</v>
      </c>
      <c r="AA937" s="1025">
        <f t="array" ref="AA937">HA_final-PDs!$X$25+MIN(PDs!$X$25+H$940-H937,50)+MAX(V$850:V936*$Y$850:$Y936,V938:V$939*$Y938:$Y$939)</f>
        <v>0</v>
      </c>
      <c r="AB937" s="2420">
        <f t="array" ref="AB937">HE_final-PDs!$X$27+MIN(PDs!$X$27+I$940-I937,50)+MAX(W$850:W936*$Y$850:$Y936,W938:W$939*$Y938:$Y$939)</f>
        <v>0</v>
      </c>
      <c r="AC937" s="1265">
        <f t="array" ref="AC937">HP_final-PDs!$X$26+MIN(PDs!$X$26+J$940-J937,50)+MAX(W$850:W936*$Y$850:$Y936,W938:W$939*$Y938:$Y$939)</f>
        <v>0</v>
      </c>
      <c r="AP937" s="559"/>
      <c r="AQ937" s="559"/>
    </row>
    <row r="938" spans="1:43" ht="12.75" customHeight="1" x14ac:dyDescent="0.2">
      <c r="A938" s="227">
        <v>938</v>
      </c>
      <c r="B938" s="5988"/>
      <c r="C938" s="489"/>
      <c r="D938" s="2421" t="s">
        <v>995</v>
      </c>
      <c r="E938" s="2418">
        <v>0</v>
      </c>
      <c r="F938" s="2418"/>
      <c r="G938" s="2418">
        <v>20</v>
      </c>
      <c r="H938" s="2418"/>
      <c r="I938" s="2418">
        <v>20</v>
      </c>
      <c r="J938" s="2418">
        <v>20</v>
      </c>
      <c r="K938" s="2418"/>
      <c r="L938" s="2418"/>
      <c r="M938" s="2423"/>
      <c r="N938" s="2423" t="s">
        <v>1456</v>
      </c>
      <c r="O938" s="2423"/>
      <c r="P938" s="2423"/>
      <c r="Q938" s="2423"/>
      <c r="R938" s="2423"/>
      <c r="S938" s="2419">
        <f t="shared" si="248"/>
        <v>1</v>
      </c>
      <c r="T938" s="2418" t="s">
        <v>1556</v>
      </c>
      <c r="U938" s="2418"/>
      <c r="V938" s="2418"/>
      <c r="W938" s="2418"/>
      <c r="X938" s="2418">
        <f t="shared" si="249"/>
        <v>0</v>
      </c>
      <c r="Y938" s="2418">
        <f>IF(OR(Y939&gt;0,COUNTIF(PDs!$AD$59:$AD$77,Tablas!D938)&gt;0),1,0)</f>
        <v>0</v>
      </c>
      <c r="Z938" s="2418" t="str">
        <f>IF(OR(NOT(OR($Y$873=1,$Y$900=1)),NOT(Extrusióndepresencia)),"NO","-")</f>
        <v>NO</v>
      </c>
      <c r="AA938" s="1025">
        <f t="array" ref="AA938">HA_final-PDs!$X$25+MIN(PDs!$X$25+H$940-H938,50)+MAX(V$850:V937*$Y$850:$Y937,V939:V$939*$Y939:$Y$939)</f>
        <v>0</v>
      </c>
      <c r="AB938" s="2420">
        <f t="array" ref="AB938">HE_final-PDs!$X$27+MIN(PDs!$X$27+I$940-I938,50)+MAX(W$850:W937*$Y$850:$Y937,W939:W$939*$Y939:$Y$939)</f>
        <v>-20</v>
      </c>
      <c r="AC938" s="1265">
        <f t="array" ref="AC938">HP_final-PDs!$X$26+MIN(PDs!$X$26+J$940-J938,50)+MAX(W$850:W937*$Y$850:$Y937,W939:W$939*$Y939:$Y$939)</f>
        <v>-20</v>
      </c>
      <c r="AP938" s="559"/>
      <c r="AQ938" s="559"/>
    </row>
    <row r="939" spans="1:43" ht="12.75" customHeight="1" thickBot="1" x14ac:dyDescent="0.25">
      <c r="A939" s="227">
        <v>939</v>
      </c>
      <c r="B939" s="5988"/>
      <c r="C939" s="491"/>
      <c r="D939" s="984" t="s">
        <v>996</v>
      </c>
      <c r="E939" s="2407">
        <v>0</v>
      </c>
      <c r="F939" s="2407"/>
      <c r="G939" s="2407">
        <v>40</v>
      </c>
      <c r="H939" s="2407"/>
      <c r="I939" s="1059"/>
      <c r="J939" s="2407"/>
      <c r="K939" s="2407"/>
      <c r="L939" s="2407"/>
      <c r="M939" s="2408"/>
      <c r="N939" s="2408" t="s">
        <v>997</v>
      </c>
      <c r="O939" s="2408"/>
      <c r="P939" s="2408"/>
      <c r="Q939" s="2408"/>
      <c r="R939" s="2408"/>
      <c r="S939" s="1844">
        <f t="shared" si="248"/>
        <v>62</v>
      </c>
      <c r="T939" s="2407" t="s">
        <v>1556</v>
      </c>
      <c r="U939" s="2407"/>
      <c r="V939" s="2407"/>
      <c r="W939" s="2407">
        <v>15</v>
      </c>
      <c r="X939" s="2407">
        <f t="shared" si="249"/>
        <v>0</v>
      </c>
      <c r="Y939" s="2407">
        <f>IF(COUNTIF(PDs!$AD$59:$AD$77,Tablas!D939)&gt;0,1,0)</f>
        <v>0</v>
      </c>
      <c r="Z939" s="2407" t="str">
        <f>IF(OR(NOT(OR($Y$874=1,$Y$901=1)),AA939&lt;280,NOT(Extrusióndepresencia)),"NO","-")</f>
        <v>NO</v>
      </c>
      <c r="AA939" s="1234">
        <f t="array" ref="AA939">HA_final-PDs!$X$25+MIN(PDs!$X$25+H$940-H939,50)+MAX(V$850:V938*$Y$850:$Y938)</f>
        <v>0</v>
      </c>
      <c r="AB939" s="1235">
        <f t="array" ref="AB939">HE_final-PDs!$X$27+MIN(PDs!$X$27+I$940-I939,50)+MAX(W$850:W938*$Y$850:$Y938)</f>
        <v>0</v>
      </c>
      <c r="AC939" s="1270">
        <f t="array" ref="AC939">HP_final-PDs!$X$26+MIN(PDs!$X$26+J$940-J939,50)+MAX(W$850:W938*$Y$850:$Y938)</f>
        <v>0</v>
      </c>
      <c r="AP939" s="559"/>
      <c r="AQ939" s="559"/>
    </row>
    <row r="940" spans="1:43" ht="12.75" customHeight="1" thickBot="1" x14ac:dyDescent="0.25">
      <c r="A940" s="227">
        <v>940</v>
      </c>
      <c r="B940" s="5988"/>
      <c r="F940" s="6188">
        <f>SUMPRODUCT($F$851:$F$939,$Y$851:$Y$939)</f>
        <v>0</v>
      </c>
      <c r="G940" s="6271" t="s">
        <v>998</v>
      </c>
      <c r="H940" s="6157">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157">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157">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157">
        <f>Tablas!$K$906*Tablas!$Y$906+Tablas!K855*Tablas!$Y$855+Tablas!K854*Tablas!$Y$854+Tablas!K856*Tablas!$Y$856+Tablas!K911*Tablas!$Y$911+Tablas!K910*Tablas!$Y$910+Tablas!K919*Tablas!$Y$919+Tablas!K918*Tablas!$Y$918</f>
        <v>0</v>
      </c>
      <c r="L940" s="6157">
        <f>Tablas!$L$878*Tablas!$Y$878</f>
        <v>0</v>
      </c>
      <c r="M940" s="6275">
        <f>Tablas!$M$908*Tablas!$Y$908+Tablas!$M$909*Tablas!$Y$909</f>
        <v>0</v>
      </c>
      <c r="N940" s="6268" t="s">
        <v>999</v>
      </c>
      <c r="O940" s="6147">
        <f>+MAX(Tablas!V907*Tablas!Y907,Tablas!V909*Tablas!Y909,Tablas!V911*Tablas!Y911,Tablas!V913*Tablas!Y913,Tablas!V915*Tablas!Y915,Tablas!V917*Tablas!Y917,Tablas!V919*Tablas!Y919,Tablas!V921*Tablas!Y921,Tablas!V925*Tablas!Y925,Tablas!V927*Tablas!Y927,Tablas!V933*Tablas!Y933,Tablas!V937*Tablas!Y937)</f>
        <v>0</v>
      </c>
      <c r="P940" s="6280">
        <f>+MAX(Tablas!W907*Tablas!Y907,Tablas!W913*Tablas!Y913,Tablas!W923*Tablas!Y923,Tablas!W925*Tablas!Y925,Tablas!W929*Tablas!Y929,Tablas!W931*Tablas!Y931,Tablas!W935*Tablas!Y935,Tablas!W939*Tablas!Y939)</f>
        <v>0</v>
      </c>
      <c r="Q940" s="1058" t="s">
        <v>864</v>
      </c>
    </row>
    <row r="941" spans="1:43" ht="12.75" customHeight="1" thickBot="1" x14ac:dyDescent="0.25">
      <c r="A941" s="227">
        <v>941</v>
      </c>
      <c r="B941" s="5988"/>
      <c r="F941" s="6189"/>
      <c r="G941" s="6272"/>
      <c r="H941" s="6158"/>
      <c r="I941" s="6158"/>
      <c r="J941" s="6158"/>
      <c r="K941" s="6158"/>
      <c r="L941" s="6158"/>
      <c r="M941" s="6276"/>
      <c r="N941" s="6269"/>
      <c r="O941" s="6148"/>
      <c r="P941" s="6281"/>
      <c r="Q941" s="898">
        <f>MAX(Tablas!$X$850:$X$939)</f>
        <v>0</v>
      </c>
    </row>
    <row r="942" spans="1:43" ht="12.75" customHeight="1" x14ac:dyDescent="0.2">
      <c r="A942" s="227">
        <v>942</v>
      </c>
      <c r="B942" s="5988"/>
      <c r="H942"/>
      <c r="I942" s="559"/>
      <c r="N942"/>
      <c r="O942" s="559"/>
    </row>
    <row r="943" spans="1:43" ht="12.75" customHeight="1" thickBot="1" x14ac:dyDescent="0.25">
      <c r="A943" s="227">
        <v>943</v>
      </c>
      <c r="B943" s="5988"/>
      <c r="H943"/>
      <c r="I943" s="559"/>
      <c r="N943"/>
      <c r="O943" s="559"/>
    </row>
    <row r="944" spans="1:43" ht="12.75" customHeight="1" x14ac:dyDescent="0.2">
      <c r="A944" s="227">
        <v>944</v>
      </c>
      <c r="B944" s="5988"/>
      <c r="C944" s="6013" t="s">
        <v>7228</v>
      </c>
      <c r="D944" s="6073"/>
      <c r="E944" s="6073"/>
      <c r="F944" s="6073"/>
      <c r="G944" s="6073"/>
      <c r="H944" s="6073"/>
      <c r="I944" s="6073"/>
      <c r="J944" s="6073"/>
      <c r="K944" s="6073"/>
      <c r="L944" s="6073"/>
      <c r="M944" s="6073"/>
      <c r="N944" s="6014"/>
      <c r="P944" s="6013" t="s">
        <v>2557</v>
      </c>
      <c r="Q944" s="6073"/>
      <c r="R944" s="6073"/>
      <c r="S944" s="6073"/>
      <c r="T944" s="6073"/>
      <c r="U944" s="6073"/>
      <c r="V944" s="6073"/>
      <c r="W944" s="6073"/>
      <c r="X944" s="6073"/>
      <c r="Y944" s="6073"/>
      <c r="Z944" s="6073"/>
      <c r="AA944" s="6073"/>
      <c r="AB944" s="6073"/>
      <c r="AC944" s="6014"/>
    </row>
    <row r="945" spans="1:29" ht="12.75" customHeight="1" x14ac:dyDescent="0.2">
      <c r="A945" s="227">
        <v>945</v>
      </c>
      <c r="B945" s="5988"/>
      <c r="C945" s="952"/>
      <c r="D945" s="919"/>
      <c r="E945" s="919">
        <v>1</v>
      </c>
      <c r="F945" s="919">
        <v>2</v>
      </c>
      <c r="G945" s="919">
        <v>3</v>
      </c>
      <c r="H945" s="919">
        <v>4</v>
      </c>
      <c r="I945" s="919">
        <v>5</v>
      </c>
      <c r="J945" s="919">
        <v>6</v>
      </c>
      <c r="K945" s="919">
        <v>7</v>
      </c>
      <c r="L945" s="919">
        <v>8</v>
      </c>
      <c r="M945" s="919">
        <v>9</v>
      </c>
      <c r="N945" s="953">
        <v>10</v>
      </c>
      <c r="P945" s="6015"/>
      <c r="Q945" s="6074"/>
      <c r="R945" s="6074"/>
      <c r="S945" s="6074"/>
      <c r="T945" s="6074"/>
      <c r="U945" s="6074"/>
      <c r="V945" s="6074"/>
      <c r="W945" s="6074"/>
      <c r="X945" s="6074"/>
      <c r="Y945" s="6074"/>
      <c r="Z945" s="6074"/>
      <c r="AA945" s="6074"/>
      <c r="AB945" s="6074"/>
      <c r="AC945" s="6016"/>
    </row>
    <row r="946" spans="1:29" ht="12.75" customHeight="1" thickBot="1" x14ac:dyDescent="0.25">
      <c r="A946" s="227">
        <v>946</v>
      </c>
      <c r="B946" s="5988"/>
      <c r="C946" s="952"/>
      <c r="D946" s="919"/>
      <c r="E946" s="927" t="s">
        <v>2526</v>
      </c>
      <c r="F946" s="213" t="s">
        <v>1490</v>
      </c>
      <c r="G946" s="213" t="s">
        <v>2252</v>
      </c>
      <c r="H946" s="213" t="s">
        <v>860</v>
      </c>
      <c r="I946" s="235" t="s">
        <v>1549</v>
      </c>
      <c r="J946" s="235"/>
      <c r="K946" s="919" t="s">
        <v>7229</v>
      </c>
      <c r="L946" s="919" t="s">
        <v>7230</v>
      </c>
      <c r="M946" s="919" t="s">
        <v>7231</v>
      </c>
      <c r="N946" s="930" t="s">
        <v>7232</v>
      </c>
      <c r="P946" s="1184"/>
      <c r="Q946" s="1359"/>
      <c r="R946" s="1359" t="s">
        <v>1441</v>
      </c>
      <c r="S946" s="1359" t="s">
        <v>1490</v>
      </c>
      <c r="T946" s="1359" t="s">
        <v>8538</v>
      </c>
      <c r="U946" s="1360" t="s">
        <v>1549</v>
      </c>
      <c r="V946" s="1213"/>
      <c r="W946" s="1213"/>
      <c r="X946" s="1213"/>
      <c r="Y946" s="1213" t="s">
        <v>8544</v>
      </c>
      <c r="Z946" s="1213"/>
      <c r="AA946" s="1213"/>
      <c r="AB946" s="1359"/>
      <c r="AC946" s="1215" t="s">
        <v>6418</v>
      </c>
    </row>
    <row r="947" spans="1:29" ht="12.75" customHeight="1" x14ac:dyDescent="0.2">
      <c r="A947" s="227">
        <v>947</v>
      </c>
      <c r="B947" s="5988"/>
      <c r="C947" s="489"/>
      <c r="D947" s="21"/>
      <c r="E947" s="217" t="s">
        <v>865</v>
      </c>
      <c r="F947" s="86">
        <v>0</v>
      </c>
      <c r="G947" s="77"/>
      <c r="H947" s="77" t="s">
        <v>1456</v>
      </c>
      <c r="I947" s="77" t="s">
        <v>1456</v>
      </c>
      <c r="J947" s="21"/>
      <c r="K947" s="47"/>
      <c r="L947" s="21"/>
      <c r="M947" s="21"/>
      <c r="N947" s="581"/>
      <c r="P947" s="489"/>
      <c r="Q947" s="2409"/>
      <c r="R947" s="2410" t="s">
        <v>2558</v>
      </c>
      <c r="S947" s="2411">
        <v>30</v>
      </c>
      <c r="T947" s="2411">
        <v>0</v>
      </c>
      <c r="U947" s="2412" t="s">
        <v>2559</v>
      </c>
      <c r="V947" s="2413"/>
      <c r="W947" s="2413"/>
      <c r="X947" s="2413"/>
      <c r="Y947" s="2412" t="s">
        <v>2559</v>
      </c>
      <c r="Z947" s="2409"/>
      <c r="AA947" s="2409"/>
      <c r="AB947" s="673"/>
      <c r="AC947" s="1160">
        <f>COUNTIF(Compra_TablasEstilo,Tablas!R947)</f>
        <v>0</v>
      </c>
    </row>
    <row r="948" spans="1:29" ht="12.75" customHeight="1" x14ac:dyDescent="0.2">
      <c r="A948" s="227">
        <v>948</v>
      </c>
      <c r="B948" s="5988"/>
      <c r="C948" s="981"/>
      <c r="D948" s="21"/>
      <c r="E948" s="217" t="s">
        <v>1000</v>
      </c>
      <c r="F948" s="77">
        <v>40</v>
      </c>
      <c r="G948" s="77">
        <f>IF(COUNTIF(PDs!$E$78:$E$80,Tablas!E948)&gt;0,1,0)</f>
        <v>0</v>
      </c>
      <c r="H948" s="77" t="str">
        <f>IF(Tablas!Y851=0,"NO","-")</f>
        <v>NO</v>
      </c>
      <c r="I948" s="21" t="s">
        <v>7234</v>
      </c>
      <c r="J948" s="21"/>
      <c r="K948" s="77">
        <f t="shared" ref="K948:K965" si="250">$G948*SUMPRODUCT(H$850:H$939,--ISNUMBER(SEARCH($N948,$D$850:$D$939)),$Y$850:$Y$939)</f>
        <v>0</v>
      </c>
      <c r="L948" s="77">
        <f t="shared" ref="L948:L965" si="251">$G948*SUMPRODUCT(I$850:I$939,--ISNUMBER(SEARCH($N948,$D$850:$D$939)),$Y$850:$Y$939)</f>
        <v>0</v>
      </c>
      <c r="M948" s="77">
        <f t="shared" ref="M948:M965" si="252">$G948*SUMPRODUCT(J$850:J$939,--ISNUMBER(SEARCH($N948,$D$850:$D$939)),$Y$850:$Y$939)</f>
        <v>0</v>
      </c>
      <c r="N948" s="982" t="s">
        <v>7121</v>
      </c>
      <c r="P948" s="489"/>
      <c r="Q948" s="2409"/>
      <c r="R948" s="2410" t="s">
        <v>2560</v>
      </c>
      <c r="S948" s="2411">
        <v>50</v>
      </c>
      <c r="T948" s="2411">
        <v>0</v>
      </c>
      <c r="U948" s="2412" t="s">
        <v>2561</v>
      </c>
      <c r="V948" s="2413"/>
      <c r="W948" s="2413"/>
      <c r="X948" s="2413"/>
      <c r="Y948" s="2412" t="s">
        <v>2561</v>
      </c>
      <c r="Z948" s="2409"/>
      <c r="AA948" s="2409"/>
      <c r="AB948" s="2409"/>
      <c r="AC948" s="1160">
        <f>COUNTIF(Compra_TablasEstilo,Tablas!R948)</f>
        <v>0</v>
      </c>
    </row>
    <row r="949" spans="1:29" ht="12.75" customHeight="1" x14ac:dyDescent="0.2">
      <c r="A949" s="227">
        <v>949</v>
      </c>
      <c r="B949" s="5988"/>
      <c r="C949" s="981"/>
      <c r="D949" s="21"/>
      <c r="E949" s="217" t="s">
        <v>1001</v>
      </c>
      <c r="F949" s="77">
        <v>10</v>
      </c>
      <c r="G949" s="77">
        <f>IF(COUNTIF(PDs!$E$78:$E$80,Tablas!E949)&gt;0,1,0)</f>
        <v>0</v>
      </c>
      <c r="H949" s="77" t="str">
        <f>IF(Tablas!Y854=0,"NO","-")</f>
        <v>NO</v>
      </c>
      <c r="I949" s="21" t="s">
        <v>7235</v>
      </c>
      <c r="J949" s="21"/>
      <c r="K949" s="77">
        <f t="shared" si="250"/>
        <v>0</v>
      </c>
      <c r="L949" s="77">
        <f t="shared" si="251"/>
        <v>0</v>
      </c>
      <c r="M949" s="77">
        <f t="shared" si="252"/>
        <v>0</v>
      </c>
      <c r="N949" s="982" t="s">
        <v>7122</v>
      </c>
      <c r="P949" s="489"/>
      <c r="Q949" s="2409"/>
      <c r="R949" s="2410" t="s">
        <v>2562</v>
      </c>
      <c r="S949" s="2411">
        <v>50</v>
      </c>
      <c r="T949" s="2411">
        <v>0</v>
      </c>
      <c r="U949" s="2412" t="s">
        <v>2563</v>
      </c>
      <c r="V949" s="2413"/>
      <c r="W949" s="2413"/>
      <c r="X949" s="2413"/>
      <c r="Y949" s="2412" t="s">
        <v>2563</v>
      </c>
      <c r="Z949" s="2409"/>
      <c r="AA949" s="2409"/>
      <c r="AB949" s="2409"/>
      <c r="AC949" s="1160">
        <f>COUNTIF(Compra_TablasEstilo,Tablas!R949)</f>
        <v>0</v>
      </c>
    </row>
    <row r="950" spans="1:29" ht="12.75" customHeight="1" x14ac:dyDescent="0.2">
      <c r="A950" s="227">
        <v>950</v>
      </c>
      <c r="B950" s="5988"/>
      <c r="C950" s="981"/>
      <c r="D950" s="21"/>
      <c r="E950" s="217" t="s">
        <v>1002</v>
      </c>
      <c r="F950" s="77">
        <v>30</v>
      </c>
      <c r="G950" s="77">
        <f>IF(COUNTIF(PDs!$E$78:$E$80,Tablas!E950)&gt;0,1,0)</f>
        <v>0</v>
      </c>
      <c r="H950" s="77" t="str">
        <f>IF(Tablas!Y857=0,"NO","-")</f>
        <v>NO</v>
      </c>
      <c r="I950" s="21" t="s">
        <v>7236</v>
      </c>
      <c r="J950" s="21"/>
      <c r="K950" s="77">
        <f t="shared" si="250"/>
        <v>0</v>
      </c>
      <c r="L950" s="77">
        <f t="shared" si="251"/>
        <v>0</v>
      </c>
      <c r="M950" s="77">
        <f t="shared" si="252"/>
        <v>0</v>
      </c>
      <c r="N950" s="982" t="s">
        <v>7123</v>
      </c>
      <c r="P950" s="489"/>
      <c r="Q950" s="2409"/>
      <c r="R950" s="2410" t="s">
        <v>2564</v>
      </c>
      <c r="S950" s="2411">
        <v>40</v>
      </c>
      <c r="T950" s="2411">
        <v>0</v>
      </c>
      <c r="U950" s="2412" t="s">
        <v>2565</v>
      </c>
      <c r="V950" s="2413"/>
      <c r="W950" s="2413"/>
      <c r="X950" s="2413"/>
      <c r="Y950" s="2412" t="s">
        <v>2565</v>
      </c>
      <c r="Z950" s="2409"/>
      <c r="AA950" s="2409"/>
      <c r="AB950" s="2409"/>
      <c r="AC950" s="1160">
        <f>COUNTIF(Compra_TablasEstilo,Tablas!R950)</f>
        <v>0</v>
      </c>
    </row>
    <row r="951" spans="1:29" ht="12.75" customHeight="1" x14ac:dyDescent="0.2">
      <c r="A951" s="227">
        <v>951</v>
      </c>
      <c r="B951" s="5988"/>
      <c r="C951" s="981"/>
      <c r="D951" s="21"/>
      <c r="E951" s="217" t="s">
        <v>1003</v>
      </c>
      <c r="F951" s="77">
        <v>10</v>
      </c>
      <c r="G951" s="77">
        <f>IF(COUNTIF(PDs!$E$78:$E$80,Tablas!E951)&gt;0,1,0)</f>
        <v>0</v>
      </c>
      <c r="H951" s="77" t="str">
        <f>IF(Tablas!Y860=0,"NO","-")</f>
        <v>NO</v>
      </c>
      <c r="I951" s="21" t="s">
        <v>7237</v>
      </c>
      <c r="J951" s="21"/>
      <c r="K951" s="77">
        <f t="shared" si="250"/>
        <v>0</v>
      </c>
      <c r="L951" s="77">
        <f t="shared" si="251"/>
        <v>0</v>
      </c>
      <c r="M951" s="77">
        <f t="shared" si="252"/>
        <v>0</v>
      </c>
      <c r="N951" s="982" t="s">
        <v>7124</v>
      </c>
      <c r="P951" s="489"/>
      <c r="Q951" s="2409"/>
      <c r="R951" s="2410" t="s">
        <v>2566</v>
      </c>
      <c r="S951" s="2411">
        <v>50</v>
      </c>
      <c r="T951" s="2411">
        <v>0</v>
      </c>
      <c r="U951" s="2412" t="s">
        <v>820</v>
      </c>
      <c r="V951" s="2413"/>
      <c r="W951" s="2413"/>
      <c r="X951" s="2413"/>
      <c r="Y951" s="2412" t="s">
        <v>820</v>
      </c>
      <c r="Z951" s="2409"/>
      <c r="AA951" s="2409"/>
      <c r="AB951" s="2409"/>
      <c r="AC951" s="1160">
        <f>COUNTIF(Compra_TablasEstilo,Tablas!R951)</f>
        <v>0</v>
      </c>
    </row>
    <row r="952" spans="1:29" ht="12.75" customHeight="1" x14ac:dyDescent="0.2">
      <c r="A952" s="227">
        <v>952</v>
      </c>
      <c r="B952" s="5988"/>
      <c r="C952" s="981"/>
      <c r="D952" s="21"/>
      <c r="E952" s="217" t="s">
        <v>1004</v>
      </c>
      <c r="F952" s="77">
        <v>40</v>
      </c>
      <c r="G952" s="77">
        <f>IF(COUNTIF(PDs!$E$78:$E$80,Tablas!E952)&gt;0,1,0)</f>
        <v>0</v>
      </c>
      <c r="H952" s="77" t="str">
        <f>IF(Tablas!Y863=0,"NO","-")</f>
        <v>NO</v>
      </c>
      <c r="I952" s="21" t="s">
        <v>7238</v>
      </c>
      <c r="J952" s="21"/>
      <c r="K952" s="77">
        <f t="shared" si="250"/>
        <v>0</v>
      </c>
      <c r="L952" s="77">
        <f t="shared" si="251"/>
        <v>0</v>
      </c>
      <c r="M952" s="77">
        <f t="shared" si="252"/>
        <v>0</v>
      </c>
      <c r="N952" s="982" t="s">
        <v>7125</v>
      </c>
      <c r="P952" s="489"/>
      <c r="Q952" s="2409"/>
      <c r="R952" s="2410" t="s">
        <v>821</v>
      </c>
      <c r="S952" s="2411">
        <v>30</v>
      </c>
      <c r="T952" s="2411">
        <v>0</v>
      </c>
      <c r="U952" s="2412" t="s">
        <v>822</v>
      </c>
      <c r="V952" s="2413"/>
      <c r="W952" s="2413"/>
      <c r="X952" s="2413"/>
      <c r="Y952" s="2412" t="s">
        <v>822</v>
      </c>
      <c r="Z952" s="2409"/>
      <c r="AA952" s="2409"/>
      <c r="AB952" s="2409"/>
      <c r="AC952" s="1160">
        <f>COUNTIF(Compra_TablasEstilo,Tablas!R952)</f>
        <v>0</v>
      </c>
    </row>
    <row r="953" spans="1:29" ht="12.75" customHeight="1" x14ac:dyDescent="0.2">
      <c r="A953" s="227">
        <v>953</v>
      </c>
      <c r="B953" s="5988"/>
      <c r="C953" s="981"/>
      <c r="D953" s="21"/>
      <c r="E953" s="217" t="s">
        <v>1005</v>
      </c>
      <c r="F953" s="77">
        <v>10</v>
      </c>
      <c r="G953" s="77">
        <f>IF(COUNTIF(PDs!$E$78:$E$80,Tablas!E953)&gt;0,1,0)</f>
        <v>0</v>
      </c>
      <c r="H953" s="77" t="str">
        <f>IF(Tablas!Y866=0,"NO","-")</f>
        <v>NO</v>
      </c>
      <c r="I953" s="21" t="s">
        <v>7239</v>
      </c>
      <c r="J953" s="21"/>
      <c r="K953" s="77">
        <f t="shared" si="250"/>
        <v>0</v>
      </c>
      <c r="L953" s="77">
        <f t="shared" si="251"/>
        <v>0</v>
      </c>
      <c r="M953" s="77">
        <f t="shared" si="252"/>
        <v>0</v>
      </c>
      <c r="N953" s="982" t="s">
        <v>7126</v>
      </c>
      <c r="P953" s="489"/>
      <c r="Q953" s="2409"/>
      <c r="R953" s="2410" t="s">
        <v>823</v>
      </c>
      <c r="S953" s="2411">
        <v>40</v>
      </c>
      <c r="T953" s="2411">
        <v>1</v>
      </c>
      <c r="U953" s="2412" t="s">
        <v>824</v>
      </c>
      <c r="V953" s="2413"/>
      <c r="W953" s="2413"/>
      <c r="X953" s="2413"/>
      <c r="Y953" s="2412" t="s">
        <v>8545</v>
      </c>
      <c r="Z953" s="2409"/>
      <c r="AA953" s="2409"/>
      <c r="AB953" s="2409"/>
      <c r="AC953" s="1160">
        <f>COUNTIF(Compra_TablasEstilo,Tablas!R953)</f>
        <v>0</v>
      </c>
    </row>
    <row r="954" spans="1:29" ht="12.75" customHeight="1" x14ac:dyDescent="0.2">
      <c r="A954" s="227">
        <v>954</v>
      </c>
      <c r="B954" s="5988"/>
      <c r="C954" s="981"/>
      <c r="D954" s="21"/>
      <c r="E954" s="217" t="s">
        <v>1006</v>
      </c>
      <c r="F954" s="77">
        <v>30</v>
      </c>
      <c r="G954" s="77">
        <f>IF(COUNTIF(PDs!$E$78:$E$80,Tablas!E954)&gt;0,1,0)</f>
        <v>0</v>
      </c>
      <c r="H954" s="77" t="str">
        <f>IF(Tablas!Y869=0,"NO","-")</f>
        <v>NO</v>
      </c>
      <c r="I954" s="21" t="s">
        <v>7240</v>
      </c>
      <c r="J954" s="21"/>
      <c r="K954" s="77">
        <f t="shared" si="250"/>
        <v>0</v>
      </c>
      <c r="L954" s="77">
        <f t="shared" si="251"/>
        <v>0</v>
      </c>
      <c r="M954" s="77">
        <f t="shared" si="252"/>
        <v>0</v>
      </c>
      <c r="N954" s="982" t="s">
        <v>7127</v>
      </c>
      <c r="P954" s="489"/>
      <c r="Q954" s="2409"/>
      <c r="R954" s="2410" t="s">
        <v>825</v>
      </c>
      <c r="S954" s="2411">
        <v>40</v>
      </c>
      <c r="T954" s="2411">
        <v>0</v>
      </c>
      <c r="U954" s="2412" t="s">
        <v>8548</v>
      </c>
      <c r="V954" s="2413"/>
      <c r="W954" s="2413"/>
      <c r="X954" s="2413"/>
      <c r="Y954" s="2412" t="s">
        <v>8548</v>
      </c>
      <c r="Z954" s="2409"/>
      <c r="AA954" s="2409"/>
      <c r="AB954" s="2409"/>
      <c r="AC954" s="1160">
        <f>COUNTIF(Compra_TablasEstilo,Tablas!R954)</f>
        <v>0</v>
      </c>
    </row>
    <row r="955" spans="1:29" ht="12.75" customHeight="1" x14ac:dyDescent="0.2">
      <c r="A955" s="227">
        <v>955</v>
      </c>
      <c r="B955" s="5988"/>
      <c r="C955" s="981"/>
      <c r="D955" s="21"/>
      <c r="E955" s="217" t="s">
        <v>1007</v>
      </c>
      <c r="F955" s="77">
        <v>60</v>
      </c>
      <c r="G955" s="77">
        <f>IF(COUNTIF(PDs!$E$78:$E$80,Tablas!E955)&gt;0,1,0)</f>
        <v>0</v>
      </c>
      <c r="H955" s="77" t="str">
        <f>IF(Tablas!Y872=0,"NO","-")</f>
        <v>NO</v>
      </c>
      <c r="I955" s="21" t="s">
        <v>9999</v>
      </c>
      <c r="J955" s="21"/>
      <c r="K955" s="77">
        <f t="shared" si="250"/>
        <v>0</v>
      </c>
      <c r="L955" s="77">
        <f t="shared" si="251"/>
        <v>0</v>
      </c>
      <c r="M955" s="77">
        <f t="shared" si="252"/>
        <v>0</v>
      </c>
      <c r="N955" s="982" t="s">
        <v>7128</v>
      </c>
      <c r="P955" s="489"/>
      <c r="Q955" s="2409"/>
      <c r="R955" s="2410" t="s">
        <v>826</v>
      </c>
      <c r="S955" s="2411">
        <v>40</v>
      </c>
      <c r="T955" s="2411">
        <v>0</v>
      </c>
      <c r="U955" s="2412" t="s">
        <v>827</v>
      </c>
      <c r="V955" s="2413"/>
      <c r="W955" s="2413"/>
      <c r="X955" s="2413"/>
      <c r="Y955" s="2412" t="s">
        <v>827</v>
      </c>
      <c r="Z955" s="2409"/>
      <c r="AA955" s="2409"/>
      <c r="AB955" s="2409"/>
      <c r="AC955" s="1160">
        <f>COUNTIF(Compra_TablasEstilo,Tablas!R955)</f>
        <v>0</v>
      </c>
    </row>
    <row r="956" spans="1:29" ht="12.75" customHeight="1" x14ac:dyDescent="0.2">
      <c r="A956" s="227">
        <v>956</v>
      </c>
      <c r="B956" s="5988"/>
      <c r="C956" s="981"/>
      <c r="D956" s="21"/>
      <c r="E956" s="217" t="s">
        <v>1008</v>
      </c>
      <c r="F956" s="77">
        <v>10</v>
      </c>
      <c r="G956" s="77">
        <f>IF(COUNTIF(PDs!$E$78:$E$80,Tablas!E956)&gt;0,1,0)</f>
        <v>0</v>
      </c>
      <c r="H956" s="77" t="str">
        <f>IF(Tablas!Y875=0,"NO","-")</f>
        <v>NO</v>
      </c>
      <c r="I956" s="21" t="s">
        <v>7241</v>
      </c>
      <c r="J956" s="21"/>
      <c r="K956" s="77">
        <f t="shared" si="250"/>
        <v>0</v>
      </c>
      <c r="L956" s="77">
        <f t="shared" si="251"/>
        <v>0</v>
      </c>
      <c r="M956" s="77">
        <f t="shared" si="252"/>
        <v>0</v>
      </c>
      <c r="N956" s="982" t="s">
        <v>7129</v>
      </c>
      <c r="P956" s="489"/>
      <c r="Q956" s="2409"/>
      <c r="R956" s="2410" t="s">
        <v>828</v>
      </c>
      <c r="S956" s="2411">
        <v>50</v>
      </c>
      <c r="T956" s="2411">
        <v>0</v>
      </c>
      <c r="U956" s="2412" t="s">
        <v>829</v>
      </c>
      <c r="V956" s="2413"/>
      <c r="W956" s="2413"/>
      <c r="X956" s="2413"/>
      <c r="Y956" s="2412" t="s">
        <v>829</v>
      </c>
      <c r="Z956" s="2409"/>
      <c r="AA956" s="2409"/>
      <c r="AB956" s="2409"/>
      <c r="AC956" s="1160">
        <f>COUNTIF(Compra_TablasEstilo,Tablas!R956)</f>
        <v>0</v>
      </c>
    </row>
    <row r="957" spans="1:29" ht="12.75" customHeight="1" x14ac:dyDescent="0.2">
      <c r="A957" s="227">
        <v>957</v>
      </c>
      <c r="B957" s="5988"/>
      <c r="C957" s="981"/>
      <c r="D957" s="21"/>
      <c r="E957" s="217" t="s">
        <v>1009</v>
      </c>
      <c r="F957" s="77">
        <v>20</v>
      </c>
      <c r="G957" s="77">
        <f>IF(COUNTIF(PDs!$E$78:$E$80,Tablas!E957)&gt;0,1,0)</f>
        <v>0</v>
      </c>
      <c r="H957" s="77" t="str">
        <f>IF(Tablas!Y878=0,"NO","-")</f>
        <v>NO</v>
      </c>
      <c r="I957" s="21" t="s">
        <v>7242</v>
      </c>
      <c r="J957" s="21"/>
      <c r="K957" s="77">
        <f t="shared" si="250"/>
        <v>0</v>
      </c>
      <c r="L957" s="77">
        <f t="shared" si="251"/>
        <v>0</v>
      </c>
      <c r="M957" s="77">
        <f t="shared" si="252"/>
        <v>0</v>
      </c>
      <c r="N957" s="982" t="s">
        <v>7130</v>
      </c>
      <c r="P957" s="489"/>
      <c r="Q957" s="2409"/>
      <c r="R957" s="2410" t="s">
        <v>830</v>
      </c>
      <c r="S957" s="2411">
        <v>40</v>
      </c>
      <c r="T957" s="2411">
        <v>0</v>
      </c>
      <c r="U957" s="2412" t="s">
        <v>831</v>
      </c>
      <c r="V957" s="2413"/>
      <c r="W957" s="2413"/>
      <c r="X957" s="2413"/>
      <c r="Y957" s="2412" t="s">
        <v>831</v>
      </c>
      <c r="Z957" s="2409"/>
      <c r="AA957" s="2409"/>
      <c r="AB957" s="2409"/>
      <c r="AC957" s="1160">
        <f>COUNTIF(Compra_TablasEstilo,Tablas!R957)</f>
        <v>0</v>
      </c>
    </row>
    <row r="958" spans="1:29" ht="12.75" customHeight="1" x14ac:dyDescent="0.2">
      <c r="A958" s="227">
        <v>958</v>
      </c>
      <c r="B958" s="5988"/>
      <c r="C958" s="981"/>
      <c r="D958" s="21"/>
      <c r="E958" s="217" t="s">
        <v>1010</v>
      </c>
      <c r="F958" s="77">
        <v>20</v>
      </c>
      <c r="G958" s="77">
        <f>IF(COUNTIF(PDs!$E$78:$E$80,Tablas!E958)&gt;0,1,0)</f>
        <v>0</v>
      </c>
      <c r="H958" s="77" t="str">
        <f>IF(Tablas!Y881=0,"NO","-")</f>
        <v>NO</v>
      </c>
      <c r="I958" s="21" t="s">
        <v>10397</v>
      </c>
      <c r="J958" s="21"/>
      <c r="K958" s="77">
        <f t="shared" si="250"/>
        <v>0</v>
      </c>
      <c r="L958" s="77">
        <f t="shared" si="251"/>
        <v>0</v>
      </c>
      <c r="M958" s="77">
        <f t="shared" si="252"/>
        <v>0</v>
      </c>
      <c r="N958" s="982" t="s">
        <v>7131</v>
      </c>
      <c r="P958" s="489"/>
      <c r="Q958" s="2409"/>
      <c r="R958" s="2410" t="s">
        <v>832</v>
      </c>
      <c r="S958" s="2411">
        <v>40</v>
      </c>
      <c r="T958" s="2411">
        <v>0</v>
      </c>
      <c r="U958" s="2412" t="s">
        <v>833</v>
      </c>
      <c r="V958" s="2413"/>
      <c r="W958" s="2413"/>
      <c r="X958" s="2413"/>
      <c r="Y958" s="2412" t="s">
        <v>833</v>
      </c>
      <c r="Z958" s="2409"/>
      <c r="AA958" s="2409"/>
      <c r="AB958" s="2409"/>
      <c r="AC958" s="1160">
        <f>COUNTIF(Compra_TablasEstilo,Tablas!R958)</f>
        <v>0</v>
      </c>
    </row>
    <row r="959" spans="1:29" ht="12.75" customHeight="1" x14ac:dyDescent="0.2">
      <c r="A959" s="227">
        <v>959</v>
      </c>
      <c r="B959" s="5988"/>
      <c r="C959" s="981"/>
      <c r="D959" s="21"/>
      <c r="E959" s="217" t="s">
        <v>1011</v>
      </c>
      <c r="F959" s="77">
        <v>20</v>
      </c>
      <c r="G959" s="77">
        <f>IF(COUNTIF(PDs!$E$78:$E$80,Tablas!E959)&gt;0,1,0)</f>
        <v>0</v>
      </c>
      <c r="H959" s="77" t="str">
        <f>IF(Tablas!Y884=0,"NO","-")</f>
        <v>NO</v>
      </c>
      <c r="I959" s="21" t="s">
        <v>7243</v>
      </c>
      <c r="J959" s="21"/>
      <c r="K959" s="77">
        <f t="shared" si="250"/>
        <v>0</v>
      </c>
      <c r="L959" s="77">
        <f t="shared" si="251"/>
        <v>0</v>
      </c>
      <c r="M959" s="77">
        <f t="shared" si="252"/>
        <v>0</v>
      </c>
      <c r="N959" s="982" t="s">
        <v>7132</v>
      </c>
      <c r="P959" s="489"/>
      <c r="Q959" s="2409"/>
      <c r="R959" s="2410" t="s">
        <v>834</v>
      </c>
      <c r="S959" s="2411">
        <v>40</v>
      </c>
      <c r="T959" s="2411">
        <v>1</v>
      </c>
      <c r="U959" s="2412" t="s">
        <v>835</v>
      </c>
      <c r="V959" s="2413"/>
      <c r="W959" s="2413"/>
      <c r="X959" s="2413"/>
      <c r="Y959" s="2412" t="s">
        <v>8546</v>
      </c>
      <c r="Z959" s="2409"/>
      <c r="AA959" s="2409"/>
      <c r="AB959" s="2409"/>
      <c r="AC959" s="1160">
        <f>COUNTIF(Compra_TablasEstilo,Tablas!R959)</f>
        <v>0</v>
      </c>
    </row>
    <row r="960" spans="1:29" ht="12.75" customHeight="1" x14ac:dyDescent="0.2">
      <c r="A960" s="227">
        <v>960</v>
      </c>
      <c r="B960" s="5988"/>
      <c r="C960" s="981"/>
      <c r="D960" s="21"/>
      <c r="E960" s="217" t="s">
        <v>1012</v>
      </c>
      <c r="F960" s="77">
        <v>30</v>
      </c>
      <c r="G960" s="77">
        <f>IF(COUNTIF(PDs!$E$78:$E$80,Tablas!E960)&gt;0,1,0)</f>
        <v>0</v>
      </c>
      <c r="H960" s="77" t="str">
        <f>IF(Tablas!Y887=0,"NO","-")</f>
        <v>NO</v>
      </c>
      <c r="I960" s="21" t="s">
        <v>7244</v>
      </c>
      <c r="J960" s="21"/>
      <c r="K960" s="77">
        <f t="shared" si="250"/>
        <v>0</v>
      </c>
      <c r="L960" s="77">
        <f t="shared" si="251"/>
        <v>0</v>
      </c>
      <c r="M960" s="77">
        <f t="shared" si="252"/>
        <v>0</v>
      </c>
      <c r="N960" s="982" t="s">
        <v>7133</v>
      </c>
      <c r="P960" s="489"/>
      <c r="Q960" s="2409"/>
      <c r="R960" s="2410" t="s">
        <v>836</v>
      </c>
      <c r="S960" s="2411">
        <v>20</v>
      </c>
      <c r="T960" s="2411">
        <v>0</v>
      </c>
      <c r="U960" s="2412" t="s">
        <v>837</v>
      </c>
      <c r="V960" s="2413"/>
      <c r="W960" s="2413"/>
      <c r="X960" s="2413"/>
      <c r="Y960" s="2412" t="s">
        <v>837</v>
      </c>
      <c r="Z960" s="2409"/>
      <c r="AA960" s="2409"/>
      <c r="AB960" s="2409"/>
      <c r="AC960" s="1160">
        <f>COUNTIF(Compra_TablasEstilo,Tablas!R960)</f>
        <v>0</v>
      </c>
    </row>
    <row r="961" spans="1:29" ht="12.75" customHeight="1" x14ac:dyDescent="0.2">
      <c r="A961" s="227">
        <v>961</v>
      </c>
      <c r="B961" s="5988"/>
      <c r="C961" s="981"/>
      <c r="D961" s="21"/>
      <c r="E961" s="217" t="s">
        <v>1013</v>
      </c>
      <c r="F961" s="77">
        <v>20</v>
      </c>
      <c r="G961" s="77">
        <f>IF(COUNTIF(PDs!$E$78:$E$80,Tablas!E961)&gt;0,1,0)</f>
        <v>0</v>
      </c>
      <c r="H961" s="77" t="str">
        <f>IF(Tablas!Y890=0,"NO","-")</f>
        <v>NO</v>
      </c>
      <c r="I961" s="21" t="s">
        <v>8619</v>
      </c>
      <c r="J961" s="21"/>
      <c r="K961" s="77">
        <f t="shared" si="250"/>
        <v>0</v>
      </c>
      <c r="L961" s="77">
        <f t="shared" si="251"/>
        <v>0</v>
      </c>
      <c r="M961" s="77">
        <f t="shared" si="252"/>
        <v>0</v>
      </c>
      <c r="N961" s="982" t="s">
        <v>7134</v>
      </c>
      <c r="P961" s="489"/>
      <c r="Q961" s="2409"/>
      <c r="R961" s="2410" t="s">
        <v>838</v>
      </c>
      <c r="S961" s="2411">
        <v>30</v>
      </c>
      <c r="T961" s="2411">
        <v>0</v>
      </c>
      <c r="U961" s="2412" t="s">
        <v>839</v>
      </c>
      <c r="V961" s="2413"/>
      <c r="W961" s="2413"/>
      <c r="X961" s="2413"/>
      <c r="Y961" s="2412" t="s">
        <v>839</v>
      </c>
      <c r="Z961" s="2409"/>
      <c r="AA961" s="2409"/>
      <c r="AB961" s="2409"/>
      <c r="AC961" s="1160">
        <f>COUNTIF(Compra_TablasEstilo,Tablas!R961)</f>
        <v>0</v>
      </c>
    </row>
    <row r="962" spans="1:29" ht="12.75" customHeight="1" x14ac:dyDescent="0.2">
      <c r="A962" s="227">
        <v>962</v>
      </c>
      <c r="B962" s="5988"/>
      <c r="C962" s="981"/>
      <c r="D962" s="21"/>
      <c r="E962" s="217" t="s">
        <v>1014</v>
      </c>
      <c r="F962" s="77">
        <v>10</v>
      </c>
      <c r="G962" s="77">
        <f>IF(COUNTIF(PDs!$E$78:$E$80,Tablas!E962)&gt;0,1,0)</f>
        <v>0</v>
      </c>
      <c r="H962" s="77" t="str">
        <f>IF(Tablas!Y893=0,"NO","-")</f>
        <v>NO</v>
      </c>
      <c r="I962" s="21" t="s">
        <v>7245</v>
      </c>
      <c r="J962" s="21"/>
      <c r="K962" s="77">
        <f t="shared" si="250"/>
        <v>0</v>
      </c>
      <c r="L962" s="77">
        <f t="shared" si="251"/>
        <v>0</v>
      </c>
      <c r="M962" s="77">
        <f t="shared" si="252"/>
        <v>0</v>
      </c>
      <c r="N962" s="982" t="s">
        <v>7135</v>
      </c>
      <c r="P962" s="489"/>
      <c r="Q962" s="2409"/>
      <c r="R962" s="2410" t="s">
        <v>840</v>
      </c>
      <c r="S962" s="2411">
        <v>20</v>
      </c>
      <c r="T962" s="2411">
        <v>0</v>
      </c>
      <c r="U962" s="2412" t="s">
        <v>841</v>
      </c>
      <c r="V962" s="2413"/>
      <c r="W962" s="2413"/>
      <c r="X962" s="2413"/>
      <c r="Y962" s="2412" t="s">
        <v>8547</v>
      </c>
      <c r="Z962" s="2409"/>
      <c r="AA962" s="2409"/>
      <c r="AB962" s="2409"/>
      <c r="AC962" s="1160">
        <f>COUNTIF(Compra_TablasEstilo,Tablas!R962)</f>
        <v>0</v>
      </c>
    </row>
    <row r="963" spans="1:29" ht="12.75" customHeight="1" x14ac:dyDescent="0.2">
      <c r="A963" s="227">
        <v>963</v>
      </c>
      <c r="B963" s="5988"/>
      <c r="C963" s="981"/>
      <c r="D963" s="21"/>
      <c r="E963" s="217" t="s">
        <v>1015</v>
      </c>
      <c r="F963" s="77">
        <v>40</v>
      </c>
      <c r="G963" s="77">
        <f>IF(COUNTIF(PDs!$E$78:$E$80,Tablas!E963)&gt;0,1,0)</f>
        <v>0</v>
      </c>
      <c r="H963" s="77" t="str">
        <f>IF(Tablas!Y896=0,"NO","-")</f>
        <v>NO</v>
      </c>
      <c r="I963" s="21" t="s">
        <v>7246</v>
      </c>
      <c r="J963" s="21"/>
      <c r="K963" s="77">
        <f t="shared" si="250"/>
        <v>0</v>
      </c>
      <c r="L963" s="77">
        <f t="shared" si="251"/>
        <v>0</v>
      </c>
      <c r="M963" s="77">
        <f t="shared" si="252"/>
        <v>0</v>
      </c>
      <c r="N963" s="982" t="s">
        <v>7136</v>
      </c>
      <c r="P963" s="489"/>
      <c r="Q963" s="2409"/>
      <c r="R963" s="2410" t="s">
        <v>842</v>
      </c>
      <c r="S963" s="2411">
        <v>20</v>
      </c>
      <c r="T963" s="2411">
        <v>0</v>
      </c>
      <c r="U963" s="2412" t="s">
        <v>843</v>
      </c>
      <c r="V963" s="2413"/>
      <c r="W963" s="2413"/>
      <c r="X963" s="2413"/>
      <c r="Y963" s="2412" t="s">
        <v>843</v>
      </c>
      <c r="Z963" s="2409"/>
      <c r="AA963" s="2409"/>
      <c r="AB963" s="2409"/>
      <c r="AC963" s="1160">
        <f>COUNTIF(Compra_TablasEstilo,Tablas!R963)</f>
        <v>0</v>
      </c>
    </row>
    <row r="964" spans="1:29" ht="12.75" customHeight="1" x14ac:dyDescent="0.2">
      <c r="A964" s="227">
        <v>964</v>
      </c>
      <c r="B964" s="5988"/>
      <c r="C964" s="981"/>
      <c r="D964" s="21"/>
      <c r="E964" s="217" t="s">
        <v>1016</v>
      </c>
      <c r="F964" s="77">
        <v>30</v>
      </c>
      <c r="G964" s="77">
        <f>IF(COUNTIF(PDs!$E$78:$E$80,Tablas!E964)&gt;0,1,0)</f>
        <v>0</v>
      </c>
      <c r="H964" s="77" t="str">
        <f>IF(Tablas!Y899=0,"NO","-")</f>
        <v>NO</v>
      </c>
      <c r="I964" s="21" t="s">
        <v>7247</v>
      </c>
      <c r="J964" s="21"/>
      <c r="K964" s="77">
        <f t="shared" si="250"/>
        <v>0</v>
      </c>
      <c r="L964" s="77">
        <f t="shared" si="251"/>
        <v>0</v>
      </c>
      <c r="M964" s="77">
        <f t="shared" si="252"/>
        <v>0</v>
      </c>
      <c r="N964" s="982" t="s">
        <v>7137</v>
      </c>
      <c r="P964" s="489"/>
      <c r="Q964" s="2409"/>
      <c r="R964" s="2410" t="s">
        <v>844</v>
      </c>
      <c r="S964" s="2411">
        <v>40</v>
      </c>
      <c r="T964" s="2411">
        <v>0</v>
      </c>
      <c r="U964" s="2412" t="s">
        <v>845</v>
      </c>
      <c r="V964" s="2413"/>
      <c r="W964" s="2413"/>
      <c r="X964" s="2413"/>
      <c r="Y964" s="2412" t="s">
        <v>845</v>
      </c>
      <c r="Z964" s="2409"/>
      <c r="AA964" s="2409"/>
      <c r="AB964" s="2409"/>
      <c r="AC964" s="1160">
        <f>COUNTIF(Compra_TablasEstilo,Tablas!R964)</f>
        <v>0</v>
      </c>
    </row>
    <row r="965" spans="1:29" ht="12.75" customHeight="1" x14ac:dyDescent="0.2">
      <c r="A965" s="227">
        <v>965</v>
      </c>
      <c r="B965" s="5988"/>
      <c r="C965" s="981"/>
      <c r="D965" s="21"/>
      <c r="E965" s="217" t="s">
        <v>1017</v>
      </c>
      <c r="F965" s="77">
        <v>40</v>
      </c>
      <c r="G965" s="77">
        <f>IF(COUNTIF(PDs!$E$78:$E$80,Tablas!E965)&gt;0,1,0)</f>
        <v>0</v>
      </c>
      <c r="H965" s="77" t="str">
        <f>IF(Tablas!Y902=0,"NO","-")</f>
        <v>NO</v>
      </c>
      <c r="I965" s="21" t="s">
        <v>7248</v>
      </c>
      <c r="J965" s="21"/>
      <c r="K965" s="77">
        <f t="shared" si="250"/>
        <v>0</v>
      </c>
      <c r="L965" s="77">
        <f t="shared" si="251"/>
        <v>0</v>
      </c>
      <c r="M965" s="77">
        <f t="shared" si="252"/>
        <v>0</v>
      </c>
      <c r="N965" s="982" t="s">
        <v>7138</v>
      </c>
      <c r="P965" s="489"/>
      <c r="Q965" s="2409"/>
      <c r="R965" s="2410" t="s">
        <v>846</v>
      </c>
      <c r="S965" s="2411">
        <v>30</v>
      </c>
      <c r="T965" s="2411">
        <v>0</v>
      </c>
      <c r="U965" s="2412" t="s">
        <v>847</v>
      </c>
      <c r="V965" s="2413"/>
      <c r="W965" s="2413"/>
      <c r="X965" s="2413"/>
      <c r="Y965" s="2412" t="s">
        <v>847</v>
      </c>
      <c r="Z965" s="2409"/>
      <c r="AA965" s="2409"/>
      <c r="AB965" s="2409"/>
      <c r="AC965" s="1160">
        <f>COUNTIF(Compra_TablasEstilo,Tablas!R965)</f>
        <v>0</v>
      </c>
    </row>
    <row r="966" spans="1:29" ht="12.75" customHeight="1" x14ac:dyDescent="0.2">
      <c r="A966" s="227">
        <v>966</v>
      </c>
      <c r="B966" s="5988"/>
      <c r="C966" s="981"/>
      <c r="D966" s="21"/>
      <c r="E966" s="217" t="s">
        <v>946</v>
      </c>
      <c r="F966" s="86">
        <v>0</v>
      </c>
      <c r="G966" s="77"/>
      <c r="H966" s="77" t="s">
        <v>1456</v>
      </c>
      <c r="I966" s="77" t="s">
        <v>6926</v>
      </c>
      <c r="J966" s="21"/>
      <c r="K966" s="77"/>
      <c r="L966" s="77"/>
      <c r="M966" s="77"/>
      <c r="N966" s="982"/>
      <c r="P966" s="489"/>
      <c r="Q966" s="2409"/>
      <c r="R966" s="2410" t="s">
        <v>848</v>
      </c>
      <c r="S966" s="2411">
        <v>30</v>
      </c>
      <c r="T966" s="2411">
        <v>0</v>
      </c>
      <c r="U966" s="2412" t="s">
        <v>849</v>
      </c>
      <c r="V966" s="2413"/>
      <c r="W966" s="2413"/>
      <c r="X966" s="2413"/>
      <c r="Y966" s="2412" t="s">
        <v>849</v>
      </c>
      <c r="Z966" s="2409"/>
      <c r="AA966" s="2409"/>
      <c r="AB966" s="2409"/>
      <c r="AC966" s="1160">
        <f>COUNTIF(Compra_TablasEstilo,Tablas!R966)</f>
        <v>0</v>
      </c>
    </row>
    <row r="967" spans="1:29" ht="12.75" customHeight="1" x14ac:dyDescent="0.2">
      <c r="A967" s="227">
        <v>967</v>
      </c>
      <c r="B967" s="5988"/>
      <c r="C967" s="981"/>
      <c r="D967" s="21"/>
      <c r="E967" s="217" t="s">
        <v>1018</v>
      </c>
      <c r="F967" s="77">
        <v>40</v>
      </c>
      <c r="G967" s="77">
        <f>IF(COUNTIF(PDs!$E$78:$E$80,Tablas!E967)&gt;0,1,0)</f>
        <v>0</v>
      </c>
      <c r="H967" s="77" t="str">
        <f>IF(Tablas!Y910=0,"NO","-")</f>
        <v>NO</v>
      </c>
      <c r="I967" s="21" t="s">
        <v>7249</v>
      </c>
      <c r="J967" s="21"/>
      <c r="K967" s="77">
        <f t="shared" ref="K967:K977" si="253">$G967*SUMPRODUCT(H$850:H$939,--ISNUMBER(SEARCH($N967,$D$850:$D$939)),$Y$850:$Y$939)</f>
        <v>0</v>
      </c>
      <c r="L967" s="77">
        <f t="shared" ref="L967:L977" si="254">$G967*SUMPRODUCT(I$850:I$939,--ISNUMBER(SEARCH($N967,$D$850:$D$939)),$Y$850:$Y$939)</f>
        <v>0</v>
      </c>
      <c r="M967" s="77">
        <f t="shared" ref="M967:M977" si="255">$G967*SUMPRODUCT(J$850:J$939,--ISNUMBER(SEARCH($N967,$D$850:$D$939)),$Y$850:$Y$939)</f>
        <v>0</v>
      </c>
      <c r="N967" s="982" t="s">
        <v>7141</v>
      </c>
      <c r="P967" s="489"/>
      <c r="Q967" s="2409"/>
      <c r="R967" s="2410" t="s">
        <v>850</v>
      </c>
      <c r="S967" s="2411">
        <v>30</v>
      </c>
      <c r="T967" s="2411">
        <v>0</v>
      </c>
      <c r="U967" s="2412" t="s">
        <v>851</v>
      </c>
      <c r="V967" s="2413"/>
      <c r="W967" s="2413"/>
      <c r="X967" s="2413"/>
      <c r="Y967" s="2412" t="s">
        <v>851</v>
      </c>
      <c r="Z967" s="2409"/>
      <c r="AA967" s="2409"/>
      <c r="AB967" s="2409"/>
      <c r="AC967" s="1160">
        <f>COUNTIF(Compra_TablasEstilo,Tablas!R967)</f>
        <v>0</v>
      </c>
    </row>
    <row r="968" spans="1:29" ht="12.75" customHeight="1" thickBot="1" x14ac:dyDescent="0.25">
      <c r="A968" s="227">
        <v>968</v>
      </c>
      <c r="B968" s="5988"/>
      <c r="C968" s="981"/>
      <c r="D968" s="21"/>
      <c r="E968" s="217" t="s">
        <v>1019</v>
      </c>
      <c r="F968" s="77">
        <v>10</v>
      </c>
      <c r="G968" s="77">
        <f>IF(COUNTIF(PDs!$E$78:$E$80,Tablas!E968)&gt;0,1,0)</f>
        <v>0</v>
      </c>
      <c r="H968" s="77" t="str">
        <f>IF(Tablas!Y912=0,"NO","-")</f>
        <v>NO</v>
      </c>
      <c r="I968" s="21" t="s">
        <v>7250</v>
      </c>
      <c r="J968" s="21"/>
      <c r="K968" s="77">
        <f t="shared" si="253"/>
        <v>0</v>
      </c>
      <c r="L968" s="77">
        <f t="shared" si="254"/>
        <v>0</v>
      </c>
      <c r="M968" s="77">
        <f t="shared" si="255"/>
        <v>0</v>
      </c>
      <c r="N968" s="982" t="s">
        <v>7142</v>
      </c>
      <c r="P968" s="491"/>
      <c r="Q968" s="577"/>
      <c r="R968" s="1357" t="s">
        <v>852</v>
      </c>
      <c r="S968" s="492">
        <v>10</v>
      </c>
      <c r="T968" s="492">
        <v>0</v>
      </c>
      <c r="U968" s="1358" t="s">
        <v>853</v>
      </c>
      <c r="V968" s="611"/>
      <c r="W968" s="611"/>
      <c r="X968" s="611"/>
      <c r="Y968" s="1358" t="s">
        <v>853</v>
      </c>
      <c r="Z968" s="577"/>
      <c r="AA968" s="577"/>
      <c r="AB968" s="577"/>
      <c r="AC968" s="2156">
        <f>COUNTIF(Compra_TablasEstilo,Tablas!R968)</f>
        <v>0</v>
      </c>
    </row>
    <row r="969" spans="1:29" ht="12.75" customHeight="1" x14ac:dyDescent="0.2">
      <c r="A969" s="227">
        <v>969</v>
      </c>
      <c r="B969" s="5988"/>
      <c r="C969" s="981"/>
      <c r="D969" s="21"/>
      <c r="E969" s="217" t="s">
        <v>1020</v>
      </c>
      <c r="F969" s="77">
        <v>20</v>
      </c>
      <c r="G969" s="77">
        <f>IF(COUNTIF(PDs!$E$78:$E$80,Tablas!E969)&gt;0,1,0)</f>
        <v>0</v>
      </c>
      <c r="H969" s="77" t="str">
        <f>IF(Tablas!Y918=0,"NO","-")</f>
        <v>NO</v>
      </c>
      <c r="I969" s="21" t="s">
        <v>7251</v>
      </c>
      <c r="J969" s="21"/>
      <c r="K969" s="77">
        <f t="shared" si="253"/>
        <v>0</v>
      </c>
      <c r="L969" s="77">
        <f t="shared" si="254"/>
        <v>0</v>
      </c>
      <c r="M969" s="77">
        <f t="shared" si="255"/>
        <v>0</v>
      </c>
      <c r="N969" s="982" t="s">
        <v>7145</v>
      </c>
    </row>
    <row r="970" spans="1:29" ht="12.75" customHeight="1" x14ac:dyDescent="0.2">
      <c r="A970" s="227">
        <v>970</v>
      </c>
      <c r="B970" s="5988"/>
      <c r="C970" s="981"/>
      <c r="D970" s="21"/>
      <c r="E970" s="217" t="s">
        <v>1021</v>
      </c>
      <c r="F970" s="77">
        <v>20</v>
      </c>
      <c r="G970" s="77">
        <f>IF(COUNTIF(PDs!$E$78:$E$80,Tablas!E970)&gt;0,1,0)</f>
        <v>0</v>
      </c>
      <c r="H970" s="77" t="str">
        <f>IF(Tablas!Y920=0,"NO","-")</f>
        <v>NO</v>
      </c>
      <c r="I970" s="21" t="s">
        <v>7252</v>
      </c>
      <c r="J970" s="21"/>
      <c r="K970" s="77">
        <f t="shared" si="253"/>
        <v>0</v>
      </c>
      <c r="L970" s="77">
        <f t="shared" si="254"/>
        <v>0</v>
      </c>
      <c r="M970" s="77">
        <f t="shared" si="255"/>
        <v>0</v>
      </c>
      <c r="N970" s="982" t="s">
        <v>7146</v>
      </c>
    </row>
    <row r="971" spans="1:29" ht="12.75" customHeight="1" x14ac:dyDescent="0.2">
      <c r="A971" s="227">
        <v>971</v>
      </c>
      <c r="B971" s="5988"/>
      <c r="C971" s="981"/>
      <c r="D971" s="21"/>
      <c r="E971" s="217" t="s">
        <v>1022</v>
      </c>
      <c r="F971" s="77">
        <v>20</v>
      </c>
      <c r="G971" s="77">
        <f>IF(COUNTIF(PDs!$E$78:$E$80,Tablas!E971)&gt;0,1,0)</f>
        <v>0</v>
      </c>
      <c r="H971" s="77" t="str">
        <f>IF(Tablas!Y924=0,"NO","-")</f>
        <v>NO</v>
      </c>
      <c r="I971" s="21" t="s">
        <v>7253</v>
      </c>
      <c r="J971" s="21"/>
      <c r="K971" s="77">
        <f t="shared" si="253"/>
        <v>0</v>
      </c>
      <c r="L971" s="77">
        <f t="shared" si="254"/>
        <v>0</v>
      </c>
      <c r="M971" s="77">
        <f t="shared" si="255"/>
        <v>0</v>
      </c>
      <c r="N971" s="982" t="s">
        <v>7148</v>
      </c>
    </row>
    <row r="972" spans="1:29" ht="12.75" customHeight="1" x14ac:dyDescent="0.2">
      <c r="A972" s="227">
        <v>972</v>
      </c>
      <c r="B972" s="5988"/>
      <c r="C972" s="981"/>
      <c r="D972" s="21"/>
      <c r="E972" s="217" t="s">
        <v>1023</v>
      </c>
      <c r="F972" s="77">
        <v>10</v>
      </c>
      <c r="G972" s="77">
        <f>IF(COUNTIF(PDs!$E$78:$E$80,Tablas!E972)&gt;0,1,0)</f>
        <v>0</v>
      </c>
      <c r="H972" s="77" t="str">
        <f>IF(Tablas!Y926=0,"NO","-")</f>
        <v>NO</v>
      </c>
      <c r="I972" s="21" t="s">
        <v>7254</v>
      </c>
      <c r="J972" s="21"/>
      <c r="K972" s="77">
        <f t="shared" si="253"/>
        <v>0</v>
      </c>
      <c r="L972" s="77">
        <f t="shared" si="254"/>
        <v>0</v>
      </c>
      <c r="M972" s="77">
        <f t="shared" si="255"/>
        <v>0</v>
      </c>
      <c r="N972" s="982" t="s">
        <v>7149</v>
      </c>
    </row>
    <row r="973" spans="1:29" ht="12.75" customHeight="1" x14ac:dyDescent="0.2">
      <c r="A973" s="227">
        <v>973</v>
      </c>
      <c r="B973" s="5988"/>
      <c r="C973" s="981"/>
      <c r="D973" s="21"/>
      <c r="E973" s="217" t="s">
        <v>1024</v>
      </c>
      <c r="F973" s="77">
        <v>40</v>
      </c>
      <c r="G973" s="77">
        <f>IF(COUNTIF(PDs!$E$78:$E$80,Tablas!E973)&gt;0,1,0)</f>
        <v>0</v>
      </c>
      <c r="H973" s="77" t="str">
        <f>IF(Tablas!Y928=0,"NO","-")</f>
        <v>NO</v>
      </c>
      <c r="I973" s="21" t="s">
        <v>10123</v>
      </c>
      <c r="J973" s="21"/>
      <c r="K973" s="77">
        <f t="shared" si="253"/>
        <v>0</v>
      </c>
      <c r="L973" s="77">
        <f t="shared" si="254"/>
        <v>0</v>
      </c>
      <c r="M973" s="77">
        <f t="shared" si="255"/>
        <v>0</v>
      </c>
      <c r="N973" s="982" t="s">
        <v>7150</v>
      </c>
    </row>
    <row r="974" spans="1:29" ht="12.75" customHeight="1" x14ac:dyDescent="0.2">
      <c r="A974" s="227">
        <v>974</v>
      </c>
      <c r="B974" s="5988"/>
      <c r="C974" s="981"/>
      <c r="D974" s="21"/>
      <c r="E974" s="217" t="s">
        <v>1025</v>
      </c>
      <c r="F974" s="77">
        <v>40</v>
      </c>
      <c r="G974" s="77">
        <f>IF(COUNTIF(PDs!$E$78:$E$80,Tablas!E974)&gt;0,1,0)</f>
        <v>0</v>
      </c>
      <c r="H974" s="77" t="str">
        <f>IF(Tablas!Y930=0,"NO","-")</f>
        <v>NO</v>
      </c>
      <c r="I974" s="21" t="s">
        <v>7255</v>
      </c>
      <c r="J974" s="21"/>
      <c r="K974" s="77">
        <f t="shared" si="253"/>
        <v>0</v>
      </c>
      <c r="L974" s="77">
        <f t="shared" si="254"/>
        <v>0</v>
      </c>
      <c r="M974" s="77">
        <f t="shared" si="255"/>
        <v>0</v>
      </c>
      <c r="N974" s="982" t="s">
        <v>7151</v>
      </c>
    </row>
    <row r="975" spans="1:29" ht="12.75" customHeight="1" x14ac:dyDescent="0.2">
      <c r="A975" s="227">
        <v>975</v>
      </c>
      <c r="B975" s="5988"/>
      <c r="C975" s="981"/>
      <c r="D975" s="21"/>
      <c r="E975" s="217" t="s">
        <v>1026</v>
      </c>
      <c r="F975" s="77">
        <v>30</v>
      </c>
      <c r="G975" s="77">
        <f>IF(COUNTIF(PDs!$E$78:$E$80,Tablas!E975)&gt;0,1,0)</f>
        <v>0</v>
      </c>
      <c r="H975" s="77" t="str">
        <f>IF(Tablas!Y932=0,"NO","-")</f>
        <v>NO</v>
      </c>
      <c r="I975" s="21" t="s">
        <v>7256</v>
      </c>
      <c r="J975" s="21"/>
      <c r="K975" s="77">
        <f t="shared" si="253"/>
        <v>0</v>
      </c>
      <c r="L975" s="77">
        <f t="shared" si="254"/>
        <v>0</v>
      </c>
      <c r="M975" s="77">
        <f t="shared" si="255"/>
        <v>0</v>
      </c>
      <c r="N975" s="982" t="s">
        <v>7152</v>
      </c>
    </row>
    <row r="976" spans="1:29" ht="12.75" customHeight="1" x14ac:dyDescent="0.2">
      <c r="A976" s="227">
        <v>976</v>
      </c>
      <c r="B976" s="5988"/>
      <c r="C976" s="981"/>
      <c r="D976" s="21"/>
      <c r="E976" s="217" t="s">
        <v>1027</v>
      </c>
      <c r="F976" s="77">
        <v>20</v>
      </c>
      <c r="G976" s="77">
        <f>IF(COUNTIF(PDs!$E$78:$E$80,Tablas!E976)&gt;0,1,0)</f>
        <v>0</v>
      </c>
      <c r="H976" s="77" t="str">
        <f>IF(Tablas!Y934=0,"NO","-")</f>
        <v>NO</v>
      </c>
      <c r="I976" s="21" t="s">
        <v>7257</v>
      </c>
      <c r="J976" s="21"/>
      <c r="K976" s="77">
        <f t="shared" si="253"/>
        <v>0</v>
      </c>
      <c r="L976" s="77">
        <f t="shared" si="254"/>
        <v>0</v>
      </c>
      <c r="M976" s="77">
        <f t="shared" si="255"/>
        <v>0</v>
      </c>
      <c r="N976" s="982" t="s">
        <v>7153</v>
      </c>
    </row>
    <row r="977" spans="1:18" ht="12.75" customHeight="1" thickBot="1" x14ac:dyDescent="0.25">
      <c r="A977" s="227">
        <v>977</v>
      </c>
      <c r="B977" s="5988"/>
      <c r="C977" s="983"/>
      <c r="D977" s="577"/>
      <c r="E977" s="984" t="s">
        <v>1028</v>
      </c>
      <c r="F977" s="985">
        <v>20</v>
      </c>
      <c r="G977" s="985">
        <f>IF(COUNTIF(PDs!$E$78:$E$80,Tablas!E977)&gt;0,1,0)</f>
        <v>0</v>
      </c>
      <c r="H977" s="985" t="str">
        <f>IF(Tablas!Y936=0,"NO","-")</f>
        <v>NO</v>
      </c>
      <c r="I977" s="577" t="s">
        <v>7258</v>
      </c>
      <c r="J977" s="577"/>
      <c r="K977" s="985">
        <f t="shared" si="253"/>
        <v>0</v>
      </c>
      <c r="L977" s="985">
        <f t="shared" si="254"/>
        <v>0</v>
      </c>
      <c r="M977" s="985">
        <f t="shared" si="255"/>
        <v>0</v>
      </c>
      <c r="N977" s="986" t="s">
        <v>7154</v>
      </c>
    </row>
    <row r="978" spans="1:18" ht="12.75" customHeight="1" x14ac:dyDescent="0.2">
      <c r="A978" s="227">
        <v>978</v>
      </c>
      <c r="B978" s="5988"/>
      <c r="H978"/>
      <c r="N978"/>
    </row>
    <row r="979" spans="1:18" ht="12.75" customHeight="1" x14ac:dyDescent="0.2">
      <c r="A979" s="227">
        <v>979</v>
      </c>
      <c r="B979" s="5988"/>
      <c r="H979"/>
      <c r="N979"/>
    </row>
    <row r="980" spans="1:18" ht="12.75" customHeight="1" x14ac:dyDescent="0.2">
      <c r="A980" s="227">
        <v>980</v>
      </c>
      <c r="B980" s="5988"/>
      <c r="H980"/>
      <c r="N980"/>
    </row>
    <row r="981" spans="1:18" ht="12.75" customHeight="1" thickBot="1" x14ac:dyDescent="0.25">
      <c r="A981" s="227">
        <v>981</v>
      </c>
      <c r="B981" s="5988"/>
      <c r="H981"/>
      <c r="N981"/>
    </row>
    <row r="982" spans="1:18" ht="12.75" customHeight="1" thickBot="1" x14ac:dyDescent="0.25">
      <c r="A982" s="227">
        <v>982</v>
      </c>
      <c r="B982" s="5988"/>
      <c r="C982" s="6282" t="s">
        <v>1029</v>
      </c>
      <c r="D982" s="6282"/>
      <c r="E982" s="6282"/>
      <c r="F982" s="6282"/>
      <c r="G982" s="6282"/>
      <c r="H982" s="6282"/>
      <c r="I982" s="6282"/>
      <c r="J982" s="6282"/>
      <c r="K982" s="6282"/>
      <c r="L982" s="6282"/>
      <c r="M982" s="6282"/>
      <c r="N982" s="6282"/>
      <c r="O982" s="6282"/>
      <c r="P982" s="6282"/>
      <c r="Q982" s="6282"/>
      <c r="R982" s="6282"/>
    </row>
    <row r="983" spans="1:18" ht="12.75" customHeight="1" x14ac:dyDescent="0.2">
      <c r="A983" s="227">
        <v>983</v>
      </c>
      <c r="B983" s="5988"/>
      <c r="C983" s="6282"/>
      <c r="D983" s="6282"/>
      <c r="E983" s="6282"/>
      <c r="F983" s="6282"/>
      <c r="G983" s="6282"/>
      <c r="H983" s="6282"/>
      <c r="I983" s="6282"/>
      <c r="J983" s="6282"/>
      <c r="K983" s="6282"/>
      <c r="L983" s="6282"/>
      <c r="M983" s="6282"/>
      <c r="N983" s="6282"/>
      <c r="O983" s="6282"/>
      <c r="P983" s="6282"/>
      <c r="Q983" s="6282"/>
      <c r="R983" s="6282"/>
    </row>
    <row r="984" spans="1:18" ht="12.75" customHeight="1" thickBot="1" x14ac:dyDescent="0.25">
      <c r="A984" s="227">
        <v>984</v>
      </c>
      <c r="B984" s="5988"/>
      <c r="C984" s="234"/>
      <c r="D984" s="235"/>
      <c r="E984" s="213" t="s">
        <v>1441</v>
      </c>
      <c r="F984" s="172" t="s">
        <v>1030</v>
      </c>
      <c r="G984" s="172" t="s">
        <v>1500</v>
      </c>
      <c r="H984" s="174" t="s">
        <v>2252</v>
      </c>
      <c r="I984" s="612" t="s">
        <v>860</v>
      </c>
      <c r="J984" s="235" t="s">
        <v>1549</v>
      </c>
      <c r="K984" s="235"/>
      <c r="L984" s="235"/>
      <c r="M984" s="235"/>
      <c r="N984" s="235"/>
      <c r="O984" s="612"/>
      <c r="P984" s="235"/>
      <c r="Q984" s="235"/>
      <c r="R984" s="236"/>
    </row>
    <row r="985" spans="1:18" ht="12.75" customHeight="1" x14ac:dyDescent="0.2">
      <c r="A985" s="227">
        <v>985</v>
      </c>
      <c r="B985" s="5988"/>
      <c r="C985" s="564" t="str">
        <f t="shared" ref="C985:C991" si="256">VLOOKUP(A1,$D$985:$E$991,2,0)</f>
        <v>&gt; ARS MAGNUS MENORES</v>
      </c>
      <c r="D985" s="878">
        <f t="shared" ref="D985:D991" si="257">COUNTIF($E$985:$E$991,"&lt;="&amp;E985)</f>
        <v>1</v>
      </c>
      <c r="E985" s="216" t="s">
        <v>1031</v>
      </c>
      <c r="F985" s="203">
        <v>0</v>
      </c>
      <c r="G985" s="203">
        <v>0</v>
      </c>
      <c r="H985" s="86"/>
      <c r="I985" s="231" t="s">
        <v>1456</v>
      </c>
      <c r="J985" s="237" t="s">
        <v>1456</v>
      </c>
      <c r="K985" s="46"/>
      <c r="L985" s="46"/>
      <c r="M985" s="46"/>
      <c r="N985" s="46"/>
      <c r="O985" s="609"/>
      <c r="P985" s="46"/>
      <c r="Q985" s="46"/>
      <c r="R985" s="83"/>
    </row>
    <row r="986" spans="1:18" ht="12.75" customHeight="1" x14ac:dyDescent="0.2">
      <c r="A986" s="227">
        <v>986</v>
      </c>
      <c r="B986" s="5988"/>
      <c r="C986" s="564" t="str">
        <f t="shared" si="256"/>
        <v>Ataque Final</v>
      </c>
      <c r="D986" s="878">
        <f t="shared" si="257"/>
        <v>3</v>
      </c>
      <c r="E986" s="134" t="s">
        <v>1032</v>
      </c>
      <c r="F986" s="77">
        <v>30</v>
      </c>
      <c r="G986" s="77">
        <v>10</v>
      </c>
      <c r="H986" s="86">
        <f>IF(COUNTIF(PDs!$E$81:$H$85,E986)&gt;0,1,0)</f>
        <v>0</v>
      </c>
      <c r="I986" s="589" t="s">
        <v>1456</v>
      </c>
      <c r="J986" s="14" t="s">
        <v>1033</v>
      </c>
      <c r="K986" s="21"/>
      <c r="L986" s="21"/>
      <c r="M986" s="21"/>
      <c r="N986" s="21"/>
      <c r="O986" s="47"/>
      <c r="P986" s="21"/>
      <c r="Q986" s="21"/>
      <c r="R986" s="36"/>
    </row>
    <row r="987" spans="1:18" ht="12.75" customHeight="1" x14ac:dyDescent="0.2">
      <c r="A987" s="227">
        <v>987</v>
      </c>
      <c r="B987" s="5988"/>
      <c r="C987" s="564" t="str">
        <f t="shared" si="256"/>
        <v>Berserker</v>
      </c>
      <c r="D987" s="878">
        <f t="shared" si="257"/>
        <v>7</v>
      </c>
      <c r="E987" s="134" t="s">
        <v>1034</v>
      </c>
      <c r="F987" s="77">
        <v>20</v>
      </c>
      <c r="G987" s="77">
        <v>10</v>
      </c>
      <c r="H987" s="86">
        <f>IF(COUNTIF(PDs!$E$81:$H$85,E987)&gt;0,1,0)</f>
        <v>0</v>
      </c>
      <c r="I987" s="589" t="str">
        <f>IF(COUNTIF(PDs!$E$49:$H$58,Tablas!$R$947)&gt;0,"-","NO")</f>
        <v>NO</v>
      </c>
      <c r="J987" s="14" t="s">
        <v>1035</v>
      </c>
      <c r="K987" s="21"/>
      <c r="L987" s="21"/>
      <c r="M987" s="21"/>
      <c r="N987" s="21"/>
      <c r="O987" s="47"/>
      <c r="P987" s="21"/>
      <c r="Q987" s="21"/>
      <c r="R987" s="36"/>
    </row>
    <row r="988" spans="1:18" ht="12.75" customHeight="1" x14ac:dyDescent="0.2">
      <c r="A988" s="227">
        <v>988</v>
      </c>
      <c r="B988" s="5988"/>
      <c r="C988" s="564" t="str">
        <f t="shared" si="256"/>
        <v>Guardián</v>
      </c>
      <c r="D988" s="878">
        <f t="shared" si="257"/>
        <v>5</v>
      </c>
      <c r="E988" s="134" t="s">
        <v>1036</v>
      </c>
      <c r="F988" s="77">
        <v>10</v>
      </c>
      <c r="G988" s="77">
        <v>10</v>
      </c>
      <c r="H988" s="86">
        <f>IF(COUNTIF(PDs!$E$81:$H$85,E988)&gt;0,1,0)</f>
        <v>0</v>
      </c>
      <c r="I988" s="589"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5988"/>
      <c r="C989" s="564" t="str">
        <f t="shared" si="256"/>
        <v>Kiai</v>
      </c>
      <c r="D989" s="878">
        <f t="shared" si="257"/>
        <v>4</v>
      </c>
      <c r="E989" s="134" t="s">
        <v>1038</v>
      </c>
      <c r="F989" s="77">
        <v>40</v>
      </c>
      <c r="G989" s="77">
        <v>10</v>
      </c>
      <c r="H989" s="86">
        <f>IF(COUNTIF(PDs!$E$81:$H$85,E989)&gt;0,1,0)</f>
        <v>0</v>
      </c>
      <c r="I989" s="589" t="str">
        <f>IF(Advertir_final&lt;50,"NO","-")</f>
        <v>NO</v>
      </c>
      <c r="J989" s="14" t="s">
        <v>1039</v>
      </c>
      <c r="K989" s="21"/>
      <c r="L989" s="21"/>
      <c r="M989" s="21"/>
      <c r="N989" s="21"/>
      <c r="O989" s="47"/>
      <c r="P989" s="21"/>
      <c r="Q989" s="21"/>
      <c r="R989" s="36"/>
    </row>
    <row r="990" spans="1:18" ht="12.75" customHeight="1" x14ac:dyDescent="0.2">
      <c r="A990" s="227">
        <v>990</v>
      </c>
      <c r="B990" s="5988"/>
      <c r="C990" s="564" t="str">
        <f t="shared" si="256"/>
        <v>Maniobra Especial</v>
      </c>
      <c r="D990" s="878">
        <f t="shared" si="257"/>
        <v>2</v>
      </c>
      <c r="E990" s="134" t="s">
        <v>1040</v>
      </c>
      <c r="F990" s="77">
        <v>30</v>
      </c>
      <c r="G990" s="77">
        <v>10</v>
      </c>
      <c r="H990" s="86">
        <f>IF(COUNTIF(PDs!$E$81:$H$85,E990)&gt;0,1,0)</f>
        <v>0</v>
      </c>
      <c r="I990" s="589" t="s">
        <v>1456</v>
      </c>
      <c r="J990" s="14" t="s">
        <v>1041</v>
      </c>
      <c r="K990" s="21"/>
      <c r="L990" s="21"/>
      <c r="M990" s="21"/>
      <c r="N990" s="21"/>
      <c r="O990" s="47"/>
      <c r="P990" s="21"/>
      <c r="Q990" s="21"/>
      <c r="R990" s="36"/>
    </row>
    <row r="991" spans="1:18" ht="12.75" customHeight="1" x14ac:dyDescent="0.2">
      <c r="A991" s="227">
        <v>991</v>
      </c>
      <c r="B991" s="5988"/>
      <c r="C991" s="564" t="str">
        <f t="shared" si="256"/>
        <v>Yuuse Batojutsu</v>
      </c>
      <c r="D991" s="878">
        <f t="shared" si="257"/>
        <v>6</v>
      </c>
      <c r="E991" s="134" t="s">
        <v>1042</v>
      </c>
      <c r="F991" s="77">
        <v>30</v>
      </c>
      <c r="G991" s="77">
        <v>10</v>
      </c>
      <c r="H991" s="86">
        <f>IF(COUNTIF(PDs!$E$81:$H$85,E991)&gt;0,1,0)</f>
        <v>0</v>
      </c>
      <c r="I991" s="589" t="s">
        <v>1456</v>
      </c>
      <c r="J991" s="14" t="s">
        <v>1043</v>
      </c>
      <c r="K991" s="21"/>
      <c r="L991" s="21"/>
      <c r="M991" s="21"/>
      <c r="N991" s="21"/>
      <c r="O991" s="47"/>
      <c r="P991" s="21"/>
      <c r="Q991" s="21"/>
      <c r="R991" s="36"/>
    </row>
    <row r="992" spans="1:18" ht="12.75" customHeight="1" x14ac:dyDescent="0.2">
      <c r="A992" s="227">
        <v>992</v>
      </c>
      <c r="B992" s="5988"/>
      <c r="C992" s="564" t="str">
        <f t="shared" ref="C992:C1012" si="258">VLOOKUP(A1,$D$992:$E$1012,2,0)</f>
        <v>&gt; ARS MAGNUS MAYORES</v>
      </c>
      <c r="D992" s="878">
        <f t="shared" ref="D992:D1012" si="259">COUNTIF($E$992:$E$1012,"&lt;="&amp;E992)</f>
        <v>1</v>
      </c>
      <c r="E992" s="134" t="s">
        <v>1044</v>
      </c>
      <c r="F992" s="77">
        <v>0</v>
      </c>
      <c r="G992" s="77">
        <v>0</v>
      </c>
      <c r="H992" s="86"/>
      <c r="I992" s="589" t="s">
        <v>1456</v>
      </c>
      <c r="J992" s="78" t="s">
        <v>1456</v>
      </c>
      <c r="K992" s="21"/>
      <c r="L992" s="21"/>
      <c r="M992" s="21"/>
      <c r="N992" s="21"/>
      <c r="O992" s="47"/>
      <c r="P992" s="21"/>
      <c r="Q992" s="21"/>
      <c r="R992" s="36"/>
    </row>
    <row r="993" spans="1:18" ht="12.75" customHeight="1" x14ac:dyDescent="0.2">
      <c r="A993" s="227">
        <v>993</v>
      </c>
      <c r="B993" s="5988"/>
      <c r="C993" s="564" t="str">
        <f t="shared" si="258"/>
        <v>Agnitum: Ojo Absoluto</v>
      </c>
      <c r="D993" s="878">
        <f t="shared" si="259"/>
        <v>3</v>
      </c>
      <c r="E993" s="134" t="s">
        <v>1045</v>
      </c>
      <c r="F993" s="77">
        <v>80</v>
      </c>
      <c r="G993" s="77">
        <v>80</v>
      </c>
      <c r="H993" s="86">
        <f>IF(COUNTIF(PDs!$E$81:$H$85,E993)&gt;0,1,0)</f>
        <v>0</v>
      </c>
      <c r="I993" s="589"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5988"/>
      <c r="C994" s="564" t="str">
        <f t="shared" si="258"/>
        <v>Ashuriam: Asalto Dimensional</v>
      </c>
      <c r="D994" s="878">
        <f t="shared" si="259"/>
        <v>2</v>
      </c>
      <c r="E994" s="134" t="s">
        <v>1047</v>
      </c>
      <c r="F994" s="77">
        <v>30</v>
      </c>
      <c r="G994" s="77">
        <v>30</v>
      </c>
      <c r="H994" s="86">
        <f>IF(COUNTIF(PDs!$E$81:$H$85,E994)&gt;0,1,0)</f>
        <v>0</v>
      </c>
      <c r="I994" s="589" t="str">
        <f>IF(OR(MAX(HA_final,HA_SinArmas)&lt;180,NOT(Erudición),PER&lt;11),"NO","-")</f>
        <v>NO</v>
      </c>
      <c r="J994" s="14" t="s">
        <v>1048</v>
      </c>
      <c r="K994" s="21"/>
      <c r="L994" s="21"/>
      <c r="M994" s="21"/>
      <c r="N994" s="21"/>
      <c r="O994" s="47"/>
      <c r="P994" s="21"/>
      <c r="Q994" s="21"/>
      <c r="R994" s="36"/>
    </row>
    <row r="995" spans="1:18" ht="12.75" customHeight="1" x14ac:dyDescent="0.2">
      <c r="A995" s="227">
        <v>995</v>
      </c>
      <c r="B995" s="5988"/>
      <c r="C995" s="564" t="str">
        <f t="shared" si="258"/>
        <v>Caos Meister: Control del Caos</v>
      </c>
      <c r="D995" s="878">
        <f t="shared" si="259"/>
        <v>4</v>
      </c>
      <c r="E995" s="134" t="s">
        <v>1049</v>
      </c>
      <c r="F995" s="77">
        <v>80</v>
      </c>
      <c r="G995" s="77">
        <v>100</v>
      </c>
      <c r="H995" s="86">
        <f>IF(COUNTIF(PDs!$E$81:$H$85,E995)&gt;0,1,0)</f>
        <v>0</v>
      </c>
      <c r="I995" s="589"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5988"/>
      <c r="C996" s="564" t="str">
        <f t="shared" si="258"/>
        <v>Etherial: Ataques Infinitos</v>
      </c>
      <c r="D996" s="878">
        <f t="shared" si="259"/>
        <v>5</v>
      </c>
      <c r="E996" s="134" t="s">
        <v>1051</v>
      </c>
      <c r="F996" s="77">
        <v>40</v>
      </c>
      <c r="G996" s="77">
        <v>40</v>
      </c>
      <c r="H996" s="86">
        <f>IF(COUNTIF(PDs!$E$81:$H$85,E996)&gt;0,1,0)</f>
        <v>0</v>
      </c>
      <c r="I996" s="589" t="str">
        <f>IF(MAX(HA_final,HA_SinArmas)&lt;200,"NO","-")</f>
        <v>NO</v>
      </c>
      <c r="J996" s="14" t="s">
        <v>1052</v>
      </c>
      <c r="K996" s="21"/>
      <c r="L996" s="21"/>
      <c r="M996" s="21"/>
      <c r="N996" s="21"/>
      <c r="O996" s="47"/>
      <c r="P996" s="21"/>
      <c r="Q996" s="21"/>
      <c r="R996" s="36"/>
    </row>
    <row r="997" spans="1:18" ht="12.75" customHeight="1" x14ac:dyDescent="0.2">
      <c r="A997" s="227">
        <v>997</v>
      </c>
      <c r="B997" s="5988"/>
      <c r="C997" s="564" t="str">
        <f t="shared" si="258"/>
        <v>Haima: Sombra de Sangre</v>
      </c>
      <c r="D997" s="878">
        <f t="shared" si="259"/>
        <v>6</v>
      </c>
      <c r="E997" s="134" t="s">
        <v>1053</v>
      </c>
      <c r="F997" s="77">
        <v>30</v>
      </c>
      <c r="G997" s="77">
        <v>30</v>
      </c>
      <c r="H997" s="86">
        <f>IF(COUNTIF(PDs!$E$81:$H$85,E997)&gt;0,1,0)</f>
        <v>0</v>
      </c>
      <c r="I997" s="589" t="str">
        <f>IF(OR(MAX(HD_final,HD_SinArmas)&lt;200,$P$252=0,VOL&lt;10),"NO","-")</f>
        <v>NO</v>
      </c>
      <c r="J997" s="14" t="s">
        <v>1054</v>
      </c>
      <c r="K997" s="21"/>
      <c r="L997" s="21"/>
      <c r="M997" s="21"/>
      <c r="N997" s="21"/>
      <c r="O997" s="47"/>
      <c r="P997" s="21"/>
      <c r="Q997" s="21"/>
      <c r="R997" s="36"/>
    </row>
    <row r="998" spans="1:18" ht="12.75" customHeight="1" x14ac:dyDescent="0.2">
      <c r="A998" s="227">
        <v>998</v>
      </c>
      <c r="B998" s="5988"/>
      <c r="C998" s="564" t="str">
        <f t="shared" si="258"/>
        <v>Infinium: Fluctuación del Espacio</v>
      </c>
      <c r="D998" s="878">
        <f t="shared" si="259"/>
        <v>8</v>
      </c>
      <c r="E998" s="134" t="s">
        <v>1055</v>
      </c>
      <c r="F998" s="77">
        <v>30</v>
      </c>
      <c r="G998" s="77">
        <v>50</v>
      </c>
      <c r="H998" s="86">
        <f>IF(COUNTIF(PDs!$E$81:$H$85,E998)&gt;0,1,0)</f>
        <v>0</v>
      </c>
      <c r="I998" s="589"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5988"/>
      <c r="C999" s="564" t="str">
        <f t="shared" si="258"/>
        <v>Magnum: Liberación de Poder</v>
      </c>
      <c r="D999" s="878">
        <f t="shared" si="259"/>
        <v>7</v>
      </c>
      <c r="E999" s="134" t="s">
        <v>1057</v>
      </c>
      <c r="F999" s="77">
        <v>40</v>
      </c>
      <c r="G999" s="77">
        <v>40</v>
      </c>
      <c r="H999" s="86">
        <f>IF(COUNTIF(PDs!$E$81:$H$85,E999)&gt;0,1,0)</f>
        <v>0</v>
      </c>
      <c r="I999" s="589"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5988"/>
      <c r="C1000" s="564" t="str">
        <f t="shared" si="258"/>
        <v>Matrix: División Existencial</v>
      </c>
      <c r="D1000" s="878">
        <f t="shared" si="259"/>
        <v>9</v>
      </c>
      <c r="E1000" s="134" t="s">
        <v>1059</v>
      </c>
      <c r="F1000" s="77">
        <v>50</v>
      </c>
      <c r="G1000" s="77">
        <v>50</v>
      </c>
      <c r="H1000" s="86">
        <f>IF(COUNTIF(PDs!$E$81:$H$85,E1000)&gt;0,1,0)</f>
        <v>0</v>
      </c>
      <c r="I1000" s="589"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5988"/>
      <c r="C1001" s="564" t="str">
        <f t="shared" si="258"/>
        <v>Mundus: Control del Entorno</v>
      </c>
      <c r="D1001" s="878">
        <f t="shared" si="259"/>
        <v>10</v>
      </c>
      <c r="E1001" s="134" t="s">
        <v>1061</v>
      </c>
      <c r="F1001" s="77">
        <v>30</v>
      </c>
      <c r="G1001" s="77">
        <v>50</v>
      </c>
      <c r="H1001" s="86">
        <f>IF(COUNTIF(PDs!$E$81:$H$85,E1001)&gt;0,1,0)</f>
        <v>0</v>
      </c>
      <c r="I1001" s="589"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5988"/>
      <c r="C1002" s="564" t="str">
        <f t="shared" si="258"/>
        <v>Raikou: Hoja Relámpago</v>
      </c>
      <c r="D1002" s="878">
        <f t="shared" si="259"/>
        <v>11</v>
      </c>
      <c r="E1002" s="134" t="s">
        <v>1063</v>
      </c>
      <c r="F1002" s="77">
        <v>60</v>
      </c>
      <c r="G1002" s="77">
        <v>60</v>
      </c>
      <c r="H1002" s="86">
        <f>IF(COUNTIF(PDs!$E$81:$H$85,E1002)&gt;0,1,0)</f>
        <v>0</v>
      </c>
      <c r="I1002" s="589"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5988"/>
      <c r="C1003" s="564" t="str">
        <f t="shared" si="258"/>
        <v>Rem: Los Ojos del Destino</v>
      </c>
      <c r="D1003" s="878">
        <f t="shared" si="259"/>
        <v>12</v>
      </c>
      <c r="E1003" s="134" t="s">
        <v>1065</v>
      </c>
      <c r="F1003" s="77">
        <v>40</v>
      </c>
      <c r="G1003" s="77">
        <v>60</v>
      </c>
      <c r="H1003" s="86">
        <f>IF(COUNTIF(PDs!$E$81:$H$85,E1003)&gt;0,1,0)</f>
        <v>0</v>
      </c>
      <c r="I1003" s="589"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5988"/>
      <c r="C1004" s="564" t="str">
        <f t="shared" si="258"/>
        <v>Samiel: Retribución Final</v>
      </c>
      <c r="D1004" s="878">
        <f t="shared" si="259"/>
        <v>13</v>
      </c>
      <c r="E1004" s="134" t="s">
        <v>1067</v>
      </c>
      <c r="F1004" s="77">
        <v>60</v>
      </c>
      <c r="G1004" s="77">
        <v>60</v>
      </c>
      <c r="H1004" s="86">
        <f>IF(COUNTIF(PDs!$E$81:$H$85,E1004)&gt;0,1,0)</f>
        <v>0</v>
      </c>
      <c r="I1004" s="589"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5988"/>
      <c r="C1005" s="564" t="str">
        <f t="shared" si="258"/>
        <v>Shinkyou: La Posición Espejo</v>
      </c>
      <c r="D1005" s="878">
        <f t="shared" si="259"/>
        <v>14</v>
      </c>
      <c r="E1005" s="134" t="s">
        <v>1069</v>
      </c>
      <c r="F1005" s="77">
        <v>60</v>
      </c>
      <c r="G1005" s="77">
        <v>80</v>
      </c>
      <c r="H1005" s="86">
        <f>IF(COUNTIF(PDs!$E$81:$H$85,E1005)&gt;0,1,0)</f>
        <v>0</v>
      </c>
      <c r="I1005" s="589" t="str">
        <f>IF(OR(MAX(HD_final,HD_SinArmas)&lt;250,PER&lt;10),"NO","-")</f>
        <v>NO</v>
      </c>
      <c r="J1005" s="14" t="s">
        <v>1070</v>
      </c>
      <c r="K1005" s="21"/>
      <c r="L1005" s="21"/>
      <c r="M1005" s="21"/>
      <c r="N1005" s="21"/>
      <c r="O1005" s="47"/>
      <c r="P1005" s="21"/>
      <c r="Q1005" s="21"/>
      <c r="R1005" s="36"/>
    </row>
    <row r="1006" spans="1:18" ht="12.75" customHeight="1" x14ac:dyDescent="0.2">
      <c r="A1006" s="227">
        <v>1006</v>
      </c>
      <c r="B1006" s="5988"/>
      <c r="C1006" s="564" t="str">
        <f t="shared" si="258"/>
        <v>Summun: Acumulación de Energía</v>
      </c>
      <c r="D1006" s="878">
        <f t="shared" si="259"/>
        <v>15</v>
      </c>
      <c r="E1006" s="134" t="s">
        <v>1071</v>
      </c>
      <c r="F1006" s="77">
        <v>30</v>
      </c>
      <c r="G1006" s="77">
        <v>30</v>
      </c>
      <c r="H1006" s="86">
        <f>IF(COUNTIF(PDs!$E$81:$H$85,E1006)&gt;0,1,0)</f>
        <v>0</v>
      </c>
      <c r="I1006" s="589" t="str">
        <f>IF(OR(MAX(HA_final,HA_SinArmas)&lt;180,DES&lt;11),"NO","-")</f>
        <v>NO</v>
      </c>
      <c r="J1006" s="14" t="s">
        <v>1072</v>
      </c>
      <c r="K1006" s="21"/>
      <c r="L1006" s="21"/>
      <c r="M1006" s="21"/>
      <c r="N1006" s="21"/>
      <c r="O1006" s="47"/>
      <c r="P1006" s="21"/>
      <c r="Q1006" s="21"/>
      <c r="R1006" s="36"/>
    </row>
    <row r="1007" spans="1:18" ht="12.75" customHeight="1" x14ac:dyDescent="0.2">
      <c r="A1007" s="227">
        <v>1007</v>
      </c>
      <c r="B1007" s="5988"/>
      <c r="C1007" s="564" t="str">
        <f t="shared" si="258"/>
        <v>Transformación: El Despertar</v>
      </c>
      <c r="D1007" s="878">
        <f t="shared" si="259"/>
        <v>16</v>
      </c>
      <c r="E1007" s="134" t="s">
        <v>1073</v>
      </c>
      <c r="F1007" s="77">
        <v>50</v>
      </c>
      <c r="G1007" s="77">
        <v>50</v>
      </c>
      <c r="H1007" s="86">
        <f>IF(COUNTIF(PDs!$E$81:$H$85,E1007)&gt;0,1,0)</f>
        <v>0</v>
      </c>
      <c r="I1007" s="589"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5988"/>
      <c r="C1008" s="564" t="str">
        <f t="shared" si="258"/>
        <v>Transformación: Eliodón</v>
      </c>
      <c r="D1008" s="878">
        <f t="shared" si="259"/>
        <v>19</v>
      </c>
      <c r="E1008" s="134" t="s">
        <v>1075</v>
      </c>
      <c r="F1008" s="77">
        <v>30</v>
      </c>
      <c r="G1008" s="77">
        <v>50</v>
      </c>
      <c r="H1008" s="86">
        <f>IF(COUNTIF(PDs!$E$81:$H$85,E1008)&gt;0,1,0)</f>
        <v>0</v>
      </c>
      <c r="I1008" s="589"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5988"/>
      <c r="C1009" s="564" t="str">
        <f t="shared" si="258"/>
        <v>Transformación: Los Sellos del Dragón</v>
      </c>
      <c r="D1009" s="878">
        <f t="shared" si="259"/>
        <v>17</v>
      </c>
      <c r="E1009" s="134" t="s">
        <v>1077</v>
      </c>
      <c r="F1009" s="77">
        <v>20</v>
      </c>
      <c r="G1009" s="77">
        <v>40</v>
      </c>
      <c r="H1009" s="86">
        <f>IF(COUNTIF(PDs!$E$81:$H$85,E1009)&gt;0,1,0)</f>
        <v>0</v>
      </c>
      <c r="I1009" s="589"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5988"/>
      <c r="C1010" s="564" t="str">
        <f t="shared" si="258"/>
        <v>Transformación: Poder Físico</v>
      </c>
      <c r="D1010" s="878">
        <f t="shared" si="259"/>
        <v>20</v>
      </c>
      <c r="E1010" s="134" t="s">
        <v>1079</v>
      </c>
      <c r="F1010" s="77">
        <v>100</v>
      </c>
      <c r="G1010" s="77">
        <v>100</v>
      </c>
      <c r="H1010" s="86">
        <f>IF(COUNTIF(PDs!$E$81:$H$85,E1010)&gt;0,1,0)</f>
        <v>0</v>
      </c>
      <c r="I1010" s="589"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5988"/>
      <c r="C1011" s="564" t="str">
        <f t="shared" si="258"/>
        <v>Transformación: Ruptura del Destino</v>
      </c>
      <c r="D1011" s="878">
        <f t="shared" si="259"/>
        <v>18</v>
      </c>
      <c r="E1011" s="134" t="s">
        <v>1081</v>
      </c>
      <c r="F1011" s="77">
        <v>20</v>
      </c>
      <c r="G1011" s="77">
        <v>50</v>
      </c>
      <c r="H1011" s="86">
        <f>IF(COUNTIF(PDs!$E$81:$H$85,E1011)&gt;0,1,0)</f>
        <v>0</v>
      </c>
      <c r="I1011" s="589"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5988"/>
      <c r="C1012" s="564" t="str">
        <f t="shared" si="258"/>
        <v>Umbra: Ataque de Sombras</v>
      </c>
      <c r="D1012" s="878">
        <f t="shared" si="259"/>
        <v>21</v>
      </c>
      <c r="E1012" s="134" t="s">
        <v>1083</v>
      </c>
      <c r="F1012" s="77">
        <v>30</v>
      </c>
      <c r="G1012" s="77">
        <v>50</v>
      </c>
      <c r="H1012" s="86">
        <f>IF(COUNTIF(PDs!$E$81:$H$85,E1012)&gt;0,1,0)</f>
        <v>0</v>
      </c>
      <c r="I1012" s="589"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5988"/>
      <c r="C1013" s="564" t="str">
        <f t="shared" ref="C1013:C1032" si="260">VLOOKUP(A1,$D$1013:$E$1032,2,0)</f>
        <v>&gt; ARMAS IMPOSIBLES</v>
      </c>
      <c r="D1013" s="878">
        <f>COUNTIF($E$1013:$E$1032,"&lt;="&amp;E1013)</f>
        <v>1</v>
      </c>
      <c r="E1013" s="134" t="s">
        <v>2230</v>
      </c>
      <c r="F1013" s="77">
        <v>0</v>
      </c>
      <c r="G1013" s="77">
        <v>0</v>
      </c>
      <c r="H1013" s="86"/>
      <c r="I1013" s="589" t="s">
        <v>1456</v>
      </c>
      <c r="J1013" s="78" t="s">
        <v>1456</v>
      </c>
      <c r="K1013" s="21"/>
      <c r="L1013" s="21"/>
      <c r="M1013" s="21"/>
      <c r="N1013" s="21"/>
      <c r="O1013" s="47"/>
      <c r="P1013" s="21"/>
      <c r="Q1013" s="21"/>
      <c r="R1013" s="36"/>
    </row>
    <row r="1014" spans="1:41" ht="12.75" customHeight="1" x14ac:dyDescent="0.2">
      <c r="A1014" s="227">
        <v>1014</v>
      </c>
      <c r="B1014" s="5988"/>
      <c r="C1014" s="564" t="str">
        <f t="shared" si="260"/>
        <v>Aquarius: Capas y prendas de vestir</v>
      </c>
      <c r="D1014" s="878">
        <f t="shared" ref="D1014:D1032" si="261">COUNTIF($E$1013:$E$1032,"&lt;="&amp;E1014)</f>
        <v>3</v>
      </c>
      <c r="E1014" s="134" t="s">
        <v>1085</v>
      </c>
      <c r="F1014" s="77">
        <v>40</v>
      </c>
      <c r="G1014" s="77">
        <v>40</v>
      </c>
      <c r="H1014" s="86">
        <f>IF(COUNTIF(PDs!$E$81:$H$85,E1014)&gt;0,1,0)</f>
        <v>0</v>
      </c>
      <c r="I1014" s="589"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5988"/>
      <c r="C1015" s="564" t="str">
        <f t="shared" si="260"/>
        <v>Aries: Masificación armas y cadenas</v>
      </c>
      <c r="D1015" s="878">
        <f t="shared" si="261"/>
        <v>16</v>
      </c>
      <c r="E1015" s="134" t="s">
        <v>1087</v>
      </c>
      <c r="F1015" s="77">
        <v>20</v>
      </c>
      <c r="G1015" s="77">
        <v>30</v>
      </c>
      <c r="H1015" s="86">
        <f>IF(COUNTIF(PDs!$E$81:$H$85,E1015)&gt;0,1,0)</f>
        <v>0</v>
      </c>
      <c r="I1015" s="589"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5988"/>
      <c r="C1016" s="564" t="str">
        <f t="shared" si="260"/>
        <v>Cáncer Magister: Monofilos</v>
      </c>
      <c r="D1016" s="878">
        <f t="shared" si="261"/>
        <v>7</v>
      </c>
      <c r="E1016" s="134" t="s">
        <v>1089</v>
      </c>
      <c r="F1016" s="77">
        <v>50</v>
      </c>
      <c r="G1016" s="77">
        <v>50</v>
      </c>
      <c r="H1016" s="86">
        <f>IF(COUNTIF(PDs!$E$81:$H$85,E1016)&gt;0,1,0)</f>
        <v>0</v>
      </c>
      <c r="I1016" s="589" t="str">
        <f>IF(OR(NOT(Inhumanidad),NOT(UsodelKi),DES&lt;11),"NO","-")</f>
        <v>NO</v>
      </c>
      <c r="J1016" s="78" t="s">
        <v>1090</v>
      </c>
      <c r="K1016" s="21"/>
      <c r="L1016" s="21"/>
      <c r="M1016" s="21"/>
      <c r="N1016" s="21"/>
      <c r="O1016" s="47"/>
      <c r="P1016" s="21"/>
      <c r="Q1016" s="21"/>
      <c r="R1016" s="36"/>
    </row>
    <row r="1017" spans="1:41" ht="12.75" customHeight="1" x14ac:dyDescent="0.2">
      <c r="A1017" s="227">
        <v>1017</v>
      </c>
      <c r="B1017" s="5988"/>
      <c r="C1017" s="564" t="str">
        <f t="shared" si="260"/>
        <v>Cáncer: Monofilos</v>
      </c>
      <c r="D1017" s="878">
        <f t="shared" si="261"/>
        <v>5</v>
      </c>
      <c r="E1017" s="134" t="s">
        <v>1091</v>
      </c>
      <c r="F1017" s="77">
        <f>40+IF($H$1022&gt;0,-10,0)</f>
        <v>40</v>
      </c>
      <c r="G1017" s="77">
        <v>20</v>
      </c>
      <c r="H1017" s="86">
        <f>IF(COUNTIF(PDs!$E$81:$H$85,E1017)&gt;0,1,0)</f>
        <v>0</v>
      </c>
      <c r="I1017" s="589"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5988"/>
      <c r="C1018" s="564" t="str">
        <f t="shared" si="260"/>
        <v>Capricornius: Agujas</v>
      </c>
      <c r="D1018" s="878">
        <f t="shared" si="261"/>
        <v>4</v>
      </c>
      <c r="E1018" s="134" t="s">
        <v>1093</v>
      </c>
      <c r="F1018" s="2619">
        <f>30+IF($H$1022&gt;0,-10,0)</f>
        <v>30</v>
      </c>
      <c r="G1018" s="77">
        <v>30</v>
      </c>
      <c r="H1018" s="86">
        <f>IF(COUNTIF(PDs!$E$81:$H$85,E1018)&gt;0,1,0)</f>
        <v>0</v>
      </c>
      <c r="I1018" s="589"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5988"/>
      <c r="C1019" s="564" t="str">
        <f t="shared" si="260"/>
        <v>Gémini: Marionetas</v>
      </c>
      <c r="D1019" s="878">
        <f t="shared" si="261"/>
        <v>8</v>
      </c>
      <c r="E1019" s="134" t="s">
        <v>1095</v>
      </c>
      <c r="F1019" s="77">
        <v>20</v>
      </c>
      <c r="G1019" s="77">
        <v>10</v>
      </c>
      <c r="H1019" s="86">
        <f>IF(COUNTIF(PDs!$E$81:$H$85,E1019)&gt;0,1,0)</f>
        <v>0</v>
      </c>
      <c r="I1019" s="589" t="str">
        <f>IF(OR(NOT(Inhumanidad),NOT(UsodelKi)),"NO","-")</f>
        <v>NO</v>
      </c>
      <c r="J1019" s="78" t="s">
        <v>1096</v>
      </c>
      <c r="K1019" s="21"/>
      <c r="L1019" s="21"/>
      <c r="M1019" s="21"/>
      <c r="N1019" s="21"/>
      <c r="O1019" s="47"/>
      <c r="P1019" s="21"/>
      <c r="Q1019" s="21"/>
      <c r="R1019" s="36"/>
    </row>
    <row r="1020" spans="1:41" ht="12.75" customHeight="1" x14ac:dyDescent="0.2">
      <c r="A1020" s="227">
        <v>1020</v>
      </c>
      <c r="B1020" s="5988"/>
      <c r="C1020" s="564" t="str">
        <f t="shared" si="260"/>
        <v>Leo: Armas-pistola</v>
      </c>
      <c r="D1020" s="878">
        <f t="shared" si="261"/>
        <v>20</v>
      </c>
      <c r="E1020" s="134" t="s">
        <v>10071</v>
      </c>
      <c r="F1020" s="77">
        <v>50</v>
      </c>
      <c r="G1020" s="77">
        <v>50</v>
      </c>
      <c r="H1020" s="86">
        <f>IF(COUNTIF(PDs!$E$81:$H$85,E1020)&gt;0,1,0)</f>
        <v>0</v>
      </c>
      <c r="I1020" s="589" t="str">
        <f>IF(OR(NOT(Inhumanidad),NOT(UsodelKi),HA_final&lt;140,NOT(Extensióndelauraalarma),Música_final&lt;100,Música_final="-"),"NO","-")</f>
        <v>NO</v>
      </c>
      <c r="J1020" s="78" t="s">
        <v>10078</v>
      </c>
      <c r="K1020" s="21"/>
      <c r="L1020" s="21"/>
      <c r="M1020" s="21"/>
      <c r="N1020" s="21"/>
      <c r="O1020" s="47"/>
      <c r="P1020" s="21"/>
      <c r="Q1020" s="21"/>
      <c r="R1020" s="36"/>
    </row>
    <row r="1021" spans="1:41" ht="12.75" customHeight="1" x14ac:dyDescent="0.2">
      <c r="A1021" s="227">
        <v>1021</v>
      </c>
      <c r="B1021" s="5988"/>
      <c r="C1021" s="564" t="str">
        <f t="shared" si="260"/>
        <v>Libra: Arma variable</v>
      </c>
      <c r="D1021" s="878">
        <f t="shared" si="261"/>
        <v>19</v>
      </c>
      <c r="E1021" s="134" t="s">
        <v>10072</v>
      </c>
      <c r="F1021" s="2619">
        <v>50</v>
      </c>
      <c r="G1021" s="2619">
        <v>50</v>
      </c>
      <c r="H1021" s="86">
        <f>IF(COUNTIF(PDs!$E$81:$H$85,E1021)&gt;0,1,0)</f>
        <v>0</v>
      </c>
      <c r="I1021" s="589" t="str">
        <f>IF(OR(NOT(Inhumanidad),NOT(UsodelKi),HA_final&lt;140,NOT(Extensióndelauraalarma),Música_final&lt;100,Música_final="-"),"NO","-")</f>
        <v>NO</v>
      </c>
      <c r="J1021" s="78" t="s">
        <v>10077</v>
      </c>
      <c r="K1021" s="21"/>
      <c r="L1021" s="21"/>
      <c r="M1021" s="21"/>
      <c r="N1021" s="21"/>
      <c r="O1021" s="47"/>
      <c r="P1021" s="21"/>
      <c r="Q1021" s="21"/>
      <c r="R1021" s="36"/>
      <c r="Y1021" s="2620"/>
      <c r="Z1021" s="2620"/>
      <c r="AA1021" s="2620"/>
      <c r="AB1021" s="2620"/>
      <c r="AC1021" s="2620"/>
      <c r="AD1021" s="2620"/>
      <c r="AE1021" s="2620"/>
      <c r="AF1021" s="2620"/>
      <c r="AG1021" s="2620"/>
      <c r="AH1021" s="2620"/>
      <c r="AI1021" s="2620"/>
      <c r="AJ1021" s="2620"/>
      <c r="AK1021" s="2620"/>
      <c r="AL1021" s="2620"/>
      <c r="AM1021" s="2620"/>
      <c r="AN1021" s="2620"/>
      <c r="AO1021" s="2620"/>
    </row>
    <row r="1022" spans="1:41" ht="12.75" customHeight="1" x14ac:dyDescent="0.2">
      <c r="A1022" s="227">
        <v>1022</v>
      </c>
      <c r="B1022" s="5988"/>
      <c r="C1022" s="564" t="str">
        <f t="shared" si="260"/>
        <v>Ophiucos Sigma</v>
      </c>
      <c r="D1022" s="878">
        <f t="shared" si="261"/>
        <v>17</v>
      </c>
      <c r="E1022" s="134" t="s">
        <v>10073</v>
      </c>
      <c r="F1022" s="2619">
        <v>50</v>
      </c>
      <c r="G1022" s="2619">
        <v>50</v>
      </c>
      <c r="H1022" s="86">
        <f>IF(COUNTIF(PDs!$E$81:$H$85,E1022)&gt;0,1,0)</f>
        <v>0</v>
      </c>
      <c r="I1022" s="589" t="str">
        <f>IF(OR(NOT(Inhumanidad),NOT(UsodelKi),HA_final&lt;140,NOT(Extensióndelauraalarma),Música_final&lt;100,Música_final="-"),"NO","-")</f>
        <v>NO</v>
      </c>
      <c r="J1022" s="78" t="s">
        <v>10076</v>
      </c>
      <c r="K1022" s="21"/>
      <c r="L1022" s="21"/>
      <c r="M1022" s="21"/>
      <c r="N1022" s="21"/>
      <c r="O1022" s="47"/>
      <c r="P1022" s="21"/>
      <c r="Q1022" s="21"/>
      <c r="R1022" s="36"/>
      <c r="Y1022" s="2620"/>
      <c r="Z1022" s="2620"/>
      <c r="AA1022" s="2620"/>
      <c r="AB1022" s="2620"/>
      <c r="AC1022" s="2620"/>
      <c r="AD1022" s="2620"/>
      <c r="AE1022" s="2620"/>
      <c r="AF1022" s="2620"/>
      <c r="AG1022" s="2620"/>
      <c r="AH1022" s="2620"/>
      <c r="AI1022" s="2620"/>
      <c r="AJ1022" s="2620"/>
      <c r="AK1022" s="2620"/>
      <c r="AL1022" s="2620"/>
      <c r="AM1022" s="2620"/>
      <c r="AN1022" s="2620"/>
      <c r="AO1022" s="2620"/>
    </row>
    <row r="1023" spans="1:41" ht="12.75" customHeight="1" x14ac:dyDescent="0.2">
      <c r="A1023" s="227">
        <v>1023</v>
      </c>
      <c r="B1023" s="5988"/>
      <c r="C1023" s="564" t="str">
        <f t="shared" si="260"/>
        <v>Ophiucos: Señor de Espadas Infinitas</v>
      </c>
      <c r="D1023" s="878">
        <f t="shared" si="261"/>
        <v>18</v>
      </c>
      <c r="E1023" s="134" t="s">
        <v>10074</v>
      </c>
      <c r="F1023" s="2619">
        <v>50</v>
      </c>
      <c r="G1023" s="2619">
        <v>50</v>
      </c>
      <c r="H1023" s="86">
        <f>IF(COUNTIF(PDs!$E$81:$H$85,E1023)&gt;0,1,0)</f>
        <v>0</v>
      </c>
      <c r="I1023" s="589" t="str">
        <f>IF(OR(NOT(Inhumanidad),NOT(UsodelKi),HA_final&lt;140,NOT(Extensióndelauraalarma),Música_final&lt;100,Música_final="-"),"NO","-")</f>
        <v>NO</v>
      </c>
      <c r="J1023" s="78" t="s">
        <v>10075</v>
      </c>
      <c r="K1023" s="21"/>
      <c r="L1023" s="21"/>
      <c r="M1023" s="21"/>
      <c r="N1023" s="21"/>
      <c r="O1023" s="47"/>
      <c r="P1023" s="21"/>
      <c r="Q1023" s="21"/>
      <c r="R1023" s="36"/>
      <c r="Y1023" s="2620"/>
      <c r="Z1023" s="2620"/>
      <c r="AA1023" s="2620"/>
      <c r="AB1023" s="2620"/>
      <c r="AC1023" s="2620"/>
      <c r="AD1023" s="2620"/>
      <c r="AE1023" s="2620"/>
      <c r="AF1023" s="2620"/>
      <c r="AG1023" s="2620"/>
      <c r="AH1023" s="2620"/>
      <c r="AI1023" s="2620"/>
      <c r="AJ1023" s="2620"/>
      <c r="AK1023" s="2620"/>
      <c r="AL1023" s="2620"/>
      <c r="AM1023" s="2620"/>
      <c r="AN1023" s="2620"/>
      <c r="AO1023" s="2620"/>
    </row>
    <row r="1024" spans="1:41" ht="12.75" customHeight="1" x14ac:dyDescent="0.2">
      <c r="A1024" s="227">
        <v>1024</v>
      </c>
      <c r="B1024" s="5988"/>
      <c r="C1024" s="564" t="str">
        <f t="shared" si="260"/>
        <v>Piscis: Yoyó</v>
      </c>
      <c r="D1024" s="878">
        <f t="shared" si="261"/>
        <v>9</v>
      </c>
      <c r="E1024" s="134" t="s">
        <v>1097</v>
      </c>
      <c r="F1024" s="77">
        <v>30</v>
      </c>
      <c r="G1024" s="77">
        <v>20</v>
      </c>
      <c r="H1024" s="86">
        <f>IF(COUNTIF(PDs!$E$81:$H$85,E1024)&gt;0,1,0)</f>
        <v>0</v>
      </c>
      <c r="I1024" s="589"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5988"/>
      <c r="C1025" s="564" t="str">
        <f t="shared" si="260"/>
        <v>Sagittarius Magister: Obj. arrojadizos</v>
      </c>
      <c r="D1025" s="878">
        <f t="shared" si="261"/>
        <v>15</v>
      </c>
      <c r="E1025" s="134" t="s">
        <v>1099</v>
      </c>
      <c r="F1025" s="77">
        <v>10</v>
      </c>
      <c r="G1025" s="77">
        <v>10</v>
      </c>
      <c r="H1025" s="86">
        <f>IF(COUNTIF(PDs!$E$81:$H$85,E1025)&gt;0,1,0)</f>
        <v>0</v>
      </c>
      <c r="I1025" s="589"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5988"/>
      <c r="C1026" s="564" t="str">
        <f t="shared" si="260"/>
        <v>Sagittarius: Objetos arrojadizos</v>
      </c>
      <c r="D1026" s="878">
        <f t="shared" si="261"/>
        <v>14</v>
      </c>
      <c r="E1026" s="134" t="s">
        <v>1101</v>
      </c>
      <c r="F1026" s="77">
        <v>40</v>
      </c>
      <c r="G1026" s="77">
        <v>30</v>
      </c>
      <c r="H1026" s="86">
        <f>IF(COUNTIF(PDs!$E$81:$H$85,E1026)&gt;0,1,0)</f>
        <v>0</v>
      </c>
      <c r="I1026" s="589"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5988"/>
      <c r="C1027" s="564" t="str">
        <f t="shared" si="260"/>
        <v>Scorpio: Espada-látigo</v>
      </c>
      <c r="D1027" s="878">
        <f t="shared" si="261"/>
        <v>13</v>
      </c>
      <c r="E1027" s="134" t="s">
        <v>1103</v>
      </c>
      <c r="F1027" s="77">
        <v>30</v>
      </c>
      <c r="G1027" s="77">
        <v>30</v>
      </c>
      <c r="H1027" s="86">
        <f>IF(COUNTIF(PDs!$E$81:$H$85,E1027)&gt;0,1,0)</f>
        <v>0</v>
      </c>
      <c r="I1027" s="589"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5988"/>
      <c r="C1028" s="564" t="str">
        <f t="shared" si="260"/>
        <v>Taurus: Enormes armas dobles</v>
      </c>
      <c r="D1028" s="878">
        <f t="shared" si="261"/>
        <v>6</v>
      </c>
      <c r="E1028" s="134" t="s">
        <v>1105</v>
      </c>
      <c r="F1028" s="77">
        <v>20</v>
      </c>
      <c r="G1028" s="77">
        <v>20</v>
      </c>
      <c r="H1028" s="86">
        <f>IF(COUNTIF(PDs!$E$81:$H$85,E1028)&gt;0,1,0)</f>
        <v>0</v>
      </c>
      <c r="I1028" s="589"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5988"/>
      <c r="C1029" s="564" t="str">
        <f t="shared" si="260"/>
        <v>Virgo: Instrumentos de cuerda</v>
      </c>
      <c r="D1029" s="878">
        <f t="shared" si="261"/>
        <v>2</v>
      </c>
      <c r="E1029" s="134" t="s">
        <v>1107</v>
      </c>
      <c r="F1029" s="77">
        <v>20</v>
      </c>
      <c r="G1029" s="77">
        <v>20</v>
      </c>
      <c r="H1029" s="86">
        <f>IF(COUNTIF(PDs!$E$81:$H$85,E1029)&gt;0,1,0)</f>
        <v>0</v>
      </c>
      <c r="I1029" s="589"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5988"/>
      <c r="C1030" s="564" t="str">
        <f t="shared" si="260"/>
        <v>Virgo: Instrumentos de percusión</v>
      </c>
      <c r="D1030" s="878">
        <f t="shared" si="261"/>
        <v>12</v>
      </c>
      <c r="E1030" s="134" t="s">
        <v>1109</v>
      </c>
      <c r="F1030" s="77">
        <v>10</v>
      </c>
      <c r="G1030" s="77">
        <v>20</v>
      </c>
      <c r="H1030" s="86">
        <f>IF(COUNTIF(PDs!$E$81:$H$85,E1030)&gt;0,1,0)</f>
        <v>0</v>
      </c>
      <c r="I1030" s="589"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5988"/>
      <c r="C1031" s="564" t="str">
        <f t="shared" si="260"/>
        <v>Virgo: Instrumentos grandes de viento</v>
      </c>
      <c r="D1031" s="878">
        <f t="shared" si="261"/>
        <v>11</v>
      </c>
      <c r="E1031" s="134" t="s">
        <v>1111</v>
      </c>
      <c r="F1031" s="77">
        <v>50</v>
      </c>
      <c r="G1031" s="77">
        <v>100</v>
      </c>
      <c r="H1031" s="86">
        <f>IF(COUNTIF(PDs!$E$81:$H$85,E1031)&gt;0,1,0)</f>
        <v>0</v>
      </c>
      <c r="I1031" s="589"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5988"/>
      <c r="C1032" s="564" t="str">
        <f t="shared" si="260"/>
        <v>Virgo: Instrumentos pequeños de viento</v>
      </c>
      <c r="D1032" s="878">
        <f t="shared" si="261"/>
        <v>10</v>
      </c>
      <c r="E1032" s="134" t="s">
        <v>10117</v>
      </c>
      <c r="F1032" s="2665">
        <f>MAX(80-10*U1046,10)</f>
        <v>70</v>
      </c>
      <c r="G1032" s="2665">
        <v>70</v>
      </c>
      <c r="H1032" s="86">
        <f>IF(COUNTIF(PDs!$E$81:$H$85,E1032)&gt;0,1,0)</f>
        <v>0</v>
      </c>
      <c r="I1032" s="589" t="str">
        <f>IF(OR(NOT(Inhumanidad),NOT(UsodelKi),HA_final&lt;200,HD_final&lt;200,U1046&lt;3),"NO","-")</f>
        <v>NO</v>
      </c>
      <c r="J1032" s="14" t="s">
        <v>10114</v>
      </c>
      <c r="K1032" s="21"/>
      <c r="L1032" s="21"/>
      <c r="M1032" s="21"/>
      <c r="N1032" s="21"/>
      <c r="O1032" s="47"/>
      <c r="P1032" s="21"/>
      <c r="Q1032" s="21"/>
      <c r="R1032" s="36"/>
      <c r="Y1032" s="2664"/>
      <c r="Z1032" s="2664"/>
      <c r="AA1032" s="2664"/>
      <c r="AB1032" s="2664"/>
      <c r="AC1032" s="2664"/>
      <c r="AD1032" s="2664"/>
      <c r="AE1032" s="2664"/>
      <c r="AF1032" s="2664"/>
      <c r="AG1032" s="2664"/>
      <c r="AH1032" s="2664"/>
      <c r="AI1032" s="2664"/>
      <c r="AJ1032" s="2664"/>
      <c r="AK1032" s="2664"/>
      <c r="AL1032" s="2664"/>
      <c r="AM1032" s="2664"/>
      <c r="AN1032" s="2664"/>
      <c r="AO1032" s="2664"/>
    </row>
    <row r="1033" spans="1:41" ht="12.75" customHeight="1" x14ac:dyDescent="0.2">
      <c r="A1033" s="227">
        <v>1033</v>
      </c>
      <c r="B1033" s="5988"/>
      <c r="C1033" s="564" t="str">
        <f>VLOOKUP(A1,$D$1033:$E$1036,2,0)</f>
        <v>&gt; ARS MAGNUS PERSONALIZADOS</v>
      </c>
      <c r="D1033" s="878">
        <f>COUNTIF($E$1033:$E$1036,"&lt;="&amp;E1033)</f>
        <v>1</v>
      </c>
      <c r="E1033" s="134" t="s">
        <v>9586</v>
      </c>
      <c r="F1033" s="77">
        <v>0</v>
      </c>
      <c r="G1033" s="77">
        <v>0</v>
      </c>
      <c r="H1033" s="86"/>
      <c r="I1033" s="589" t="s">
        <v>1456</v>
      </c>
      <c r="J1033" s="14"/>
      <c r="K1033" s="21"/>
      <c r="L1033" s="21"/>
      <c r="M1033" s="21"/>
      <c r="N1033" s="21"/>
      <c r="O1033" s="47"/>
      <c r="P1033" s="21"/>
      <c r="Q1033" s="21"/>
      <c r="R1033" s="36"/>
    </row>
    <row r="1034" spans="1:41" ht="12.75" customHeight="1" thickBot="1" x14ac:dyDescent="0.25">
      <c r="A1034" s="227">
        <v>1034</v>
      </c>
      <c r="B1034" s="5988"/>
      <c r="C1034" s="564" t="str">
        <f>VLOOKUP(A2,$D$1033:$E$1036,2,0)</f>
        <v>Ars Magnus Personalizado 1</v>
      </c>
      <c r="D1034" s="878">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9" t="s">
        <v>1456</v>
      </c>
      <c r="J1034" s="14" t="str">
        <f>E1034</f>
        <v>Ars Magnus Personalizado 1</v>
      </c>
      <c r="K1034" s="21"/>
      <c r="L1034" s="21"/>
      <c r="M1034" s="21"/>
      <c r="N1034" s="21"/>
      <c r="O1034" s="47"/>
      <c r="P1034" s="21"/>
      <c r="Q1034" s="21"/>
      <c r="R1034" s="36"/>
    </row>
    <row r="1035" spans="1:41" ht="12.75" customHeight="1" thickBot="1" x14ac:dyDescent="0.25">
      <c r="A1035" s="227">
        <v>1035</v>
      </c>
      <c r="B1035" s="5988"/>
      <c r="C1035" s="564" t="str">
        <f>VLOOKUP(A3,$D$1033:$E$1036,2,0)</f>
        <v>Ars Magnus Personalizado 2</v>
      </c>
      <c r="D1035" s="878">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9" t="s">
        <v>1456</v>
      </c>
      <c r="J1035" s="14" t="str">
        <f>E1035</f>
        <v>Ars Magnus Personalizado 2</v>
      </c>
      <c r="K1035" s="21"/>
      <c r="L1035" s="21"/>
      <c r="M1035" s="21"/>
      <c r="N1035" s="21"/>
      <c r="O1035" s="47"/>
      <c r="P1035" s="21"/>
      <c r="Q1035" s="21"/>
      <c r="R1035" s="36"/>
      <c r="T1035" s="6143" t="s">
        <v>10115</v>
      </c>
      <c r="U1035" s="6144"/>
    </row>
    <row r="1036" spans="1:41" ht="12.75" customHeight="1" thickBot="1" x14ac:dyDescent="0.25">
      <c r="A1036" s="227">
        <v>1036</v>
      </c>
      <c r="B1036" s="5988"/>
      <c r="C1036" s="564" t="str">
        <f>VLOOKUP(A4,$D$1033:$E$1036,2,0)</f>
        <v>Ars Magnus Personalizado 3</v>
      </c>
      <c r="D1036" s="878">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9" t="s">
        <v>1456</v>
      </c>
      <c r="J1036" s="14" t="str">
        <f>E1036</f>
        <v>Ars Magnus Personalizado 3</v>
      </c>
      <c r="K1036" s="21"/>
      <c r="L1036" s="21"/>
      <c r="M1036" s="21"/>
      <c r="N1036" s="21"/>
      <c r="O1036" s="47"/>
      <c r="P1036" s="21"/>
      <c r="Q1036" s="21"/>
      <c r="R1036" s="36"/>
      <c r="T1036" s="6145"/>
      <c r="U1036" s="6146"/>
    </row>
    <row r="1037" spans="1:41" ht="12.75" customHeight="1" x14ac:dyDescent="0.2">
      <c r="A1037" s="227">
        <v>1037</v>
      </c>
      <c r="B1037" s="5988"/>
      <c r="C1037" s="564" t="str">
        <f t="shared" ref="C1037:C1046" si="262">VLOOKUP(A1,$D$1037:$E$1046,2,0)</f>
        <v>&gt; TABLAS DE COMBATE SOBRENATURAL</v>
      </c>
      <c r="D1037" s="878">
        <f t="shared" ref="D1037:D1046" si="263">COUNTIF($E$1037:$E$1046,"&lt;="&amp;E1037)</f>
        <v>1</v>
      </c>
      <c r="E1037" s="134" t="s">
        <v>1113</v>
      </c>
      <c r="F1037" s="77">
        <v>0</v>
      </c>
      <c r="G1037" s="77">
        <v>0</v>
      </c>
      <c r="H1037" s="86"/>
      <c r="I1037" s="589" t="s">
        <v>1456</v>
      </c>
      <c r="J1037" s="78" t="s">
        <v>1456</v>
      </c>
      <c r="K1037" s="21"/>
      <c r="L1037" s="21"/>
      <c r="M1037" s="21"/>
      <c r="N1037" s="21"/>
      <c r="O1037" s="47"/>
      <c r="P1037" s="21"/>
      <c r="Q1037" s="21"/>
      <c r="R1037" s="36"/>
      <c r="T1037" s="855" t="s">
        <v>2112</v>
      </c>
      <c r="U1037" s="1160">
        <f t="shared" ref="U1037:U1045" si="264">IFERROR(FIND(T1037,Tipologías_Conocidas),0)</f>
        <v>6</v>
      </c>
    </row>
    <row r="1038" spans="1:41" ht="12.75" customHeight="1" x14ac:dyDescent="0.2">
      <c r="A1038" s="227">
        <v>1038</v>
      </c>
      <c r="B1038" s="5988"/>
      <c r="C1038" s="564" t="str">
        <f t="shared" si="262"/>
        <v>Ataque a distancia</v>
      </c>
      <c r="D1038" s="878">
        <f t="shared" si="263"/>
        <v>3</v>
      </c>
      <c r="E1038" s="134" t="s">
        <v>1114</v>
      </c>
      <c r="F1038" s="77">
        <v>20</v>
      </c>
      <c r="G1038" s="77">
        <v>10</v>
      </c>
      <c r="H1038" s="86">
        <f>IF(COUNTIF(PDs!$E$81:$H$85,E1038)&gt;0,1,0)</f>
        <v>0</v>
      </c>
      <c r="I1038" s="589" t="str">
        <f>IF(HA_final&lt;120,"NO","-")</f>
        <v>NO</v>
      </c>
      <c r="J1038" s="14" t="s">
        <v>1115</v>
      </c>
      <c r="K1038" s="21"/>
      <c r="L1038" s="21"/>
      <c r="M1038" s="21"/>
      <c r="N1038" s="21"/>
      <c r="O1038" s="47"/>
      <c r="P1038" s="21"/>
      <c r="Q1038" s="21"/>
      <c r="R1038" s="36"/>
      <c r="T1038" s="855" t="s">
        <v>2123</v>
      </c>
      <c r="U1038" s="1160">
        <f t="shared" si="264"/>
        <v>0</v>
      </c>
    </row>
    <row r="1039" spans="1:41" ht="12.75" customHeight="1" x14ac:dyDescent="0.2">
      <c r="A1039" s="227">
        <v>1039</v>
      </c>
      <c r="B1039" s="5988"/>
      <c r="C1039" s="564" t="str">
        <f t="shared" si="262"/>
        <v>Atrapar</v>
      </c>
      <c r="D1039" s="878">
        <f t="shared" si="263"/>
        <v>4</v>
      </c>
      <c r="E1039" s="134" t="s">
        <v>1116</v>
      </c>
      <c r="F1039" s="77">
        <v>20</v>
      </c>
      <c r="G1039" s="77">
        <v>20</v>
      </c>
      <c r="H1039" s="86">
        <f>IF(COUNTIF(PDs!$E$81:$H$85,E1039)&gt;0,1,0)</f>
        <v>0</v>
      </c>
      <c r="I1039" s="589" t="str">
        <f>IF(OR(HA_final&lt;140,HD_final&lt;140),"NO","-")</f>
        <v>NO</v>
      </c>
      <c r="J1039" s="14" t="s">
        <v>1117</v>
      </c>
      <c r="K1039" s="21"/>
      <c r="L1039" s="21"/>
      <c r="M1039" s="21"/>
      <c r="N1039" s="21"/>
      <c r="O1039" s="47"/>
      <c r="P1039" s="21"/>
      <c r="Q1039" s="21"/>
      <c r="R1039" s="36"/>
      <c r="T1039" s="855" t="s">
        <v>2120</v>
      </c>
      <c r="U1039" s="1160">
        <f t="shared" si="264"/>
        <v>0</v>
      </c>
    </row>
    <row r="1040" spans="1:41" ht="12.75" customHeight="1" x14ac:dyDescent="0.2">
      <c r="A1040" s="227">
        <v>1040</v>
      </c>
      <c r="B1040" s="5988"/>
      <c r="C1040" s="564" t="str">
        <f t="shared" si="262"/>
        <v>Controlar a distancia</v>
      </c>
      <c r="D1040" s="878">
        <f t="shared" si="263"/>
        <v>2</v>
      </c>
      <c r="E1040" s="134" t="s">
        <v>1118</v>
      </c>
      <c r="F1040" s="77">
        <v>20</v>
      </c>
      <c r="G1040" s="77">
        <v>20</v>
      </c>
      <c r="H1040" s="86">
        <f>IF(COUNTIF(PDs!$E$81:$H$85,E1040)&gt;0,1,0)</f>
        <v>0</v>
      </c>
      <c r="I1040" s="589" t="str">
        <f>IF(MAX(HA_final,Místicos!$P$12,Psíquicos!$P$12)&lt;120,"NO","-")</f>
        <v>NO</v>
      </c>
      <c r="J1040" s="14" t="s">
        <v>1119</v>
      </c>
      <c r="K1040" s="21"/>
      <c r="L1040" s="21"/>
      <c r="M1040" s="21"/>
      <c r="N1040" s="21"/>
      <c r="O1040" s="47"/>
      <c r="P1040" s="21"/>
      <c r="Q1040" s="21"/>
      <c r="R1040" s="36"/>
      <c r="T1040" s="855" t="s">
        <v>2169</v>
      </c>
      <c r="U1040" s="1160">
        <f t="shared" si="264"/>
        <v>0</v>
      </c>
    </row>
    <row r="1041" spans="1:29" ht="12.75" customHeight="1" x14ac:dyDescent="0.2">
      <c r="A1041" s="227">
        <v>1041</v>
      </c>
      <c r="B1041" s="5988"/>
      <c r="C1041" s="564" t="str">
        <f t="shared" si="262"/>
        <v>Escudo protector</v>
      </c>
      <c r="D1041" s="878">
        <f t="shared" si="263"/>
        <v>7</v>
      </c>
      <c r="E1041" s="134" t="s">
        <v>1120</v>
      </c>
      <c r="F1041" s="77">
        <v>20</v>
      </c>
      <c r="G1041" s="77">
        <v>0</v>
      </c>
      <c r="H1041" s="86">
        <f>IF(COUNTIF(PDs!$E$81:$H$85,E1041)&gt;0,1,0)</f>
        <v>0</v>
      </c>
      <c r="I1041" s="589" t="str">
        <f>IF(NOT(Ki!P27="-"),"NO","-")</f>
        <v>NO</v>
      </c>
      <c r="J1041" s="14" t="s">
        <v>1121</v>
      </c>
      <c r="K1041" s="21"/>
      <c r="L1041" s="21"/>
      <c r="M1041" s="21"/>
      <c r="N1041" s="21"/>
      <c r="O1041" s="47"/>
      <c r="P1041" s="21"/>
      <c r="Q1041" s="21"/>
      <c r="R1041" s="36"/>
      <c r="T1041" s="855" t="s">
        <v>2125</v>
      </c>
      <c r="U1041" s="1160">
        <f t="shared" si="264"/>
        <v>0</v>
      </c>
    </row>
    <row r="1042" spans="1:29" ht="12.75" customHeight="1" x14ac:dyDescent="0.2">
      <c r="A1042" s="227">
        <v>1042</v>
      </c>
      <c r="B1042" s="5988"/>
      <c r="C1042" s="564" t="str">
        <f t="shared" si="262"/>
        <v>Incremento de daño</v>
      </c>
      <c r="D1042" s="878">
        <f t="shared" si="263"/>
        <v>6</v>
      </c>
      <c r="E1042" s="134" t="s">
        <v>1122</v>
      </c>
      <c r="F1042" s="77">
        <v>20</v>
      </c>
      <c r="G1042" s="77">
        <v>20</v>
      </c>
      <c r="H1042" s="86">
        <f>IF(COUNTIF(PDs!$E$81:$H$85,E1042)&gt;0,1,0)</f>
        <v>0</v>
      </c>
      <c r="I1042" s="589" t="s">
        <v>1456</v>
      </c>
      <c r="J1042" s="14" t="s">
        <v>1123</v>
      </c>
      <c r="K1042" s="21"/>
      <c r="L1042" s="21"/>
      <c r="M1042" s="21"/>
      <c r="N1042" s="21"/>
      <c r="O1042" s="47"/>
      <c r="P1042" s="21"/>
      <c r="Q1042" s="21"/>
      <c r="R1042" s="36"/>
      <c r="T1042" s="855" t="s">
        <v>2145</v>
      </c>
      <c r="U1042" s="1160">
        <f t="shared" si="264"/>
        <v>0</v>
      </c>
    </row>
    <row r="1043" spans="1:29" ht="12.75" customHeight="1" x14ac:dyDescent="0.2">
      <c r="A1043" s="227">
        <v>1043</v>
      </c>
      <c r="B1043" s="5988"/>
      <c r="C1043" s="564" t="str">
        <f t="shared" si="262"/>
        <v>Movimiento acelerado</v>
      </c>
      <c r="D1043" s="878">
        <f t="shared" si="263"/>
        <v>5</v>
      </c>
      <c r="E1043" s="134" t="s">
        <v>1124</v>
      </c>
      <c r="F1043" s="77">
        <v>10</v>
      </c>
      <c r="G1043" s="77">
        <v>10</v>
      </c>
      <c r="H1043" s="86">
        <f>IF(COUNTIF(PDs!$E$81:$H$85,E1043)&gt;0,1,0)</f>
        <v>0</v>
      </c>
      <c r="I1043" s="589" t="str">
        <f>IF(NOT($L$716="Conocida"),"NO","-")</f>
        <v>NO</v>
      </c>
      <c r="J1043" s="14" t="s">
        <v>1125</v>
      </c>
      <c r="K1043" s="21"/>
      <c r="L1043" s="21"/>
      <c r="M1043" s="21"/>
      <c r="N1043" s="21"/>
      <c r="O1043" s="47"/>
      <c r="P1043" s="21"/>
      <c r="Q1043" s="21"/>
      <c r="R1043" s="36"/>
      <c r="T1043" s="855" t="s">
        <v>2113</v>
      </c>
      <c r="U1043" s="1160">
        <f t="shared" si="264"/>
        <v>0</v>
      </c>
    </row>
    <row r="1044" spans="1:29" ht="12.75" customHeight="1" x14ac:dyDescent="0.2">
      <c r="A1044" s="227">
        <v>1044</v>
      </c>
      <c r="B1044" s="5988"/>
      <c r="C1044" s="564" t="str">
        <f t="shared" si="262"/>
        <v>Refuerzo físico</v>
      </c>
      <c r="D1044" s="878">
        <f t="shared" si="263"/>
        <v>8</v>
      </c>
      <c r="E1044" s="134" t="s">
        <v>1126</v>
      </c>
      <c r="F1044" s="77">
        <v>20</v>
      </c>
      <c r="G1044" s="77">
        <v>10</v>
      </c>
      <c r="H1044" s="86">
        <f>IF(COUNTIF(PDs!$E$81:$H$85,E1044)&gt;0,1,0)</f>
        <v>0</v>
      </c>
      <c r="I1044" s="589" t="s">
        <v>1456</v>
      </c>
      <c r="J1044" s="14" t="s">
        <v>1127</v>
      </c>
      <c r="K1044" s="21"/>
      <c r="L1044" s="21"/>
      <c r="M1044" s="21"/>
      <c r="N1044" s="21"/>
      <c r="O1044" s="47"/>
      <c r="P1044" s="21"/>
      <c r="Q1044" s="21"/>
      <c r="R1044" s="36"/>
      <c r="T1044" s="855" t="s">
        <v>2141</v>
      </c>
      <c r="U1044" s="1160">
        <f t="shared" si="264"/>
        <v>0</v>
      </c>
    </row>
    <row r="1045" spans="1:29" ht="12.75" customHeight="1" x14ac:dyDescent="0.2">
      <c r="A1045" s="227">
        <v>1045</v>
      </c>
      <c r="B1045" s="5988"/>
      <c r="C1045" s="564" t="str">
        <f t="shared" si="262"/>
        <v>Técnica característica</v>
      </c>
      <c r="D1045" s="878">
        <f t="shared" si="263"/>
        <v>9</v>
      </c>
      <c r="E1045" s="134" t="s">
        <v>1128</v>
      </c>
      <c r="F1045" s="77">
        <v>40</v>
      </c>
      <c r="G1045" s="77">
        <v>30</v>
      </c>
      <c r="H1045" s="86">
        <f>IF(COUNTIF(PDs!$E$81:$H$85,E1045)&gt;0,1,0)</f>
        <v>0</v>
      </c>
      <c r="I1045" s="589" t="str">
        <f>IF(OR(HA_final&lt;120,HD_final&lt;120),"NO","-")</f>
        <v>NO</v>
      </c>
      <c r="J1045" s="14" t="s">
        <v>1129</v>
      </c>
      <c r="K1045" s="21"/>
      <c r="L1045" s="21"/>
      <c r="M1045" s="21"/>
      <c r="N1045" s="21"/>
      <c r="O1045" s="47"/>
      <c r="P1045" s="21"/>
      <c r="Q1045" s="21"/>
      <c r="R1045" s="36"/>
      <c r="T1045" s="855" t="s">
        <v>2197</v>
      </c>
      <c r="U1045" s="1160">
        <f t="shared" si="264"/>
        <v>0</v>
      </c>
    </row>
    <row r="1046" spans="1:29" ht="12.75" customHeight="1" thickBot="1" x14ac:dyDescent="0.25">
      <c r="A1046" s="227">
        <v>1046</v>
      </c>
      <c r="B1046" s="5988"/>
      <c r="C1046" s="229" t="str">
        <f t="shared" si="262"/>
        <v>Técnica mayor</v>
      </c>
      <c r="D1046" s="228">
        <f t="shared" si="263"/>
        <v>10</v>
      </c>
      <c r="E1046" s="219" t="s">
        <v>1130</v>
      </c>
      <c r="F1046" s="197">
        <v>20</v>
      </c>
      <c r="G1046" s="197">
        <v>20</v>
      </c>
      <c r="H1046" s="190">
        <f>IF(COUNTIF(PDs!$E$81:$H$85,E1046)&gt;0,1,0)</f>
        <v>0</v>
      </c>
      <c r="I1046" s="613" t="str">
        <f>IF(OR(HA_final&lt;180,H1045=0,HD_final&lt;180),"NO","-")</f>
        <v>NO</v>
      </c>
      <c r="J1046" s="19" t="s">
        <v>1131</v>
      </c>
      <c r="K1046" s="68"/>
      <c r="L1046" s="68"/>
      <c r="M1046" s="68"/>
      <c r="N1046" s="68"/>
      <c r="O1046" s="605"/>
      <c r="P1046" s="68"/>
      <c r="Q1046" s="68"/>
      <c r="R1046" s="69"/>
      <c r="T1046" s="2667" t="s">
        <v>10116</v>
      </c>
      <c r="U1046" s="2668">
        <f>COUNTIF(U1037:U1045,"&gt;0")</f>
        <v>1</v>
      </c>
    </row>
    <row r="1047" spans="1:29" ht="12.75" customHeight="1" thickBot="1" x14ac:dyDescent="0.25">
      <c r="A1047" s="227">
        <v>1047</v>
      </c>
      <c r="B1047" s="5988"/>
      <c r="H1047"/>
      <c r="N1047"/>
    </row>
    <row r="1048" spans="1:29" ht="12.75" customHeight="1" thickBot="1" x14ac:dyDescent="0.25">
      <c r="A1048" s="227">
        <v>1048</v>
      </c>
      <c r="B1048" s="5988"/>
      <c r="C1048" s="6058" t="s">
        <v>1132</v>
      </c>
      <c r="D1048" s="6058"/>
      <c r="E1048" s="6058"/>
      <c r="F1048" s="6058"/>
      <c r="G1048" s="6058"/>
      <c r="H1048" s="6058"/>
      <c r="I1048" s="6058"/>
      <c r="J1048" s="6058"/>
      <c r="K1048" s="6058"/>
      <c r="L1048" s="6058"/>
      <c r="N1048"/>
    </row>
    <row r="1049" spans="1:29" ht="12.75" customHeight="1" x14ac:dyDescent="0.2">
      <c r="A1049" s="227">
        <v>1049</v>
      </c>
      <c r="B1049" s="5988"/>
      <c r="C1049" s="6058"/>
      <c r="D1049" s="6058"/>
      <c r="E1049" s="6058"/>
      <c r="F1049" s="6058"/>
      <c r="G1049" s="6058"/>
      <c r="H1049" s="6058"/>
      <c r="I1049" s="6058"/>
      <c r="J1049" s="6058"/>
      <c r="K1049" s="6058"/>
      <c r="L1049" s="6058"/>
      <c r="N1049"/>
    </row>
    <row r="1050" spans="1:29" ht="12.75" customHeight="1" thickBot="1" x14ac:dyDescent="0.25">
      <c r="A1050" s="227">
        <v>1050</v>
      </c>
      <c r="B1050" s="5988"/>
      <c r="C1050" s="6283" t="s">
        <v>2526</v>
      </c>
      <c r="D1050" s="6283"/>
      <c r="E1050" s="6283"/>
      <c r="F1050" s="174" t="s">
        <v>1490</v>
      </c>
      <c r="G1050" s="6270" t="s">
        <v>1549</v>
      </c>
      <c r="H1050" s="6270"/>
      <c r="I1050" s="6270"/>
      <c r="J1050" s="6270"/>
      <c r="K1050" s="6270"/>
      <c r="L1050" s="6270"/>
      <c r="N1050"/>
    </row>
    <row r="1051" spans="1:29" ht="12.75" customHeight="1" x14ac:dyDescent="0.2">
      <c r="A1051" s="227">
        <v>1051</v>
      </c>
      <c r="B1051" s="5988"/>
      <c r="C1051" s="82"/>
      <c r="D1051" s="46"/>
      <c r="E1051" s="238" t="s">
        <v>1133</v>
      </c>
      <c r="F1051" s="192">
        <v>75</v>
      </c>
      <c r="G1051" s="239" t="s">
        <v>1134</v>
      </c>
      <c r="H1051" s="46"/>
      <c r="I1051" s="609"/>
      <c r="J1051" s="46"/>
      <c r="K1051" s="46"/>
      <c r="L1051" s="83"/>
      <c r="N1051"/>
    </row>
    <row r="1052" spans="1:29" ht="12.75" customHeight="1" x14ac:dyDescent="0.2">
      <c r="A1052" s="227">
        <v>1052</v>
      </c>
      <c r="B1052" s="5988"/>
      <c r="C1052" s="35"/>
      <c r="D1052" s="21"/>
      <c r="E1052" s="220" t="s">
        <v>1135</v>
      </c>
      <c r="F1052" s="86">
        <v>75</v>
      </c>
      <c r="G1052" s="39" t="s">
        <v>1136</v>
      </c>
      <c r="H1052" s="21"/>
      <c r="I1052" s="47"/>
      <c r="J1052" s="21"/>
      <c r="K1052" s="21"/>
      <c r="L1052" s="36"/>
      <c r="N1052"/>
    </row>
    <row r="1053" spans="1:29" ht="12.75" customHeight="1" thickBot="1" x14ac:dyDescent="0.25">
      <c r="A1053" s="227">
        <v>1053</v>
      </c>
      <c r="B1053" s="5988"/>
      <c r="C1053" s="67"/>
      <c r="D1053" s="68"/>
      <c r="E1053" s="221" t="s">
        <v>1137</v>
      </c>
      <c r="F1053" s="190">
        <v>100</v>
      </c>
      <c r="G1053" s="240" t="s">
        <v>1138</v>
      </c>
      <c r="H1053" s="228"/>
      <c r="I1053" s="228"/>
      <c r="J1053" s="228"/>
      <c r="K1053" s="228"/>
      <c r="L1053" s="69"/>
      <c r="N1053"/>
    </row>
    <row r="1054" spans="1:29" ht="12.75" customHeight="1" x14ac:dyDescent="0.2">
      <c r="A1054" s="227">
        <v>1054</v>
      </c>
      <c r="B1054" s="5988"/>
      <c r="H1054"/>
      <c r="I1054" s="559"/>
      <c r="N1054"/>
      <c r="O1054" s="559"/>
    </row>
    <row r="1055" spans="1:29" ht="12.75" customHeight="1" x14ac:dyDescent="0.2">
      <c r="A1055" s="227">
        <v>1055</v>
      </c>
      <c r="B1055" s="5988"/>
      <c r="H1055"/>
      <c r="I1055" s="559"/>
      <c r="N1055"/>
      <c r="O1055" s="559"/>
    </row>
    <row r="1056" spans="1:29" ht="12.75" customHeight="1" x14ac:dyDescent="0.2">
      <c r="A1056" s="227">
        <v>1056</v>
      </c>
      <c r="B1056" s="5988"/>
      <c r="H1056"/>
      <c r="I1056" s="559"/>
      <c r="N1056"/>
      <c r="O1056" s="559"/>
      <c r="AC1056" s="699"/>
    </row>
    <row r="1057" spans="1:30" ht="12.75" customHeight="1" x14ac:dyDescent="0.2">
      <c r="A1057" s="227">
        <v>1057</v>
      </c>
      <c r="B1057" s="5988"/>
      <c r="H1057"/>
      <c r="I1057" s="559"/>
      <c r="N1057"/>
      <c r="O1057" s="559"/>
      <c r="AC1057" s="699"/>
    </row>
    <row r="1058" spans="1:30" ht="12.75" customHeight="1" x14ac:dyDescent="0.2">
      <c r="A1058" s="227">
        <v>1058</v>
      </c>
      <c r="B1058" s="6238"/>
      <c r="C1058" s="6003" t="s">
        <v>7314</v>
      </c>
      <c r="D1058" s="6003"/>
      <c r="E1058" s="6003"/>
      <c r="F1058" s="6003"/>
      <c r="G1058" s="6003"/>
      <c r="H1058" s="6003"/>
      <c r="I1058" s="6003"/>
      <c r="J1058" s="6003"/>
      <c r="K1058" s="6003"/>
      <c r="L1058" s="6003"/>
      <c r="M1058" s="6003"/>
      <c r="N1058" s="6003"/>
      <c r="O1058" s="6003"/>
      <c r="P1058" s="6003"/>
      <c r="Q1058" s="6003"/>
      <c r="R1058" s="6003"/>
      <c r="S1058" s="6003"/>
      <c r="T1058" s="6003"/>
      <c r="U1058" s="6003"/>
      <c r="V1058" s="6003"/>
      <c r="W1058" s="6003"/>
      <c r="X1058" s="6003"/>
      <c r="Y1058" s="6003"/>
      <c r="Z1058" s="6003"/>
      <c r="AA1058" s="6003"/>
      <c r="AB1058" s="6003"/>
      <c r="AC1058" s="6003"/>
      <c r="AD1058" s="6003"/>
    </row>
    <row r="1059" spans="1:30" ht="12.75" customHeight="1" x14ac:dyDescent="0.2">
      <c r="A1059" s="227">
        <v>1059</v>
      </c>
      <c r="B1059" s="6238"/>
      <c r="C1059" s="6003"/>
      <c r="D1059" s="6003"/>
      <c r="E1059" s="6003"/>
      <c r="F1059" s="6003"/>
      <c r="G1059" s="6003"/>
      <c r="H1059" s="6003"/>
      <c r="I1059" s="6003"/>
      <c r="J1059" s="6003"/>
      <c r="K1059" s="6003"/>
      <c r="L1059" s="6003"/>
      <c r="M1059" s="6003"/>
      <c r="N1059" s="6003"/>
      <c r="O1059" s="6003"/>
      <c r="P1059" s="6003"/>
      <c r="Q1059" s="6003"/>
      <c r="R1059" s="6003"/>
      <c r="S1059" s="6003"/>
      <c r="T1059" s="6003"/>
      <c r="U1059" s="6003"/>
      <c r="V1059" s="6003"/>
      <c r="W1059" s="6003"/>
      <c r="X1059" s="6003"/>
      <c r="Y1059" s="6003"/>
      <c r="Z1059" s="6003"/>
      <c r="AA1059" s="6003"/>
      <c r="AB1059" s="6003"/>
      <c r="AC1059" s="6003"/>
      <c r="AD1059" s="6003"/>
    </row>
    <row r="1060" spans="1:30" ht="12.75" customHeight="1" x14ac:dyDescent="0.2">
      <c r="A1060" s="227">
        <v>1060</v>
      </c>
      <c r="B1060" s="6238"/>
      <c r="C1060" s="6003"/>
      <c r="D1060" s="6003"/>
      <c r="E1060" s="6003"/>
      <c r="F1060" s="6003"/>
      <c r="G1060" s="6003"/>
      <c r="H1060" s="6003"/>
      <c r="I1060" s="6003"/>
      <c r="J1060" s="6003"/>
      <c r="K1060" s="6003"/>
      <c r="L1060" s="6003"/>
      <c r="M1060" s="6003"/>
      <c r="N1060" s="6003"/>
      <c r="O1060" s="6003"/>
      <c r="P1060" s="6003"/>
      <c r="Q1060" s="6003"/>
      <c r="R1060" s="6003"/>
      <c r="S1060" s="6003"/>
      <c r="T1060" s="6003"/>
      <c r="U1060" s="6003"/>
      <c r="V1060" s="6003"/>
      <c r="W1060" s="6003"/>
      <c r="X1060" s="6003"/>
      <c r="Y1060" s="6003"/>
      <c r="Z1060" s="6003"/>
      <c r="AA1060" s="6003"/>
      <c r="AB1060" s="6003"/>
      <c r="AC1060" s="6003"/>
      <c r="AD1060" s="6003"/>
    </row>
    <row r="1061" spans="1:30" ht="12.75" customHeight="1" thickBot="1" x14ac:dyDescent="0.25">
      <c r="A1061" s="227">
        <v>1061</v>
      </c>
      <c r="B1061" s="6238"/>
      <c r="H1061"/>
      <c r="I1061" s="559"/>
      <c r="N1061"/>
      <c r="O1061" s="559"/>
      <c r="AC1061" s="699"/>
    </row>
    <row r="1062" spans="1:30" ht="12.75" customHeight="1" thickBot="1" x14ac:dyDescent="0.25">
      <c r="A1062" s="227">
        <v>1062</v>
      </c>
      <c r="B1062" s="6238"/>
      <c r="C1062" s="6058" t="s">
        <v>1212</v>
      </c>
      <c r="D1062" s="6058"/>
      <c r="E1062" s="6058"/>
      <c r="F1062" s="6058"/>
      <c r="G1062" s="6058"/>
      <c r="H1062" s="6058"/>
      <c r="I1062" s="6058"/>
      <c r="J1062" s="6058"/>
      <c r="K1062" s="6058"/>
      <c r="L1062" s="6058"/>
      <c r="M1062" s="6058"/>
      <c r="N1062"/>
      <c r="O1062" s="559"/>
      <c r="P1062" s="4839" t="s">
        <v>1139</v>
      </c>
      <c r="Q1062" s="4839"/>
      <c r="S1062" s="4839" t="s">
        <v>94</v>
      </c>
      <c r="T1062" s="4839"/>
      <c r="U1062" s="4839"/>
      <c r="W1062" s="6059" t="s">
        <v>1242</v>
      </c>
      <c r="X1062" s="6059"/>
      <c r="Z1062" s="6227" t="s">
        <v>647</v>
      </c>
      <c r="AA1062" s="6228"/>
      <c r="AB1062" s="6228"/>
      <c r="AC1062" s="6228"/>
      <c r="AD1062" s="6229"/>
    </row>
    <row r="1063" spans="1:30" ht="12.75" customHeight="1" thickBot="1" x14ac:dyDescent="0.25">
      <c r="A1063" s="227">
        <v>1063</v>
      </c>
      <c r="B1063" s="6238"/>
      <c r="C1063" s="6058"/>
      <c r="D1063" s="6058"/>
      <c r="E1063" s="6058"/>
      <c r="F1063" s="6058"/>
      <c r="G1063" s="6058"/>
      <c r="H1063" s="6058"/>
      <c r="I1063" s="6058"/>
      <c r="J1063" s="6058"/>
      <c r="K1063" s="6058"/>
      <c r="L1063" s="6058"/>
      <c r="M1063" s="6058"/>
      <c r="N1063"/>
      <c r="O1063" s="559"/>
      <c r="P1063" s="4839"/>
      <c r="Q1063" s="4839"/>
      <c r="S1063" s="4839"/>
      <c r="T1063" s="4839"/>
      <c r="U1063" s="4839"/>
      <c r="W1063" s="173" t="s">
        <v>1392</v>
      </c>
      <c r="X1063" s="175" t="s">
        <v>1243</v>
      </c>
      <c r="Z1063" s="6230"/>
      <c r="AA1063" s="4931"/>
      <c r="AB1063" s="4931"/>
      <c r="AC1063" s="4931"/>
      <c r="AD1063" s="6231"/>
    </row>
    <row r="1064" spans="1:30" ht="12.75" customHeight="1" thickBot="1" x14ac:dyDescent="0.25">
      <c r="A1064" s="227">
        <v>1064</v>
      </c>
      <c r="B1064" s="6238"/>
      <c r="C1064" s="6178" t="s">
        <v>1638</v>
      </c>
      <c r="D1064" s="6178"/>
      <c r="E1064" s="201" t="s">
        <v>1490</v>
      </c>
      <c r="F1064" s="6118" t="s">
        <v>1549</v>
      </c>
      <c r="G1064" s="6118"/>
      <c r="H1064" s="6118"/>
      <c r="I1064" s="6118"/>
      <c r="J1064" s="6118"/>
      <c r="K1064" s="6118"/>
      <c r="L1064" s="6118"/>
      <c r="M1064" s="6118"/>
      <c r="N1064"/>
      <c r="O1064" s="559"/>
      <c r="P1064" s="173" t="s">
        <v>1386</v>
      </c>
      <c r="Q1064" s="175" t="s">
        <v>1140</v>
      </c>
      <c r="S1064" s="268" t="s">
        <v>95</v>
      </c>
      <c r="T1064" s="174" t="s">
        <v>96</v>
      </c>
      <c r="U1064" s="175" t="s">
        <v>97</v>
      </c>
      <c r="W1064" s="194">
        <v>1</v>
      </c>
      <c r="X1064" s="50">
        <v>0</v>
      </c>
      <c r="Z1064" s="6226" t="s">
        <v>1441</v>
      </c>
      <c r="AA1064" s="6064"/>
      <c r="AB1064" s="6064"/>
      <c r="AC1064" s="598" t="s">
        <v>1356</v>
      </c>
      <c r="AD1064" s="1271" t="s">
        <v>1509</v>
      </c>
    </row>
    <row r="1065" spans="1:30" ht="12.75" customHeight="1" x14ac:dyDescent="0.2">
      <c r="A1065" s="227">
        <v>1065</v>
      </c>
      <c r="B1065" s="6238"/>
      <c r="C1065" s="254"/>
      <c r="D1065" s="80" t="s">
        <v>1213</v>
      </c>
      <c r="E1065" s="77">
        <v>20</v>
      </c>
      <c r="F1065" s="39" t="s">
        <v>1214</v>
      </c>
      <c r="G1065" s="21"/>
      <c r="H1065" s="21"/>
      <c r="I1065" s="47"/>
      <c r="J1065" s="21"/>
      <c r="K1065" s="21"/>
      <c r="L1065" s="21"/>
      <c r="M1065" s="36"/>
      <c r="N1065"/>
      <c r="O1065" s="559"/>
      <c r="P1065" s="191">
        <v>1</v>
      </c>
      <c r="Q1065" s="193">
        <v>0</v>
      </c>
      <c r="S1065" s="88">
        <v>4</v>
      </c>
      <c r="T1065" s="86">
        <v>1</v>
      </c>
      <c r="U1065" s="50">
        <v>1</v>
      </c>
      <c r="W1065" s="194">
        <v>2</v>
      </c>
      <c r="X1065" s="50">
        <v>0</v>
      </c>
      <c r="Z1065" s="564" t="str">
        <f t="shared" ref="Z1065:Z1109" si="265">VLOOKUP(A1,$AA$1065:$AB$1109,2,0)</f>
        <v>&gt; ARCANOS</v>
      </c>
      <c r="AA1065" s="878">
        <f>COUNTIF($AB$1065:$AB$1109,"&lt;="&amp;AB1065)</f>
        <v>1</v>
      </c>
      <c r="AB1065" s="1272" t="s">
        <v>648</v>
      </c>
      <c r="AC1065" s="1273"/>
      <c r="AD1065" s="1274"/>
    </row>
    <row r="1066" spans="1:30" ht="12.75" customHeight="1" x14ac:dyDescent="0.2">
      <c r="A1066" s="227">
        <v>1066</v>
      </c>
      <c r="B1066" s="6238"/>
      <c r="C1066" s="88"/>
      <c r="D1066" s="80" t="s">
        <v>1215</v>
      </c>
      <c r="E1066" s="77">
        <v>15</v>
      </c>
      <c r="F1066" s="39" t="s">
        <v>1216</v>
      </c>
      <c r="G1066" s="21"/>
      <c r="H1066" s="21"/>
      <c r="I1066" s="47"/>
      <c r="J1066" s="21"/>
      <c r="K1066" s="21"/>
      <c r="L1066" s="21"/>
      <c r="M1066" s="36"/>
      <c r="N1066"/>
      <c r="O1066" s="559"/>
      <c r="P1066" s="194">
        <v>2</v>
      </c>
      <c r="Q1066" s="50">
        <v>0</v>
      </c>
      <c r="S1066" s="88">
        <v>8</v>
      </c>
      <c r="T1066" s="86">
        <v>1</v>
      </c>
      <c r="U1066" s="50">
        <v>2</v>
      </c>
      <c r="W1066" s="194">
        <v>3</v>
      </c>
      <c r="X1066" s="50">
        <v>0</v>
      </c>
      <c r="Z1066" s="564" t="str">
        <f t="shared" si="265"/>
        <v>El Carro</v>
      </c>
      <c r="AA1066" s="878">
        <f t="shared" ref="AA1066:AA1109" si="266">COUNTIF($AB$1065:$AB$1109,"&lt;="&amp;AB1066)</f>
        <v>16</v>
      </c>
      <c r="AB1066" s="1275" t="s">
        <v>649</v>
      </c>
      <c r="AC1066" s="870">
        <v>120</v>
      </c>
      <c r="AD1066" s="1274">
        <v>100</v>
      </c>
    </row>
    <row r="1067" spans="1:30" ht="12.75" customHeight="1" x14ac:dyDescent="0.2">
      <c r="A1067" s="227">
        <v>1067</v>
      </c>
      <c r="B1067" s="6238"/>
      <c r="C1067" s="88"/>
      <c r="D1067" s="80" t="s">
        <v>1217</v>
      </c>
      <c r="E1067" s="77">
        <v>20</v>
      </c>
      <c r="F1067" s="39" t="s">
        <v>1218</v>
      </c>
      <c r="G1067" s="21"/>
      <c r="H1067" s="21"/>
      <c r="I1067" s="47"/>
      <c r="J1067" s="21"/>
      <c r="K1067" s="21"/>
      <c r="L1067" s="21"/>
      <c r="M1067" s="36"/>
      <c r="N1067"/>
      <c r="O1067" s="559"/>
      <c r="P1067" s="194">
        <v>3</v>
      </c>
      <c r="Q1067" s="50">
        <v>0</v>
      </c>
      <c r="S1067" s="88">
        <v>14</v>
      </c>
      <c r="T1067" s="86">
        <v>2</v>
      </c>
      <c r="U1067" s="50">
        <v>3</v>
      </c>
      <c r="W1067" s="194">
        <v>4</v>
      </c>
      <c r="X1067" s="50">
        <v>0</v>
      </c>
      <c r="Z1067" s="564" t="str">
        <f t="shared" si="265"/>
        <v>El Carro invertido</v>
      </c>
      <c r="AA1067" s="878">
        <f t="shared" si="266"/>
        <v>12</v>
      </c>
      <c r="AB1067" s="1276" t="s">
        <v>650</v>
      </c>
      <c r="AC1067" s="47">
        <v>130</v>
      </c>
      <c r="AD1067" s="135">
        <v>100</v>
      </c>
    </row>
    <row r="1068" spans="1:30" ht="12.75" customHeight="1" x14ac:dyDescent="0.2">
      <c r="A1068" s="227">
        <v>1068</v>
      </c>
      <c r="B1068" s="6238"/>
      <c r="C1068" s="88"/>
      <c r="D1068" s="80" t="s">
        <v>1219</v>
      </c>
      <c r="E1068" s="77">
        <v>10</v>
      </c>
      <c r="F1068" s="39" t="s">
        <v>1220</v>
      </c>
      <c r="G1068" s="21"/>
      <c r="H1068" s="21"/>
      <c r="I1068" s="47"/>
      <c r="J1068" s="21"/>
      <c r="K1068" s="21"/>
      <c r="L1068" s="21"/>
      <c r="M1068" s="36"/>
      <c r="N1068"/>
      <c r="O1068" s="559"/>
      <c r="P1068" s="194">
        <v>4</v>
      </c>
      <c r="Q1068" s="50">
        <v>0</v>
      </c>
      <c r="S1068" s="88">
        <v>18</v>
      </c>
      <c r="T1068" s="86">
        <v>2</v>
      </c>
      <c r="U1068" s="50">
        <v>4</v>
      </c>
      <c r="W1068" s="194">
        <v>5</v>
      </c>
      <c r="X1068" s="50">
        <v>10</v>
      </c>
      <c r="Z1068" s="564" t="str">
        <f t="shared" si="265"/>
        <v>El Colgado</v>
      </c>
      <c r="AA1068" s="878">
        <f t="shared" si="266"/>
        <v>38</v>
      </c>
      <c r="AB1068" s="1276" t="s">
        <v>651</v>
      </c>
      <c r="AC1068" s="47">
        <v>140</v>
      </c>
      <c r="AD1068" s="135">
        <v>150</v>
      </c>
    </row>
    <row r="1069" spans="1:30" ht="12.75" customHeight="1" x14ac:dyDescent="0.2">
      <c r="A1069" s="227">
        <v>1069</v>
      </c>
      <c r="B1069" s="6238"/>
      <c r="C1069" s="88"/>
      <c r="D1069" s="80" t="s">
        <v>1221</v>
      </c>
      <c r="E1069" s="77">
        <v>10</v>
      </c>
      <c r="F1069" s="39" t="s">
        <v>1222</v>
      </c>
      <c r="G1069" s="21"/>
      <c r="H1069" s="21"/>
      <c r="I1069" s="47"/>
      <c r="J1069" s="21"/>
      <c r="K1069" s="21"/>
      <c r="L1069" s="21"/>
      <c r="M1069" s="36"/>
      <c r="N1069"/>
      <c r="O1069" s="559"/>
      <c r="P1069" s="194">
        <v>5</v>
      </c>
      <c r="Q1069" s="50">
        <v>0</v>
      </c>
      <c r="S1069" s="88">
        <v>24</v>
      </c>
      <c r="T1069" s="86">
        <v>3</v>
      </c>
      <c r="U1069" s="50">
        <v>5</v>
      </c>
      <c r="W1069" s="88">
        <v>6</v>
      </c>
      <c r="X1069" s="50">
        <v>20</v>
      </c>
      <c r="Z1069" s="564" t="str">
        <f t="shared" si="265"/>
        <v>El Colgado invertido</v>
      </c>
      <c r="AA1069" s="878">
        <f t="shared" si="266"/>
        <v>24</v>
      </c>
      <c r="AB1069" s="1276" t="s">
        <v>652</v>
      </c>
      <c r="AC1069" s="47">
        <v>150</v>
      </c>
      <c r="AD1069" s="135">
        <v>200</v>
      </c>
    </row>
    <row r="1070" spans="1:30" ht="12.75" customHeight="1" x14ac:dyDescent="0.2">
      <c r="A1070" s="227">
        <v>1070</v>
      </c>
      <c r="B1070" s="6238"/>
      <c r="C1070" s="88"/>
      <c r="D1070" s="80" t="s">
        <v>1223</v>
      </c>
      <c r="E1070" s="77">
        <v>20</v>
      </c>
      <c r="F1070" s="39" t="s">
        <v>1224</v>
      </c>
      <c r="G1070" s="21"/>
      <c r="H1070" s="21"/>
      <c r="I1070" s="47"/>
      <c r="J1070" s="21"/>
      <c r="K1070" s="21"/>
      <c r="L1070" s="21"/>
      <c r="M1070" s="36"/>
      <c r="N1070"/>
      <c r="O1070" s="559"/>
      <c r="P1070" s="88">
        <v>6</v>
      </c>
      <c r="Q1070" s="50">
        <v>10</v>
      </c>
      <c r="S1070" s="88">
        <v>28</v>
      </c>
      <c r="T1070" s="86">
        <v>3</v>
      </c>
      <c r="U1070" s="50">
        <v>6</v>
      </c>
      <c r="W1070" s="88">
        <v>7</v>
      </c>
      <c r="X1070" s="50">
        <v>30</v>
      </c>
      <c r="Z1070" s="564" t="str">
        <f t="shared" si="265"/>
        <v>El Diablo</v>
      </c>
      <c r="AA1070" s="878">
        <f t="shared" si="266"/>
        <v>8</v>
      </c>
      <c r="AB1070" s="1276" t="s">
        <v>653</v>
      </c>
      <c r="AC1070" s="47">
        <v>160</v>
      </c>
      <c r="AD1070" s="135">
        <v>200</v>
      </c>
    </row>
    <row r="1071" spans="1:30" ht="12.75" customHeight="1" thickBot="1" x14ac:dyDescent="0.25">
      <c r="A1071" s="227">
        <v>1071</v>
      </c>
      <c r="B1071" s="6238"/>
      <c r="C1071" s="189"/>
      <c r="D1071" s="247" t="s">
        <v>1225</v>
      </c>
      <c r="E1071" s="197">
        <v>10</v>
      </c>
      <c r="F1071" s="255" t="s">
        <v>1226</v>
      </c>
      <c r="G1071" s="68"/>
      <c r="H1071" s="68"/>
      <c r="I1071" s="605"/>
      <c r="J1071" s="68"/>
      <c r="K1071" s="68"/>
      <c r="L1071" s="68"/>
      <c r="M1071" s="69"/>
      <c r="N1071"/>
      <c r="O1071" s="559"/>
      <c r="P1071" s="88">
        <v>7</v>
      </c>
      <c r="Q1071" s="50">
        <v>20</v>
      </c>
      <c r="S1071" s="88">
        <v>34</v>
      </c>
      <c r="T1071" s="86">
        <v>4</v>
      </c>
      <c r="U1071" s="50">
        <v>7</v>
      </c>
      <c r="W1071" s="88">
        <v>8</v>
      </c>
      <c r="X1071" s="50">
        <v>40</v>
      </c>
      <c r="Z1071" s="564" t="str">
        <f t="shared" si="265"/>
        <v>El Diablo invertido</v>
      </c>
      <c r="AA1071" s="878">
        <f t="shared" si="266"/>
        <v>22</v>
      </c>
      <c r="AB1071" s="1276" t="s">
        <v>654</v>
      </c>
      <c r="AC1071" s="47">
        <v>170</v>
      </c>
      <c r="AD1071" s="135">
        <v>250</v>
      </c>
    </row>
    <row r="1072" spans="1:30" ht="12.75" customHeight="1" thickBot="1" x14ac:dyDescent="0.25">
      <c r="A1072" s="227">
        <v>1072</v>
      </c>
      <c r="B1072" s="6238"/>
      <c r="H1072"/>
      <c r="I1072" s="559"/>
      <c r="L1072" s="251"/>
      <c r="N1072"/>
      <c r="O1072" s="559"/>
      <c r="P1072" s="88">
        <v>8</v>
      </c>
      <c r="Q1072" s="50">
        <v>30</v>
      </c>
      <c r="S1072" s="88">
        <v>38</v>
      </c>
      <c r="T1072" s="86">
        <v>4</v>
      </c>
      <c r="U1072" s="50">
        <v>8</v>
      </c>
      <c r="W1072" s="88">
        <v>9</v>
      </c>
      <c r="X1072" s="50">
        <v>50</v>
      </c>
      <c r="Z1072" s="564" t="str">
        <f t="shared" si="265"/>
        <v>El Emperador</v>
      </c>
      <c r="AA1072" s="878">
        <f t="shared" si="266"/>
        <v>44</v>
      </c>
      <c r="AB1072" s="1276" t="s">
        <v>655</v>
      </c>
      <c r="AC1072" s="47">
        <v>180</v>
      </c>
      <c r="AD1072" s="135">
        <v>250</v>
      </c>
    </row>
    <row r="1073" spans="1:30" ht="12.75" customHeight="1" thickBot="1" x14ac:dyDescent="0.25">
      <c r="A1073" s="227">
        <v>1073</v>
      </c>
      <c r="B1073" s="6238"/>
      <c r="C1073" s="6286" t="s">
        <v>1227</v>
      </c>
      <c r="E1073" s="6255" t="s">
        <v>6849</v>
      </c>
      <c r="G1073" s="6033" t="s">
        <v>6853</v>
      </c>
      <c r="H1073" s="6034"/>
      <c r="I1073" s="6287" t="s">
        <v>6283</v>
      </c>
      <c r="K1073" s="3631" t="s">
        <v>1231</v>
      </c>
      <c r="L1073" s="251"/>
      <c r="M1073" s="6114" t="s">
        <v>1146</v>
      </c>
      <c r="N1073" s="6114"/>
      <c r="O1073" s="559"/>
      <c r="P1073" s="88">
        <v>9</v>
      </c>
      <c r="Q1073" s="50">
        <v>40</v>
      </c>
      <c r="S1073" s="88">
        <v>44</v>
      </c>
      <c r="T1073" s="86">
        <v>5</v>
      </c>
      <c r="U1073" s="50">
        <v>9</v>
      </c>
      <c r="W1073" s="194">
        <v>10</v>
      </c>
      <c r="X1073" s="50">
        <v>60</v>
      </c>
      <c r="Z1073" s="564" t="str">
        <f t="shared" si="265"/>
        <v>El Emperador invertido</v>
      </c>
      <c r="AA1073" s="878">
        <f t="shared" si="266"/>
        <v>2</v>
      </c>
      <c r="AB1073" s="1276" t="s">
        <v>656</v>
      </c>
      <c r="AC1073" s="47">
        <v>190</v>
      </c>
      <c r="AD1073" s="135">
        <v>300</v>
      </c>
    </row>
    <row r="1074" spans="1:30" ht="12.75" customHeight="1" thickBot="1" x14ac:dyDescent="0.25">
      <c r="A1074" s="227">
        <v>1074</v>
      </c>
      <c r="B1074" s="6238"/>
      <c r="C1074" s="6286"/>
      <c r="E1074" s="6256"/>
      <c r="G1074" s="6093"/>
      <c r="H1074" s="6104"/>
      <c r="I1074" s="6288" t="s">
        <v>6283</v>
      </c>
      <c r="K1074" s="3631"/>
      <c r="M1074" s="6114"/>
      <c r="N1074" s="6114"/>
      <c r="O1074" s="559"/>
      <c r="P1074" s="194">
        <v>10</v>
      </c>
      <c r="Q1074" s="50">
        <v>50</v>
      </c>
      <c r="S1074" s="88">
        <v>48</v>
      </c>
      <c r="T1074" s="86">
        <v>5</v>
      </c>
      <c r="U1074" s="50">
        <v>10</v>
      </c>
      <c r="W1074" s="88">
        <v>11</v>
      </c>
      <c r="X1074" s="50">
        <v>70</v>
      </c>
      <c r="Z1074" s="564" t="str">
        <f t="shared" si="265"/>
        <v>El Ermitaño</v>
      </c>
      <c r="AA1074" s="878">
        <f t="shared" si="266"/>
        <v>28</v>
      </c>
      <c r="AB1074" s="1276" t="s">
        <v>657</v>
      </c>
      <c r="AC1074" s="47">
        <v>200</v>
      </c>
      <c r="AD1074" s="135">
        <v>350</v>
      </c>
    </row>
    <row r="1075" spans="1:30" ht="12.75" customHeight="1" thickBot="1" x14ac:dyDescent="0.25">
      <c r="A1075" s="227">
        <v>1075</v>
      </c>
      <c r="B1075" s="6238"/>
      <c r="C1075" s="256" t="s">
        <v>1699</v>
      </c>
      <c r="E1075" s="707" t="s">
        <v>6855</v>
      </c>
      <c r="G1075" s="6033" t="s">
        <v>6887</v>
      </c>
      <c r="H1075" s="6034"/>
      <c r="I1075" s="991" t="s">
        <v>6888</v>
      </c>
      <c r="K1075" s="224" t="s">
        <v>1232</v>
      </c>
      <c r="M1075" s="200" t="s">
        <v>1147</v>
      </c>
      <c r="N1075" s="202" t="s">
        <v>1490</v>
      </c>
      <c r="O1075" s="559"/>
      <c r="P1075" s="88">
        <v>11</v>
      </c>
      <c r="Q1075" s="50">
        <v>75</v>
      </c>
      <c r="S1075" s="88">
        <v>54</v>
      </c>
      <c r="T1075" s="86">
        <v>6</v>
      </c>
      <c r="U1075" s="50">
        <v>11</v>
      </c>
      <c r="W1075" s="88">
        <v>12</v>
      </c>
      <c r="X1075" s="50">
        <v>80</v>
      </c>
      <c r="Z1075" s="564" t="str">
        <f t="shared" si="265"/>
        <v>El Ermitaño invertido</v>
      </c>
      <c r="AA1075" s="878">
        <f t="shared" si="266"/>
        <v>10</v>
      </c>
      <c r="AB1075" s="1276" t="s">
        <v>658</v>
      </c>
      <c r="AC1075" s="47">
        <v>220</v>
      </c>
      <c r="AD1075" s="135">
        <v>400</v>
      </c>
    </row>
    <row r="1076" spans="1:30" ht="12.75" customHeight="1" x14ac:dyDescent="0.2">
      <c r="A1076" s="227">
        <v>1076</v>
      </c>
      <c r="B1076" s="6238"/>
      <c r="C1076" s="256" t="s">
        <v>1700</v>
      </c>
      <c r="E1076" s="707" t="s">
        <v>6850</v>
      </c>
      <c r="G1076" s="6036"/>
      <c r="H1076" s="4931"/>
      <c r="I1076" s="991" t="s">
        <v>6433</v>
      </c>
      <c r="K1076" s="224" t="s">
        <v>1565</v>
      </c>
      <c r="M1076" s="242">
        <v>2</v>
      </c>
      <c r="N1076" s="243">
        <v>2</v>
      </c>
      <c r="O1076" s="559"/>
      <c r="P1076" s="88">
        <v>12</v>
      </c>
      <c r="Q1076" s="50">
        <v>100</v>
      </c>
      <c r="S1076" s="88">
        <v>58</v>
      </c>
      <c r="T1076" s="86">
        <v>6</v>
      </c>
      <c r="U1076" s="50">
        <v>12</v>
      </c>
      <c r="W1076" s="88">
        <v>13</v>
      </c>
      <c r="X1076" s="50">
        <v>90</v>
      </c>
      <c r="Z1076" s="564" t="str">
        <f t="shared" si="265"/>
        <v>El Hierofante</v>
      </c>
      <c r="AA1076" s="878">
        <f t="shared" si="266"/>
        <v>36</v>
      </c>
      <c r="AB1076" s="1276" t="s">
        <v>659</v>
      </c>
      <c r="AC1076" s="47">
        <v>240</v>
      </c>
      <c r="AD1076" s="135">
        <v>450</v>
      </c>
    </row>
    <row r="1077" spans="1:30" ht="12.75" customHeight="1" thickBot="1" x14ac:dyDescent="0.25">
      <c r="A1077" s="227">
        <v>1077</v>
      </c>
      <c r="B1077" s="6238"/>
      <c r="C1077" s="256" t="s">
        <v>1603</v>
      </c>
      <c r="E1077" s="707" t="s">
        <v>6851</v>
      </c>
      <c r="G1077" s="714" t="s">
        <v>6857</v>
      </c>
      <c r="H1077" s="201" t="s">
        <v>6858</v>
      </c>
      <c r="I1077" s="991" t="s">
        <v>6889</v>
      </c>
      <c r="K1077" s="224" t="s">
        <v>1233</v>
      </c>
      <c r="M1077" s="244">
        <v>12</v>
      </c>
      <c r="N1077" s="245">
        <v>4</v>
      </c>
      <c r="O1077" s="559"/>
      <c r="P1077" s="88">
        <v>13</v>
      </c>
      <c r="Q1077" s="50">
        <v>150</v>
      </c>
      <c r="S1077" s="88">
        <v>64</v>
      </c>
      <c r="T1077" s="86">
        <v>7</v>
      </c>
      <c r="U1077" s="50">
        <v>13</v>
      </c>
      <c r="W1077" s="88">
        <v>14</v>
      </c>
      <c r="X1077" s="50">
        <v>100</v>
      </c>
      <c r="Z1077" s="564" t="str">
        <f t="shared" si="265"/>
        <v>El Hierofante invertido</v>
      </c>
      <c r="AA1077" s="878">
        <f t="shared" si="266"/>
        <v>30</v>
      </c>
      <c r="AB1077" s="1276" t="s">
        <v>660</v>
      </c>
      <c r="AC1077" s="47">
        <v>260</v>
      </c>
      <c r="AD1077" s="135">
        <v>500</v>
      </c>
    </row>
    <row r="1078" spans="1:30" ht="12.75" customHeight="1" x14ac:dyDescent="0.2">
      <c r="A1078" s="227">
        <v>1078</v>
      </c>
      <c r="B1078" s="6238"/>
      <c r="C1078" s="256" t="s">
        <v>1606</v>
      </c>
      <c r="E1078" s="707" t="s">
        <v>6852</v>
      </c>
      <c r="G1078" s="619">
        <v>1</v>
      </c>
      <c r="H1078" s="86">
        <v>14</v>
      </c>
      <c r="I1078" s="991" t="s">
        <v>6890</v>
      </c>
      <c r="K1078" s="224" t="s">
        <v>1234</v>
      </c>
      <c r="M1078" s="244">
        <v>22</v>
      </c>
      <c r="N1078" s="245">
        <v>6</v>
      </c>
      <c r="O1078" s="559"/>
      <c r="P1078" s="88">
        <v>14</v>
      </c>
      <c r="Q1078" s="50">
        <v>200</v>
      </c>
      <c r="S1078" s="88">
        <v>68</v>
      </c>
      <c r="T1078" s="86">
        <v>7</v>
      </c>
      <c r="U1078" s="50">
        <v>14</v>
      </c>
      <c r="W1078" s="194">
        <v>15</v>
      </c>
      <c r="X1078" s="50">
        <v>120</v>
      </c>
      <c r="Z1078" s="564" t="str">
        <f t="shared" si="265"/>
        <v>El Juicio</v>
      </c>
      <c r="AA1078" s="878">
        <f t="shared" si="266"/>
        <v>4</v>
      </c>
      <c r="AB1078" s="1276" t="s">
        <v>661</v>
      </c>
      <c r="AC1078" s="47">
        <v>280</v>
      </c>
      <c r="AD1078" s="135">
        <v>550</v>
      </c>
    </row>
    <row r="1079" spans="1:30" ht="12.75" customHeight="1" thickBot="1" x14ac:dyDescent="0.25">
      <c r="A1079" s="227">
        <v>1079</v>
      </c>
      <c r="B1079" s="6238"/>
      <c r="C1079" s="256" t="s">
        <v>1610</v>
      </c>
      <c r="E1079" s="708" t="s">
        <v>6853</v>
      </c>
      <c r="G1079" s="619">
        <v>2</v>
      </c>
      <c r="H1079" s="86">
        <v>18</v>
      </c>
      <c r="I1079" s="991" t="s">
        <v>6891</v>
      </c>
      <c r="K1079" s="224" t="s">
        <v>1235</v>
      </c>
      <c r="M1079" s="244">
        <v>32</v>
      </c>
      <c r="N1079" s="245">
        <v>8</v>
      </c>
      <c r="O1079" s="559"/>
      <c r="P1079" s="194">
        <v>15</v>
      </c>
      <c r="Q1079" s="50">
        <v>300</v>
      </c>
      <c r="S1079" s="88">
        <v>74</v>
      </c>
      <c r="T1079" s="86">
        <v>8</v>
      </c>
      <c r="U1079" s="50">
        <v>15</v>
      </c>
      <c r="W1079" s="194">
        <v>16</v>
      </c>
      <c r="X1079" s="50">
        <v>140</v>
      </c>
      <c r="Z1079" s="564" t="str">
        <f t="shared" si="265"/>
        <v>El Juicio invertido</v>
      </c>
      <c r="AA1079" s="878">
        <f t="shared" si="266"/>
        <v>34</v>
      </c>
      <c r="AB1079" s="1276" t="s">
        <v>662</v>
      </c>
      <c r="AC1079" s="47">
        <v>300</v>
      </c>
      <c r="AD1079" s="135">
        <v>600</v>
      </c>
    </row>
    <row r="1080" spans="1:30" ht="12.75" customHeight="1" thickBot="1" x14ac:dyDescent="0.25">
      <c r="A1080" s="227">
        <v>1080</v>
      </c>
      <c r="B1080" s="6238"/>
      <c r="C1080" s="256" t="s">
        <v>1704</v>
      </c>
      <c r="G1080" s="619">
        <v>3</v>
      </c>
      <c r="H1080" s="86">
        <v>24</v>
      </c>
      <c r="I1080" s="991" t="s">
        <v>6892</v>
      </c>
      <c r="K1080" s="225" t="s">
        <v>1236</v>
      </c>
      <c r="M1080" s="244">
        <v>42</v>
      </c>
      <c r="N1080" s="245">
        <v>10</v>
      </c>
      <c r="O1080" s="559"/>
      <c r="P1080" s="194">
        <v>16</v>
      </c>
      <c r="Q1080" s="50">
        <v>400</v>
      </c>
      <c r="S1080" s="88">
        <v>78</v>
      </c>
      <c r="T1080" s="86">
        <v>8</v>
      </c>
      <c r="U1080" s="50">
        <v>16</v>
      </c>
      <c r="W1080" s="88">
        <v>17</v>
      </c>
      <c r="X1080" s="50">
        <v>160</v>
      </c>
      <c r="Z1080" s="564" t="str">
        <f t="shared" si="265"/>
        <v>El Loco</v>
      </c>
      <c r="AA1080" s="878">
        <f t="shared" si="266"/>
        <v>40</v>
      </c>
      <c r="AB1080" s="1276" t="s">
        <v>663</v>
      </c>
      <c r="AC1080" s="47">
        <v>320</v>
      </c>
      <c r="AD1080" s="135">
        <v>650</v>
      </c>
    </row>
    <row r="1081" spans="1:30" ht="12.75" customHeight="1" thickBot="1" x14ac:dyDescent="0.25">
      <c r="A1081" s="227">
        <v>1081</v>
      </c>
      <c r="B1081" s="6238"/>
      <c r="C1081" s="107" t="s">
        <v>1228</v>
      </c>
      <c r="G1081" s="619">
        <v>4</v>
      </c>
      <c r="H1081" s="86">
        <v>30</v>
      </c>
      <c r="I1081" s="991" t="s">
        <v>2066</v>
      </c>
      <c r="M1081" s="244">
        <v>52</v>
      </c>
      <c r="N1081" s="245">
        <v>12</v>
      </c>
      <c r="O1081" s="559"/>
      <c r="P1081" s="88">
        <v>17</v>
      </c>
      <c r="Q1081" s="50">
        <v>500</v>
      </c>
      <c r="S1081" s="88">
        <v>84</v>
      </c>
      <c r="T1081" s="86">
        <v>9</v>
      </c>
      <c r="U1081" s="50">
        <v>17</v>
      </c>
      <c r="W1081" s="88">
        <v>18</v>
      </c>
      <c r="X1081" s="50">
        <v>180</v>
      </c>
      <c r="Z1081" s="564" t="str">
        <f t="shared" si="265"/>
        <v>El Loco invertido</v>
      </c>
      <c r="AA1081" s="878">
        <f t="shared" si="266"/>
        <v>6</v>
      </c>
      <c r="AB1081" s="1276" t="s">
        <v>664</v>
      </c>
      <c r="AC1081" s="47">
        <v>340</v>
      </c>
      <c r="AD1081" s="135">
        <v>700</v>
      </c>
    </row>
    <row r="1082" spans="1:30" ht="12.75" customHeight="1" thickBot="1" x14ac:dyDescent="0.25">
      <c r="A1082" s="227">
        <v>1082</v>
      </c>
      <c r="B1082" s="6238"/>
      <c r="G1082" s="713">
        <v>5</v>
      </c>
      <c r="H1082" s="492">
        <v>36</v>
      </c>
      <c r="I1082" s="991" t="s">
        <v>6893</v>
      </c>
      <c r="M1082" s="244">
        <v>62</v>
      </c>
      <c r="N1082" s="245">
        <v>14</v>
      </c>
      <c r="O1082" s="559"/>
      <c r="P1082" s="88">
        <v>18</v>
      </c>
      <c r="Q1082" s="50">
        <v>600</v>
      </c>
      <c r="S1082" s="88">
        <v>88</v>
      </c>
      <c r="T1082" s="86">
        <v>9</v>
      </c>
      <c r="U1082" s="50">
        <v>18</v>
      </c>
      <c r="W1082" s="88">
        <v>19</v>
      </c>
      <c r="X1082" s="50">
        <v>200</v>
      </c>
      <c r="Z1082" s="564" t="str">
        <f t="shared" si="265"/>
        <v>El Mundo</v>
      </c>
      <c r="AA1082" s="878">
        <f t="shared" si="266"/>
        <v>42</v>
      </c>
      <c r="AB1082" s="1276" t="s">
        <v>665</v>
      </c>
      <c r="AC1082" s="47">
        <v>360</v>
      </c>
      <c r="AD1082" s="135">
        <v>750</v>
      </c>
    </row>
    <row r="1083" spans="1:30" ht="12.75" customHeight="1" thickBot="1" x14ac:dyDescent="0.25">
      <c r="A1083" s="227">
        <v>1083</v>
      </c>
      <c r="B1083" s="6238"/>
      <c r="C1083" s="6255" t="s">
        <v>7089</v>
      </c>
      <c r="H1083"/>
      <c r="I1083" s="991" t="s">
        <v>6896</v>
      </c>
      <c r="M1083" s="244">
        <v>72</v>
      </c>
      <c r="N1083" s="245">
        <v>16</v>
      </c>
      <c r="O1083" s="559"/>
      <c r="P1083" s="88">
        <v>19</v>
      </c>
      <c r="Q1083" s="50">
        <v>700</v>
      </c>
      <c r="S1083" s="88">
        <v>94</v>
      </c>
      <c r="T1083" s="86">
        <v>10</v>
      </c>
      <c r="U1083" s="50">
        <v>19</v>
      </c>
      <c r="W1083" s="195">
        <v>20</v>
      </c>
      <c r="X1083" s="182">
        <v>220</v>
      </c>
      <c r="Z1083" s="564" t="str">
        <f t="shared" si="265"/>
        <v>El Mundo invertido</v>
      </c>
      <c r="AA1083" s="878">
        <f t="shared" si="266"/>
        <v>26</v>
      </c>
      <c r="AB1083" s="1276" t="s">
        <v>666</v>
      </c>
      <c r="AC1083" s="47">
        <v>380</v>
      </c>
      <c r="AD1083" s="135">
        <v>800</v>
      </c>
    </row>
    <row r="1084" spans="1:30" ht="12.75" customHeight="1" thickBot="1" x14ac:dyDescent="0.25">
      <c r="A1084" s="227">
        <v>1084</v>
      </c>
      <c r="B1084" s="6238"/>
      <c r="C1084" s="6256"/>
      <c r="H1084"/>
      <c r="I1084" s="991" t="s">
        <v>6897</v>
      </c>
      <c r="M1084" s="244">
        <v>82</v>
      </c>
      <c r="N1084" s="245">
        <v>18</v>
      </c>
      <c r="O1084" s="559"/>
      <c r="P1084" s="195">
        <v>20</v>
      </c>
      <c r="Q1084" s="182">
        <v>800</v>
      </c>
      <c r="S1084" s="189">
        <v>98</v>
      </c>
      <c r="T1084" s="190">
        <v>10</v>
      </c>
      <c r="U1084" s="182">
        <v>20</v>
      </c>
      <c r="Z1084" s="564" t="str">
        <f t="shared" si="265"/>
        <v>El Sol</v>
      </c>
      <c r="AA1084" s="878">
        <f t="shared" si="266"/>
        <v>32</v>
      </c>
      <c r="AB1084" s="1276" t="s">
        <v>667</v>
      </c>
      <c r="AC1084" s="47">
        <v>400</v>
      </c>
      <c r="AD1084" s="135">
        <v>850</v>
      </c>
    </row>
    <row r="1085" spans="1:30" ht="12.75" customHeight="1" thickBot="1" x14ac:dyDescent="0.25">
      <c r="A1085" s="227">
        <v>1085</v>
      </c>
      <c r="B1085" s="6238"/>
      <c r="C1085" s="840" t="s">
        <v>1699</v>
      </c>
      <c r="H1085"/>
      <c r="I1085" s="991" t="s">
        <v>6898</v>
      </c>
      <c r="M1085" s="246">
        <v>92</v>
      </c>
      <c r="N1085" s="241">
        <v>20</v>
      </c>
      <c r="O1085" s="559"/>
      <c r="Z1085" s="564" t="str">
        <f t="shared" si="265"/>
        <v>El Sol invertido</v>
      </c>
      <c r="AA1085" s="878">
        <f t="shared" si="266"/>
        <v>20</v>
      </c>
      <c r="AB1085" s="1276" t="s">
        <v>668</v>
      </c>
      <c r="AC1085" s="47">
        <v>420</v>
      </c>
      <c r="AD1085" s="135">
        <v>900</v>
      </c>
    </row>
    <row r="1086" spans="1:30" ht="12.75" customHeight="1" thickBot="1" x14ac:dyDescent="0.25">
      <c r="A1086" s="227">
        <v>1086</v>
      </c>
      <c r="B1086" s="6238"/>
      <c r="C1086" s="840" t="s">
        <v>1700</v>
      </c>
      <c r="H1086"/>
      <c r="I1086" s="992" t="s">
        <v>6899</v>
      </c>
      <c r="N1086"/>
      <c r="O1086" s="559"/>
      <c r="Z1086" s="564" t="str">
        <f t="shared" si="265"/>
        <v>El Sumo Sacerdote</v>
      </c>
      <c r="AA1086" s="878">
        <f t="shared" si="266"/>
        <v>14</v>
      </c>
      <c r="AB1086" s="1276" t="s">
        <v>669</v>
      </c>
      <c r="AC1086" s="47">
        <v>440</v>
      </c>
      <c r="AD1086" s="135">
        <v>950</v>
      </c>
    </row>
    <row r="1087" spans="1:30" ht="12.75" customHeight="1" x14ac:dyDescent="0.2">
      <c r="A1087" s="227">
        <v>1087</v>
      </c>
      <c r="B1087" s="6238"/>
      <c r="C1087" s="840" t="s">
        <v>1610</v>
      </c>
      <c r="E1087" s="6257" t="s">
        <v>1229</v>
      </c>
      <c r="G1087" s="223"/>
      <c r="H1087"/>
      <c r="O1087" s="559"/>
      <c r="U1087" s="6033" t="s">
        <v>8351</v>
      </c>
      <c r="V1087" s="6034"/>
      <c r="W1087" s="6035"/>
      <c r="Z1087" s="564" t="str">
        <f t="shared" si="265"/>
        <v>El Sumo Sacerdote invertido</v>
      </c>
      <c r="AA1087" s="878">
        <f t="shared" si="266"/>
        <v>18</v>
      </c>
      <c r="AB1087" s="1276" t="s">
        <v>670</v>
      </c>
      <c r="AC1087" s="47">
        <v>460</v>
      </c>
      <c r="AD1087" s="135">
        <v>1000</v>
      </c>
    </row>
    <row r="1088" spans="1:30" ht="12.75" customHeight="1" x14ac:dyDescent="0.2">
      <c r="A1088" s="227">
        <v>1088</v>
      </c>
      <c r="B1088" s="6238"/>
      <c r="C1088" s="840" t="s">
        <v>1606</v>
      </c>
      <c r="E1088" s="6258"/>
      <c r="F1088" s="1350" t="s">
        <v>1399</v>
      </c>
      <c r="G1088" s="1116" t="s">
        <v>7284</v>
      </c>
      <c r="H1088" s="987"/>
      <c r="I1088" s="1311" t="s">
        <v>8477</v>
      </c>
      <c r="J1088" s="1309" t="s">
        <v>6398</v>
      </c>
      <c r="K1088" s="1309" t="s">
        <v>7286</v>
      </c>
      <c r="L1088" s="1309" t="s">
        <v>1510</v>
      </c>
      <c r="M1088" s="1309" t="s">
        <v>8536</v>
      </c>
      <c r="N1088" s="1309" t="s">
        <v>8535</v>
      </c>
      <c r="O1088" s="1309" t="s">
        <v>8537</v>
      </c>
      <c r="P1088" s="1309" t="s">
        <v>8533</v>
      </c>
      <c r="Q1088" s="988" t="s">
        <v>8534</v>
      </c>
      <c r="U1088" s="6036"/>
      <c r="V1088" s="4931"/>
      <c r="W1088" s="6037"/>
      <c r="Z1088" s="564" t="str">
        <f t="shared" si="265"/>
        <v>La Emperatriz</v>
      </c>
      <c r="AA1088" s="878">
        <f t="shared" si="266"/>
        <v>17</v>
      </c>
      <c r="AB1088" s="1275" t="s">
        <v>671</v>
      </c>
      <c r="AC1088" s="47">
        <v>120</v>
      </c>
      <c r="AD1088" s="135">
        <v>100</v>
      </c>
    </row>
    <row r="1089" spans="1:30" ht="12.75" customHeight="1" x14ac:dyDescent="0.2">
      <c r="A1089" s="227">
        <v>1089</v>
      </c>
      <c r="B1089" s="6238"/>
      <c r="C1089" s="840" t="s">
        <v>1603</v>
      </c>
      <c r="E1089" s="816" t="s">
        <v>1699</v>
      </c>
      <c r="F1089" s="894" t="s">
        <v>8352</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67">IFERROR(INDEX($L$1089:$L$1099,MATCH(A1,$M$1089:$M$1099,0)),"")</f>
        <v/>
      </c>
      <c r="O1089" s="86" t="str">
        <f t="shared" ref="O1089:O1099" si="268">IFERROR(INDEX(Lista_Vías,MATCH(A1,$M$1089:$M$1099,0)),"")</f>
        <v/>
      </c>
      <c r="P1089" s="86" t="str">
        <f>IF(AND(N1089&lt;&gt;"",N1089&gt;Místicos!$L$12),N1089&amp;" "&amp;O1089,"")</f>
        <v/>
      </c>
      <c r="Q1089" s="695" t="str">
        <f>IF(AND(N1089&lt;&gt;"",N1089&lt;Místicos!$L$12),N1089&amp;" "&amp;O1089,"")</f>
        <v/>
      </c>
      <c r="R1089" s="1352"/>
      <c r="S1089" s="223"/>
      <c r="U1089" s="1316" t="s">
        <v>8352</v>
      </c>
      <c r="V1089" s="1317" t="s">
        <v>8353</v>
      </c>
      <c r="W1089" s="1318" t="s">
        <v>8354</v>
      </c>
      <c r="Z1089" s="564" t="str">
        <f t="shared" si="265"/>
        <v>La Emperatriz invertida</v>
      </c>
      <c r="AA1089" s="878">
        <f t="shared" si="266"/>
        <v>13</v>
      </c>
      <c r="AB1089" s="1276" t="s">
        <v>672</v>
      </c>
      <c r="AC1089" s="47">
        <v>130</v>
      </c>
      <c r="AD1089" s="135">
        <v>100</v>
      </c>
    </row>
    <row r="1090" spans="1:30" ht="12.75" customHeight="1" x14ac:dyDescent="0.2">
      <c r="A1090" s="227">
        <v>1090</v>
      </c>
      <c r="B1090" s="6238"/>
      <c r="C1090" s="840" t="s">
        <v>1704</v>
      </c>
      <c r="E1090" s="816" t="s">
        <v>1700</v>
      </c>
      <c r="F1090" s="894" t="s">
        <v>8352</v>
      </c>
      <c r="G1090" s="226" t="str">
        <f>E1089&amp;", "&amp;$E$1099</f>
        <v>Luz, Nigromancia</v>
      </c>
      <c r="H1090" s="86"/>
      <c r="I1090" s="86">
        <f>IF(SUMPRODUCT(--ISNUMBER(SEARCH(Tablas!$E1090,Tablas!$K$410:$K$420)),Tablas!$G$410:$G$420)&gt;0,40,0)+J1335</f>
        <v>0</v>
      </c>
      <c r="J1090" s="86">
        <f t="shared" ref="J1090:J1099" si="269">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67"/>
        <v/>
      </c>
      <c r="O1090" s="86" t="str">
        <f t="shared" si="268"/>
        <v/>
      </c>
      <c r="P1090" s="86" t="str">
        <f>IF(AND(N1090&lt;&gt;"",N1090&gt;Místicos!$L$12),N1090&amp;" "&amp;O1090,"")</f>
        <v/>
      </c>
      <c r="Q1090" s="695" t="str">
        <f>IF(AND(N1090&lt;&gt;"",N1090&lt;Místicos!$L$12),N1090&amp;" "&amp;O1090,"")</f>
        <v/>
      </c>
      <c r="R1090" s="1352"/>
      <c r="S1090" s="223"/>
      <c r="U1090" s="1193">
        <v>4</v>
      </c>
      <c r="V1090" s="1167">
        <v>4</v>
      </c>
      <c r="W1090" s="1313">
        <v>8</v>
      </c>
      <c r="Z1090" s="564" t="str">
        <f t="shared" si="265"/>
        <v>La Estrella</v>
      </c>
      <c r="AA1090" s="878">
        <f t="shared" si="266"/>
        <v>39</v>
      </c>
      <c r="AB1090" s="1276" t="s">
        <v>673</v>
      </c>
      <c r="AC1090" s="47">
        <v>140</v>
      </c>
      <c r="AD1090" s="135">
        <v>150</v>
      </c>
    </row>
    <row r="1091" spans="1:30" ht="12.75" customHeight="1" x14ac:dyDescent="0.2">
      <c r="A1091" s="227">
        <v>1091</v>
      </c>
      <c r="B1091" s="6238"/>
      <c r="C1091" s="840" t="s">
        <v>1706</v>
      </c>
      <c r="E1091" s="816" t="s">
        <v>1610</v>
      </c>
      <c r="F1091" s="894" t="s">
        <v>8353</v>
      </c>
      <c r="G1091" s="226" t="str">
        <f>E1092&amp;", "&amp;$E$1099</f>
        <v>Agua, Nigromancia</v>
      </c>
      <c r="H1091" s="86"/>
      <c r="I1091" s="86">
        <f>IF(SUMPRODUCT(--ISNUMBER(SEARCH(Tablas!$E1091,Tablas!$K$410:$K$420)),Tablas!$G$410:$G$420)&gt;0,40,0)+J1336</f>
        <v>0</v>
      </c>
      <c r="J1091" s="86">
        <f t="shared" si="269"/>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67"/>
        <v/>
      </c>
      <c r="O1091" s="86" t="str">
        <f t="shared" si="268"/>
        <v/>
      </c>
      <c r="P1091" s="86" t="str">
        <f>IF(AND(N1091&lt;&gt;"",N1091&gt;Místicos!$L$12),N1091&amp;" "&amp;O1091,"")</f>
        <v/>
      </c>
      <c r="Q1091" s="695" t="str">
        <f>IF(AND(N1091&lt;&gt;"",N1091&lt;Místicos!$L$12),N1091&amp;" "&amp;O1091,"")</f>
        <v/>
      </c>
      <c r="S1091" s="223"/>
      <c r="U1091" s="1193">
        <f>10+U1090</f>
        <v>14</v>
      </c>
      <c r="V1091" s="1167">
        <v>8</v>
      </c>
      <c r="W1091" s="1313">
        <f>10+W1090</f>
        <v>18</v>
      </c>
      <c r="Z1091" s="564" t="str">
        <f t="shared" si="265"/>
        <v>La Estrella invertida</v>
      </c>
      <c r="AA1091" s="878">
        <f t="shared" si="266"/>
        <v>25</v>
      </c>
      <c r="AB1091" s="1276" t="s">
        <v>674</v>
      </c>
      <c r="AC1091" s="47">
        <v>150</v>
      </c>
      <c r="AD1091" s="135">
        <v>200</v>
      </c>
    </row>
    <row r="1092" spans="1:30" ht="12.75" customHeight="1" x14ac:dyDescent="0.2">
      <c r="A1092" s="227">
        <v>1092</v>
      </c>
      <c r="B1092" s="6238"/>
      <c r="C1092" s="840" t="s">
        <v>1707</v>
      </c>
      <c r="E1092" s="816" t="s">
        <v>1606</v>
      </c>
      <c r="F1092" s="894" t="s">
        <v>8353</v>
      </c>
      <c r="G1092" s="226" t="str">
        <f>E1091&amp;", "&amp;$E$1099</f>
        <v>Fuego, Nigromancia</v>
      </c>
      <c r="H1092" s="86"/>
      <c r="I1092" s="86">
        <f>IF(SUMPRODUCT(--ISNUMBER(SEARCH(Tablas!$E1092,Tablas!$K$410:$K$420)),Tablas!$G$410:$G$420)&gt;0,40,0)+J1337</f>
        <v>0</v>
      </c>
      <c r="J1092" s="86">
        <f t="shared" si="269"/>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67"/>
        <v/>
      </c>
      <c r="O1092" s="86" t="str">
        <f t="shared" si="268"/>
        <v/>
      </c>
      <c r="P1092" s="86" t="str">
        <f>IF(AND(N1092&lt;&gt;"",N1092&gt;Místicos!$L$12),N1092&amp;" "&amp;O1092,"")</f>
        <v/>
      </c>
      <c r="Q1092" s="695" t="str">
        <f>IF(AND(N1092&lt;&gt;"",N1092&lt;Místicos!$L$12),N1092&amp;" "&amp;O1092,"")</f>
        <v/>
      </c>
      <c r="U1092" s="1193">
        <f t="shared" ref="U1092:U1099" si="270">10+U1091</f>
        <v>24</v>
      </c>
      <c r="V1092" s="1167">
        <f>10+V1090</f>
        <v>14</v>
      </c>
      <c r="W1092" s="1313">
        <f t="shared" ref="W1092:W1099" si="271">10+W1091</f>
        <v>28</v>
      </c>
      <c r="Z1092" s="564" t="str">
        <f t="shared" si="265"/>
        <v>La Fuerza</v>
      </c>
      <c r="AA1092" s="878">
        <f t="shared" si="266"/>
        <v>9</v>
      </c>
      <c r="AB1092" s="1276" t="s">
        <v>675</v>
      </c>
      <c r="AC1092" s="47">
        <v>160</v>
      </c>
      <c r="AD1092" s="135">
        <v>200</v>
      </c>
    </row>
    <row r="1093" spans="1:30" ht="12.75" customHeight="1" x14ac:dyDescent="0.2">
      <c r="A1093" s="227">
        <v>1093</v>
      </c>
      <c r="B1093" s="6238"/>
      <c r="C1093" s="840" t="s">
        <v>1709</v>
      </c>
      <c r="E1093" s="816" t="s">
        <v>1603</v>
      </c>
      <c r="F1093" s="894" t="s">
        <v>8353</v>
      </c>
      <c r="G1093" s="226" t="str">
        <f>E1094&amp;", "&amp;$E$1099</f>
        <v>Tierra, Nigromancia</v>
      </c>
      <c r="H1093" s="86"/>
      <c r="I1093" s="86">
        <f>IF(SUMPRODUCT(--ISNUMBER(SEARCH(Tablas!$E1093,Tablas!$K$410:$K$420)),Tablas!$G$410:$G$420)&gt;0,40,0)+J1338</f>
        <v>0</v>
      </c>
      <c r="J1093" s="86">
        <f t="shared" si="269"/>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67"/>
        <v/>
      </c>
      <c r="O1093" s="86" t="str">
        <f t="shared" si="268"/>
        <v/>
      </c>
      <c r="P1093" s="86" t="str">
        <f>IF(AND(N1093&lt;&gt;"",N1093&gt;Místicos!$L$12),N1093&amp;" "&amp;O1093,"")</f>
        <v/>
      </c>
      <c r="Q1093" s="695" t="str">
        <f>IF(AND(N1093&lt;&gt;"",N1093&lt;Místicos!$L$12),N1093&amp;" "&amp;O1093,"")</f>
        <v/>
      </c>
      <c r="R1093" s="1349" t="s">
        <v>7290</v>
      </c>
      <c r="U1093" s="1193">
        <f t="shared" si="270"/>
        <v>34</v>
      </c>
      <c r="V1093" s="1167">
        <f>10+V1091</f>
        <v>18</v>
      </c>
      <c r="W1093" s="1313">
        <f t="shared" si="271"/>
        <v>38</v>
      </c>
      <c r="Z1093" s="564" t="str">
        <f t="shared" si="265"/>
        <v>La Fuerza invertida</v>
      </c>
      <c r="AA1093" s="878">
        <f t="shared" si="266"/>
        <v>23</v>
      </c>
      <c r="AB1093" s="1276" t="s">
        <v>676</v>
      </c>
      <c r="AC1093" s="47">
        <v>170</v>
      </c>
      <c r="AD1093" s="135">
        <v>250</v>
      </c>
    </row>
    <row r="1094" spans="1:30" ht="12.75" customHeight="1" x14ac:dyDescent="0.2">
      <c r="A1094" s="227">
        <v>1094</v>
      </c>
      <c r="B1094" s="6238"/>
      <c r="C1094" s="840" t="s">
        <v>1711</v>
      </c>
      <c r="E1094" s="816" t="s">
        <v>1704</v>
      </c>
      <c r="F1094" s="894" t="s">
        <v>8353</v>
      </c>
      <c r="G1094" s="226" t="str">
        <f>E1093&amp;", "&amp;$E$1099</f>
        <v>Aire, Nigromancia</v>
      </c>
      <c r="H1094" s="86"/>
      <c r="I1094" s="86">
        <f>IF(SUMPRODUCT(--ISNUMBER(SEARCH(Tablas!$E1094,Tablas!$K$410:$K$420)),Tablas!$G$410:$G$420)&gt;0,40,0)+J1339</f>
        <v>0</v>
      </c>
      <c r="J1094" s="86">
        <f t="shared" si="269"/>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67"/>
        <v/>
      </c>
      <c r="O1094" s="86" t="str">
        <f t="shared" si="268"/>
        <v/>
      </c>
      <c r="P1094" s="86" t="str">
        <f>IF(AND(N1094&lt;&gt;"",N1094&gt;Místicos!$L$12),N1094&amp;" "&amp;O1094,"")</f>
        <v/>
      </c>
      <c r="Q1094" s="695" t="str">
        <f>IF(AND(N1094&lt;&gt;"",N1094&lt;Místicos!$L$12),N1094&amp;" "&amp;O1094,"")</f>
        <v/>
      </c>
      <c r="R1094" s="1337" t="s">
        <v>7289</v>
      </c>
      <c r="U1094" s="1193">
        <f t="shared" si="270"/>
        <v>44</v>
      </c>
      <c r="V1094" s="1167">
        <f t="shared" ref="V1094:V1107" si="272">10+V1092</f>
        <v>24</v>
      </c>
      <c r="W1094" s="1313">
        <f t="shared" si="271"/>
        <v>48</v>
      </c>
      <c r="Z1094" s="564" t="str">
        <f t="shared" si="265"/>
        <v>La Justicia</v>
      </c>
      <c r="AA1094" s="878">
        <f t="shared" si="266"/>
        <v>45</v>
      </c>
      <c r="AB1094" s="1276" t="s">
        <v>677</v>
      </c>
      <c r="AC1094" s="47">
        <v>180</v>
      </c>
      <c r="AD1094" s="135">
        <v>250</v>
      </c>
    </row>
    <row r="1095" spans="1:30" ht="12.75" customHeight="1" x14ac:dyDescent="0.2">
      <c r="A1095" s="227">
        <v>1095</v>
      </c>
      <c r="B1095" s="6238"/>
      <c r="C1095" s="840" t="s">
        <v>1713</v>
      </c>
      <c r="E1095" s="816" t="s">
        <v>1706</v>
      </c>
      <c r="F1095" s="894" t="s">
        <v>8352</v>
      </c>
      <c r="G1095" s="226" t="str">
        <f>E1096&amp;", "&amp;$E$1099</f>
        <v>Destrucción, Nigromancia</v>
      </c>
      <c r="H1095" s="86"/>
      <c r="I1095" s="86">
        <f>IF(SUMPRODUCT(--ISNUMBER(SEARCH(Tablas!$E1095,Tablas!$K$410:$K$420)),Tablas!$G$410:$G$420)&gt;0,40,0)+J1340</f>
        <v>0</v>
      </c>
      <c r="J1095" s="86">
        <f t="shared" si="269"/>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67"/>
        <v/>
      </c>
      <c r="O1095" s="86" t="str">
        <f t="shared" si="268"/>
        <v/>
      </c>
      <c r="P1095" s="86" t="str">
        <f>IF(AND(N1095&lt;&gt;"",N1095&gt;Místicos!$L$12),N1095&amp;" "&amp;O1095,"")</f>
        <v/>
      </c>
      <c r="Q1095" s="695" t="str">
        <f>IF(AND(N1095&lt;&gt;"",N1095&lt;Místicos!$L$12),N1095&amp;" "&amp;O1095,"")</f>
        <v/>
      </c>
      <c r="R1095" s="1041" t="str">
        <f>IF(K1089=2,", "&amp;E1089,"")&amp;IF(K1090=2,", "&amp;E1090,"")&amp;IF(K1091=2,", "&amp;E1091,"")&amp;IF(K1092=2,", "&amp;E1092,"")&amp;IF(K1093=2,", "&amp;E1093,"")&amp;IF(K1094=2,", "&amp;E1094,"")&amp;IF(K1095=2,", "&amp;E1095,"")&amp;IF(K1096=2,", "&amp;E1096,"")&amp;IF(K1097=2,", "&amp;E1097,"")&amp;IF(K1098=2,", "&amp;E1098,"")&amp;IF(K1099=2,", "&amp;E1099,"")</f>
        <v/>
      </c>
      <c r="U1095" s="1193">
        <f t="shared" si="270"/>
        <v>54</v>
      </c>
      <c r="V1095" s="1167">
        <f t="shared" si="272"/>
        <v>28</v>
      </c>
      <c r="W1095" s="1313">
        <f t="shared" si="271"/>
        <v>58</v>
      </c>
      <c r="Z1095" s="564" t="str">
        <f t="shared" si="265"/>
        <v>La Justicia invertida</v>
      </c>
      <c r="AA1095" s="878">
        <f t="shared" si="266"/>
        <v>3</v>
      </c>
      <c r="AB1095" s="1276" t="s">
        <v>678</v>
      </c>
      <c r="AC1095" s="47">
        <v>190</v>
      </c>
      <c r="AD1095" s="135">
        <v>300</v>
      </c>
    </row>
    <row r="1096" spans="1:30" ht="12.75" customHeight="1" thickBot="1" x14ac:dyDescent="0.25">
      <c r="A1096" s="227">
        <v>1096</v>
      </c>
      <c r="B1096" s="6238"/>
      <c r="C1096" s="841" t="s">
        <v>8530</v>
      </c>
      <c r="E1096" s="816" t="s">
        <v>1707</v>
      </c>
      <c r="F1096" s="894" t="s">
        <v>8352</v>
      </c>
      <c r="G1096" s="226" t="str">
        <f>E1095&amp;", "&amp;$E$1099</f>
        <v>Creación, Nigromancia</v>
      </c>
      <c r="H1096" s="86"/>
      <c r="I1096" s="86">
        <f>IF(SUMPRODUCT(--ISNUMBER(SEARCH(Tablas!$E1096,Tablas!$K$410:$K$420)),Tablas!$G$410:$G$420)&gt;0,40,0)+J1341</f>
        <v>0</v>
      </c>
      <c r="J1096" s="86">
        <f t="shared" si="269"/>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67"/>
        <v/>
      </c>
      <c r="O1096" s="86" t="str">
        <f t="shared" si="268"/>
        <v/>
      </c>
      <c r="P1096" s="86" t="str">
        <f>IF(AND(N1096&lt;&gt;"",N1096&gt;Místicos!$L$12),N1096&amp;" "&amp;O1096,"")</f>
        <v/>
      </c>
      <c r="Q1096" s="695" t="str">
        <f>IF(AND(N1096&lt;&gt;"",N1096&lt;Místicos!$L$12),N1096&amp;" "&amp;O1096,"")</f>
        <v/>
      </c>
      <c r="R1096" s="1337" t="s">
        <v>7288</v>
      </c>
      <c r="U1096" s="1193">
        <f t="shared" si="270"/>
        <v>64</v>
      </c>
      <c r="V1096" s="1167">
        <f t="shared" si="272"/>
        <v>34</v>
      </c>
      <c r="W1096" s="1313">
        <f t="shared" si="271"/>
        <v>68</v>
      </c>
      <c r="Z1096" s="564" t="str">
        <f t="shared" si="265"/>
        <v>La Luna</v>
      </c>
      <c r="AA1096" s="878">
        <f t="shared" si="266"/>
        <v>29</v>
      </c>
      <c r="AB1096" s="1276" t="s">
        <v>679</v>
      </c>
      <c r="AC1096" s="47">
        <v>200</v>
      </c>
      <c r="AD1096" s="135">
        <v>350</v>
      </c>
    </row>
    <row r="1097" spans="1:30" ht="12.75" customHeight="1" x14ac:dyDescent="0.2">
      <c r="A1097" s="227">
        <v>1097</v>
      </c>
      <c r="B1097" s="6238"/>
      <c r="C1097" s="842" t="s">
        <v>81</v>
      </c>
      <c r="E1097" s="816" t="s">
        <v>1709</v>
      </c>
      <c r="F1097" s="894" t="s">
        <v>8353</v>
      </c>
      <c r="G1097" s="226" t="str">
        <f>E1098&amp;", "&amp;$E$1099</f>
        <v>Ilusión, Nigromancia</v>
      </c>
      <c r="H1097" s="86"/>
      <c r="I1097" s="86">
        <f>IF(SUMPRODUCT(--ISNUMBER(SEARCH(Tablas!$E1097,Tablas!$K$410:$K$420)),Tablas!$G$410:$G$420)&gt;0,40,0)+J1342</f>
        <v>0</v>
      </c>
      <c r="J1097" s="86">
        <f t="shared" si="269"/>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67"/>
        <v/>
      </c>
      <c r="O1097" s="86" t="str">
        <f t="shared" si="268"/>
        <v/>
      </c>
      <c r="P1097" s="86" t="str">
        <f>IF(AND(N1097&lt;&gt;"",N1097&gt;Místicos!$L$12),N1097&amp;" "&amp;O1097,"")</f>
        <v/>
      </c>
      <c r="Q1097" s="695" t="str">
        <f>IF(AND(N1097&lt;&gt;"",N1097&lt;Místicos!$L$12),N1097&amp;" "&amp;O1097,"")</f>
        <v/>
      </c>
      <c r="R1097" s="1041" t="str">
        <f>IF(COUNTIF(K1089:K1099,2)&gt;5,IF(K1089=1,", "&amp;E1089,"")&amp;IF(K1090=1,", "&amp;E1090,"")&amp;IF(K1091=1,", "&amp;E1091,"")&amp;IF(K1092=1,", "&amp;E1092,"")&amp;IF(K1093=1,", "&amp;E1093,"")&amp;IF(K1094=1,", "&amp;E1094,"")&amp;IF(K1095=1,", "&amp;E1095,"")&amp;IF(K1096=1,", "&amp;E1096,"")&amp;IF(K1097=1,", "&amp;E1097,"")&amp;IF(K1098=1,", "&amp;E1098,"")&amp;IF(K1099=1,", "&amp;E1099,""),R1095)</f>
        <v/>
      </c>
      <c r="U1097" s="1193">
        <f t="shared" si="270"/>
        <v>74</v>
      </c>
      <c r="V1097" s="1167">
        <f t="shared" si="272"/>
        <v>38</v>
      </c>
      <c r="W1097" s="1313">
        <f t="shared" si="271"/>
        <v>78</v>
      </c>
      <c r="Z1097" s="564" t="str">
        <f t="shared" si="265"/>
        <v>La Luna invertida</v>
      </c>
      <c r="AA1097" s="878">
        <f t="shared" si="266"/>
        <v>11</v>
      </c>
      <c r="AB1097" s="1276" t="s">
        <v>680</v>
      </c>
      <c r="AC1097" s="47">
        <v>240</v>
      </c>
      <c r="AD1097" s="135">
        <v>400</v>
      </c>
    </row>
    <row r="1098" spans="1:30" ht="12.75" customHeight="1" x14ac:dyDescent="0.2">
      <c r="A1098" s="227">
        <v>1098</v>
      </c>
      <c r="B1098" s="6238"/>
      <c r="C1098" s="843" t="s">
        <v>82</v>
      </c>
      <c r="E1098" s="816" t="s">
        <v>1711</v>
      </c>
      <c r="F1098" s="894" t="s">
        <v>8353</v>
      </c>
      <c r="G1098" s="226" t="str">
        <f>E1097&amp;", "&amp;$E$1099</f>
        <v>Esencia, Nigromancia</v>
      </c>
      <c r="H1098" s="86"/>
      <c r="I1098" s="86">
        <f>IF(SUMPRODUCT(--ISNUMBER(SEARCH(Tablas!$E1098,Tablas!$K$410:$K$420)),Tablas!$G$410:$G$420)&gt;0,40,0)+J1343</f>
        <v>0</v>
      </c>
      <c r="J1098" s="86">
        <f t="shared" si="269"/>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67"/>
        <v/>
      </c>
      <c r="O1098" s="86" t="str">
        <f t="shared" si="268"/>
        <v/>
      </c>
      <c r="P1098" s="86" t="str">
        <f>IF(AND(N1098&lt;&gt;"",N1098&gt;Místicos!$L$12),N1098&amp;" "&amp;O1098,"")</f>
        <v/>
      </c>
      <c r="Q1098" s="695" t="str">
        <f>IF(AND(N1098&lt;&gt;"",N1098&lt;Místicos!$L$12),N1098&amp;" "&amp;O1098,"")</f>
        <v/>
      </c>
      <c r="R1098" s="1336" t="s">
        <v>7287</v>
      </c>
      <c r="U1098" s="1193">
        <f t="shared" si="270"/>
        <v>84</v>
      </c>
      <c r="V1098" s="1167">
        <f t="shared" si="272"/>
        <v>44</v>
      </c>
      <c r="W1098" s="1313">
        <f t="shared" si="271"/>
        <v>88</v>
      </c>
      <c r="Z1098" s="564" t="str">
        <f t="shared" si="265"/>
        <v>La Muerte</v>
      </c>
      <c r="AA1098" s="878">
        <f t="shared" si="266"/>
        <v>37</v>
      </c>
      <c r="AB1098" s="1276" t="s">
        <v>681</v>
      </c>
      <c r="AC1098" s="47">
        <v>240</v>
      </c>
      <c r="AD1098" s="135">
        <v>450</v>
      </c>
    </row>
    <row r="1099" spans="1:30" ht="12.75" customHeight="1" x14ac:dyDescent="0.2">
      <c r="A1099" s="227">
        <v>1099</v>
      </c>
      <c r="B1099" s="6238"/>
      <c r="C1099" s="843" t="s">
        <v>83</v>
      </c>
      <c r="E1099" s="816" t="s">
        <v>1713</v>
      </c>
      <c r="F1099" s="895" t="s">
        <v>8352</v>
      </c>
      <c r="G1099" s="1312" t="s">
        <v>7285</v>
      </c>
      <c r="H1099" s="1310"/>
      <c r="I1099" s="1310">
        <f>IF(SUMPRODUCT(--ISNUMBER(SEARCH(Tablas!$E1099,Tablas!$K$410:$K$420)),Tablas!$G$410:$G$420)&gt;0,40,0)+J1344</f>
        <v>0</v>
      </c>
      <c r="J1099" s="1310">
        <f t="shared" si="269"/>
        <v>999</v>
      </c>
      <c r="K1099" s="1310">
        <f>IF(OR($H$1441&gt;0,$G$440&gt;0),1,IF(OR(J1099=1,COUNTA(Orden_VíasAprendidas)=0),1,2))</f>
        <v>1</v>
      </c>
      <c r="L1099" s="1310" t="str">
        <f>IF(J1099&lt;999,VLOOKUP(E1099,$H$1104:$J$1114,2)*20-VLOOKUP(E1099,$H$1104:$J$1114,3)*20+Místicos!$L$12,"")</f>
        <v/>
      </c>
      <c r="M1099" s="1310" t="str">
        <f>IFERROR(RANK(L1099,$L$1089:$L$1099)+COUNTIF($L$1089:L1099,L1099)-1,"")</f>
        <v/>
      </c>
      <c r="N1099" s="1310" t="str">
        <f t="shared" si="267"/>
        <v/>
      </c>
      <c r="O1099" s="1310" t="str">
        <f t="shared" si="268"/>
        <v/>
      </c>
      <c r="P1099" s="1310" t="str">
        <f>IF(AND(N1099&lt;&gt;"",N1099&gt;Místicos!$L$12),N1099&amp;" "&amp;O1099,"")</f>
        <v/>
      </c>
      <c r="Q1099" s="989" t="str">
        <f>IF(AND(N1099&lt;&gt;"",N1099&lt;Místicos!$L$12),N1099&amp;" "&amp;O1099,"")</f>
        <v/>
      </c>
      <c r="R1099" s="1042" t="str">
        <f>IF(R1097&lt;&gt;R1095,"Todas excepto ","")&amp;MID(R1097,3,LEN(R1097))</f>
        <v/>
      </c>
      <c r="U1099" s="1193">
        <f t="shared" si="270"/>
        <v>94</v>
      </c>
      <c r="V1099" s="1167">
        <f t="shared" si="272"/>
        <v>48</v>
      </c>
      <c r="W1099" s="1313">
        <f t="shared" si="271"/>
        <v>98</v>
      </c>
      <c r="Z1099" s="564" t="str">
        <f t="shared" si="265"/>
        <v>La Muerte invertida</v>
      </c>
      <c r="AA1099" s="878">
        <f t="shared" si="266"/>
        <v>31</v>
      </c>
      <c r="AB1099" s="1276" t="s">
        <v>682</v>
      </c>
      <c r="AC1099" s="47">
        <v>260</v>
      </c>
      <c r="AD1099" s="135">
        <v>500</v>
      </c>
    </row>
    <row r="1100" spans="1:30" ht="12.75" customHeight="1" thickBot="1" x14ac:dyDescent="0.25">
      <c r="A1100" s="227">
        <v>1100</v>
      </c>
      <c r="B1100" s="6238"/>
      <c r="C1100" s="843" t="s">
        <v>84</v>
      </c>
      <c r="E1100" s="990" t="s">
        <v>1230</v>
      </c>
      <c r="G1100" s="1348" t="s">
        <v>8531</v>
      </c>
      <c r="H1100" s="6142">
        <f>IF(AND(P1100="",Q1100=""),Místicos!L12,P1100&amp;Q1100&amp;", "&amp;IF(AND(I1112=0,I1115=0),Místicos!L12,Místicos!L12-20)&amp;" Otros")</f>
        <v>0</v>
      </c>
      <c r="I1100" s="6142"/>
      <c r="J1100" s="6142"/>
      <c r="K1100" s="6142"/>
      <c r="L1100" s="6142"/>
      <c r="M1100" s="6142"/>
      <c r="N1100" s="6142"/>
      <c r="O1100" s="6142"/>
      <c r="P1100" s="1351" t="str">
        <f>IF(P1089="","",P1089)&amp;IF(P1090="","",", "&amp;P1090)&amp;IF(P1091="","",", "&amp;P1091)&amp;IF(P1092="","",", "&amp;P1092)&amp;IF(P1093="","",", "&amp;P1093)&amp;IF(P1094="","",", "&amp;P1094)&amp;IF(P1095="","",", "&amp;P1095)&amp;IF(P1096="","",", "&amp;P1096)&amp;IF(P1097="","",", "&amp;P1097)&amp;IF(P1098="","",", "&amp;P1098)&amp;IF(P1099="","",", "&amp;P1099)</f>
        <v/>
      </c>
      <c r="Q1100" s="1351" t="str">
        <f>IF(AND(I1112=0,I1115=0),IF(Q1089="","",", "&amp;Q1089)&amp;IF(Q1090="","",", "&amp;Q1090)&amp;IF(Q1091="","",", "&amp;Q1091)&amp;IF(Q1092="","",", "&amp;Q1092)&amp;IF(Q1093="","",", "&amp;Q1093)&amp;IF(Q1094="","",", "&amp;Q1094)&amp;IF(Q1095="","",", "&amp;Q1095)&amp;IF(Q1096="","",", "&amp;Q1096)&amp;IF(Q1097="","",", "&amp;Q1097)&amp;IF(Q1098="","",", "&amp;Q1098)&amp;IF(Q1099="","",", "&amp;Q1099),"")</f>
        <v/>
      </c>
      <c r="U1100" s="1193"/>
      <c r="V1100" s="1167">
        <f t="shared" si="272"/>
        <v>54</v>
      </c>
      <c r="W1100" s="1313"/>
      <c r="Z1100" s="564" t="str">
        <f t="shared" si="265"/>
        <v>La Rueda</v>
      </c>
      <c r="AA1100" s="878">
        <f t="shared" si="266"/>
        <v>5</v>
      </c>
      <c r="AB1100" s="1276" t="s">
        <v>683</v>
      </c>
      <c r="AC1100" s="47">
        <v>280</v>
      </c>
      <c r="AD1100" s="135">
        <v>550</v>
      </c>
    </row>
    <row r="1101" spans="1:30" ht="12.75" customHeight="1" thickBot="1" x14ac:dyDescent="0.25">
      <c r="A1101" s="227">
        <v>1101</v>
      </c>
      <c r="B1101" s="6238"/>
      <c r="C1101" s="843" t="s">
        <v>85</v>
      </c>
      <c r="H1101"/>
      <c r="I1101" s="559"/>
      <c r="N1101"/>
      <c r="O1101" s="559"/>
      <c r="U1101" s="1193"/>
      <c r="V1101" s="1167">
        <f t="shared" si="272"/>
        <v>58</v>
      </c>
      <c r="W1101" s="1313"/>
      <c r="Z1101" s="564" t="str">
        <f t="shared" si="265"/>
        <v>La Rueda invertida</v>
      </c>
      <c r="AA1101" s="878">
        <f t="shared" si="266"/>
        <v>35</v>
      </c>
      <c r="AB1101" s="1276" t="s">
        <v>684</v>
      </c>
      <c r="AC1101" s="47">
        <v>300</v>
      </c>
      <c r="AD1101" s="135">
        <v>600</v>
      </c>
    </row>
    <row r="1102" spans="1:30" ht="12.75" customHeight="1" x14ac:dyDescent="0.2">
      <c r="A1102" s="227">
        <v>1102</v>
      </c>
      <c r="B1102" s="6238"/>
      <c r="C1102" s="843" t="s">
        <v>86</v>
      </c>
      <c r="E1102" s="6059" t="s">
        <v>1237</v>
      </c>
      <c r="F1102" s="6059"/>
      <c r="H1102" s="6127" t="s">
        <v>1239</v>
      </c>
      <c r="I1102" s="6128"/>
      <c r="J1102" s="6129"/>
      <c r="L1102" s="6170" t="s">
        <v>1244</v>
      </c>
      <c r="M1102" s="6171"/>
      <c r="N1102"/>
      <c r="O1102" s="559"/>
      <c r="U1102" s="1193"/>
      <c r="V1102" s="1167">
        <f t="shared" si="272"/>
        <v>64</v>
      </c>
      <c r="W1102" s="1313"/>
      <c r="Z1102" s="564" t="str">
        <f t="shared" si="265"/>
        <v>La Suma Sacerdotisa</v>
      </c>
      <c r="AA1102" s="878">
        <f t="shared" si="266"/>
        <v>41</v>
      </c>
      <c r="AB1102" s="1276" t="s">
        <v>685</v>
      </c>
      <c r="AC1102" s="47">
        <v>320</v>
      </c>
      <c r="AD1102" s="135">
        <v>650</v>
      </c>
    </row>
    <row r="1103" spans="1:30" ht="12.75" customHeight="1" thickBot="1" x14ac:dyDescent="0.25">
      <c r="A1103" s="227">
        <v>1103</v>
      </c>
      <c r="B1103" s="6238"/>
      <c r="C1103" s="843" t="s">
        <v>87</v>
      </c>
      <c r="E1103" s="173" t="s">
        <v>1510</v>
      </c>
      <c r="F1103" s="175" t="s">
        <v>1238</v>
      </c>
      <c r="H1103" s="979" t="s">
        <v>1695</v>
      </c>
      <c r="I1103" s="213" t="s">
        <v>1240</v>
      </c>
      <c r="J1103" s="930" t="s">
        <v>8532</v>
      </c>
      <c r="L1103" s="258" t="s">
        <v>1792</v>
      </c>
      <c r="M1103" s="218" t="s">
        <v>1245</v>
      </c>
      <c r="N1103"/>
      <c r="O1103" s="559"/>
      <c r="U1103" s="1193"/>
      <c r="V1103" s="1167">
        <f t="shared" si="272"/>
        <v>68</v>
      </c>
      <c r="W1103" s="1313"/>
      <c r="Z1103" s="564" t="str">
        <f t="shared" si="265"/>
        <v>La Suma Sacerdotisa invertida</v>
      </c>
      <c r="AA1103" s="878">
        <f t="shared" si="266"/>
        <v>7</v>
      </c>
      <c r="AB1103" s="1276" t="s">
        <v>686</v>
      </c>
      <c r="AC1103" s="47">
        <v>340</v>
      </c>
      <c r="AD1103" s="135">
        <v>700</v>
      </c>
    </row>
    <row r="1104" spans="1:30" ht="12.75" customHeight="1" x14ac:dyDescent="0.2">
      <c r="A1104" s="227">
        <v>1104</v>
      </c>
      <c r="B1104" s="6238"/>
      <c r="C1104" s="843" t="s">
        <v>88</v>
      </c>
      <c r="E1104" s="257">
        <v>0</v>
      </c>
      <c r="F1104" s="193">
        <f>0+10*Tablas!G421+20*Tablas!G422+30*Tablas!G423+10*H1391</f>
        <v>0</v>
      </c>
      <c r="H1104" s="1343" t="s">
        <v>1606</v>
      </c>
      <c r="I1104" s="1344">
        <f>IF(I1115&gt;0,IF(AND(J1092&lt;999,K1092&lt;2),1,0),Tablas!G430)</f>
        <v>0</v>
      </c>
      <c r="J1104" s="1345">
        <f>IF(OR(I1109&gt;0,I1112&gt;0),1,0)</f>
        <v>0</v>
      </c>
      <c r="L1104" s="191">
        <v>1</v>
      </c>
      <c r="M1104" s="193">
        <v>10</v>
      </c>
      <c r="N1104"/>
      <c r="O1104" s="559"/>
      <c r="U1104" s="1193"/>
      <c r="V1104" s="1167">
        <f t="shared" si="272"/>
        <v>74</v>
      </c>
      <c r="W1104" s="1313"/>
      <c r="Z1104" s="564" t="str">
        <f t="shared" si="265"/>
        <v>La Templanza</v>
      </c>
      <c r="AA1104" s="878">
        <f t="shared" si="266"/>
        <v>43</v>
      </c>
      <c r="AB1104" s="1276" t="s">
        <v>687</v>
      </c>
      <c r="AC1104" s="47">
        <v>340</v>
      </c>
      <c r="AD1104" s="135">
        <v>750</v>
      </c>
    </row>
    <row r="1105" spans="1:30" ht="12.75" customHeight="1" x14ac:dyDescent="0.2">
      <c r="A1105" s="227">
        <v>1105</v>
      </c>
      <c r="B1105" s="6238"/>
      <c r="C1105" s="843" t="s">
        <v>89</v>
      </c>
      <c r="E1105" s="88">
        <v>10</v>
      </c>
      <c r="F1105" s="50">
        <f>10+10*Tablas!G421+20*Tablas!G422+30*Tablas!G423+10*H1391</f>
        <v>10</v>
      </c>
      <c r="H1105" s="1346" t="s">
        <v>1603</v>
      </c>
      <c r="I1105" s="86">
        <f>IF(I1115&gt;0,IF(AND(J1093&lt;999,K1093&lt;2),1,0),Tablas!G431)</f>
        <v>0</v>
      </c>
      <c r="J1105" s="490">
        <f>IF(OR(I1114&gt;0,I1112&gt;0),1,0)</f>
        <v>0</v>
      </c>
      <c r="L1105" s="194">
        <v>3</v>
      </c>
      <c r="M1105" s="50">
        <v>20</v>
      </c>
      <c r="N1105"/>
      <c r="O1105" s="559"/>
      <c r="U1105" s="1193"/>
      <c r="V1105" s="1167">
        <f t="shared" si="272"/>
        <v>78</v>
      </c>
      <c r="W1105" s="1313"/>
      <c r="Z1105" s="564" t="str">
        <f t="shared" si="265"/>
        <v>La Templanza invertida</v>
      </c>
      <c r="AA1105" s="878">
        <f t="shared" si="266"/>
        <v>27</v>
      </c>
      <c r="AB1105" s="1276" t="s">
        <v>688</v>
      </c>
      <c r="AC1105" s="47">
        <v>380</v>
      </c>
      <c r="AD1105" s="135">
        <v>800</v>
      </c>
    </row>
    <row r="1106" spans="1:30" ht="12.75" customHeight="1" x14ac:dyDescent="0.2">
      <c r="A1106" s="227">
        <v>1106</v>
      </c>
      <c r="B1106" s="6238"/>
      <c r="C1106" s="843" t="s">
        <v>90</v>
      </c>
      <c r="E1106" s="88">
        <v>55</v>
      </c>
      <c r="F1106" s="50">
        <f>20+10*Tablas!G421+20*Tablas!G422+30*Tablas!G423+10*H1391</f>
        <v>20</v>
      </c>
      <c r="H1106" s="1346" t="s">
        <v>1706</v>
      </c>
      <c r="I1106" s="86">
        <f>IF(I1115&gt;0,IF(AND(J1095&lt;999,K1095&lt;2),1,0),Tablas!G433)</f>
        <v>0</v>
      </c>
      <c r="J1106" s="490">
        <f>IF(OR(I1107&gt;0,I1112&gt;0),1,0)</f>
        <v>0</v>
      </c>
      <c r="L1106" s="194">
        <v>6</v>
      </c>
      <c r="M1106" s="50">
        <v>30</v>
      </c>
      <c r="N1106"/>
      <c r="O1106" s="559"/>
      <c r="U1106" s="1193"/>
      <c r="V1106" s="1167">
        <f t="shared" si="272"/>
        <v>84</v>
      </c>
      <c r="W1106" s="1313"/>
      <c r="Z1106" s="564" t="str">
        <f t="shared" si="265"/>
        <v>La Torre</v>
      </c>
      <c r="AA1106" s="878">
        <f t="shared" si="266"/>
        <v>33</v>
      </c>
      <c r="AB1106" s="1276" t="s">
        <v>689</v>
      </c>
      <c r="AC1106" s="47">
        <v>400</v>
      </c>
      <c r="AD1106" s="135">
        <v>850</v>
      </c>
    </row>
    <row r="1107" spans="1:30" ht="12.75" customHeight="1" x14ac:dyDescent="0.2">
      <c r="A1107" s="227">
        <v>1107</v>
      </c>
      <c r="B1107" s="6238"/>
      <c r="C1107" s="843" t="s">
        <v>91</v>
      </c>
      <c r="E1107" s="88">
        <v>75</v>
      </c>
      <c r="F1107" s="50">
        <f>30+10*Tablas!G421+20*Tablas!G422+30*Tablas!G423+10*H1391</f>
        <v>30</v>
      </c>
      <c r="H1107" s="1346" t="s">
        <v>1707</v>
      </c>
      <c r="I1107" s="86">
        <f>IF(I1115&gt;0,IF(AND(J1096&lt;999,K1096&lt;2),1,0),Tablas!G434)</f>
        <v>0</v>
      </c>
      <c r="J1107" s="490">
        <f>IF(OR(I1106&gt;0,I1112&gt;0),1,0)</f>
        <v>0</v>
      </c>
      <c r="L1107" s="194">
        <v>10</v>
      </c>
      <c r="M1107" s="50">
        <v>40</v>
      </c>
      <c r="N1107"/>
      <c r="O1107" s="559"/>
      <c r="U1107" s="1193"/>
      <c r="V1107" s="1167">
        <f t="shared" si="272"/>
        <v>88</v>
      </c>
      <c r="W1107" s="1313"/>
      <c r="Z1107" s="564" t="str">
        <f t="shared" si="265"/>
        <v>La Torre invertida</v>
      </c>
      <c r="AA1107" s="878">
        <f t="shared" si="266"/>
        <v>21</v>
      </c>
      <c r="AB1107" s="1276" t="s">
        <v>690</v>
      </c>
      <c r="AC1107" s="47">
        <v>420</v>
      </c>
      <c r="AD1107" s="135">
        <v>900</v>
      </c>
    </row>
    <row r="1108" spans="1:30" ht="12.75" customHeight="1" thickBot="1" x14ac:dyDescent="0.25">
      <c r="A1108" s="227">
        <v>1108</v>
      </c>
      <c r="B1108" s="6238"/>
      <c r="C1108" s="843" t="s">
        <v>92</v>
      </c>
      <c r="E1108" s="88">
        <v>95</v>
      </c>
      <c r="F1108" s="50">
        <f>40+10*Tablas!G421+20*Tablas!G422+30*Tablas!G423+10*H1391</f>
        <v>40</v>
      </c>
      <c r="H1108" s="1346" t="s">
        <v>1709</v>
      </c>
      <c r="I1108" s="86">
        <f>IF(I1115&gt;0,IF(AND(J1097&lt;999,K1097&lt;2),1,0),Tablas!G435)</f>
        <v>0</v>
      </c>
      <c r="J1108" s="490">
        <f>IF(OR(I1110&gt;0,I1112&gt;0),1,0)</f>
        <v>0</v>
      </c>
      <c r="L1108" s="194">
        <v>15</v>
      </c>
      <c r="M1108" s="50">
        <v>50</v>
      </c>
      <c r="N1108"/>
      <c r="O1108" s="559"/>
      <c r="U1108" s="1193"/>
      <c r="V1108" s="1167">
        <f>10+V1106</f>
        <v>94</v>
      </c>
      <c r="W1108" s="1313"/>
      <c r="Z1108" s="564" t="str">
        <f t="shared" si="265"/>
        <v>Los Enamorados</v>
      </c>
      <c r="AA1108" s="878">
        <f t="shared" si="266"/>
        <v>15</v>
      </c>
      <c r="AB1108" s="1276" t="s">
        <v>691</v>
      </c>
      <c r="AC1108" s="47">
        <v>440</v>
      </c>
      <c r="AD1108" s="135">
        <v>950</v>
      </c>
    </row>
    <row r="1109" spans="1:30" ht="12.75" customHeight="1" thickBot="1" x14ac:dyDescent="0.25">
      <c r="A1109" s="227">
        <v>1109</v>
      </c>
      <c r="B1109" s="6238"/>
      <c r="C1109" s="843" t="s">
        <v>2075</v>
      </c>
      <c r="E1109" s="88">
        <v>115</v>
      </c>
      <c r="F1109" s="50">
        <f>50+10*Tablas!G421+20*Tablas!G422+30*Tablas!G423+10*H1391</f>
        <v>50</v>
      </c>
      <c r="H1109" s="1346" t="s">
        <v>1610</v>
      </c>
      <c r="I1109" s="86">
        <f>IF(I1115&gt;0,IF(AND(J1091&lt;999,K1091&lt;2),1,0),Tablas!G429)</f>
        <v>0</v>
      </c>
      <c r="J1109" s="490">
        <f>IF(OR(I1104&gt;0,I1112&gt;0),1,0)</f>
        <v>0</v>
      </c>
      <c r="L1109" s="88">
        <v>21</v>
      </c>
      <c r="M1109" s="50">
        <v>60</v>
      </c>
      <c r="O1109" s="1320" t="s">
        <v>8502</v>
      </c>
      <c r="P1109" s="1321" t="s">
        <v>8503</v>
      </c>
      <c r="U1109" s="1194"/>
      <c r="V1109" s="1314">
        <f>10+V1107</f>
        <v>98</v>
      </c>
      <c r="W1109" s="1315"/>
      <c r="Z1109" s="564" t="str">
        <f t="shared" si="265"/>
        <v>Los Enamorados invertidos</v>
      </c>
      <c r="AA1109" s="878">
        <f t="shared" si="266"/>
        <v>19</v>
      </c>
      <c r="AB1109" s="1276" t="s">
        <v>692</v>
      </c>
      <c r="AC1109" s="47">
        <v>460</v>
      </c>
      <c r="AD1109" s="135">
        <v>1000</v>
      </c>
    </row>
    <row r="1110" spans="1:30" ht="12.75" customHeight="1" thickBot="1" x14ac:dyDescent="0.25">
      <c r="A1110" s="227">
        <v>1110</v>
      </c>
      <c r="B1110" s="6238"/>
      <c r="C1110" s="844" t="s">
        <v>93</v>
      </c>
      <c r="E1110" s="88">
        <v>135</v>
      </c>
      <c r="F1110" s="50">
        <f>60+10*Tablas!G421+20*Tablas!G422+30*Tablas!G423+10*H1391</f>
        <v>60</v>
      </c>
      <c r="H1110" s="1346" t="s">
        <v>1711</v>
      </c>
      <c r="I1110" s="86">
        <f>IF(I1115&gt;0,IF(AND(J1098&lt;999,K1098&lt;2),1,0),Tablas!G436)</f>
        <v>0</v>
      </c>
      <c r="J1110" s="490">
        <f>IF(OR(I1108&gt;0,I1112&gt;0),1,0)</f>
        <v>0</v>
      </c>
      <c r="L1110" s="88">
        <v>28</v>
      </c>
      <c r="M1110" s="50">
        <v>70</v>
      </c>
      <c r="O1110" s="35" t="s">
        <v>1610</v>
      </c>
      <c r="P1110" s="1322" t="s">
        <v>1553</v>
      </c>
      <c r="Z1110" s="564" t="str">
        <f t="shared" ref="Z1110:Z1141" si="273">VLOOKUP(A1,$AA$1110:$AB$1185,2,0)</f>
        <v>&gt; GRANDES BESTIAS</v>
      </c>
      <c r="AA1110" s="878">
        <f>COUNTIF($AB$1110:$AB$1185,"&lt;="&amp;AB1110)</f>
        <v>1</v>
      </c>
      <c r="AB1110" s="1276" t="s">
        <v>693</v>
      </c>
      <c r="AC1110" s="47"/>
      <c r="AD1110" s="135"/>
    </row>
    <row r="1111" spans="1:30" ht="12.75" customHeight="1" x14ac:dyDescent="0.2">
      <c r="A1111" s="227">
        <v>1111</v>
      </c>
      <c r="B1111" s="6238"/>
      <c r="E1111" s="88">
        <v>155</v>
      </c>
      <c r="F1111" s="50">
        <f>70+10*Tablas!G421+20*Tablas!G422+30*Tablas!G423+10*H1391</f>
        <v>70</v>
      </c>
      <c r="H1111" s="1346" t="s">
        <v>1699</v>
      </c>
      <c r="I1111" s="86">
        <f>IF(I1115&gt;0,IF(AND(J1089&lt;999,K1089&lt;2),1,0),Tablas!G427)</f>
        <v>0</v>
      </c>
      <c r="J1111" s="490">
        <f>IF(OR(I1113&gt;0,I1112&gt;0),1,0)</f>
        <v>0</v>
      </c>
      <c r="L1111" s="88">
        <v>36</v>
      </c>
      <c r="M1111" s="50">
        <v>80</v>
      </c>
      <c r="O1111" s="35" t="s">
        <v>1603</v>
      </c>
      <c r="P1111" s="1255" t="s">
        <v>1551</v>
      </c>
      <c r="Z1111" s="564" t="str">
        <f t="shared" si="273"/>
        <v>Behemoth, Señor de la Tierra</v>
      </c>
      <c r="AA1111" s="878">
        <f t="shared" ref="AA1111:AA1174" si="274">COUNTIF($AB$1110:$AB$1185,"&lt;="&amp;AB1111)</f>
        <v>52</v>
      </c>
      <c r="AB1111" s="1276" t="s">
        <v>694</v>
      </c>
      <c r="AC1111" s="47">
        <v>280</v>
      </c>
      <c r="AD1111" s="135">
        <v>450</v>
      </c>
    </row>
    <row r="1112" spans="1:30" ht="12.75" customHeight="1" x14ac:dyDescent="0.2">
      <c r="A1112" s="227">
        <v>1112</v>
      </c>
      <c r="B1112" s="6238"/>
      <c r="E1112" s="88">
        <v>185</v>
      </c>
      <c r="F1112" s="50">
        <f>80+10*Tablas!G421+20*Tablas!G422+30*Tablas!G423+10*H1391</f>
        <v>80</v>
      </c>
      <c r="H1112" s="1346" t="s">
        <v>1713</v>
      </c>
      <c r="I1112" s="86">
        <f>IF(I1115&gt;0,IF(AND(J1099&lt;999,K1099&lt;2),1,0),Tablas!G437)</f>
        <v>0</v>
      </c>
      <c r="J1112" s="490">
        <f>IF(OR(COUNTIF(I1113:I1114,"&gt;0"),COUNTIF(I1104:I1111,"&gt;0")),1,0)</f>
        <v>0</v>
      </c>
      <c r="L1112" s="88">
        <v>45</v>
      </c>
      <c r="M1112" s="50">
        <v>90</v>
      </c>
      <c r="O1112" s="35" t="s">
        <v>1606</v>
      </c>
      <c r="P1112" s="1255" t="s">
        <v>1555</v>
      </c>
      <c r="Z1112" s="564" t="str">
        <f t="shared" si="273"/>
        <v>Behemoth: Comunión con la tierra</v>
      </c>
      <c r="AA1112" s="878">
        <f t="shared" si="274"/>
        <v>51</v>
      </c>
      <c r="AB1112" s="1276" t="s">
        <v>695</v>
      </c>
      <c r="AC1112" s="47">
        <v>380</v>
      </c>
      <c r="AD1112" s="135">
        <v>800</v>
      </c>
    </row>
    <row r="1113" spans="1:30" ht="12.75" customHeight="1" thickBot="1" x14ac:dyDescent="0.25">
      <c r="A1113" s="227">
        <v>1113</v>
      </c>
      <c r="B1113" s="6238"/>
      <c r="E1113" s="189">
        <v>200</v>
      </c>
      <c r="F1113" s="182">
        <f>90+10*Tablas!G421+20*Tablas!G422+30*Tablas!G423+10*H1391</f>
        <v>90</v>
      </c>
      <c r="H1113" s="1346" t="s">
        <v>1700</v>
      </c>
      <c r="I1113" s="86">
        <f>IF(I1115&gt;0,IF(AND(J1090&lt;999,K1090&lt;2),1,0),Tablas!G428)</f>
        <v>0</v>
      </c>
      <c r="J1113" s="490">
        <f>IF(OR(I1111&gt;0,I1112&gt;0),1,0)</f>
        <v>0</v>
      </c>
      <c r="L1113" s="195">
        <v>55</v>
      </c>
      <c r="M1113" s="182">
        <v>100</v>
      </c>
      <c r="O1113" s="35" t="s">
        <v>1704</v>
      </c>
      <c r="P1113" s="1255" t="s">
        <v>1498</v>
      </c>
      <c r="Z1113" s="564" t="str">
        <f t="shared" si="273"/>
        <v>Behemoth: Señor de la tierra</v>
      </c>
      <c r="AA1113" s="878">
        <f t="shared" si="274"/>
        <v>32</v>
      </c>
      <c r="AB1113" s="1276" t="s">
        <v>696</v>
      </c>
      <c r="AC1113" s="47">
        <v>150</v>
      </c>
      <c r="AD1113" s="135">
        <v>200</v>
      </c>
    </row>
    <row r="1114" spans="1:30" ht="12.75" customHeight="1" x14ac:dyDescent="0.2">
      <c r="A1114" s="227">
        <v>1114</v>
      </c>
      <c r="B1114" s="6238"/>
      <c r="E1114" s="295"/>
      <c r="H1114" s="1346" t="s">
        <v>1704</v>
      </c>
      <c r="I1114" s="86">
        <f>IF(I1115&gt;0,IF(AND(J1094&lt;999,K1094&lt;2),1,0),Tablas!G432)</f>
        <v>0</v>
      </c>
      <c r="J1114" s="490">
        <f>IF(OR(I1105&gt;0,I1112&gt;0),1,0)</f>
        <v>0</v>
      </c>
      <c r="O1114" s="35" t="s">
        <v>1699</v>
      </c>
      <c r="P1114" s="1255"/>
      <c r="Z1114" s="564" t="str">
        <f t="shared" si="273"/>
        <v>Byakko, el Tigre Blanco</v>
      </c>
      <c r="AA1114" s="878">
        <f t="shared" si="274"/>
        <v>18</v>
      </c>
      <c r="AB1114" s="1276" t="s">
        <v>697</v>
      </c>
      <c r="AC1114" s="47">
        <v>220</v>
      </c>
      <c r="AD1114" s="135">
        <v>500</v>
      </c>
    </row>
    <row r="1115" spans="1:30" ht="12.75" customHeight="1" thickBot="1" x14ac:dyDescent="0.25">
      <c r="A1115" s="227">
        <v>1115</v>
      </c>
      <c r="B1115" s="6238"/>
      <c r="H1115" s="1347" t="s">
        <v>1241</v>
      </c>
      <c r="I1115" s="492">
        <f>Tablas!G438</f>
        <v>0</v>
      </c>
      <c r="J1115" s="685" t="s">
        <v>1456</v>
      </c>
      <c r="O1115" s="67" t="s">
        <v>1700</v>
      </c>
      <c r="P1115" s="1323"/>
      <c r="Z1115" s="564" t="str">
        <f t="shared" si="273"/>
        <v>Byakko: La bestia definitiva</v>
      </c>
      <c r="AA1115" s="878">
        <f t="shared" si="274"/>
        <v>48</v>
      </c>
      <c r="AB1115" s="1276" t="s">
        <v>698</v>
      </c>
      <c r="AC1115" s="47">
        <v>140</v>
      </c>
      <c r="AD1115" s="135">
        <v>200</v>
      </c>
    </row>
    <row r="1116" spans="1:30" ht="12.75" customHeight="1" thickBot="1" x14ac:dyDescent="0.25">
      <c r="A1116" s="227">
        <v>1116</v>
      </c>
      <c r="B1116" s="6238"/>
      <c r="N1116"/>
      <c r="O1116" s="559"/>
      <c r="Z1116" s="564" t="str">
        <f t="shared" si="273"/>
        <v>Byakko: La garra del rey de las bestias</v>
      </c>
      <c r="AA1116" s="878">
        <f t="shared" si="274"/>
        <v>33</v>
      </c>
      <c r="AB1116" s="1276" t="s">
        <v>699</v>
      </c>
      <c r="AC1116" s="47">
        <v>180</v>
      </c>
      <c r="AD1116" s="135">
        <v>200</v>
      </c>
    </row>
    <row r="1117" spans="1:30" ht="12.75" customHeight="1" x14ac:dyDescent="0.2">
      <c r="A1117" s="227">
        <v>1117</v>
      </c>
      <c r="B1117" s="6238"/>
      <c r="C1117" s="6175" t="s">
        <v>80</v>
      </c>
      <c r="D1117" s="6176"/>
      <c r="E1117" s="6176"/>
      <c r="F1117" s="6176"/>
      <c r="G1117" s="6176"/>
      <c r="H1117" s="6176"/>
      <c r="I1117" s="6176"/>
      <c r="J1117" s="6177"/>
      <c r="K1117" s="6259" t="s">
        <v>6961</v>
      </c>
      <c r="M1117" s="3115" t="s">
        <v>6962</v>
      </c>
      <c r="N1117" s="3116"/>
      <c r="O1117" s="3116"/>
      <c r="P1117" s="3116"/>
      <c r="Q1117" s="3116"/>
      <c r="R1117" s="3116"/>
      <c r="S1117" s="3116"/>
      <c r="T1117" s="3116"/>
      <c r="U1117" s="3116"/>
      <c r="V1117" s="3116"/>
      <c r="W1117" s="3117"/>
      <c r="Z1117" s="564" t="str">
        <f t="shared" si="273"/>
        <v>Byakko: Protección</v>
      </c>
      <c r="AA1117" s="878">
        <f t="shared" si="274"/>
        <v>35</v>
      </c>
      <c r="AB1117" s="1276" t="s">
        <v>700</v>
      </c>
      <c r="AC1117" s="47">
        <v>140</v>
      </c>
      <c r="AD1117" s="135">
        <v>120</v>
      </c>
    </row>
    <row r="1118" spans="1:30" ht="12.75" customHeight="1" thickBot="1" x14ac:dyDescent="0.25">
      <c r="A1118" s="227">
        <v>1118</v>
      </c>
      <c r="B1118" s="6238"/>
      <c r="C1118" s="6180" t="s">
        <v>6963</v>
      </c>
      <c r="D1118" s="6181"/>
      <c r="E1118" s="6181"/>
      <c r="F1118" s="6181"/>
      <c r="G1118" s="6181"/>
      <c r="H1118" s="6181"/>
      <c r="I1118" s="6181"/>
      <c r="J1118" s="6182"/>
      <c r="K1118" s="6259"/>
      <c r="M1118" s="661" t="s">
        <v>1699</v>
      </c>
      <c r="N1118" s="1114" t="s">
        <v>1700</v>
      </c>
      <c r="O1118" s="757" t="s">
        <v>1706</v>
      </c>
      <c r="P1118" s="1114" t="s">
        <v>1707</v>
      </c>
      <c r="Q1118" s="1114" t="s">
        <v>1610</v>
      </c>
      <c r="R1118" s="1114" t="s">
        <v>1606</v>
      </c>
      <c r="S1118" s="1114" t="s">
        <v>1704</v>
      </c>
      <c r="T1118" s="1114" t="s">
        <v>1603</v>
      </c>
      <c r="U1118" s="1114" t="s">
        <v>1709</v>
      </c>
      <c r="V1118" s="1114" t="s">
        <v>1711</v>
      </c>
      <c r="W1118" s="1115" t="s">
        <v>1713</v>
      </c>
      <c r="Z1118" s="564" t="str">
        <f t="shared" si="273"/>
        <v>Byakko: Señor del oeste</v>
      </c>
      <c r="AA1118" s="878">
        <f t="shared" si="274"/>
        <v>34</v>
      </c>
      <c r="AB1118" s="1276" t="s">
        <v>701</v>
      </c>
      <c r="AC1118" s="47">
        <v>200</v>
      </c>
      <c r="AD1118" s="135">
        <v>240</v>
      </c>
    </row>
    <row r="1119" spans="1:30" ht="12.75" customHeight="1" x14ac:dyDescent="0.2">
      <c r="A1119" s="227">
        <v>1119</v>
      </c>
      <c r="B1119" s="6238"/>
      <c r="C1119" s="263" t="s">
        <v>81</v>
      </c>
      <c r="D1119" s="264" t="s">
        <v>1713</v>
      </c>
      <c r="E1119" s="264" t="s">
        <v>1711</v>
      </c>
      <c r="F1119" s="264" t="s">
        <v>1709</v>
      </c>
      <c r="G1119" s="264" t="s">
        <v>1610</v>
      </c>
      <c r="H1119" s="264" t="s">
        <v>1704</v>
      </c>
      <c r="I1119" s="226" t="s">
        <v>1606</v>
      </c>
      <c r="J1119" s="196"/>
      <c r="K1119" s="745" t="str">
        <f t="shared" ref="K1119:K1132" si="275">D1119&amp;E1119&amp;F1119&amp;G1119&amp;H1119&amp;I1119&amp;J1119</f>
        <v>NigromanciaIlusiónEsenciaFuegoTierraAgua</v>
      </c>
      <c r="M1119" s="662" t="s">
        <v>8312</v>
      </c>
      <c r="N1119" s="660" t="s">
        <v>8312</v>
      </c>
      <c r="O1119" s="660" t="s">
        <v>8312</v>
      </c>
      <c r="P1119" s="660" t="s">
        <v>8312</v>
      </c>
      <c r="Q1119" s="660" t="s">
        <v>8312</v>
      </c>
      <c r="R1119" s="660" t="s">
        <v>8312</v>
      </c>
      <c r="S1119" s="660" t="s">
        <v>8312</v>
      </c>
      <c r="T1119" s="660" t="s">
        <v>8312</v>
      </c>
      <c r="U1119" s="660" t="s">
        <v>8312</v>
      </c>
      <c r="V1119" s="660" t="s">
        <v>8312</v>
      </c>
      <c r="W1119" s="663" t="s">
        <v>8312</v>
      </c>
      <c r="Z1119" s="564" t="str">
        <f t="shared" si="273"/>
        <v>Caronte, Titiritero de Almas</v>
      </c>
      <c r="AA1119" s="878">
        <f t="shared" si="274"/>
        <v>36</v>
      </c>
      <c r="AB1119" s="1276" t="s">
        <v>702</v>
      </c>
      <c r="AC1119" s="47">
        <v>240</v>
      </c>
      <c r="AD1119" s="135">
        <v>400</v>
      </c>
    </row>
    <row r="1120" spans="1:30" ht="12.75" customHeight="1" x14ac:dyDescent="0.2">
      <c r="A1120" s="227">
        <v>1120</v>
      </c>
      <c r="B1120" s="6238"/>
      <c r="C1120" s="265" t="s">
        <v>89</v>
      </c>
      <c r="D1120" s="264" t="s">
        <v>1707</v>
      </c>
      <c r="E1120" s="264" t="s">
        <v>1704</v>
      </c>
      <c r="F1120" s="264" t="s">
        <v>1610</v>
      </c>
      <c r="G1120" s="264" t="s">
        <v>1711</v>
      </c>
      <c r="H1120" s="264"/>
      <c r="I1120" s="226"/>
      <c r="J1120" s="196"/>
      <c r="K1120" s="745" t="str">
        <f t="shared" si="275"/>
        <v>DestrucciónTierraFuegoIlusión</v>
      </c>
      <c r="M1120" s="662" t="s">
        <v>81</v>
      </c>
      <c r="N1120" s="660" t="s">
        <v>81</v>
      </c>
      <c r="O1120" s="660" t="s">
        <v>81</v>
      </c>
      <c r="P1120" s="660" t="s">
        <v>81</v>
      </c>
      <c r="Q1120" s="660" t="s">
        <v>82</v>
      </c>
      <c r="R1120" s="660" t="s">
        <v>89</v>
      </c>
      <c r="S1120" s="660" t="s">
        <v>82</v>
      </c>
      <c r="T1120" s="660" t="s">
        <v>81</v>
      </c>
      <c r="U1120" s="660" t="s">
        <v>89</v>
      </c>
      <c r="V1120" s="660" t="s">
        <v>83</v>
      </c>
      <c r="W1120" s="663" t="s">
        <v>89</v>
      </c>
      <c r="Z1120" s="564" t="str">
        <f t="shared" si="273"/>
        <v>Druaga</v>
      </c>
      <c r="AA1120" s="878">
        <f t="shared" si="274"/>
        <v>25</v>
      </c>
      <c r="AB1120" s="1276" t="s">
        <v>703</v>
      </c>
      <c r="AC1120" s="47">
        <v>260</v>
      </c>
      <c r="AD1120" s="135">
        <v>400</v>
      </c>
    </row>
    <row r="1121" spans="1:30" ht="12.75" customHeight="1" x14ac:dyDescent="0.2">
      <c r="A1121" s="227">
        <v>1121</v>
      </c>
      <c r="B1121" s="6238"/>
      <c r="C1121" s="265" t="s">
        <v>82</v>
      </c>
      <c r="D1121" s="264" t="s">
        <v>1709</v>
      </c>
      <c r="E1121" s="264" t="s">
        <v>1603</v>
      </c>
      <c r="F1121" s="264" t="s">
        <v>1699</v>
      </c>
      <c r="G1121" s="264" t="s">
        <v>1606</v>
      </c>
      <c r="H1121" s="264" t="s">
        <v>1711</v>
      </c>
      <c r="I1121" s="226" t="s">
        <v>1706</v>
      </c>
      <c r="J1121" s="196"/>
      <c r="K1121" s="745" t="str">
        <f t="shared" si="275"/>
        <v>EsenciaAireLuzAguaIlusiónCreación</v>
      </c>
      <c r="M1121" s="662" t="s">
        <v>89</v>
      </c>
      <c r="N1121" s="660" t="s">
        <v>89</v>
      </c>
      <c r="O1121" s="660" t="s">
        <v>89</v>
      </c>
      <c r="P1121" s="660" t="s">
        <v>82</v>
      </c>
      <c r="Q1121" s="660" t="s">
        <v>84</v>
      </c>
      <c r="R1121" s="660" t="s">
        <v>83</v>
      </c>
      <c r="S1121" s="660" t="s">
        <v>86</v>
      </c>
      <c r="T1121" s="660" t="s">
        <v>89</v>
      </c>
      <c r="U1121" s="660" t="s">
        <v>85</v>
      </c>
      <c r="V1121" s="660" t="s">
        <v>85</v>
      </c>
      <c r="W1121" s="663" t="s">
        <v>82</v>
      </c>
      <c r="Z1121" s="564" t="str">
        <f t="shared" si="273"/>
        <v>Druaga: Destructora de demonios</v>
      </c>
      <c r="AA1121" s="878">
        <f t="shared" si="274"/>
        <v>47</v>
      </c>
      <c r="AB1121" s="1276" t="s">
        <v>704</v>
      </c>
      <c r="AC1121" s="47">
        <v>180</v>
      </c>
      <c r="AD1121" s="135">
        <v>200</v>
      </c>
    </row>
    <row r="1122" spans="1:30" ht="12.75" customHeight="1" x14ac:dyDescent="0.2">
      <c r="A1122" s="227">
        <v>1122</v>
      </c>
      <c r="B1122" s="6238"/>
      <c r="C1122" s="265" t="s">
        <v>83</v>
      </c>
      <c r="D1122" s="264" t="s">
        <v>1713</v>
      </c>
      <c r="E1122" s="264" t="s">
        <v>1707</v>
      </c>
      <c r="F1122" s="264" t="s">
        <v>1709</v>
      </c>
      <c r="G1122" s="264" t="s">
        <v>1610</v>
      </c>
      <c r="H1122" s="264" t="s">
        <v>1603</v>
      </c>
      <c r="I1122" s="226" t="s">
        <v>1704</v>
      </c>
      <c r="J1122" s="196"/>
      <c r="K1122" s="745" t="str">
        <f t="shared" si="275"/>
        <v>NigromanciaDestrucciónEsenciaFuegoAireTierra</v>
      </c>
      <c r="M1122" s="662" t="s">
        <v>83</v>
      </c>
      <c r="N1122" s="660" t="s">
        <v>82</v>
      </c>
      <c r="O1122" s="660" t="s">
        <v>83</v>
      </c>
      <c r="P1122" s="660" t="s">
        <v>84</v>
      </c>
      <c r="Q1122" s="660" t="s">
        <v>88</v>
      </c>
      <c r="R1122" s="660" t="s">
        <v>85</v>
      </c>
      <c r="S1122" s="660" t="s">
        <v>87</v>
      </c>
      <c r="T1122" s="660" t="s">
        <v>85</v>
      </c>
      <c r="U1122" s="660" t="s">
        <v>87</v>
      </c>
      <c r="V1122" s="660" t="s">
        <v>86</v>
      </c>
      <c r="W1122" s="663" t="s">
        <v>84</v>
      </c>
      <c r="Z1122" s="564" t="str">
        <f t="shared" si="273"/>
        <v>Druaga: Kali</v>
      </c>
      <c r="AA1122" s="878">
        <f t="shared" si="274"/>
        <v>26</v>
      </c>
      <c r="AB1122" s="1276" t="s">
        <v>705</v>
      </c>
      <c r="AC1122" s="47">
        <v>220</v>
      </c>
      <c r="AD1122" s="135">
        <v>350</v>
      </c>
    </row>
    <row r="1123" spans="1:30" ht="12.75" customHeight="1" x14ac:dyDescent="0.2">
      <c r="A1123" s="227">
        <v>1123</v>
      </c>
      <c r="B1123" s="6238"/>
      <c r="C1123" s="265" t="s">
        <v>84</v>
      </c>
      <c r="D1123" s="264" t="s">
        <v>1706</v>
      </c>
      <c r="E1123" s="264" t="s">
        <v>1699</v>
      </c>
      <c r="F1123" s="264" t="s">
        <v>1709</v>
      </c>
      <c r="G1123" s="264" t="s">
        <v>1704</v>
      </c>
      <c r="H1123" s="264" t="s">
        <v>1606</v>
      </c>
      <c r="I1123" s="226" t="s">
        <v>1603</v>
      </c>
      <c r="J1123" s="196" t="s">
        <v>1711</v>
      </c>
      <c r="K1123" s="745" t="str">
        <f t="shared" si="275"/>
        <v>CreaciónLuzEsenciaTierraAguaAireIlusión</v>
      </c>
      <c r="M1123" s="662" t="s">
        <v>85</v>
      </c>
      <c r="N1123" s="660" t="s">
        <v>83</v>
      </c>
      <c r="O1123" s="660" t="s">
        <v>85</v>
      </c>
      <c r="P1123" s="660" t="s">
        <v>88</v>
      </c>
      <c r="Q1123" s="660" t="s">
        <v>2075</v>
      </c>
      <c r="R1123" s="660" t="s">
        <v>86</v>
      </c>
      <c r="S1123" s="660" t="s">
        <v>2075</v>
      </c>
      <c r="T1123" s="660" t="s">
        <v>86</v>
      </c>
      <c r="U1123" s="660" t="s">
        <v>90</v>
      </c>
      <c r="V1123" s="660" t="s">
        <v>91</v>
      </c>
      <c r="W1123" s="663" t="s">
        <v>88</v>
      </c>
      <c r="Z1123" s="564" t="str">
        <f t="shared" si="273"/>
        <v>Eir, la Primera Valkyria</v>
      </c>
      <c r="AA1123" s="878">
        <f t="shared" si="274"/>
        <v>50</v>
      </c>
      <c r="AB1123" s="1276" t="s">
        <v>706</v>
      </c>
      <c r="AC1123" s="47">
        <v>220</v>
      </c>
      <c r="AD1123" s="135">
        <v>400</v>
      </c>
    </row>
    <row r="1124" spans="1:30" ht="12.75" customHeight="1" x14ac:dyDescent="0.2">
      <c r="A1124" s="227">
        <v>1124</v>
      </c>
      <c r="B1124" s="6238"/>
      <c r="C1124" s="265" t="s">
        <v>85</v>
      </c>
      <c r="D1124" s="264" t="s">
        <v>1707</v>
      </c>
      <c r="E1124" s="264" t="s">
        <v>1610</v>
      </c>
      <c r="F1124" s="264" t="s">
        <v>1704</v>
      </c>
      <c r="G1124" s="264" t="s">
        <v>1713</v>
      </c>
      <c r="H1124" s="264"/>
      <c r="I1124" s="226"/>
      <c r="J1124" s="196"/>
      <c r="K1124" s="745" t="str">
        <f t="shared" si="275"/>
        <v>DestrucciónFuegoTierraNigromancia</v>
      </c>
      <c r="M1124" s="662" t="s">
        <v>86</v>
      </c>
      <c r="N1124" s="660" t="s">
        <v>84</v>
      </c>
      <c r="O1124" s="660" t="s">
        <v>87</v>
      </c>
      <c r="P1124" s="660" t="s">
        <v>90</v>
      </c>
      <c r="Q1124" s="660" t="s">
        <v>8313</v>
      </c>
      <c r="R1124" s="660" t="s">
        <v>87</v>
      </c>
      <c r="S1124" s="660" t="s">
        <v>8313</v>
      </c>
      <c r="T1124" s="660" t="s">
        <v>87</v>
      </c>
      <c r="U1124" s="660" t="s">
        <v>91</v>
      </c>
      <c r="V1124" s="660" t="s">
        <v>2075</v>
      </c>
      <c r="W1124" s="663" t="s">
        <v>90</v>
      </c>
      <c r="Z1124" s="564" t="str">
        <f t="shared" si="273"/>
        <v>Eir: Einjear</v>
      </c>
      <c r="AA1124" s="878">
        <f t="shared" si="274"/>
        <v>37</v>
      </c>
      <c r="AB1124" s="1276" t="s">
        <v>707</v>
      </c>
      <c r="AC1124" s="47">
        <v>280</v>
      </c>
      <c r="AD1124" s="135">
        <v>500</v>
      </c>
    </row>
    <row r="1125" spans="1:30" ht="12.75" customHeight="1" x14ac:dyDescent="0.2">
      <c r="A1125" s="227">
        <v>1125</v>
      </c>
      <c r="B1125" s="6238"/>
      <c r="C1125" s="265" t="s">
        <v>86</v>
      </c>
      <c r="D1125" s="264" t="s">
        <v>1706</v>
      </c>
      <c r="E1125" s="264" t="s">
        <v>1707</v>
      </c>
      <c r="F1125" s="264" t="s">
        <v>1709</v>
      </c>
      <c r="G1125" s="264" t="s">
        <v>1610</v>
      </c>
      <c r="H1125" s="264" t="s">
        <v>1713</v>
      </c>
      <c r="I1125" s="226"/>
      <c r="J1125" s="196"/>
      <c r="K1125" s="745" t="str">
        <f t="shared" si="275"/>
        <v>CreaciónDestrucciónEsenciaFuegoNigromancia</v>
      </c>
      <c r="M1125" s="662" t="s">
        <v>87</v>
      </c>
      <c r="N1125" s="660" t="s">
        <v>85</v>
      </c>
      <c r="O1125" s="660" t="s">
        <v>88</v>
      </c>
      <c r="P1125" s="660" t="s">
        <v>92</v>
      </c>
      <c r="Q1125" s="660" t="s">
        <v>81</v>
      </c>
      <c r="R1125" s="660" t="s">
        <v>90</v>
      </c>
      <c r="S1125" s="660" t="s">
        <v>81</v>
      </c>
      <c r="T1125" s="660" t="s">
        <v>88</v>
      </c>
      <c r="U1125" s="660" t="s">
        <v>8313</v>
      </c>
      <c r="V1125" s="660" t="s">
        <v>8313</v>
      </c>
      <c r="W1125" s="663" t="s">
        <v>91</v>
      </c>
      <c r="Z1125" s="564" t="str">
        <f t="shared" si="273"/>
        <v>Eir: El ojo de la muerte</v>
      </c>
      <c r="AA1125" s="878">
        <f t="shared" si="274"/>
        <v>39</v>
      </c>
      <c r="AB1125" s="1276" t="s">
        <v>708</v>
      </c>
      <c r="AC1125" s="47">
        <v>240</v>
      </c>
      <c r="AD1125" s="135">
        <v>400</v>
      </c>
    </row>
    <row r="1126" spans="1:30" ht="12.75" customHeight="1" x14ac:dyDescent="0.2">
      <c r="A1126" s="227">
        <v>1126</v>
      </c>
      <c r="B1126" s="6238"/>
      <c r="C1126" s="265" t="s">
        <v>87</v>
      </c>
      <c r="D1126" s="264" t="s">
        <v>1707</v>
      </c>
      <c r="E1126" s="264" t="s">
        <v>1700</v>
      </c>
      <c r="F1126" s="264" t="s">
        <v>1610</v>
      </c>
      <c r="G1126" s="264" t="s">
        <v>1713</v>
      </c>
      <c r="H1126" s="264" t="s">
        <v>1711</v>
      </c>
      <c r="I1126" s="226"/>
      <c r="J1126" s="196"/>
      <c r="K1126" s="745" t="str">
        <f t="shared" si="275"/>
        <v>DestrucciónOscuridadFuegoNigromanciaIlusión</v>
      </c>
      <c r="M1126" s="662" t="s">
        <v>91</v>
      </c>
      <c r="N1126" s="660" t="s">
        <v>86</v>
      </c>
      <c r="O1126" s="660" t="s">
        <v>90</v>
      </c>
      <c r="P1126" s="660" t="s">
        <v>93</v>
      </c>
      <c r="Q1126" s="660" t="s">
        <v>89</v>
      </c>
      <c r="R1126" s="660" t="s">
        <v>93</v>
      </c>
      <c r="S1126" s="660" t="s">
        <v>89</v>
      </c>
      <c r="T1126" s="660" t="s">
        <v>91</v>
      </c>
      <c r="U1126" s="660" t="s">
        <v>81</v>
      </c>
      <c r="V1126" s="660" t="s">
        <v>81</v>
      </c>
      <c r="W1126" s="663" t="s">
        <v>2075</v>
      </c>
      <c r="Z1126" s="564" t="str">
        <f t="shared" si="273"/>
        <v>El Vendedor</v>
      </c>
      <c r="AA1126" s="878">
        <f t="shared" si="274"/>
        <v>38</v>
      </c>
      <c r="AB1126" s="1276" t="s">
        <v>709</v>
      </c>
      <c r="AC1126" s="47">
        <v>280</v>
      </c>
      <c r="AD1126" s="135">
        <v>500</v>
      </c>
    </row>
    <row r="1127" spans="1:30" ht="12.75" customHeight="1" x14ac:dyDescent="0.2">
      <c r="A1127" s="227">
        <v>1127</v>
      </c>
      <c r="B1127" s="6238"/>
      <c r="C1127" s="265" t="s">
        <v>88</v>
      </c>
      <c r="D1127" s="264" t="s">
        <v>1699</v>
      </c>
      <c r="E1127" s="264" t="s">
        <v>1709</v>
      </c>
      <c r="F1127" s="264" t="s">
        <v>1711</v>
      </c>
      <c r="G1127" s="264" t="s">
        <v>1704</v>
      </c>
      <c r="H1127" s="264" t="s">
        <v>1606</v>
      </c>
      <c r="I1127" s="226"/>
      <c r="J1127" s="196"/>
      <c r="K1127" s="745" t="str">
        <f t="shared" si="275"/>
        <v>LuzEsenciaIlusiónTierraAgua</v>
      </c>
      <c r="M1127" s="662" t="s">
        <v>92</v>
      </c>
      <c r="N1127" s="660" t="s">
        <v>88</v>
      </c>
      <c r="O1127" s="660" t="s">
        <v>92</v>
      </c>
      <c r="P1127" s="660" t="s">
        <v>8313</v>
      </c>
      <c r="Q1127" s="660" t="s">
        <v>83</v>
      </c>
      <c r="R1127" s="660" t="s">
        <v>8313</v>
      </c>
      <c r="S1127" s="660" t="s">
        <v>83</v>
      </c>
      <c r="T1127" s="660" t="s">
        <v>2075</v>
      </c>
      <c r="U1127" s="660" t="s">
        <v>82</v>
      </c>
      <c r="V1127" s="660" t="s">
        <v>89</v>
      </c>
      <c r="W1127" s="663" t="s">
        <v>93</v>
      </c>
      <c r="Z1127" s="564" t="str">
        <f t="shared" si="273"/>
        <v>Enamon</v>
      </c>
      <c r="AA1127" s="878">
        <f t="shared" si="274"/>
        <v>19</v>
      </c>
      <c r="AB1127" s="1276" t="s">
        <v>710</v>
      </c>
      <c r="AC1127" s="47">
        <v>280</v>
      </c>
      <c r="AD1127" s="135">
        <v>400</v>
      </c>
    </row>
    <row r="1128" spans="1:30" ht="12.75" customHeight="1" x14ac:dyDescent="0.2">
      <c r="A1128" s="227">
        <v>1128</v>
      </c>
      <c r="B1128" s="6238"/>
      <c r="C1128" s="265" t="s">
        <v>90</v>
      </c>
      <c r="D1128" s="264" t="s">
        <v>1699</v>
      </c>
      <c r="E1128" s="264" t="s">
        <v>1711</v>
      </c>
      <c r="F1128" s="264" t="s">
        <v>1610</v>
      </c>
      <c r="G1128" s="264" t="s">
        <v>1603</v>
      </c>
      <c r="H1128" s="264" t="s">
        <v>1704</v>
      </c>
      <c r="I1128" s="226"/>
      <c r="J1128" s="196"/>
      <c r="K1128" s="745" t="str">
        <f t="shared" si="275"/>
        <v>LuzIlusiónFuegoAireTierra</v>
      </c>
      <c r="M1128" s="662" t="s">
        <v>8313</v>
      </c>
      <c r="N1128" s="660" t="s">
        <v>90</v>
      </c>
      <c r="O1128" s="660" t="s">
        <v>8313</v>
      </c>
      <c r="P1128" s="660" t="s">
        <v>89</v>
      </c>
      <c r="Q1128" s="660" t="s">
        <v>85</v>
      </c>
      <c r="R1128" s="660" t="s">
        <v>81</v>
      </c>
      <c r="S1128" s="660" t="s">
        <v>84</v>
      </c>
      <c r="T1128" s="660" t="s">
        <v>93</v>
      </c>
      <c r="U1128" s="660" t="s">
        <v>83</v>
      </c>
      <c r="V1128" s="660" t="s">
        <v>82</v>
      </c>
      <c r="W1128" s="663" t="s">
        <v>8313</v>
      </c>
      <c r="Z1128" s="564" t="str">
        <f t="shared" si="273"/>
        <v>Ethelthryth, Señora de los Nombres</v>
      </c>
      <c r="AA1128" s="878">
        <f t="shared" si="274"/>
        <v>20</v>
      </c>
      <c r="AB1128" s="1276" t="s">
        <v>711</v>
      </c>
      <c r="AC1128" s="47">
        <v>240</v>
      </c>
      <c r="AD1128" s="135">
        <v>350</v>
      </c>
    </row>
    <row r="1129" spans="1:30" ht="12.75" customHeight="1" x14ac:dyDescent="0.2">
      <c r="A1129" s="227">
        <v>1129</v>
      </c>
      <c r="B1129" s="6238"/>
      <c r="C1129" s="265" t="s">
        <v>91</v>
      </c>
      <c r="D1129" s="264" t="s">
        <v>1706</v>
      </c>
      <c r="E1129" s="264" t="s">
        <v>1707</v>
      </c>
      <c r="F1129" s="264" t="s">
        <v>1606</v>
      </c>
      <c r="G1129" s="264" t="s">
        <v>1704</v>
      </c>
      <c r="H1129" s="264" t="s">
        <v>1610</v>
      </c>
      <c r="I1129" s="226"/>
      <c r="J1129" s="196"/>
      <c r="K1129" s="745" t="str">
        <f t="shared" si="275"/>
        <v>CreaciónDestrucciónAguaTierraFuego</v>
      </c>
      <c r="M1129" s="662" t="s">
        <v>82</v>
      </c>
      <c r="N1129" s="660" t="s">
        <v>91</v>
      </c>
      <c r="O1129" s="660" t="s">
        <v>82</v>
      </c>
      <c r="P1129" s="660" t="s">
        <v>83</v>
      </c>
      <c r="Q1129" s="660" t="s">
        <v>86</v>
      </c>
      <c r="R1129" s="660" t="s">
        <v>82</v>
      </c>
      <c r="S1129" s="660" t="s">
        <v>85</v>
      </c>
      <c r="T1129" s="660" t="s">
        <v>8313</v>
      </c>
      <c r="U1129" s="660" t="s">
        <v>84</v>
      </c>
      <c r="V1129" s="660" t="s">
        <v>84</v>
      </c>
      <c r="W1129" s="663" t="s">
        <v>81</v>
      </c>
      <c r="Z1129" s="564" t="str">
        <f t="shared" si="273"/>
        <v>Ethelthryth: In Nomine</v>
      </c>
      <c r="AA1129" s="878">
        <f t="shared" si="274"/>
        <v>21</v>
      </c>
      <c r="AB1129" s="1276" t="s">
        <v>712</v>
      </c>
      <c r="AC1129" s="47">
        <v>320</v>
      </c>
      <c r="AD1129" s="135">
        <v>450</v>
      </c>
    </row>
    <row r="1130" spans="1:30" ht="12.75" customHeight="1" x14ac:dyDescent="0.2">
      <c r="A1130" s="227">
        <v>1130</v>
      </c>
      <c r="B1130" s="6238"/>
      <c r="C1130" s="265" t="s">
        <v>92</v>
      </c>
      <c r="D1130" s="264" t="s">
        <v>1713</v>
      </c>
      <c r="E1130" s="264" t="s">
        <v>1606</v>
      </c>
      <c r="F1130" s="264" t="s">
        <v>1704</v>
      </c>
      <c r="G1130" s="264" t="s">
        <v>1610</v>
      </c>
      <c r="H1130" s="264" t="s">
        <v>1603</v>
      </c>
      <c r="I1130" s="226" t="s">
        <v>1709</v>
      </c>
      <c r="J1130" s="196" t="s">
        <v>1711</v>
      </c>
      <c r="K1130" s="745" t="str">
        <f t="shared" si="275"/>
        <v>NigromanciaAguaTierraFuegoAireEsenciaIlusión</v>
      </c>
      <c r="M1130" s="662" t="s">
        <v>84</v>
      </c>
      <c r="N1130" s="660" t="s">
        <v>92</v>
      </c>
      <c r="O1130" s="660" t="s">
        <v>84</v>
      </c>
      <c r="P1130" s="660" t="s">
        <v>85</v>
      </c>
      <c r="Q1130" s="660" t="s">
        <v>87</v>
      </c>
      <c r="R1130" s="660" t="s">
        <v>84</v>
      </c>
      <c r="S1130" s="660" t="s">
        <v>88</v>
      </c>
      <c r="T1130" s="660" t="s">
        <v>82</v>
      </c>
      <c r="U1130" s="660" t="s">
        <v>86</v>
      </c>
      <c r="V1130" s="660" t="s">
        <v>87</v>
      </c>
      <c r="W1130" s="663" t="s">
        <v>83</v>
      </c>
      <c r="Z1130" s="564" t="str">
        <f t="shared" si="273"/>
        <v>Ethelthryth: Ordinare</v>
      </c>
      <c r="AA1130" s="878">
        <f t="shared" si="274"/>
        <v>14</v>
      </c>
      <c r="AB1130" s="1276" t="s">
        <v>713</v>
      </c>
      <c r="AC1130" s="47">
        <v>280</v>
      </c>
      <c r="AD1130" s="135">
        <v>400</v>
      </c>
    </row>
    <row r="1131" spans="1:30" ht="12.75" customHeight="1" x14ac:dyDescent="0.2">
      <c r="A1131" s="227">
        <v>1131</v>
      </c>
      <c r="B1131" s="6238"/>
      <c r="C1131" s="265" t="s">
        <v>2075</v>
      </c>
      <c r="D1131" s="264" t="s">
        <v>1699</v>
      </c>
      <c r="E1131" s="264" t="s">
        <v>1709</v>
      </c>
      <c r="F1131" s="264" t="s">
        <v>1606</v>
      </c>
      <c r="G1131" s="264" t="s">
        <v>1706</v>
      </c>
      <c r="H1131" s="264" t="s">
        <v>1707</v>
      </c>
      <c r="I1131" s="226"/>
      <c r="J1131" s="196"/>
      <c r="K1131" s="745" t="str">
        <f t="shared" si="275"/>
        <v>LuzEsenciaAguaCreaciónDestrucción</v>
      </c>
      <c r="M1131" s="662" t="s">
        <v>88</v>
      </c>
      <c r="N1131" s="660" t="s">
        <v>2075</v>
      </c>
      <c r="O1131" s="660" t="s">
        <v>86</v>
      </c>
      <c r="P1131" s="660" t="s">
        <v>86</v>
      </c>
      <c r="Q1131" s="660" t="s">
        <v>90</v>
      </c>
      <c r="R1131" s="660" t="s">
        <v>88</v>
      </c>
      <c r="S1131" s="660" t="s">
        <v>90</v>
      </c>
      <c r="T1131" s="660" t="s">
        <v>83</v>
      </c>
      <c r="U1131" s="660" t="s">
        <v>88</v>
      </c>
      <c r="V1131" s="660" t="s">
        <v>88</v>
      </c>
      <c r="W1131" s="663" t="s">
        <v>85</v>
      </c>
      <c r="Z1131" s="564" t="str">
        <f t="shared" si="273"/>
        <v>Forseti, Señor del Equilibrio</v>
      </c>
      <c r="AA1131" s="878">
        <f t="shared" si="274"/>
        <v>16</v>
      </c>
      <c r="AB1131" s="1276" t="s">
        <v>714</v>
      </c>
      <c r="AC1131" s="47">
        <v>200</v>
      </c>
      <c r="AD1131" s="135">
        <v>240</v>
      </c>
    </row>
    <row r="1132" spans="1:30" ht="12.75" customHeight="1" thickBot="1" x14ac:dyDescent="0.25">
      <c r="A1132" s="227">
        <v>1132</v>
      </c>
      <c r="B1132" s="6238"/>
      <c r="C1132" s="266" t="s">
        <v>93</v>
      </c>
      <c r="D1132" s="267" t="s">
        <v>1699</v>
      </c>
      <c r="E1132" s="267" t="s">
        <v>1706</v>
      </c>
      <c r="F1132" s="267" t="s">
        <v>1704</v>
      </c>
      <c r="G1132" s="267" t="s">
        <v>1610</v>
      </c>
      <c r="H1132" s="267" t="s">
        <v>1709</v>
      </c>
      <c r="I1132" s="228" t="s">
        <v>1711</v>
      </c>
      <c r="J1132" s="198"/>
      <c r="K1132" s="746" t="str">
        <f t="shared" si="275"/>
        <v>LuzCreaciónTierraFuegoEsenciaIlusión</v>
      </c>
      <c r="M1132" s="662" t="s">
        <v>90</v>
      </c>
      <c r="N1132" s="660" t="s">
        <v>93</v>
      </c>
      <c r="O1132" s="660" t="s">
        <v>91</v>
      </c>
      <c r="P1132" s="660" t="s">
        <v>87</v>
      </c>
      <c r="Q1132" s="660" t="s">
        <v>91</v>
      </c>
      <c r="R1132" s="660" t="s">
        <v>91</v>
      </c>
      <c r="S1132" s="660" t="s">
        <v>91</v>
      </c>
      <c r="T1132" s="660" t="s">
        <v>84</v>
      </c>
      <c r="U1132" s="660" t="s">
        <v>92</v>
      </c>
      <c r="V1132" s="660" t="s">
        <v>90</v>
      </c>
      <c r="W1132" s="663" t="s">
        <v>86</v>
      </c>
      <c r="Z1132" s="564" t="str">
        <f t="shared" si="273"/>
        <v>Forseti: Equilibirum</v>
      </c>
      <c r="AA1132" s="878">
        <f t="shared" si="274"/>
        <v>15</v>
      </c>
      <c r="AB1132" s="1276" t="s">
        <v>715</v>
      </c>
      <c r="AC1132" s="47">
        <v>380</v>
      </c>
      <c r="AD1132" s="135">
        <v>800</v>
      </c>
    </row>
    <row r="1133" spans="1:30" ht="12.75" customHeight="1" x14ac:dyDescent="0.2">
      <c r="A1133" s="227">
        <v>1133</v>
      </c>
      <c r="B1133" s="6238"/>
      <c r="H1133"/>
      <c r="I1133" s="559"/>
      <c r="M1133" s="662" t="s">
        <v>2075</v>
      </c>
      <c r="N1133" s="660" t="s">
        <v>8313</v>
      </c>
      <c r="O1133" s="660" t="s">
        <v>2075</v>
      </c>
      <c r="P1133" s="660" t="s">
        <v>91</v>
      </c>
      <c r="Q1133" s="660" t="s">
        <v>92</v>
      </c>
      <c r="R1133" s="660" t="s">
        <v>92</v>
      </c>
      <c r="S1133" s="660" t="s">
        <v>92</v>
      </c>
      <c r="T1133" s="660" t="s">
        <v>90</v>
      </c>
      <c r="U1133" s="660" t="s">
        <v>2075</v>
      </c>
      <c r="V1133" s="660" t="s">
        <v>92</v>
      </c>
      <c r="W1133" s="663" t="s">
        <v>87</v>
      </c>
      <c r="Z1133" s="564" t="str">
        <f t="shared" si="273"/>
        <v>Forseti: Equilibirum mundi</v>
      </c>
      <c r="AA1133" s="878">
        <f t="shared" si="274"/>
        <v>68</v>
      </c>
      <c r="AB1133" s="1276" t="s">
        <v>716</v>
      </c>
      <c r="AC1133" s="47">
        <v>240</v>
      </c>
      <c r="AD1133" s="135">
        <v>350</v>
      </c>
    </row>
    <row r="1134" spans="1:30" ht="12.75" customHeight="1" thickBot="1" x14ac:dyDescent="0.25">
      <c r="A1134" s="227">
        <v>1134</v>
      </c>
      <c r="B1134" s="6238"/>
      <c r="M1134" s="1117" t="s">
        <v>93</v>
      </c>
      <c r="N1134" s="1118" t="s">
        <v>87</v>
      </c>
      <c r="O1134" s="1118" t="s">
        <v>93</v>
      </c>
      <c r="P1134" s="1118" t="s">
        <v>2075</v>
      </c>
      <c r="Q1134" s="1118" t="s">
        <v>93</v>
      </c>
      <c r="R1134" s="1118" t="s">
        <v>2227</v>
      </c>
      <c r="S1134" s="1118" t="s">
        <v>93</v>
      </c>
      <c r="T1134" s="1118" t="s">
        <v>92</v>
      </c>
      <c r="U1134" s="1118" t="s">
        <v>93</v>
      </c>
      <c r="V1134" s="1118" t="s">
        <v>93</v>
      </c>
      <c r="W1134" s="1119" t="s">
        <v>92</v>
      </c>
      <c r="Z1134" s="564" t="str">
        <f t="shared" si="273"/>
        <v>Galgaliel, Ángel de los Dones</v>
      </c>
      <c r="AA1134" s="878">
        <f t="shared" si="274"/>
        <v>67</v>
      </c>
      <c r="AB1134" s="1276" t="s">
        <v>717</v>
      </c>
      <c r="AC1134" s="47">
        <v>240</v>
      </c>
      <c r="AD1134" s="135">
        <v>400</v>
      </c>
    </row>
    <row r="1135" spans="1:30" ht="12.75" customHeight="1" thickBot="1" x14ac:dyDescent="0.25">
      <c r="A1135" s="227">
        <v>1135</v>
      </c>
      <c r="B1135" s="6238"/>
      <c r="Z1135" s="564" t="str">
        <f t="shared" si="273"/>
        <v>Garuda, Alas de Fuego</v>
      </c>
      <c r="AA1135" s="878">
        <f t="shared" si="274"/>
        <v>10</v>
      </c>
      <c r="AB1135" s="1276" t="s">
        <v>718</v>
      </c>
      <c r="AC1135" s="47">
        <v>340</v>
      </c>
      <c r="AD1135" s="135">
        <v>700</v>
      </c>
    </row>
    <row r="1136" spans="1:30" ht="12.75" customHeight="1" thickBot="1" x14ac:dyDescent="0.25">
      <c r="A1136" s="227">
        <v>1136</v>
      </c>
      <c r="B1136" s="6238"/>
      <c r="C1136" s="6033" t="s">
        <v>10437</v>
      </c>
      <c r="D1136" s="6034"/>
      <c r="E1136" s="6034"/>
      <c r="F1136" s="6034"/>
      <c r="G1136" s="6034"/>
      <c r="H1136" s="6034"/>
      <c r="I1136" s="6034"/>
      <c r="J1136" s="6034"/>
      <c r="K1136" s="6034"/>
      <c r="L1136" s="6034"/>
      <c r="M1136" s="6035"/>
      <c r="N1136" s="659"/>
      <c r="O1136" s="759"/>
      <c r="P1136" s="3631" t="s">
        <v>98</v>
      </c>
      <c r="Q1136" s="3631"/>
      <c r="R1136" s="3631"/>
      <c r="S1136" s="3631"/>
      <c r="T1136" s="3631"/>
      <c r="U1136" s="3631"/>
      <c r="V1136" s="3631"/>
      <c r="W1136" s="3631"/>
      <c r="Z1136" s="564" t="str">
        <f t="shared" si="273"/>
        <v>Genbu, la Tortuga Negra</v>
      </c>
      <c r="AA1136" s="878">
        <f t="shared" si="274"/>
        <v>49</v>
      </c>
      <c r="AB1136" s="1276" t="s">
        <v>719</v>
      </c>
      <c r="AC1136" s="47">
        <v>280</v>
      </c>
      <c r="AD1136" s="135">
        <v>500</v>
      </c>
    </row>
    <row r="1137" spans="1:30" ht="12.75" customHeight="1" thickBot="1" x14ac:dyDescent="0.25">
      <c r="A1137" s="227">
        <v>1137</v>
      </c>
      <c r="B1137" s="6238"/>
      <c r="C1137" s="6093"/>
      <c r="D1137" s="6104"/>
      <c r="E1137" s="6104"/>
      <c r="F1137" s="6104"/>
      <c r="G1137" s="6104"/>
      <c r="H1137" s="6104"/>
      <c r="I1137" s="6104"/>
      <c r="J1137" s="6104"/>
      <c r="K1137" s="6104"/>
      <c r="L1137" s="6104"/>
      <c r="M1137" s="6094"/>
      <c r="O1137" s="559"/>
      <c r="P1137" s="3631"/>
      <c r="Q1137" s="3631"/>
      <c r="R1137" s="3631"/>
      <c r="S1137" s="3631"/>
      <c r="T1137" s="3631"/>
      <c r="U1137" s="3631"/>
      <c r="V1137" s="3631"/>
      <c r="W1137" s="3631"/>
      <c r="Z1137" s="564" t="str">
        <f t="shared" si="273"/>
        <v>Genbu: Amo de las entrañas de la tierra</v>
      </c>
      <c r="AA1137" s="878">
        <f t="shared" si="274"/>
        <v>40</v>
      </c>
      <c r="AB1137" s="1276" t="s">
        <v>720</v>
      </c>
      <c r="AC1137" s="47">
        <v>200</v>
      </c>
      <c r="AD1137" s="135">
        <v>350</v>
      </c>
    </row>
    <row r="1138" spans="1:30" ht="12.75" customHeight="1" thickBot="1" x14ac:dyDescent="0.25">
      <c r="A1138" s="227">
        <v>1138</v>
      </c>
      <c r="B1138" s="6238"/>
      <c r="C1138" s="2970" t="s">
        <v>1606</v>
      </c>
      <c r="D1138" s="2971" t="s">
        <v>1603</v>
      </c>
      <c r="E1138" s="2971" t="s">
        <v>1706</v>
      </c>
      <c r="F1138" s="2972" t="s">
        <v>1707</v>
      </c>
      <c r="G1138" s="2971" t="s">
        <v>1709</v>
      </c>
      <c r="H1138" s="2971" t="s">
        <v>1610</v>
      </c>
      <c r="I1138" s="2971" t="s">
        <v>1711</v>
      </c>
      <c r="J1138" s="2971" t="s">
        <v>1699</v>
      </c>
      <c r="K1138" s="2971" t="s">
        <v>1713</v>
      </c>
      <c r="L1138" s="2951" t="s">
        <v>1700</v>
      </c>
      <c r="M1138" s="2973" t="s">
        <v>1704</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4" t="str">
        <f t="shared" si="273"/>
        <v>Genbu: Clarividencia</v>
      </c>
      <c r="AA1138" s="878">
        <f t="shared" si="274"/>
        <v>41</v>
      </c>
      <c r="AB1138" s="1276" t="s">
        <v>721</v>
      </c>
      <c r="AC1138" s="47">
        <v>360</v>
      </c>
      <c r="AD1138" s="135">
        <v>650</v>
      </c>
    </row>
    <row r="1139" spans="1:30" ht="12.75" customHeight="1" x14ac:dyDescent="0.2">
      <c r="A1139" s="227">
        <v>1139</v>
      </c>
      <c r="B1139" s="6238"/>
      <c r="C1139" s="2974" t="str">
        <f>IFERROR(VLOOKUP(C$1138,Místicos!$C$15:$F$25,3,0),"")</f>
        <v/>
      </c>
      <c r="D1139" s="2773" t="str">
        <f>IFERROR(VLOOKUP(D$1138,Místicos!$C$15:$F$25,3,0),"")</f>
        <v/>
      </c>
      <c r="E1139" s="2773" t="str">
        <f>IFERROR(VLOOKUP(E$1138,Místicos!$C$15:$F$25,3,0),"")</f>
        <v/>
      </c>
      <c r="F1139" s="2773" t="str">
        <f>IFERROR(VLOOKUP(F$1138,Místicos!$C$15:$F$25,3,0),"")</f>
        <v/>
      </c>
      <c r="G1139" s="2773" t="str">
        <f>IFERROR(VLOOKUP(G$1138,Místicos!$C$15:$F$25,3,0),"")</f>
        <v/>
      </c>
      <c r="H1139" s="2773" t="str">
        <f>IFERROR(VLOOKUP(H$1138,Místicos!$C$15:$F$25,3,0),"")</f>
        <v/>
      </c>
      <c r="I1139" s="2773" t="str">
        <f>IFERROR(VLOOKUP(I$1138,Místicos!$C$15:$F$25,3,0),"")</f>
        <v/>
      </c>
      <c r="J1139" s="2773" t="str">
        <f>IFERROR(VLOOKUP(J$1138,Místicos!$C$15:$F$25,3,0),"")</f>
        <v/>
      </c>
      <c r="K1139" s="2773" t="str">
        <f>IFERROR(VLOOKUP(K$1138,Místicos!$C$15:$F$25,3,0),"")</f>
        <v/>
      </c>
      <c r="L1139" s="2773" t="str">
        <f>IFERROR(VLOOKUP(L$1138,Místicos!$C$15:$F$25,3,0),"")</f>
        <v/>
      </c>
      <c r="M1139" s="2774" t="str">
        <f>IFERROR(VLOOKUP(M$1138,Místicos!$C$15:$F$25,3,0),"")</f>
        <v/>
      </c>
      <c r="P1139" s="269">
        <f t="shared" ref="P1139:P1180" si="276">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4" t="str">
        <f t="shared" si="273"/>
        <v>Genbu: El escudo definitivo</v>
      </c>
      <c r="AA1139" s="878">
        <f t="shared" si="274"/>
        <v>22</v>
      </c>
      <c r="AB1139" s="1276" t="s">
        <v>722</v>
      </c>
      <c r="AC1139" s="47">
        <v>320</v>
      </c>
      <c r="AD1139" s="135">
        <v>600</v>
      </c>
    </row>
    <row r="1140" spans="1:30" ht="12.75" customHeight="1" x14ac:dyDescent="0.2">
      <c r="A1140" s="227">
        <v>1140</v>
      </c>
      <c r="B1140" s="6238"/>
      <c r="C1140" s="326" t="str">
        <f>IFERROR(INDEX(Místicos!$AG$12:$AJ$50,MATCH(C$1138&amp;$A1,Místicos!$AN$12:$AN$50,0),1)&amp;", ","")</f>
        <v/>
      </c>
      <c r="D1140" s="2349" t="str">
        <f>IFERROR(INDEX(Místicos!$AG$12:$AJ$50,MATCH(D$1138&amp;$A1,Místicos!$AN$12:$AN$50,0),1)&amp;", ","")</f>
        <v/>
      </c>
      <c r="E1140" s="2349" t="str">
        <f>IFERROR(INDEX(Místicos!$AG$12:$AJ$50,MATCH(E$1138&amp;$A1,Místicos!$AN$12:$AN$50,0),1)&amp;", ","")</f>
        <v/>
      </c>
      <c r="F1140" s="2349" t="str">
        <f>IFERROR(INDEX(Místicos!$AG$12:$AJ$50,MATCH(F$1138&amp;$A1,Místicos!$AN$12:$AN$50,0),1)&amp;", ","")</f>
        <v/>
      </c>
      <c r="G1140" s="2349" t="str">
        <f>IFERROR(INDEX(Místicos!$AG$12:$AJ$50,MATCH(G$1138&amp;$A1,Místicos!$AN$12:$AN$50,0),1)&amp;", ","")</f>
        <v/>
      </c>
      <c r="H1140" s="2349" t="str">
        <f>IFERROR(INDEX(Místicos!$AG$12:$AJ$50,MATCH(H$1138&amp;$A1,Místicos!$AN$12:$AN$50,0),1)&amp;", ","")</f>
        <v/>
      </c>
      <c r="I1140" s="2349" t="str">
        <f>IFERROR(INDEX(Místicos!$AG$12:$AJ$50,MATCH(I$1138&amp;$A1,Místicos!$AN$12:$AN$50,0),1)&amp;", ","")</f>
        <v/>
      </c>
      <c r="J1140" s="2349" t="str">
        <f>IFERROR(INDEX(Místicos!$AG$12:$AJ$50,MATCH(J$1138&amp;$A1,Místicos!$AN$12:$AN$50,0),1)&amp;", ","")</f>
        <v/>
      </c>
      <c r="K1140" s="2349" t="str">
        <f>IFERROR(INDEX(Místicos!$AG$12:$AJ$50,MATCH(K$1138&amp;$A1,Místicos!$AN$12:$AN$50,0),1)&amp;", ","")</f>
        <v/>
      </c>
      <c r="L1140" s="2349" t="str">
        <f>IFERROR(INDEX(Místicos!$AG$12:$AJ$50,MATCH(L$1138&amp;$A1,Místicos!$AN$12:$AN$50,0),1)&amp;", ","")</f>
        <v/>
      </c>
      <c r="M1140" s="621" t="str">
        <f>IFERROR(INDEX(Místicos!$AG$12:$AJ$50,MATCH(M$1138&amp;$A1,Místicos!$AN$12:$AN$50,0),1)&amp;", ","")</f>
        <v/>
      </c>
      <c r="N1140" s="2986"/>
      <c r="O1140" s="559"/>
      <c r="P1140" s="269">
        <f t="shared" si="276"/>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4" t="str">
        <f t="shared" si="273"/>
        <v>Genbu: Señor del norte</v>
      </c>
      <c r="AA1140" s="878">
        <f t="shared" si="274"/>
        <v>23</v>
      </c>
      <c r="AB1140" s="1276" t="s">
        <v>723</v>
      </c>
      <c r="AC1140" s="47">
        <v>280</v>
      </c>
      <c r="AD1140" s="135">
        <v>500</v>
      </c>
    </row>
    <row r="1141" spans="1:30" ht="12.75" customHeight="1" x14ac:dyDescent="0.2">
      <c r="A1141" s="227">
        <v>1141</v>
      </c>
      <c r="B1141" s="6238"/>
      <c r="C1141" s="326" t="str">
        <f>IFERROR(INDEX(Místicos!$AG$12:$AJ$50,MATCH(C$1138&amp;$A2,Místicos!$AN$12:$AN$50,0),1)&amp;", ","")</f>
        <v/>
      </c>
      <c r="D1141" s="2349" t="str">
        <f>IFERROR(INDEX(Místicos!$AG$12:$AJ$50,MATCH(D$1138&amp;$A2,Místicos!$AN$12:$AN$50,0),1)&amp;", ","")</f>
        <v/>
      </c>
      <c r="E1141" s="2349" t="str">
        <f>IFERROR(INDEX(Místicos!$AG$12:$AJ$50,MATCH(E$1138&amp;$A2,Místicos!$AN$12:$AN$50,0),1)&amp;", ","")</f>
        <v/>
      </c>
      <c r="F1141" s="2349" t="str">
        <f>IFERROR(INDEX(Místicos!$AG$12:$AJ$50,MATCH(F$1138&amp;$A2,Místicos!$AN$12:$AN$50,0),1)&amp;", ","")</f>
        <v/>
      </c>
      <c r="G1141" s="2349" t="str">
        <f>IFERROR(INDEX(Místicos!$AG$12:$AJ$50,MATCH(G$1138&amp;$A2,Místicos!$AN$12:$AN$50,0),1)&amp;", ","")</f>
        <v/>
      </c>
      <c r="H1141" s="2349" t="str">
        <f>IFERROR(INDEX(Místicos!$AG$12:$AJ$50,MATCH(H$1138&amp;$A2,Místicos!$AN$12:$AN$50,0),1)&amp;", ","")</f>
        <v/>
      </c>
      <c r="I1141" s="2349" t="str">
        <f>IFERROR(INDEX(Místicos!$AG$12:$AJ$50,MATCH(I$1138&amp;$A2,Místicos!$AN$12:$AN$50,0),1)&amp;", ","")</f>
        <v/>
      </c>
      <c r="J1141" s="2349" t="str">
        <f>IFERROR(INDEX(Místicos!$AG$12:$AJ$50,MATCH(J$1138&amp;$A2,Místicos!$AN$12:$AN$50,0),1)&amp;", ","")</f>
        <v/>
      </c>
      <c r="K1141" s="2349" t="str">
        <f>IFERROR(INDEX(Místicos!$AG$12:$AJ$50,MATCH(K$1138&amp;$A2,Místicos!$AN$12:$AN$50,0),1)&amp;", ","")</f>
        <v/>
      </c>
      <c r="L1141" s="2349" t="str">
        <f>IFERROR(INDEX(Místicos!$AG$12:$AJ$50,MATCH(L$1138&amp;$A2,Místicos!$AN$12:$AN$50,0),1)&amp;", ","")</f>
        <v/>
      </c>
      <c r="M1141" s="621" t="str">
        <f>IFERROR(INDEX(Místicos!$AG$12:$AJ$50,MATCH(M$1138&amp;$A2,Místicos!$AN$12:$AN$50,0),1)&amp;", ","")</f>
        <v/>
      </c>
      <c r="N1141" s="2986"/>
      <c r="P1141" s="269">
        <f t="shared" si="276"/>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4" t="str">
        <f t="shared" si="273"/>
        <v>Hermod, el Mensajero de los Dioses</v>
      </c>
      <c r="AA1141" s="878">
        <f t="shared" si="274"/>
        <v>24</v>
      </c>
      <c r="AB1141" s="1276" t="s">
        <v>724</v>
      </c>
      <c r="AC1141" s="47">
        <v>340</v>
      </c>
      <c r="AD1141" s="135">
        <v>700</v>
      </c>
    </row>
    <row r="1142" spans="1:30" ht="12.75" customHeight="1" x14ac:dyDescent="0.2">
      <c r="A1142" s="227">
        <v>1142</v>
      </c>
      <c r="B1142" s="6238"/>
      <c r="C1142" s="326" t="str">
        <f>IFERROR(INDEX(Místicos!$AG$12:$AJ$50,MATCH(C$1138&amp;$A3,Místicos!$AN$12:$AN$50,0),1)&amp;", ","")</f>
        <v/>
      </c>
      <c r="D1142" s="2349" t="str">
        <f>IFERROR(INDEX(Místicos!$AG$12:$AJ$50,MATCH(D$1138&amp;$A3,Místicos!$AN$12:$AN$50,0),1)&amp;", ","")</f>
        <v/>
      </c>
      <c r="E1142" s="2349" t="str">
        <f>IFERROR(INDEX(Místicos!$AG$12:$AJ$50,MATCH(E$1138&amp;$A3,Místicos!$AN$12:$AN$50,0),1)&amp;", ","")</f>
        <v/>
      </c>
      <c r="F1142" s="2349" t="str">
        <f>IFERROR(INDEX(Místicos!$AG$12:$AJ$50,MATCH(F$1138&amp;$A3,Místicos!$AN$12:$AN$50,0),1)&amp;", ","")</f>
        <v/>
      </c>
      <c r="G1142" s="2349" t="str">
        <f>IFERROR(INDEX(Místicos!$AG$12:$AJ$50,MATCH(G$1138&amp;$A3,Místicos!$AN$12:$AN$50,0),1)&amp;", ","")</f>
        <v/>
      </c>
      <c r="H1142" s="2349" t="str">
        <f>IFERROR(INDEX(Místicos!$AG$12:$AJ$50,MATCH(H$1138&amp;$A3,Místicos!$AN$12:$AN$50,0),1)&amp;", ","")</f>
        <v/>
      </c>
      <c r="I1142" s="2349" t="str">
        <f>IFERROR(INDEX(Místicos!$AG$12:$AJ$50,MATCH(I$1138&amp;$A3,Místicos!$AN$12:$AN$50,0),1)&amp;", ","")</f>
        <v/>
      </c>
      <c r="J1142" s="2349" t="str">
        <f>IFERROR(INDEX(Místicos!$AG$12:$AJ$50,MATCH(J$1138&amp;$A3,Místicos!$AN$12:$AN$50,0),1)&amp;", ","")</f>
        <v/>
      </c>
      <c r="K1142" s="2349" t="str">
        <f>IFERROR(INDEX(Místicos!$AG$12:$AJ$50,MATCH(K$1138&amp;$A3,Místicos!$AN$12:$AN$50,0),1)&amp;", ","")</f>
        <v/>
      </c>
      <c r="L1142" s="2349" t="str">
        <f>IFERROR(INDEX(Místicos!$AG$12:$AJ$50,MATCH(L$1138&amp;$A3,Místicos!$AN$12:$AN$50,0),1)&amp;", ","")</f>
        <v/>
      </c>
      <c r="M1142" s="621" t="str">
        <f>IFERROR(INDEX(Místicos!$AG$12:$AJ$50,MATCH(M$1138&amp;$A3,Místicos!$AN$12:$AN$50,0),1)&amp;", ","")</f>
        <v/>
      </c>
      <c r="N1142" s="2986"/>
      <c r="P1142" s="269">
        <f t="shared" si="276"/>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4" t="str">
        <f t="shared" ref="Z1142:Z1173" si="277">VLOOKUP(A33,$AA$1110:$AB$1185,2,0)</f>
        <v>Huginn y Muninn, Ojos de Cuervo</v>
      </c>
      <c r="AA1142" s="878">
        <f t="shared" si="274"/>
        <v>11</v>
      </c>
      <c r="AB1142" s="1276" t="s">
        <v>725</v>
      </c>
      <c r="AC1142" s="47">
        <v>320</v>
      </c>
      <c r="AD1142" s="135">
        <v>550</v>
      </c>
    </row>
    <row r="1143" spans="1:30" ht="12.75" customHeight="1" x14ac:dyDescent="0.2">
      <c r="A1143" s="227">
        <v>1143</v>
      </c>
      <c r="B1143" s="6238"/>
      <c r="C1143" s="326" t="str">
        <f>IFERROR(INDEX(Místicos!$AG$12:$AJ$50,MATCH(C$1138&amp;$A4,Místicos!$AN$12:$AN$50,0),1)&amp;", ","")</f>
        <v/>
      </c>
      <c r="D1143" s="2349" t="str">
        <f>IFERROR(INDEX(Místicos!$AG$12:$AJ$50,MATCH(D$1138&amp;$A4,Místicos!$AN$12:$AN$50,0),1)&amp;", ","")</f>
        <v/>
      </c>
      <c r="E1143" s="2349" t="str">
        <f>IFERROR(INDEX(Místicos!$AG$12:$AJ$50,MATCH(E$1138&amp;$A4,Místicos!$AN$12:$AN$50,0),1)&amp;", ","")</f>
        <v/>
      </c>
      <c r="F1143" s="2349" t="str">
        <f>IFERROR(INDEX(Místicos!$AG$12:$AJ$50,MATCH(F$1138&amp;$A4,Místicos!$AN$12:$AN$50,0),1)&amp;", ","")</f>
        <v/>
      </c>
      <c r="G1143" s="2349" t="str">
        <f>IFERROR(INDEX(Místicos!$AG$12:$AJ$50,MATCH(G$1138&amp;$A4,Místicos!$AN$12:$AN$50,0),1)&amp;", ","")</f>
        <v/>
      </c>
      <c r="H1143" s="2349" t="str">
        <f>IFERROR(INDEX(Místicos!$AG$12:$AJ$50,MATCH(H$1138&amp;$A4,Místicos!$AN$12:$AN$50,0),1)&amp;", ","")</f>
        <v/>
      </c>
      <c r="I1143" s="2349" t="str">
        <f>IFERROR(INDEX(Místicos!$AG$12:$AJ$50,MATCH(I$1138&amp;$A4,Místicos!$AN$12:$AN$50,0),1)&amp;", ","")</f>
        <v/>
      </c>
      <c r="J1143" s="2349" t="str">
        <f>IFERROR(INDEX(Místicos!$AG$12:$AJ$50,MATCH(J$1138&amp;$A4,Místicos!$AN$12:$AN$50,0),1)&amp;", ","")</f>
        <v/>
      </c>
      <c r="K1143" s="2349" t="str">
        <f>IFERROR(INDEX(Místicos!$AG$12:$AJ$50,MATCH(K$1138&amp;$A4,Místicos!$AN$12:$AN$50,0),1)&amp;", ","")</f>
        <v/>
      </c>
      <c r="L1143" s="2349" t="str">
        <f>IFERROR(INDEX(Místicos!$AG$12:$AJ$50,MATCH(L$1138&amp;$A4,Místicos!$AN$12:$AN$50,0),1)&amp;", ","")</f>
        <v/>
      </c>
      <c r="M1143" s="621" t="str">
        <f>IFERROR(INDEX(Místicos!$AG$12:$AJ$50,MATCH(M$1138&amp;$A4,Místicos!$AN$12:$AN$50,0),1)&amp;", ","")</f>
        <v/>
      </c>
      <c r="N1143" s="2986"/>
      <c r="P1143" s="269">
        <f t="shared" si="276"/>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4" t="str">
        <f t="shared" si="277"/>
        <v>Huginn y Muninn: Ojo del mundo</v>
      </c>
      <c r="AA1143" s="878">
        <f t="shared" si="274"/>
        <v>12</v>
      </c>
      <c r="AB1143" s="1276" t="s">
        <v>726</v>
      </c>
      <c r="AC1143" s="47">
        <v>280</v>
      </c>
      <c r="AD1143" s="135">
        <v>400</v>
      </c>
    </row>
    <row r="1144" spans="1:30" ht="12.75" customHeight="1" x14ac:dyDescent="0.2">
      <c r="A1144" s="227">
        <v>1144</v>
      </c>
      <c r="B1144" s="6238"/>
      <c r="C1144" s="326" t="str">
        <f>IFERROR(INDEX(Místicos!$AG$12:$AJ$50,MATCH(C$1138&amp;$A5,Místicos!$AN$12:$AN$50,0),1)&amp;", ","")</f>
        <v/>
      </c>
      <c r="D1144" s="2349" t="str">
        <f>IFERROR(INDEX(Místicos!$AG$12:$AJ$50,MATCH(D$1138&amp;$A5,Místicos!$AN$12:$AN$50,0),1)&amp;", ","")</f>
        <v/>
      </c>
      <c r="E1144" s="2349" t="str">
        <f>IFERROR(INDEX(Místicos!$AG$12:$AJ$50,MATCH(E$1138&amp;$A5,Místicos!$AN$12:$AN$50,0),1)&amp;", ","")</f>
        <v/>
      </c>
      <c r="F1144" s="2349" t="str">
        <f>IFERROR(INDEX(Místicos!$AG$12:$AJ$50,MATCH(F$1138&amp;$A5,Místicos!$AN$12:$AN$50,0),1)&amp;", ","")</f>
        <v/>
      </c>
      <c r="G1144" s="2349" t="str">
        <f>IFERROR(INDEX(Místicos!$AG$12:$AJ$50,MATCH(G$1138&amp;$A5,Místicos!$AN$12:$AN$50,0),1)&amp;", ","")</f>
        <v/>
      </c>
      <c r="H1144" s="2349" t="str">
        <f>IFERROR(INDEX(Místicos!$AG$12:$AJ$50,MATCH(H$1138&amp;$A5,Místicos!$AN$12:$AN$50,0),1)&amp;", ","")</f>
        <v/>
      </c>
      <c r="I1144" s="2349" t="str">
        <f>IFERROR(INDEX(Místicos!$AG$12:$AJ$50,MATCH(I$1138&amp;$A5,Místicos!$AN$12:$AN$50,0),1)&amp;", ","")</f>
        <v/>
      </c>
      <c r="J1144" s="2349" t="str">
        <f>IFERROR(INDEX(Místicos!$AG$12:$AJ$50,MATCH(J$1138&amp;$A5,Místicos!$AN$12:$AN$50,0),1)&amp;", ","")</f>
        <v/>
      </c>
      <c r="K1144" s="2349" t="str">
        <f>IFERROR(INDEX(Místicos!$AG$12:$AJ$50,MATCH(K$1138&amp;$A5,Místicos!$AN$12:$AN$50,0),1)&amp;", ","")</f>
        <v/>
      </c>
      <c r="L1144" s="2349" t="str">
        <f>IFERROR(INDEX(Místicos!$AG$12:$AJ$50,MATCH(L$1138&amp;$A5,Místicos!$AN$12:$AN$50,0),1)&amp;", ","")</f>
        <v/>
      </c>
      <c r="M1144" s="621" t="str">
        <f>IFERROR(INDEX(Místicos!$AG$12:$AJ$50,MATCH(M$1138&amp;$A5,Místicos!$AN$12:$AN$50,0),1)&amp;", ","")</f>
        <v/>
      </c>
      <c r="N1144" s="2986"/>
      <c r="P1144" s="269">
        <f t="shared" si="276"/>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4" t="str">
        <f t="shared" si="277"/>
        <v>Huginn y Muninn: Visión verdadera</v>
      </c>
      <c r="AA1144" s="878">
        <f t="shared" si="274"/>
        <v>13</v>
      </c>
      <c r="AB1144" s="1276" t="s">
        <v>727</v>
      </c>
      <c r="AC1144" s="47">
        <v>340</v>
      </c>
      <c r="AD1144" s="135">
        <v>700</v>
      </c>
    </row>
    <row r="1145" spans="1:30" ht="12.75" customHeight="1" x14ac:dyDescent="0.2">
      <c r="A1145" s="227">
        <v>1145</v>
      </c>
      <c r="B1145" s="6238"/>
      <c r="C1145" s="326" t="str">
        <f>IFERROR(INDEX(Místicos!$AG$12:$AJ$50,MATCH(C$1138&amp;$A6,Místicos!$AN$12:$AN$50,0),1)&amp;", ","")</f>
        <v/>
      </c>
      <c r="D1145" s="2349" t="str">
        <f>IFERROR(INDEX(Místicos!$AG$12:$AJ$50,MATCH(D$1138&amp;$A6,Místicos!$AN$12:$AN$50,0),1)&amp;", ","")</f>
        <v/>
      </c>
      <c r="E1145" s="2349" t="str">
        <f>IFERROR(INDEX(Místicos!$AG$12:$AJ$50,MATCH(E$1138&amp;$A6,Místicos!$AN$12:$AN$50,0),1)&amp;", ","")</f>
        <v/>
      </c>
      <c r="F1145" s="2349" t="str">
        <f>IFERROR(INDEX(Místicos!$AG$12:$AJ$50,MATCH(F$1138&amp;$A6,Místicos!$AN$12:$AN$50,0),1)&amp;", ","")</f>
        <v/>
      </c>
      <c r="G1145" s="2349" t="str">
        <f>IFERROR(INDEX(Místicos!$AG$12:$AJ$50,MATCH(G$1138&amp;$A6,Místicos!$AN$12:$AN$50,0),1)&amp;", ","")</f>
        <v/>
      </c>
      <c r="H1145" s="2349" t="str">
        <f>IFERROR(INDEX(Místicos!$AG$12:$AJ$50,MATCH(H$1138&amp;$A6,Místicos!$AN$12:$AN$50,0),1)&amp;", ","")</f>
        <v/>
      </c>
      <c r="I1145" s="2349" t="str">
        <f>IFERROR(INDEX(Místicos!$AG$12:$AJ$50,MATCH(I$1138&amp;$A6,Místicos!$AN$12:$AN$50,0),1)&amp;", ","")</f>
        <v/>
      </c>
      <c r="J1145" s="2349" t="str">
        <f>IFERROR(INDEX(Místicos!$AG$12:$AJ$50,MATCH(J$1138&amp;$A6,Místicos!$AN$12:$AN$50,0),1)&amp;", ","")</f>
        <v/>
      </c>
      <c r="K1145" s="2349" t="str">
        <f>IFERROR(INDEX(Místicos!$AG$12:$AJ$50,MATCH(K$1138&amp;$A6,Místicos!$AN$12:$AN$50,0),1)&amp;", ","")</f>
        <v/>
      </c>
      <c r="L1145" s="2349" t="str">
        <f>IFERROR(INDEX(Místicos!$AG$12:$AJ$50,MATCH(L$1138&amp;$A6,Místicos!$AN$12:$AN$50,0),1)&amp;", ","")</f>
        <v/>
      </c>
      <c r="M1145" s="621" t="str">
        <f>IFERROR(INDEX(Místicos!$AG$12:$AJ$50,MATCH(M$1138&amp;$A6,Místicos!$AN$12:$AN$50,0),1)&amp;", ","")</f>
        <v/>
      </c>
      <c r="N1145" s="2986"/>
      <c r="P1145" s="269">
        <f t="shared" si="276"/>
        <v>0</v>
      </c>
      <c r="Q1145" s="14" t="str">
        <f>IF(Metamagia!$F$37=1,"Metamagister: Doble daño","")</f>
        <v/>
      </c>
      <c r="R1145" s="14"/>
      <c r="S1145" s="14" t="str">
        <f>IF(Metamagia!$F$37=1,"El Daño Base de los conjuros ofensivos se dobla","")</f>
        <v/>
      </c>
      <c r="T1145" s="14"/>
      <c r="U1145" s="14"/>
      <c r="V1145" s="226"/>
      <c r="W1145" s="8"/>
      <c r="Z1145" s="564" t="str">
        <f t="shared" si="277"/>
        <v>Idea, Musa de la Locura</v>
      </c>
      <c r="AA1145" s="878">
        <f t="shared" si="274"/>
        <v>2</v>
      </c>
      <c r="AB1145" s="1276" t="s">
        <v>728</v>
      </c>
      <c r="AC1145" s="47">
        <v>280</v>
      </c>
      <c r="AD1145" s="135">
        <v>500</v>
      </c>
    </row>
    <row r="1146" spans="1:30" ht="12.75" customHeight="1" x14ac:dyDescent="0.2">
      <c r="A1146" s="227">
        <v>1146</v>
      </c>
      <c r="B1146" s="6238"/>
      <c r="C1146" s="326" t="str">
        <f>IFERROR(INDEX(Místicos!$AG$12:$AJ$50,MATCH(C$1138&amp;$A7,Místicos!$AN$12:$AN$50,0),1)&amp;", ","")</f>
        <v/>
      </c>
      <c r="D1146" s="2349" t="str">
        <f>IFERROR(INDEX(Místicos!$AG$12:$AJ$50,MATCH(D$1138&amp;$A7,Místicos!$AN$12:$AN$50,0),1)&amp;", ","")</f>
        <v/>
      </c>
      <c r="E1146" s="2349" t="str">
        <f>IFERROR(INDEX(Místicos!$AG$12:$AJ$50,MATCH(E$1138&amp;$A7,Místicos!$AN$12:$AN$50,0),1)&amp;", ","")</f>
        <v/>
      </c>
      <c r="F1146" s="2349" t="str">
        <f>IFERROR(INDEX(Místicos!$AG$12:$AJ$50,MATCH(F$1138&amp;$A7,Místicos!$AN$12:$AN$50,0),1)&amp;", ","")</f>
        <v/>
      </c>
      <c r="G1146" s="2349" t="str">
        <f>IFERROR(INDEX(Místicos!$AG$12:$AJ$50,MATCH(G$1138&amp;$A7,Místicos!$AN$12:$AN$50,0),1)&amp;", ","")</f>
        <v/>
      </c>
      <c r="H1146" s="2349" t="str">
        <f>IFERROR(INDEX(Místicos!$AG$12:$AJ$50,MATCH(H$1138&amp;$A7,Místicos!$AN$12:$AN$50,0),1)&amp;", ","")</f>
        <v/>
      </c>
      <c r="I1146" s="2349" t="str">
        <f>IFERROR(INDEX(Místicos!$AG$12:$AJ$50,MATCH(I$1138&amp;$A7,Místicos!$AN$12:$AN$50,0),1)&amp;", ","")</f>
        <v/>
      </c>
      <c r="J1146" s="2349" t="str">
        <f>IFERROR(INDEX(Místicos!$AG$12:$AJ$50,MATCH(J$1138&amp;$A7,Místicos!$AN$12:$AN$50,0),1)&amp;", ","")</f>
        <v/>
      </c>
      <c r="K1146" s="2349" t="str">
        <f>IFERROR(INDEX(Místicos!$AG$12:$AJ$50,MATCH(K$1138&amp;$A7,Místicos!$AN$12:$AN$50,0),1)&amp;", ","")</f>
        <v/>
      </c>
      <c r="L1146" s="2349" t="str">
        <f>IFERROR(INDEX(Místicos!$AG$12:$AJ$50,MATCH(L$1138&amp;$A7,Místicos!$AN$12:$AN$50,0),1)&amp;", ","")</f>
        <v/>
      </c>
      <c r="M1146" s="621" t="str">
        <f>IFERROR(INDEX(Místicos!$AG$12:$AJ$50,MATCH(M$1138&amp;$A7,Místicos!$AN$12:$AN$50,0),1)&amp;", ","")</f>
        <v/>
      </c>
      <c r="N1146" s="2986"/>
      <c r="P1146" s="269">
        <f t="shared" si="276"/>
        <v>0</v>
      </c>
      <c r="Q1146" s="14" t="str">
        <f>IF(Metamagia!$X$54=1,"Magia combinada","")</f>
        <v/>
      </c>
      <c r="R1146" s="21"/>
      <c r="S1146" s="14" t="str">
        <f>IF(Metamagia!$X$54=1,"Permite a varios hechiceros combinarse para lanzar un conjuro. Ver","")</f>
        <v/>
      </c>
      <c r="T1146" s="21"/>
      <c r="U1146" s="21"/>
      <c r="V1146" s="47"/>
      <c r="W1146" s="36"/>
      <c r="Z1146" s="564" t="str">
        <f t="shared" si="277"/>
        <v>Idún, Señora de la Juventud Eterna</v>
      </c>
      <c r="AA1146" s="878">
        <f t="shared" si="274"/>
        <v>3</v>
      </c>
      <c r="AB1146" s="1276" t="s">
        <v>729</v>
      </c>
      <c r="AC1146" s="47">
        <v>240</v>
      </c>
      <c r="AD1146" s="135">
        <v>350</v>
      </c>
    </row>
    <row r="1147" spans="1:30" ht="12.75" customHeight="1" x14ac:dyDescent="0.2">
      <c r="A1147" s="227">
        <v>1147</v>
      </c>
      <c r="B1147" s="6238"/>
      <c r="C1147" s="326" t="str">
        <f>IFERROR(INDEX(Místicos!$AG$12:$AJ$50,MATCH(C$1138&amp;$A8,Místicos!$AN$12:$AN$50,0),1)&amp;", ","")</f>
        <v/>
      </c>
      <c r="D1147" s="2349" t="str">
        <f>IFERROR(INDEX(Místicos!$AG$12:$AJ$50,MATCH(D$1138&amp;$A8,Místicos!$AN$12:$AN$50,0),1)&amp;", ","")</f>
        <v/>
      </c>
      <c r="E1147" s="2349" t="str">
        <f>IFERROR(INDEX(Místicos!$AG$12:$AJ$50,MATCH(E$1138&amp;$A8,Místicos!$AN$12:$AN$50,0),1)&amp;", ","")</f>
        <v/>
      </c>
      <c r="F1147" s="2349" t="str">
        <f>IFERROR(INDEX(Místicos!$AG$12:$AJ$50,MATCH(F$1138&amp;$A8,Místicos!$AN$12:$AN$50,0),1)&amp;", ","")</f>
        <v/>
      </c>
      <c r="G1147" s="2349" t="str">
        <f>IFERROR(INDEX(Místicos!$AG$12:$AJ$50,MATCH(G$1138&amp;$A8,Místicos!$AN$12:$AN$50,0),1)&amp;", ","")</f>
        <v/>
      </c>
      <c r="H1147" s="2349" t="str">
        <f>IFERROR(INDEX(Místicos!$AG$12:$AJ$50,MATCH(H$1138&amp;$A8,Místicos!$AN$12:$AN$50,0),1)&amp;", ","")</f>
        <v/>
      </c>
      <c r="I1147" s="2349" t="str">
        <f>IFERROR(INDEX(Místicos!$AG$12:$AJ$50,MATCH(I$1138&amp;$A8,Místicos!$AN$12:$AN$50,0),1)&amp;", ","")</f>
        <v/>
      </c>
      <c r="J1147" s="2349" t="str">
        <f>IFERROR(INDEX(Místicos!$AG$12:$AJ$50,MATCH(J$1138&amp;$A8,Místicos!$AN$12:$AN$50,0),1)&amp;", ","")</f>
        <v/>
      </c>
      <c r="K1147" s="2349" t="str">
        <f>IFERROR(INDEX(Místicos!$AG$12:$AJ$50,MATCH(K$1138&amp;$A8,Místicos!$AN$12:$AN$50,0),1)&amp;", ","")</f>
        <v/>
      </c>
      <c r="L1147" s="2349" t="str">
        <f>IFERROR(INDEX(Místicos!$AG$12:$AJ$50,MATCH(L$1138&amp;$A8,Místicos!$AN$12:$AN$50,0),1)&amp;", ","")</f>
        <v/>
      </c>
      <c r="M1147" s="621" t="str">
        <f>IFERROR(INDEX(Místicos!$AG$12:$AJ$50,MATCH(M$1138&amp;$A8,Místicos!$AN$12:$AN$50,0),1)&amp;", ","")</f>
        <v/>
      </c>
      <c r="N1147" s="2986"/>
      <c r="P1147" s="269">
        <f t="shared" si="276"/>
        <v>0</v>
      </c>
      <c r="Q1147" s="14" t="str">
        <f>IF(Metamagia!$AD$54=1,"Efectos persistentes","")</f>
        <v/>
      </c>
      <c r="R1147" s="21"/>
      <c r="S1147" s="14" t="str">
        <f>IF(Metamagia!$AD$54=1,"El afectado por un conjuro Anímico no puede repetir RM hasta 10 asaltos","")</f>
        <v/>
      </c>
      <c r="T1147" s="21"/>
      <c r="U1147" s="21"/>
      <c r="V1147" s="47"/>
      <c r="W1147" s="36"/>
      <c r="Z1147" s="564" t="str">
        <f t="shared" si="277"/>
        <v>Idún: Envejecer</v>
      </c>
      <c r="AA1147" s="878">
        <f t="shared" si="274"/>
        <v>4</v>
      </c>
      <c r="AB1147" s="1276" t="s">
        <v>730</v>
      </c>
      <c r="AC1147" s="47">
        <v>380</v>
      </c>
      <c r="AD1147" s="135">
        <v>800</v>
      </c>
    </row>
    <row r="1148" spans="1:30" ht="12.75" customHeight="1" x14ac:dyDescent="0.2">
      <c r="A1148" s="227">
        <v>1148</v>
      </c>
      <c r="B1148" s="6238"/>
      <c r="C1148" s="326" t="str">
        <f>IFERROR(INDEX(Místicos!$AG$12:$AJ$50,MATCH(C$1138&amp;$A9,Místicos!$AN$12:$AN$50,0),1)&amp;", ","")</f>
        <v/>
      </c>
      <c r="D1148" s="2349" t="str">
        <f>IFERROR(INDEX(Místicos!$AG$12:$AJ$50,MATCH(D$1138&amp;$A9,Místicos!$AN$12:$AN$50,0),1)&amp;", ","")</f>
        <v/>
      </c>
      <c r="E1148" s="2349" t="str">
        <f>IFERROR(INDEX(Místicos!$AG$12:$AJ$50,MATCH(E$1138&amp;$A9,Místicos!$AN$12:$AN$50,0),1)&amp;", ","")</f>
        <v/>
      </c>
      <c r="F1148" s="2349" t="str">
        <f>IFERROR(INDEX(Místicos!$AG$12:$AJ$50,MATCH(F$1138&amp;$A9,Místicos!$AN$12:$AN$50,0),1)&amp;", ","")</f>
        <v/>
      </c>
      <c r="G1148" s="2349" t="str">
        <f>IFERROR(INDEX(Místicos!$AG$12:$AJ$50,MATCH(G$1138&amp;$A9,Místicos!$AN$12:$AN$50,0),1)&amp;", ","")</f>
        <v/>
      </c>
      <c r="H1148" s="2349" t="str">
        <f>IFERROR(INDEX(Místicos!$AG$12:$AJ$50,MATCH(H$1138&amp;$A9,Místicos!$AN$12:$AN$50,0),1)&amp;", ","")</f>
        <v/>
      </c>
      <c r="I1148" s="2349" t="str">
        <f>IFERROR(INDEX(Místicos!$AG$12:$AJ$50,MATCH(I$1138&amp;$A9,Místicos!$AN$12:$AN$50,0),1)&amp;", ","")</f>
        <v/>
      </c>
      <c r="J1148" s="2349" t="str">
        <f>IFERROR(INDEX(Místicos!$AG$12:$AJ$50,MATCH(J$1138&amp;$A9,Místicos!$AN$12:$AN$50,0),1)&amp;", ","")</f>
        <v/>
      </c>
      <c r="K1148" s="2349" t="str">
        <f>IFERROR(INDEX(Místicos!$AG$12:$AJ$50,MATCH(K$1138&amp;$A9,Místicos!$AN$12:$AN$50,0),1)&amp;", ","")</f>
        <v/>
      </c>
      <c r="L1148" s="2349" t="str">
        <f>IFERROR(INDEX(Místicos!$AG$12:$AJ$50,MATCH(L$1138&amp;$A9,Místicos!$AN$12:$AN$50,0),1)&amp;", ","")</f>
        <v/>
      </c>
      <c r="M1148" s="621" t="str">
        <f>IFERROR(INDEX(Místicos!$AG$12:$AJ$50,MATCH(M$1138&amp;$A9,Místicos!$AN$12:$AN$50,0),1)&amp;", ","")</f>
        <v/>
      </c>
      <c r="N1148" s="2986"/>
      <c r="P1148" s="269">
        <f t="shared" si="276"/>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4" t="str">
        <f t="shared" si="277"/>
        <v>Idún: Rejuvenecer</v>
      </c>
      <c r="AA1148" s="878">
        <f t="shared" si="274"/>
        <v>44</v>
      </c>
      <c r="AB1148" s="1276" t="s">
        <v>731</v>
      </c>
      <c r="AC1148" s="47">
        <v>280</v>
      </c>
      <c r="AD1148" s="135">
        <v>500</v>
      </c>
    </row>
    <row r="1149" spans="1:30" ht="12.75" customHeight="1" x14ac:dyDescent="0.2">
      <c r="A1149" s="227">
        <v>1149</v>
      </c>
      <c r="B1149" s="6238"/>
      <c r="C1149" s="326" t="str">
        <f>IFERROR(INDEX(Místicos!$AG$12:$AJ$50,MATCH(C$1138&amp;$A10,Místicos!$AN$12:$AN$50,0),1)&amp;", ","")</f>
        <v/>
      </c>
      <c r="D1149" s="2349" t="str">
        <f>IFERROR(INDEX(Místicos!$AG$12:$AJ$50,MATCH(D$1138&amp;$A10,Místicos!$AN$12:$AN$50,0),1)&amp;", ","")</f>
        <v/>
      </c>
      <c r="E1149" s="2349" t="str">
        <f>IFERROR(INDEX(Místicos!$AG$12:$AJ$50,MATCH(E$1138&amp;$A10,Místicos!$AN$12:$AN$50,0),1)&amp;", ","")</f>
        <v/>
      </c>
      <c r="F1149" s="2349" t="str">
        <f>IFERROR(INDEX(Místicos!$AG$12:$AJ$50,MATCH(F$1138&amp;$A10,Místicos!$AN$12:$AN$50,0),1)&amp;", ","")</f>
        <v/>
      </c>
      <c r="G1149" s="2349" t="str">
        <f>IFERROR(INDEX(Místicos!$AG$12:$AJ$50,MATCH(G$1138&amp;$A10,Místicos!$AN$12:$AN$50,0),1)&amp;", ","")</f>
        <v/>
      </c>
      <c r="H1149" s="2349" t="str">
        <f>IFERROR(INDEX(Místicos!$AG$12:$AJ$50,MATCH(H$1138&amp;$A10,Místicos!$AN$12:$AN$50,0),1)&amp;", ","")</f>
        <v/>
      </c>
      <c r="I1149" s="2349" t="str">
        <f>IFERROR(INDEX(Místicos!$AG$12:$AJ$50,MATCH(I$1138&amp;$A10,Místicos!$AN$12:$AN$50,0),1)&amp;", ","")</f>
        <v/>
      </c>
      <c r="J1149" s="2349" t="str">
        <f>IFERROR(INDEX(Místicos!$AG$12:$AJ$50,MATCH(J$1138&amp;$A10,Místicos!$AN$12:$AN$50,0),1)&amp;", ","")</f>
        <v/>
      </c>
      <c r="K1149" s="2349" t="str">
        <f>IFERROR(INDEX(Místicos!$AG$12:$AJ$50,MATCH(K$1138&amp;$A10,Místicos!$AN$12:$AN$50,0),1)&amp;", ","")</f>
        <v/>
      </c>
      <c r="L1149" s="2349" t="str">
        <f>IFERROR(INDEX(Místicos!$AG$12:$AJ$50,MATCH(L$1138&amp;$A10,Místicos!$AN$12:$AN$50,0),1)&amp;", ","")</f>
        <v/>
      </c>
      <c r="M1149" s="621" t="str">
        <f>IFERROR(INDEX(Místicos!$AG$12:$AJ$50,MATCH(M$1138&amp;$A10,Místicos!$AN$12:$AN$50,0),1)&amp;", ","")</f>
        <v/>
      </c>
      <c r="N1149" s="2986"/>
      <c r="P1149" s="269">
        <f t="shared" si="276"/>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4" t="str">
        <f t="shared" si="277"/>
        <v>Kagutsuchi: Hi no kodomo</v>
      </c>
      <c r="AA1149" s="878">
        <f t="shared" si="274"/>
        <v>45</v>
      </c>
      <c r="AB1149" s="1276" t="s">
        <v>732</v>
      </c>
      <c r="AC1149" s="47">
        <v>240</v>
      </c>
      <c r="AD1149" s="135">
        <v>350</v>
      </c>
    </row>
    <row r="1150" spans="1:30" ht="12.75" customHeight="1" x14ac:dyDescent="0.2">
      <c r="A1150" s="227">
        <v>1150</v>
      </c>
      <c r="B1150" s="6238"/>
      <c r="C1150" s="326" t="str">
        <f>IFERROR(INDEX(Místicos!$AG$12:$AJ$50,MATCH(C$1138&amp;$A11,Místicos!$AN$12:$AN$50,0),1)&amp;", ","")</f>
        <v/>
      </c>
      <c r="D1150" s="2349" t="str">
        <f>IFERROR(INDEX(Místicos!$AG$12:$AJ$50,MATCH(D$1138&amp;$A11,Místicos!$AN$12:$AN$50,0),1)&amp;", ","")</f>
        <v/>
      </c>
      <c r="E1150" s="2349" t="str">
        <f>IFERROR(INDEX(Místicos!$AG$12:$AJ$50,MATCH(E$1138&amp;$A11,Místicos!$AN$12:$AN$50,0),1)&amp;", ","")</f>
        <v/>
      </c>
      <c r="F1150" s="2349" t="str">
        <f>IFERROR(INDEX(Místicos!$AG$12:$AJ$50,MATCH(F$1138&amp;$A11,Místicos!$AN$12:$AN$50,0),1)&amp;", ","")</f>
        <v/>
      </c>
      <c r="G1150" s="2349" t="str">
        <f>IFERROR(INDEX(Místicos!$AG$12:$AJ$50,MATCH(G$1138&amp;$A11,Místicos!$AN$12:$AN$50,0),1)&amp;", ","")</f>
        <v/>
      </c>
      <c r="H1150" s="2349" t="str">
        <f>IFERROR(INDEX(Místicos!$AG$12:$AJ$50,MATCH(H$1138&amp;$A11,Místicos!$AN$12:$AN$50,0),1)&amp;", ","")</f>
        <v/>
      </c>
      <c r="I1150" s="2349" t="str">
        <f>IFERROR(INDEX(Místicos!$AG$12:$AJ$50,MATCH(I$1138&amp;$A11,Místicos!$AN$12:$AN$50,0),1)&amp;", ","")</f>
        <v/>
      </c>
      <c r="J1150" s="2349" t="str">
        <f>IFERROR(INDEX(Místicos!$AG$12:$AJ$50,MATCH(J$1138&amp;$A11,Místicos!$AN$12:$AN$50,0),1)&amp;", ","")</f>
        <v/>
      </c>
      <c r="K1150" s="2349" t="str">
        <f>IFERROR(INDEX(Místicos!$AG$12:$AJ$50,MATCH(K$1138&amp;$A11,Místicos!$AN$12:$AN$50,0),1)&amp;", ","")</f>
        <v/>
      </c>
      <c r="L1150" s="2349" t="str">
        <f>IFERROR(INDEX(Místicos!$AG$12:$AJ$50,MATCH(L$1138&amp;$A11,Místicos!$AN$12:$AN$50,0),1)&amp;", ","")</f>
        <v/>
      </c>
      <c r="M1150" s="621" t="str">
        <f>IFERROR(INDEX(Místicos!$AG$12:$AJ$50,MATCH(M$1138&amp;$A11,Místicos!$AN$12:$AN$50,0),1)&amp;", ","")</f>
        <v/>
      </c>
      <c r="N1150" s="2986"/>
      <c r="P1150" s="269">
        <f t="shared" si="276"/>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4" t="str">
        <f t="shared" si="277"/>
        <v>Kagutsuchi: Hi no tsubasa</v>
      </c>
      <c r="AA1150" s="878">
        <f t="shared" si="274"/>
        <v>46</v>
      </c>
      <c r="AB1150" s="1276" t="s">
        <v>733</v>
      </c>
      <c r="AC1150" s="47">
        <v>380</v>
      </c>
      <c r="AD1150" s="135">
        <v>800</v>
      </c>
    </row>
    <row r="1151" spans="1:30" ht="12.75" customHeight="1" x14ac:dyDescent="0.2">
      <c r="A1151" s="227">
        <v>1151</v>
      </c>
      <c r="B1151" s="6238"/>
      <c r="C1151" s="326" t="str">
        <f>IFERROR(INDEX(Místicos!$AG$12:$AJ$50,MATCH(C$1138&amp;$A12,Místicos!$AN$12:$AN$50,0),1)&amp;", ","")</f>
        <v/>
      </c>
      <c r="D1151" s="2349" t="str">
        <f>IFERROR(INDEX(Místicos!$AG$12:$AJ$50,MATCH(D$1138&amp;$A12,Místicos!$AN$12:$AN$50,0),1)&amp;", ","")</f>
        <v/>
      </c>
      <c r="E1151" s="2349" t="str">
        <f>IFERROR(INDEX(Místicos!$AG$12:$AJ$50,MATCH(E$1138&amp;$A12,Místicos!$AN$12:$AN$50,0),1)&amp;", ","")</f>
        <v/>
      </c>
      <c r="F1151" s="2349" t="str">
        <f>IFERROR(INDEX(Místicos!$AG$12:$AJ$50,MATCH(F$1138&amp;$A12,Místicos!$AN$12:$AN$50,0),1)&amp;", ","")</f>
        <v/>
      </c>
      <c r="G1151" s="2349" t="str">
        <f>IFERROR(INDEX(Místicos!$AG$12:$AJ$50,MATCH(G$1138&amp;$A12,Místicos!$AN$12:$AN$50,0),1)&amp;", ","")</f>
        <v/>
      </c>
      <c r="H1151" s="2349" t="str">
        <f>IFERROR(INDEX(Místicos!$AG$12:$AJ$50,MATCH(H$1138&amp;$A12,Místicos!$AN$12:$AN$50,0),1)&amp;", ","")</f>
        <v/>
      </c>
      <c r="I1151" s="2349" t="str">
        <f>IFERROR(INDEX(Místicos!$AG$12:$AJ$50,MATCH(I$1138&amp;$A12,Místicos!$AN$12:$AN$50,0),1)&amp;", ","")</f>
        <v/>
      </c>
      <c r="J1151" s="2349" t="str">
        <f>IFERROR(INDEX(Místicos!$AG$12:$AJ$50,MATCH(J$1138&amp;$A12,Místicos!$AN$12:$AN$50,0),1)&amp;", ","")</f>
        <v/>
      </c>
      <c r="K1151" s="2349" t="str">
        <f>IFERROR(INDEX(Místicos!$AG$12:$AJ$50,MATCH(K$1138&amp;$A12,Místicos!$AN$12:$AN$50,0),1)&amp;", ","")</f>
        <v/>
      </c>
      <c r="L1151" s="2349" t="str">
        <f>IFERROR(INDEX(Místicos!$AG$12:$AJ$50,MATCH(L$1138&amp;$A12,Místicos!$AN$12:$AN$50,0),1)&amp;", ","")</f>
        <v/>
      </c>
      <c r="M1151" s="621" t="str">
        <f>IFERROR(INDEX(Místicos!$AG$12:$AJ$50,MATCH(M$1138&amp;$A12,Místicos!$AN$12:$AN$50,0),1)&amp;", ","")</f>
        <v/>
      </c>
      <c r="N1151" s="2986"/>
      <c r="P1151" s="269">
        <f t="shared" si="276"/>
        <v>0</v>
      </c>
      <c r="Q1151" s="14" t="str">
        <f>IF(Metamagia!$AA$49=1,"Elevación","")</f>
        <v/>
      </c>
      <c r="R1151" s="21"/>
      <c r="S1151" s="14" t="str">
        <f>IF(Metamagia!$AA$49=1,"Permite entrar en un trance cuya duración cuenta doble para recuperar Zeón","")</f>
        <v/>
      </c>
      <c r="T1151" s="21"/>
      <c r="U1151" s="21"/>
      <c r="V1151" s="47"/>
      <c r="W1151" s="36"/>
      <c r="Z1151" s="564" t="str">
        <f t="shared" si="277"/>
        <v>Kirin, el Centro</v>
      </c>
      <c r="AA1151" s="878">
        <f t="shared" si="274"/>
        <v>72</v>
      </c>
      <c r="AB1151" s="1276" t="s">
        <v>734</v>
      </c>
      <c r="AC1151" s="47">
        <v>280</v>
      </c>
      <c r="AD1151" s="135">
        <v>500</v>
      </c>
    </row>
    <row r="1152" spans="1:30" ht="12.75" customHeight="1" x14ac:dyDescent="0.2">
      <c r="A1152" s="227">
        <v>1152</v>
      </c>
      <c r="B1152" s="6238"/>
      <c r="C1152" s="326" t="str">
        <f>IFERROR(INDEX(Místicos!$AG$12:$AJ$50,MATCH(C$1138&amp;$A13,Místicos!$AN$12:$AN$50,0),1)&amp;", ","")</f>
        <v/>
      </c>
      <c r="D1152" s="2349" t="str">
        <f>IFERROR(INDEX(Místicos!$AG$12:$AJ$50,MATCH(D$1138&amp;$A13,Místicos!$AN$12:$AN$50,0),1)&amp;", ","")</f>
        <v/>
      </c>
      <c r="E1152" s="2349" t="str">
        <f>IFERROR(INDEX(Místicos!$AG$12:$AJ$50,MATCH(E$1138&amp;$A13,Místicos!$AN$12:$AN$50,0),1)&amp;", ","")</f>
        <v/>
      </c>
      <c r="F1152" s="2349" t="str">
        <f>IFERROR(INDEX(Místicos!$AG$12:$AJ$50,MATCH(F$1138&amp;$A13,Místicos!$AN$12:$AN$50,0),1)&amp;", ","")</f>
        <v/>
      </c>
      <c r="G1152" s="2349" t="str">
        <f>IFERROR(INDEX(Místicos!$AG$12:$AJ$50,MATCH(G$1138&amp;$A13,Místicos!$AN$12:$AN$50,0),1)&amp;", ","")</f>
        <v/>
      </c>
      <c r="H1152" s="2349" t="str">
        <f>IFERROR(INDEX(Místicos!$AG$12:$AJ$50,MATCH(H$1138&amp;$A13,Místicos!$AN$12:$AN$50,0),1)&amp;", ","")</f>
        <v/>
      </c>
      <c r="I1152" s="2349" t="str">
        <f>IFERROR(INDEX(Místicos!$AG$12:$AJ$50,MATCH(I$1138&amp;$A13,Místicos!$AN$12:$AN$50,0),1)&amp;", ","")</f>
        <v/>
      </c>
      <c r="J1152" s="2349" t="str">
        <f>IFERROR(INDEX(Místicos!$AG$12:$AJ$50,MATCH(J$1138&amp;$A13,Místicos!$AN$12:$AN$50,0),1)&amp;", ","")</f>
        <v/>
      </c>
      <c r="K1152" s="2349" t="str">
        <f>IFERROR(INDEX(Místicos!$AG$12:$AJ$50,MATCH(K$1138&amp;$A13,Místicos!$AN$12:$AN$50,0),1)&amp;", ","")</f>
        <v/>
      </c>
      <c r="L1152" s="2349" t="str">
        <f>IFERROR(INDEX(Místicos!$AG$12:$AJ$50,MATCH(L$1138&amp;$A13,Místicos!$AN$12:$AN$50,0),1)&amp;", ","")</f>
        <v/>
      </c>
      <c r="M1152" s="621" t="str">
        <f>IFERROR(INDEX(Místicos!$AG$12:$AJ$50,MATCH(M$1138&amp;$A13,Místicos!$AN$12:$AN$50,0),1)&amp;", ","")</f>
        <v/>
      </c>
      <c r="N1152" s="2986"/>
      <c r="P1152" s="269">
        <f t="shared" si="276"/>
        <v>0</v>
      </c>
      <c r="Q1152" s="14" t="str">
        <f>IF(Metamagia!$AA$44=1,"Avatar","")</f>
        <v/>
      </c>
      <c r="R1152" s="21"/>
      <c r="S1152" s="14" t="str">
        <f>IF(Metamagia!$AA$44=1,"El personaje puede convertirse en un Avatar de Magia. Ver","")</f>
        <v/>
      </c>
      <c r="T1152" s="21"/>
      <c r="U1152" s="21"/>
      <c r="V1152" s="47"/>
      <c r="W1152" s="36"/>
      <c r="Z1152" s="564" t="str">
        <f t="shared" si="277"/>
        <v>Kirin: Feng Shui</v>
      </c>
      <c r="AA1152" s="878">
        <f t="shared" si="274"/>
        <v>73</v>
      </c>
      <c r="AB1152" s="1276" t="s">
        <v>735</v>
      </c>
      <c r="AC1152" s="47">
        <v>240</v>
      </c>
      <c r="AD1152" s="135">
        <v>350</v>
      </c>
    </row>
    <row r="1153" spans="1:30" ht="12.75" customHeight="1" x14ac:dyDescent="0.2">
      <c r="A1153" s="227">
        <v>1153</v>
      </c>
      <c r="B1153" s="6238"/>
      <c r="C1153" s="326" t="str">
        <f>IFERROR(INDEX(Místicos!$AG$12:$AJ$50,MATCH(C$1138&amp;$A14,Místicos!$AN$12:$AN$50,0),1)&amp;", ","")</f>
        <v/>
      </c>
      <c r="D1153" s="2349" t="str">
        <f>IFERROR(INDEX(Místicos!$AG$12:$AJ$50,MATCH(D$1138&amp;$A14,Místicos!$AN$12:$AN$50,0),1)&amp;", ","")</f>
        <v/>
      </c>
      <c r="E1153" s="2349" t="str">
        <f>IFERROR(INDEX(Místicos!$AG$12:$AJ$50,MATCH(E$1138&amp;$A14,Místicos!$AN$12:$AN$50,0),1)&amp;", ","")</f>
        <v/>
      </c>
      <c r="F1153" s="2349" t="str">
        <f>IFERROR(INDEX(Místicos!$AG$12:$AJ$50,MATCH(F$1138&amp;$A14,Místicos!$AN$12:$AN$50,0),1)&amp;", ","")</f>
        <v/>
      </c>
      <c r="G1153" s="2349" t="str">
        <f>IFERROR(INDEX(Místicos!$AG$12:$AJ$50,MATCH(G$1138&amp;$A14,Místicos!$AN$12:$AN$50,0),1)&amp;", ","")</f>
        <v/>
      </c>
      <c r="H1153" s="2349" t="str">
        <f>IFERROR(INDEX(Místicos!$AG$12:$AJ$50,MATCH(H$1138&amp;$A14,Místicos!$AN$12:$AN$50,0),1)&amp;", ","")</f>
        <v/>
      </c>
      <c r="I1153" s="2349" t="str">
        <f>IFERROR(INDEX(Místicos!$AG$12:$AJ$50,MATCH(I$1138&amp;$A14,Místicos!$AN$12:$AN$50,0),1)&amp;", ","")</f>
        <v/>
      </c>
      <c r="J1153" s="2349" t="str">
        <f>IFERROR(INDEX(Místicos!$AG$12:$AJ$50,MATCH(J$1138&amp;$A14,Místicos!$AN$12:$AN$50,0),1)&amp;", ","")</f>
        <v/>
      </c>
      <c r="K1153" s="2349" t="str">
        <f>IFERROR(INDEX(Místicos!$AG$12:$AJ$50,MATCH(K$1138&amp;$A14,Místicos!$AN$12:$AN$50,0),1)&amp;", ","")</f>
        <v/>
      </c>
      <c r="L1153" s="2349" t="str">
        <f>IFERROR(INDEX(Místicos!$AG$12:$AJ$50,MATCH(L$1138&amp;$A14,Místicos!$AN$12:$AN$50,0),1)&amp;", ","")</f>
        <v/>
      </c>
      <c r="M1153" s="621" t="str">
        <f>IFERROR(INDEX(Místicos!$AG$12:$AJ$50,MATCH(M$1138&amp;$A14,Místicos!$AN$12:$AN$50,0),1)&amp;", ","")</f>
        <v/>
      </c>
      <c r="N1153" s="2986"/>
      <c r="P1153" s="269">
        <f t="shared" si="276"/>
        <v>0</v>
      </c>
      <c r="Q1153" s="14" t="str">
        <f>IF(Metamagia!$AD$41=1,"Metamagister: Zeón Ilimitado","")</f>
        <v/>
      </c>
      <c r="R1153" s="21"/>
      <c r="S1153" s="14" t="str">
        <f>IF(Metamagia!$AD$41=1,"El hechicero devuelve a la reserva la mitad del coste de sus conjuros","")</f>
        <v/>
      </c>
      <c r="T1153" s="21"/>
      <c r="U1153" s="21"/>
      <c r="V1153" s="47"/>
      <c r="W1153" s="36"/>
      <c r="Z1153" s="564" t="str">
        <f t="shared" si="277"/>
        <v>Leviathan, Señor de los Océanos</v>
      </c>
      <c r="AA1153" s="878">
        <f t="shared" si="274"/>
        <v>74</v>
      </c>
      <c r="AB1153" s="1276" t="s">
        <v>736</v>
      </c>
      <c r="AC1153" s="47">
        <v>380</v>
      </c>
      <c r="AD1153" s="135">
        <v>800</v>
      </c>
    </row>
    <row r="1154" spans="1:30" ht="12.75" customHeight="1" x14ac:dyDescent="0.2">
      <c r="A1154" s="227">
        <v>1154</v>
      </c>
      <c r="B1154" s="6238"/>
      <c r="C1154" s="326" t="str">
        <f>IFERROR(INDEX(Místicos!$AG$12:$AJ$50,MATCH(C$1138&amp;$A15,Místicos!$AN$12:$AN$50,0),1)&amp;", ","")</f>
        <v/>
      </c>
      <c r="D1154" s="2349" t="str">
        <f>IFERROR(INDEX(Místicos!$AG$12:$AJ$50,MATCH(D$1138&amp;$A15,Místicos!$AN$12:$AN$50,0),1)&amp;", ","")</f>
        <v/>
      </c>
      <c r="E1154" s="2349" t="str">
        <f>IFERROR(INDEX(Místicos!$AG$12:$AJ$50,MATCH(E$1138&amp;$A15,Místicos!$AN$12:$AN$50,0),1)&amp;", ","")</f>
        <v/>
      </c>
      <c r="F1154" s="2349" t="str">
        <f>IFERROR(INDEX(Místicos!$AG$12:$AJ$50,MATCH(F$1138&amp;$A15,Místicos!$AN$12:$AN$50,0),1)&amp;", ","")</f>
        <v/>
      </c>
      <c r="G1154" s="2349" t="str">
        <f>IFERROR(INDEX(Místicos!$AG$12:$AJ$50,MATCH(G$1138&amp;$A15,Místicos!$AN$12:$AN$50,0),1)&amp;", ","")</f>
        <v/>
      </c>
      <c r="H1154" s="2349" t="str">
        <f>IFERROR(INDEX(Místicos!$AG$12:$AJ$50,MATCH(H$1138&amp;$A15,Místicos!$AN$12:$AN$50,0),1)&amp;", ","")</f>
        <v/>
      </c>
      <c r="I1154" s="2349" t="str">
        <f>IFERROR(INDEX(Místicos!$AG$12:$AJ$50,MATCH(I$1138&amp;$A15,Místicos!$AN$12:$AN$50,0),1)&amp;", ","")</f>
        <v/>
      </c>
      <c r="J1154" s="2349" t="str">
        <f>IFERROR(INDEX(Místicos!$AG$12:$AJ$50,MATCH(J$1138&amp;$A15,Místicos!$AN$12:$AN$50,0),1)&amp;", ","")</f>
        <v/>
      </c>
      <c r="K1154" s="2349" t="str">
        <f>IFERROR(INDEX(Místicos!$AG$12:$AJ$50,MATCH(K$1138&amp;$A15,Místicos!$AN$12:$AN$50,0),1)&amp;", ","")</f>
        <v/>
      </c>
      <c r="L1154" s="2349" t="str">
        <f>IFERROR(INDEX(Místicos!$AG$12:$AJ$50,MATCH(L$1138&amp;$A15,Místicos!$AN$12:$AN$50,0),1)&amp;", ","")</f>
        <v/>
      </c>
      <c r="M1154" s="621" t="str">
        <f>IFERROR(INDEX(Místicos!$AG$12:$AJ$50,MATCH(M$1138&amp;$A15,Místicos!$AN$12:$AN$50,0),1)&amp;", ","")</f>
        <v/>
      </c>
      <c r="N1154" s="2986"/>
      <c r="P1154" s="269">
        <f t="shared" si="276"/>
        <v>0</v>
      </c>
      <c r="Q1154" s="14" t="str">
        <f>IF(Metamagia!$F$63=1,"Seguridad defensiva","")</f>
        <v/>
      </c>
      <c r="R1154" s="21"/>
      <c r="S1154" s="14" t="str">
        <f>IF(Metamagia!$F$63=1,"Con Pifia al proyectar un escudo se sigue activando el conjuro","")</f>
        <v/>
      </c>
      <c r="T1154" s="21"/>
      <c r="U1154" s="21"/>
      <c r="V1154" s="47"/>
      <c r="W1154" s="36"/>
      <c r="Z1154" s="564" t="str">
        <f t="shared" si="277"/>
        <v>Leviathan: Comunión con el agua</v>
      </c>
      <c r="AA1154" s="878">
        <f t="shared" si="274"/>
        <v>53</v>
      </c>
      <c r="AB1154" s="1276" t="s">
        <v>737</v>
      </c>
      <c r="AC1154" s="47">
        <v>400</v>
      </c>
      <c r="AD1154" s="135">
        <v>800</v>
      </c>
    </row>
    <row r="1155" spans="1:30" ht="12.75" customHeight="1" x14ac:dyDescent="0.2">
      <c r="A1155" s="227">
        <v>1155</v>
      </c>
      <c r="B1155" s="6238"/>
      <c r="C1155" s="326" t="str">
        <f>IFERROR(INDEX(Místicos!$AG$12:$AJ$50,MATCH(C$1138&amp;$A16,Místicos!$AN$12:$AN$50,0),1)&amp;", ","")</f>
        <v/>
      </c>
      <c r="D1155" s="2349" t="str">
        <f>IFERROR(INDEX(Místicos!$AG$12:$AJ$50,MATCH(D$1138&amp;$A16,Místicos!$AN$12:$AN$50,0),1)&amp;", ","")</f>
        <v/>
      </c>
      <c r="E1155" s="2349" t="str">
        <f>IFERROR(INDEX(Místicos!$AG$12:$AJ$50,MATCH(E$1138&amp;$A16,Místicos!$AN$12:$AN$50,0),1)&amp;", ","")</f>
        <v/>
      </c>
      <c r="F1155" s="2349" t="str">
        <f>IFERROR(INDEX(Místicos!$AG$12:$AJ$50,MATCH(F$1138&amp;$A16,Místicos!$AN$12:$AN$50,0),1)&amp;", ","")</f>
        <v/>
      </c>
      <c r="G1155" s="2349" t="str">
        <f>IFERROR(INDEX(Místicos!$AG$12:$AJ$50,MATCH(G$1138&amp;$A16,Místicos!$AN$12:$AN$50,0),1)&amp;", ","")</f>
        <v/>
      </c>
      <c r="H1155" s="2349" t="str">
        <f>IFERROR(INDEX(Místicos!$AG$12:$AJ$50,MATCH(H$1138&amp;$A16,Místicos!$AN$12:$AN$50,0),1)&amp;", ","")</f>
        <v/>
      </c>
      <c r="I1155" s="2349" t="str">
        <f>IFERROR(INDEX(Místicos!$AG$12:$AJ$50,MATCH(I$1138&amp;$A16,Místicos!$AN$12:$AN$50,0),1)&amp;", ","")</f>
        <v/>
      </c>
      <c r="J1155" s="2349" t="str">
        <f>IFERROR(INDEX(Místicos!$AG$12:$AJ$50,MATCH(J$1138&amp;$A16,Místicos!$AN$12:$AN$50,0),1)&amp;", ","")</f>
        <v/>
      </c>
      <c r="K1155" s="2349" t="str">
        <f>IFERROR(INDEX(Místicos!$AG$12:$AJ$50,MATCH(K$1138&amp;$A16,Místicos!$AN$12:$AN$50,0),1)&amp;", ","")</f>
        <v/>
      </c>
      <c r="L1155" s="2349" t="str">
        <f>IFERROR(INDEX(Místicos!$AG$12:$AJ$50,MATCH(L$1138&amp;$A16,Místicos!$AN$12:$AN$50,0),1)&amp;", ","")</f>
        <v/>
      </c>
      <c r="M1155" s="621" t="str">
        <f>IFERROR(INDEX(Místicos!$AG$12:$AJ$50,MATCH(M$1138&amp;$A16,Místicos!$AN$12:$AN$50,0),1)&amp;", ","")</f>
        <v/>
      </c>
      <c r="N1155" s="2986"/>
      <c r="P1155" s="269">
        <f t="shared" si="276"/>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4" t="str">
        <f t="shared" si="277"/>
        <v>Leviathan: Señor de las aguas</v>
      </c>
      <c r="AA1155" s="878">
        <f t="shared" si="274"/>
        <v>57</v>
      </c>
      <c r="AB1155" s="1276" t="s">
        <v>738</v>
      </c>
      <c r="AC1155" s="47">
        <v>220</v>
      </c>
      <c r="AD1155" s="135">
        <v>300</v>
      </c>
    </row>
    <row r="1156" spans="1:30" ht="12.75" customHeight="1" x14ac:dyDescent="0.2">
      <c r="A1156" s="227">
        <v>1156</v>
      </c>
      <c r="B1156" s="6238"/>
      <c r="C1156" s="326" t="str">
        <f>IFERROR(INDEX(Místicos!$AG$12:$AJ$50,MATCH(C$1138&amp;$A17,Místicos!$AN$12:$AN$50,0),1)&amp;", ","")</f>
        <v/>
      </c>
      <c r="D1156" s="2349" t="str">
        <f>IFERROR(INDEX(Místicos!$AG$12:$AJ$50,MATCH(D$1138&amp;$A17,Místicos!$AN$12:$AN$50,0),1)&amp;", ","")</f>
        <v/>
      </c>
      <c r="E1156" s="2349" t="str">
        <f>IFERROR(INDEX(Místicos!$AG$12:$AJ$50,MATCH(E$1138&amp;$A17,Místicos!$AN$12:$AN$50,0),1)&amp;", ","")</f>
        <v/>
      </c>
      <c r="F1156" s="2349" t="str">
        <f>IFERROR(INDEX(Místicos!$AG$12:$AJ$50,MATCH(F$1138&amp;$A17,Místicos!$AN$12:$AN$50,0),1)&amp;", ","")</f>
        <v/>
      </c>
      <c r="G1156" s="2349" t="str">
        <f>IFERROR(INDEX(Místicos!$AG$12:$AJ$50,MATCH(G$1138&amp;$A17,Místicos!$AN$12:$AN$50,0),1)&amp;", ","")</f>
        <v/>
      </c>
      <c r="H1156" s="2349" t="str">
        <f>IFERROR(INDEX(Místicos!$AG$12:$AJ$50,MATCH(H$1138&amp;$A17,Místicos!$AN$12:$AN$50,0),1)&amp;", ","")</f>
        <v/>
      </c>
      <c r="I1156" s="2349" t="str">
        <f>IFERROR(INDEX(Místicos!$AG$12:$AJ$50,MATCH(I$1138&amp;$A17,Místicos!$AN$12:$AN$50,0),1)&amp;", ","")</f>
        <v/>
      </c>
      <c r="J1156" s="2349" t="str">
        <f>IFERROR(INDEX(Místicos!$AG$12:$AJ$50,MATCH(J$1138&amp;$A17,Místicos!$AN$12:$AN$50,0),1)&amp;", ","")</f>
        <v/>
      </c>
      <c r="K1156" s="2349" t="str">
        <f>IFERROR(INDEX(Místicos!$AG$12:$AJ$50,MATCH(K$1138&amp;$A17,Místicos!$AN$12:$AN$50,0),1)&amp;", ","")</f>
        <v/>
      </c>
      <c r="L1156" s="2349" t="str">
        <f>IFERROR(INDEX(Místicos!$AG$12:$AJ$50,MATCH(L$1138&amp;$A17,Místicos!$AN$12:$AN$50,0),1)&amp;", ","")</f>
        <v/>
      </c>
      <c r="M1156" s="621" t="str">
        <f>IFERROR(INDEX(Místicos!$AG$12:$AJ$50,MATCH(M$1138&amp;$A17,Místicos!$AN$12:$AN$50,0),1)&amp;", ","")</f>
        <v/>
      </c>
      <c r="N1156" s="2986"/>
      <c r="P1156" s="269">
        <f t="shared" si="276"/>
        <v>0</v>
      </c>
      <c r="Q1156" s="14" t="str">
        <f>IF(Metamagia!$C$54=1,"Sentir la magia","")</f>
        <v/>
      </c>
      <c r="R1156" s="21"/>
      <c r="S1156" s="14" t="str">
        <f>IF(Metamagia!$C$54=1,"Mejora un Grado los resultados en Valoración Mágica. Ver","")</f>
        <v/>
      </c>
      <c r="T1156" s="21"/>
      <c r="U1156" s="21"/>
      <c r="V1156" s="47"/>
      <c r="W1156" s="36"/>
      <c r="Z1156" s="564" t="str">
        <f t="shared" si="277"/>
        <v>Lix Tetrax</v>
      </c>
      <c r="AA1156" s="878">
        <f t="shared" si="274"/>
        <v>55</v>
      </c>
      <c r="AB1156" s="1276" t="s">
        <v>739</v>
      </c>
      <c r="AC1156" s="47">
        <v>280</v>
      </c>
      <c r="AD1156" s="135">
        <v>500</v>
      </c>
    </row>
    <row r="1157" spans="1:30" ht="12.75" customHeight="1" x14ac:dyDescent="0.2">
      <c r="A1157" s="227">
        <v>1157</v>
      </c>
      <c r="B1157" s="6238"/>
      <c r="C1157" s="326" t="str">
        <f>IFERROR(INDEX(Místicos!$AG$12:$AJ$50,MATCH(C$1138&amp;$A18,Místicos!$AN$12:$AN$50,0),1)&amp;", ","")</f>
        <v/>
      </c>
      <c r="D1157" s="2349" t="str">
        <f>IFERROR(INDEX(Místicos!$AG$12:$AJ$50,MATCH(D$1138&amp;$A18,Místicos!$AN$12:$AN$50,0),1)&amp;", ","")</f>
        <v/>
      </c>
      <c r="E1157" s="2349" t="str">
        <f>IFERROR(INDEX(Místicos!$AG$12:$AJ$50,MATCH(E$1138&amp;$A18,Místicos!$AN$12:$AN$50,0),1)&amp;", ","")</f>
        <v/>
      </c>
      <c r="F1157" s="2349" t="str">
        <f>IFERROR(INDEX(Místicos!$AG$12:$AJ$50,MATCH(F$1138&amp;$A18,Místicos!$AN$12:$AN$50,0),1)&amp;", ","")</f>
        <v/>
      </c>
      <c r="G1157" s="2349" t="str">
        <f>IFERROR(INDEX(Místicos!$AG$12:$AJ$50,MATCH(G$1138&amp;$A18,Místicos!$AN$12:$AN$50,0),1)&amp;", ","")</f>
        <v/>
      </c>
      <c r="H1157" s="2349" t="str">
        <f>IFERROR(INDEX(Místicos!$AG$12:$AJ$50,MATCH(H$1138&amp;$A18,Místicos!$AN$12:$AN$50,0),1)&amp;", ","")</f>
        <v/>
      </c>
      <c r="I1157" s="2349" t="str">
        <f>IFERROR(INDEX(Místicos!$AG$12:$AJ$50,MATCH(I$1138&amp;$A18,Místicos!$AN$12:$AN$50,0),1)&amp;", ","")</f>
        <v/>
      </c>
      <c r="J1157" s="2349" t="str">
        <f>IFERROR(INDEX(Místicos!$AG$12:$AJ$50,MATCH(J$1138&amp;$A18,Místicos!$AN$12:$AN$50,0),1)&amp;", ","")</f>
        <v/>
      </c>
      <c r="K1157" s="2349" t="str">
        <f>IFERROR(INDEX(Místicos!$AG$12:$AJ$50,MATCH(K$1138&amp;$A18,Místicos!$AN$12:$AN$50,0),1)&amp;", ","")</f>
        <v/>
      </c>
      <c r="L1157" s="2349" t="str">
        <f>IFERROR(INDEX(Místicos!$AG$12:$AJ$50,MATCH(L$1138&amp;$A18,Místicos!$AN$12:$AN$50,0),1)&amp;", ","")</f>
        <v/>
      </c>
      <c r="M1157" s="621" t="str">
        <f>IFERROR(INDEX(Místicos!$AG$12:$AJ$50,MATCH(M$1138&amp;$A18,Místicos!$AN$12:$AN$50,0),1)&amp;", ","")</f>
        <v/>
      </c>
      <c r="N1157" s="2986"/>
      <c r="P1157" s="269">
        <f t="shared" si="276"/>
        <v>0</v>
      </c>
      <c r="Q1157" s="14" t="str">
        <f>IF(Metamagia!$O$54=1,"Magia oculta","")</f>
        <v/>
      </c>
      <c r="R1157" s="21"/>
      <c r="S1157" s="14" t="str">
        <f>IF(Metamagia!$O$54=1,"Disminuye penalizador para ocultar sortilegios y dificulta la detección de la magia","")</f>
        <v/>
      </c>
      <c r="T1157" s="21"/>
      <c r="U1157" s="21"/>
      <c r="V1157" s="47"/>
      <c r="W1157" s="36"/>
      <c r="Z1157" s="564" t="str">
        <f t="shared" si="277"/>
        <v>Naaga, Madre de los Venenos</v>
      </c>
      <c r="AA1157" s="878">
        <f t="shared" si="274"/>
        <v>56</v>
      </c>
      <c r="AB1157" s="1276" t="s">
        <v>740</v>
      </c>
      <c r="AC1157" s="47">
        <v>340</v>
      </c>
      <c r="AD1157" s="135">
        <v>660</v>
      </c>
    </row>
    <row r="1158" spans="1:30" ht="12.75" customHeight="1" x14ac:dyDescent="0.2">
      <c r="A1158" s="227">
        <v>1158</v>
      </c>
      <c r="B1158" s="6238"/>
      <c r="C1158" s="326" t="str">
        <f>IFERROR(INDEX(Místicos!$AG$12:$AJ$50,MATCH(C$1138&amp;$A19,Místicos!$AN$12:$AN$50,0),1)&amp;", ","")</f>
        <v/>
      </c>
      <c r="D1158" s="2349" t="str">
        <f>IFERROR(INDEX(Místicos!$AG$12:$AJ$50,MATCH(D$1138&amp;$A19,Místicos!$AN$12:$AN$50,0),1)&amp;", ","")</f>
        <v/>
      </c>
      <c r="E1158" s="2349" t="str">
        <f>IFERROR(INDEX(Místicos!$AG$12:$AJ$50,MATCH(E$1138&amp;$A19,Místicos!$AN$12:$AN$50,0),1)&amp;", ","")</f>
        <v/>
      </c>
      <c r="F1158" s="2349" t="str">
        <f>IFERROR(INDEX(Místicos!$AG$12:$AJ$50,MATCH(F$1138&amp;$A19,Místicos!$AN$12:$AN$50,0),1)&amp;", ","")</f>
        <v/>
      </c>
      <c r="G1158" s="2349" t="str">
        <f>IFERROR(INDEX(Místicos!$AG$12:$AJ$50,MATCH(G$1138&amp;$A19,Místicos!$AN$12:$AN$50,0),1)&amp;", ","")</f>
        <v/>
      </c>
      <c r="H1158" s="2349" t="str">
        <f>IFERROR(INDEX(Místicos!$AG$12:$AJ$50,MATCH(H$1138&amp;$A19,Místicos!$AN$12:$AN$50,0),1)&amp;", ","")</f>
        <v/>
      </c>
      <c r="I1158" s="2349" t="str">
        <f>IFERROR(INDEX(Místicos!$AG$12:$AJ$50,MATCH(I$1138&amp;$A19,Místicos!$AN$12:$AN$50,0),1)&amp;", ","")</f>
        <v/>
      </c>
      <c r="J1158" s="2349" t="str">
        <f>IFERROR(INDEX(Místicos!$AG$12:$AJ$50,MATCH(J$1138&amp;$A19,Místicos!$AN$12:$AN$50,0),1)&amp;", ","")</f>
        <v/>
      </c>
      <c r="K1158" s="2349" t="str">
        <f>IFERROR(INDEX(Místicos!$AG$12:$AJ$50,MATCH(K$1138&amp;$A19,Místicos!$AN$12:$AN$50,0),1)&amp;", ","")</f>
        <v/>
      </c>
      <c r="L1158" s="2349" t="str">
        <f>IFERROR(INDEX(Místicos!$AG$12:$AJ$50,MATCH(L$1138&amp;$A19,Místicos!$AN$12:$AN$50,0),1)&amp;", ","")</f>
        <v/>
      </c>
      <c r="M1158" s="621" t="str">
        <f>IFERROR(INDEX(Místicos!$AG$12:$AJ$50,MATCH(M$1138&amp;$A19,Místicos!$AN$12:$AN$50,0),1)&amp;", ","")</f>
        <v/>
      </c>
      <c r="N1158" s="2986"/>
      <c r="P1158" s="269">
        <f t="shared" si="276"/>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4" t="str">
        <f t="shared" si="277"/>
        <v>Pandora, el Castigo Divino</v>
      </c>
      <c r="AA1158" s="878">
        <f t="shared" si="274"/>
        <v>54</v>
      </c>
      <c r="AB1158" s="1276" t="s">
        <v>741</v>
      </c>
      <c r="AC1158" s="47">
        <v>400</v>
      </c>
      <c r="AD1158" s="135">
        <v>880</v>
      </c>
    </row>
    <row r="1159" spans="1:30" ht="12.75" customHeight="1" x14ac:dyDescent="0.2">
      <c r="A1159" s="227">
        <v>1159</v>
      </c>
      <c r="B1159" s="6238"/>
      <c r="C1159" s="326" t="str">
        <f>IFERROR(INDEX(Místicos!$AG$12:$AJ$50,MATCH(C$1138&amp;$A20,Místicos!$AN$12:$AN$50,0),1)&amp;", ","")</f>
        <v/>
      </c>
      <c r="D1159" s="2349" t="str">
        <f>IFERROR(INDEX(Místicos!$AG$12:$AJ$50,MATCH(D$1138&amp;$A20,Místicos!$AN$12:$AN$50,0),1)&amp;", ","")</f>
        <v/>
      </c>
      <c r="E1159" s="2349" t="str">
        <f>IFERROR(INDEX(Místicos!$AG$12:$AJ$50,MATCH(E$1138&amp;$A20,Místicos!$AN$12:$AN$50,0),1)&amp;", ","")</f>
        <v/>
      </c>
      <c r="F1159" s="2349" t="str">
        <f>IFERROR(INDEX(Místicos!$AG$12:$AJ$50,MATCH(F$1138&amp;$A20,Místicos!$AN$12:$AN$50,0),1)&amp;", ","")</f>
        <v/>
      </c>
      <c r="G1159" s="2349" t="str">
        <f>IFERROR(INDEX(Místicos!$AG$12:$AJ$50,MATCH(G$1138&amp;$A20,Místicos!$AN$12:$AN$50,0),1)&amp;", ","")</f>
        <v/>
      </c>
      <c r="H1159" s="2349" t="str">
        <f>IFERROR(INDEX(Místicos!$AG$12:$AJ$50,MATCH(H$1138&amp;$A20,Místicos!$AN$12:$AN$50,0),1)&amp;", ","")</f>
        <v/>
      </c>
      <c r="I1159" s="2349" t="str">
        <f>IFERROR(INDEX(Místicos!$AG$12:$AJ$50,MATCH(I$1138&amp;$A20,Místicos!$AN$12:$AN$50,0),1)&amp;", ","")</f>
        <v/>
      </c>
      <c r="J1159" s="2349" t="str">
        <f>IFERROR(INDEX(Místicos!$AG$12:$AJ$50,MATCH(J$1138&amp;$A20,Místicos!$AN$12:$AN$50,0),1)&amp;", ","")</f>
        <v/>
      </c>
      <c r="K1159" s="2349" t="str">
        <f>IFERROR(INDEX(Místicos!$AG$12:$AJ$50,MATCH(K$1138&amp;$A20,Místicos!$AN$12:$AN$50,0),1)&amp;", ","")</f>
        <v/>
      </c>
      <c r="L1159" s="2349" t="str">
        <f>IFERROR(INDEX(Místicos!$AG$12:$AJ$50,MATCH(L$1138&amp;$A20,Místicos!$AN$12:$AN$50,0),1)&amp;", ","")</f>
        <v/>
      </c>
      <c r="M1159" s="621" t="str">
        <f>IFERROR(INDEX(Místicos!$AG$12:$AJ$50,MATCH(M$1138&amp;$A20,Místicos!$AN$12:$AN$50,0),1)&amp;", ","")</f>
        <v/>
      </c>
      <c r="N1159" s="2986"/>
      <c r="P1159" s="269">
        <f t="shared" si="276"/>
        <v>0</v>
      </c>
      <c r="Q1159" s="14" t="str">
        <f>IF(Metamagia!$F$48=1,"Control del espacio","")</f>
        <v/>
      </c>
      <c r="R1159" s="21"/>
      <c r="S1159" s="14" t="str">
        <f>IF(Metamagia!$F$48=1,"Permite seleccionar blancos en todos los conjuros de área","")</f>
        <v/>
      </c>
      <c r="T1159" s="21"/>
      <c r="U1159" s="21"/>
      <c r="V1159" s="47"/>
      <c r="W1159" s="36"/>
      <c r="Z1159" s="564" t="str">
        <f t="shared" si="277"/>
        <v>Raksasha</v>
      </c>
      <c r="AA1159" s="878">
        <f t="shared" si="274"/>
        <v>27</v>
      </c>
      <c r="AB1159" s="1276" t="s">
        <v>742</v>
      </c>
      <c r="AC1159" s="47">
        <v>400</v>
      </c>
      <c r="AD1159" s="135">
        <v>800</v>
      </c>
    </row>
    <row r="1160" spans="1:30" ht="12.75" customHeight="1" thickBot="1" x14ac:dyDescent="0.25">
      <c r="A1160" s="227">
        <v>1160</v>
      </c>
      <c r="B1160" s="6238"/>
      <c r="C1160" s="2967" t="str">
        <f>IF(AND(C1139&lt;&gt;0,C1139&lt;&gt;""),C1139&amp;", ","")&amp;IF(AND(Resumen!$AP$50="Sí"),C1140&amp;C1141&amp;C1142&amp;C1143&amp;C1144&amp;C1145&amp;C1146&amp;C1147&amp;C1148&amp;C1149&amp;C1150&amp;C1151&amp;C1152&amp;C1153&amp;C1154&amp;C1155&amp;C1156&amp;C1157&amp;C1158&amp;C1159,"")</f>
        <v/>
      </c>
      <c r="D1160" s="2968" t="str">
        <f>IF(AND(D1139&lt;&gt;0,D1139&lt;&gt;""),D1139&amp;", ","")&amp;IF(AND(Resumen!$AP$50="Sí"),D1140&amp;D1141&amp;D1142&amp;D1143&amp;D1144&amp;D1145&amp;D1146&amp;D1147&amp;D1148&amp;D1149&amp;D1150&amp;D1151&amp;D1152&amp;D1153&amp;D1154&amp;D1155&amp;D1156&amp;D1157&amp;D1158&amp;D1159,"")</f>
        <v/>
      </c>
      <c r="E1160" s="2968" t="str">
        <f>IF(AND(E1139&lt;&gt;0,E1139&lt;&gt;""),E1139&amp;", ","")&amp;IF(AND(Resumen!$AP$50="Sí"),E1140&amp;E1141&amp;E1142&amp;E1143&amp;E1144&amp;E1145&amp;E1146&amp;E1147&amp;E1148&amp;E1149&amp;E1150&amp;E1151&amp;E1152&amp;E1153&amp;E1154&amp;E1155&amp;E1156&amp;E1157&amp;E1158&amp;E1159,"")</f>
        <v/>
      </c>
      <c r="F1160" s="2968" t="str">
        <f>IF(AND(F1139&lt;&gt;0,F1139&lt;&gt;""),F1139&amp;", ","")&amp;IF(AND(Resumen!$AP$50="Sí"),F1140&amp;F1141&amp;F1142&amp;F1143&amp;F1144&amp;F1145&amp;F1146&amp;F1147&amp;F1148&amp;F1149&amp;F1150&amp;F1151&amp;F1152&amp;F1153&amp;F1154&amp;F1155&amp;F1156&amp;F1157&amp;F1158&amp;F1159,"")</f>
        <v/>
      </c>
      <c r="G1160" s="2968" t="str">
        <f>IF(AND(G1139&lt;&gt;0,G1139&lt;&gt;""),G1139&amp;", ","")&amp;IF(AND(Resumen!$AP$50="Sí"),G1140&amp;G1141&amp;G1142&amp;G1143&amp;G1144&amp;G1145&amp;G1146&amp;G1147&amp;G1148&amp;G1149&amp;G1150&amp;G1151&amp;G1152&amp;G1153&amp;G1154&amp;G1155&amp;G1156&amp;G1157&amp;G1158&amp;G1159,"")</f>
        <v/>
      </c>
      <c r="H1160" s="2968" t="str">
        <f>IF(AND(H1139&lt;&gt;0,H1139&lt;&gt;""),H1139&amp;", ","")&amp;IF(AND(Resumen!$AP$50="Sí"),H1140&amp;H1141&amp;H1142&amp;H1143&amp;H1144&amp;H1145&amp;H1146&amp;H1147&amp;H1148&amp;H1149&amp;H1150&amp;H1151&amp;H1152&amp;H1153&amp;H1154&amp;H1155&amp;H1156&amp;H1157&amp;H1158&amp;H1159,"")</f>
        <v/>
      </c>
      <c r="I1160" s="2968" t="str">
        <f>IF(AND(I1139&lt;&gt;0,I1139&lt;&gt;""),I1139&amp;", ","")&amp;IF(AND(Resumen!$AP$50="Sí"),I1140&amp;I1141&amp;I1142&amp;I1143&amp;I1144&amp;I1145&amp;I1146&amp;I1147&amp;I1148&amp;I1149&amp;I1150&amp;I1151&amp;I1152&amp;I1153&amp;I1154&amp;I1155&amp;I1156&amp;I1157&amp;I1158&amp;I1159,"")</f>
        <v/>
      </c>
      <c r="J1160" s="2968" t="str">
        <f>IF(AND(J1139&lt;&gt;0,J1139&lt;&gt;""),J1139&amp;", ","")&amp;IF(AND(Resumen!$AP$50="Sí"),J1140&amp;J1141&amp;J1142&amp;J1143&amp;J1144&amp;J1145&amp;J1146&amp;J1147&amp;J1148&amp;J1149&amp;J1150&amp;J1151&amp;J1152&amp;J1153&amp;J1154&amp;J1155&amp;J1156&amp;J1157&amp;J1158&amp;J1159,"")</f>
        <v/>
      </c>
      <c r="K1160" s="2968" t="str">
        <f>IF(AND(K1139&lt;&gt;0,K1139&lt;&gt;""),K1139&amp;", ","")&amp;IF(AND(Resumen!$AP$50="Sí"),K1140&amp;K1141&amp;K1142&amp;K1143&amp;K1144&amp;K1145&amp;K1146&amp;K1147&amp;K1148&amp;K1149&amp;K1150&amp;K1151&amp;K1152&amp;K1153&amp;K1154&amp;K1155&amp;K1156&amp;K1157&amp;K1158&amp;K1159,"")</f>
        <v/>
      </c>
      <c r="L1160" s="2968" t="str">
        <f>IF(AND(L1139&lt;&gt;0,L1139&lt;&gt;""),L1139&amp;", ","")&amp;IF(AND(Resumen!$AP$50="Sí"),L1140&amp;L1141&amp;L1142&amp;L1143&amp;L1144&amp;L1145&amp;L1146&amp;L1147&amp;L1148&amp;L1149&amp;L1150&amp;L1151&amp;L1152&amp;L1153&amp;L1154&amp;L1155&amp;L1156&amp;L1157&amp;L1158&amp;L1159,"")</f>
        <v/>
      </c>
      <c r="M1160" s="2969" t="str">
        <f>IF(AND(M1139&lt;&gt;0,M1139&lt;&gt;""),M1139&amp;", ","")&amp;IF(AND(Resumen!$AP$50="Sí"),M1140&amp;M1141&amp;M1142&amp;M1143&amp;M1144&amp;M1145&amp;M1146&amp;M1147&amp;M1148&amp;M1149&amp;M1150&amp;M1151&amp;M1152&amp;M1153&amp;M1154&amp;M1155&amp;M1156&amp;M1157&amp;M1158&amp;M1159,"")</f>
        <v/>
      </c>
      <c r="N1160" s="2986"/>
      <c r="O1160" s="559"/>
      <c r="P1160" s="269">
        <f t="shared" si="276"/>
        <v>0</v>
      </c>
      <c r="Q1160" s="14" t="str">
        <f>IF(Metamagia!$I$59=1,"Control de la energía","")</f>
        <v/>
      </c>
      <c r="R1160" s="21"/>
      <c r="S1160" s="14" t="str">
        <f>IF(Metamagia!$I$59=1,"Por 10 de Zeón permite que un conjuro físico pueda dañar o parar energía","")</f>
        <v/>
      </c>
      <c r="T1160" s="21"/>
      <c r="U1160" s="21"/>
      <c r="V1160" s="47"/>
      <c r="W1160" s="36"/>
      <c r="Z1160" s="564" t="str">
        <f t="shared" si="277"/>
        <v>Rudraskha: Exodus void nova</v>
      </c>
      <c r="AA1160" s="878">
        <f t="shared" si="274"/>
        <v>29</v>
      </c>
      <c r="AB1160" s="1276" t="s">
        <v>743</v>
      </c>
      <c r="AC1160" s="47">
        <v>220</v>
      </c>
      <c r="AD1160" s="135">
        <v>300</v>
      </c>
    </row>
    <row r="1161" spans="1:30" ht="12.75" customHeight="1" x14ac:dyDescent="0.2">
      <c r="A1161" s="227">
        <v>1161</v>
      </c>
      <c r="B1161" s="6238"/>
      <c r="N1161" s="2986"/>
      <c r="P1161" s="269">
        <f t="shared" si="276"/>
        <v>0</v>
      </c>
      <c r="Q1161" s="14" t="str">
        <f>IF(Metamagia!$L$54=1,"Aguante al daño sobrenatural","")</f>
        <v/>
      </c>
      <c r="R1161" s="21"/>
      <c r="S1161" s="14" t="str">
        <f>IF(Metamagia!$L$54=1,"Permite sufrir hasta la mitad de Daño mágico en puntos de Zeón","")</f>
        <v/>
      </c>
      <c r="T1161" s="21"/>
      <c r="U1161" s="21"/>
      <c r="V1161" s="47"/>
      <c r="W1161" s="36"/>
      <c r="Z1161" s="564" t="str">
        <f t="shared" si="277"/>
        <v>Rudraskha: Void nova</v>
      </c>
      <c r="AA1161" s="878">
        <f t="shared" si="274"/>
        <v>30</v>
      </c>
      <c r="AB1161" s="1276" t="s">
        <v>744</v>
      </c>
      <c r="AC1161" s="47">
        <v>280</v>
      </c>
      <c r="AD1161" s="135">
        <v>500</v>
      </c>
    </row>
    <row r="1162" spans="1:30" ht="12.75" customHeight="1" x14ac:dyDescent="0.2">
      <c r="A1162" s="227">
        <v>1162</v>
      </c>
      <c r="B1162" s="6238"/>
      <c r="N1162" s="2986"/>
      <c r="P1162" s="269">
        <f t="shared" si="276"/>
        <v>0</v>
      </c>
      <c r="Q1162" s="14" t="str">
        <f>IF(Metamagia!$F$54=1,"Transmisión de magia","")</f>
        <v/>
      </c>
      <c r="R1162" s="21"/>
      <c r="S1162" s="14" t="str">
        <f>IF(Metamagia!$F$54=1,"Permite la transferencia de Zeón a distancia (Presencia en metros)","")</f>
        <v/>
      </c>
      <c r="T1162" s="21"/>
      <c r="U1162" s="21"/>
      <c r="V1162" s="47"/>
      <c r="W1162" s="36"/>
      <c r="Z1162" s="564" t="str">
        <f t="shared" si="277"/>
        <v>Seiryu, el Dragón Celeste</v>
      </c>
      <c r="AA1162" s="878">
        <f t="shared" si="274"/>
        <v>31</v>
      </c>
      <c r="AB1162" s="1276" t="s">
        <v>745</v>
      </c>
      <c r="AC1162" s="47">
        <v>340</v>
      </c>
      <c r="AD1162" s="135">
        <v>660</v>
      </c>
    </row>
    <row r="1163" spans="1:30" ht="12.75" customHeight="1" x14ac:dyDescent="0.2">
      <c r="A1163" s="227">
        <v>1163</v>
      </c>
      <c r="B1163" s="6238"/>
      <c r="N1163" s="2986"/>
      <c r="P1163" s="269">
        <f t="shared" si="276"/>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4" t="str">
        <f t="shared" si="277"/>
        <v>Seiryu: La furia de la última tormenta</v>
      </c>
      <c r="AA1163" s="878">
        <f t="shared" si="274"/>
        <v>28</v>
      </c>
      <c r="AB1163" s="1276" t="s">
        <v>746</v>
      </c>
      <c r="AC1163" s="47">
        <v>400</v>
      </c>
      <c r="AD1163" s="135">
        <v>880</v>
      </c>
    </row>
    <row r="1164" spans="1:30" ht="12.75" customHeight="1" x14ac:dyDescent="0.2">
      <c r="A1164" s="227">
        <v>1164</v>
      </c>
      <c r="B1164" s="6238"/>
      <c r="N1164" s="2986"/>
      <c r="P1164" s="269">
        <f t="shared" si="276"/>
        <v>0</v>
      </c>
      <c r="Q1164" s="14" t="str">
        <f>IF(Metamagia!$I$44=1,"Doble conjuro innato","")</f>
        <v/>
      </c>
      <c r="R1164" s="21"/>
      <c r="S1164" s="14" t="str">
        <f>IF(Metamagia!$I$44=1,"Permite realizar 2 conjuros innatos distintos por asalto","")</f>
        <v/>
      </c>
      <c r="T1164" s="21"/>
      <c r="U1164" s="21"/>
      <c r="V1164" s="47"/>
      <c r="W1164" s="36"/>
      <c r="Z1164" s="564" t="str">
        <f t="shared" si="277"/>
        <v>Seiryu: Rayo</v>
      </c>
      <c r="AA1164" s="878">
        <f t="shared" si="274"/>
        <v>58</v>
      </c>
      <c r="AB1164" s="1276" t="s">
        <v>747</v>
      </c>
      <c r="AC1164" s="47">
        <v>400</v>
      </c>
      <c r="AD1164" s="135">
        <v>800</v>
      </c>
    </row>
    <row r="1165" spans="1:30" ht="12.75" customHeight="1" x14ac:dyDescent="0.2">
      <c r="A1165" s="227">
        <v>1165</v>
      </c>
      <c r="B1165" s="6238"/>
      <c r="N1165" s="2986"/>
      <c r="P1165" s="269">
        <f t="shared" si="276"/>
        <v>0</v>
      </c>
      <c r="Q1165" s="14" t="str">
        <f>IF(Metamagia!$L$41=1,"Metamagister: Mantenimiento añadido","")</f>
        <v/>
      </c>
      <c r="R1165" s="21"/>
      <c r="S1165" s="14" t="str">
        <f>IF(Metamagia!$L$41=1,"El mantenimiento pasa a ser cada 5 asaltos (cada semana los Diarios)","")</f>
        <v/>
      </c>
      <c r="T1165" s="21"/>
      <c r="U1165" s="21"/>
      <c r="V1165" s="47"/>
      <c r="W1165" s="36"/>
      <c r="Z1165" s="564" t="str">
        <f t="shared" si="277"/>
        <v>Seiryu: Señor del este</v>
      </c>
      <c r="AA1165" s="878">
        <f t="shared" si="274"/>
        <v>59</v>
      </c>
      <c r="AB1165" s="1276" t="s">
        <v>8799</v>
      </c>
      <c r="AC1165" s="47">
        <v>220</v>
      </c>
      <c r="AD1165" s="135">
        <v>300</v>
      </c>
    </row>
    <row r="1166" spans="1:30" ht="12.75" customHeight="1" x14ac:dyDescent="0.2">
      <c r="A1166" s="227">
        <v>1166</v>
      </c>
      <c r="B1166" s="6238"/>
      <c r="N1166" s="2986"/>
      <c r="P1166" s="269">
        <f t="shared" si="276"/>
        <v>0</v>
      </c>
      <c r="Q1166" s="14" t="str">
        <f>IF(Metamagia!$AA$14=1,"Concentración mística","")</f>
        <v/>
      </c>
      <c r="R1166" s="21"/>
      <c r="S1166" s="14" t="str">
        <f>IF(Metamagia!$AA$14=1,"Reduce a la mitad la dificultad de Resistir Dolor al concentrar Zeón","")</f>
        <v/>
      </c>
      <c r="T1166" s="21"/>
      <c r="U1166" s="21"/>
      <c r="V1166" s="47"/>
      <c r="W1166" s="36"/>
      <c r="Z1166" s="564" t="str">
        <f t="shared" si="277"/>
        <v>Seiryu: Tormenta</v>
      </c>
      <c r="AA1166" s="878">
        <f t="shared" si="274"/>
        <v>60</v>
      </c>
      <c r="AB1166" s="1276" t="s">
        <v>748</v>
      </c>
      <c r="AC1166" s="47">
        <v>280</v>
      </c>
      <c r="AD1166" s="135">
        <v>500</v>
      </c>
    </row>
    <row r="1167" spans="1:30" ht="12.75" customHeight="1" x14ac:dyDescent="0.2">
      <c r="A1167" s="227">
        <v>1167</v>
      </c>
      <c r="B1167" s="6238"/>
      <c r="N1167" s="2986"/>
      <c r="P1167" s="269">
        <f t="shared" si="276"/>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84">
        <f>IF(OR(T1167&lt;&gt;"",T1168&lt;&gt;""),IF(T1167=T1168,2,1),0)</f>
        <v>0</v>
      </c>
      <c r="Z1167" s="564" t="str">
        <f t="shared" si="277"/>
        <v>Suzaku, el Fénix</v>
      </c>
      <c r="AA1167" s="878">
        <f t="shared" si="274"/>
        <v>62</v>
      </c>
      <c r="AB1167" s="1276" t="s">
        <v>749</v>
      </c>
      <c r="AC1167" s="47">
        <v>340</v>
      </c>
      <c r="AD1167" s="135">
        <v>660</v>
      </c>
    </row>
    <row r="1168" spans="1:30" ht="12.75" customHeight="1" x14ac:dyDescent="0.2">
      <c r="A1168" s="227">
        <v>1168</v>
      </c>
      <c r="B1168" s="6238"/>
      <c r="N1168" s="2986"/>
      <c r="P1168" s="269">
        <f t="shared" si="276"/>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4" t="str">
        <f t="shared" si="277"/>
        <v>Suzaku: Buena fortuna</v>
      </c>
      <c r="AA1168" s="878">
        <f t="shared" si="274"/>
        <v>61</v>
      </c>
      <c r="AB1168" s="1276" t="s">
        <v>750</v>
      </c>
      <c r="AC1168" s="47">
        <v>400</v>
      </c>
      <c r="AD1168" s="135">
        <v>880</v>
      </c>
    </row>
    <row r="1169" spans="1:30" ht="12.75" customHeight="1" x14ac:dyDescent="0.2">
      <c r="A1169" s="227">
        <v>1169</v>
      </c>
      <c r="B1169" s="6238"/>
      <c r="N1169" s="2986"/>
      <c r="P1169" s="269">
        <f t="shared" si="276"/>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4" t="str">
        <f t="shared" si="277"/>
        <v>Suzaku: Calamidad</v>
      </c>
      <c r="AA1169" s="878">
        <f t="shared" si="274"/>
        <v>5</v>
      </c>
      <c r="AB1169" s="1276" t="s">
        <v>751</v>
      </c>
      <c r="AC1169" s="47">
        <v>400</v>
      </c>
      <c r="AD1169" s="135">
        <v>800</v>
      </c>
    </row>
    <row r="1170" spans="1:30" ht="12.75" customHeight="1" x14ac:dyDescent="0.2">
      <c r="A1170" s="227">
        <v>1170</v>
      </c>
      <c r="B1170" s="6238"/>
      <c r="N1170" s="2986"/>
      <c r="P1170" s="269">
        <f t="shared" si="276"/>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84">
        <f>IF(OR(T1170&lt;&gt;"",T1171&lt;&gt;""),IF(T1170=T1171,2,1),0)</f>
        <v>0</v>
      </c>
      <c r="Z1170" s="564" t="str">
        <f t="shared" si="277"/>
        <v>Suzaku: El elegido del sol</v>
      </c>
      <c r="AA1170" s="878">
        <f t="shared" si="274"/>
        <v>8</v>
      </c>
      <c r="AB1170" s="1276" t="s">
        <v>752</v>
      </c>
      <c r="AC1170" s="47">
        <v>220</v>
      </c>
      <c r="AD1170" s="135">
        <v>300</v>
      </c>
    </row>
    <row r="1171" spans="1:30" ht="12.75" customHeight="1" x14ac:dyDescent="0.2">
      <c r="A1171" s="227">
        <v>1171</v>
      </c>
      <c r="B1171" s="6238"/>
      <c r="N1171" s="2986"/>
      <c r="P1171" s="269">
        <f t="shared" si="276"/>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4" t="str">
        <f t="shared" si="277"/>
        <v>Suzaku: Señor del sur</v>
      </c>
      <c r="AA1171" s="878">
        <f t="shared" si="274"/>
        <v>7</v>
      </c>
      <c r="AB1171" s="1276" t="s">
        <v>753</v>
      </c>
      <c r="AC1171" s="47">
        <v>280</v>
      </c>
      <c r="AD1171" s="135">
        <v>500</v>
      </c>
    </row>
    <row r="1172" spans="1:30" ht="12.75" customHeight="1" x14ac:dyDescent="0.2">
      <c r="A1172" s="227">
        <v>1172</v>
      </c>
      <c r="B1172" s="6238"/>
      <c r="N1172" s="2986"/>
      <c r="P1172" s="269">
        <f t="shared" si="276"/>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4" t="str">
        <f t="shared" si="277"/>
        <v>Tawil At-U'mr, Señor de las Puertas</v>
      </c>
      <c r="AA1172" s="878">
        <f t="shared" si="274"/>
        <v>9</v>
      </c>
      <c r="AB1172" s="1276" t="s">
        <v>754</v>
      </c>
      <c r="AC1172" s="47">
        <v>340</v>
      </c>
      <c r="AD1172" s="135">
        <v>660</v>
      </c>
    </row>
    <row r="1173" spans="1:30" ht="12.75" customHeight="1" x14ac:dyDescent="0.2">
      <c r="A1173" s="227">
        <v>1173</v>
      </c>
      <c r="B1173" s="6238"/>
      <c r="N1173" s="2986"/>
      <c r="P1173" s="269">
        <f t="shared" si="276"/>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4" t="str">
        <f t="shared" si="277"/>
        <v>Tawil At-U'mr: Compresión del tiempo</v>
      </c>
      <c r="AA1173" s="878">
        <f t="shared" si="274"/>
        <v>6</v>
      </c>
      <c r="AB1173" s="1276" t="s">
        <v>755</v>
      </c>
      <c r="AC1173" s="47">
        <v>400</v>
      </c>
      <c r="AD1173" s="135">
        <v>880</v>
      </c>
    </row>
    <row r="1174" spans="1:30" ht="12.75" customHeight="1" x14ac:dyDescent="0.2">
      <c r="A1174" s="227">
        <v>1174</v>
      </c>
      <c r="B1174" s="6238"/>
      <c r="N1174" s="2986"/>
      <c r="P1174" s="269">
        <f t="shared" si="276"/>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4" t="str">
        <f t="shared" ref="Z1174:Z1185" si="278">VLOOKUP(A65,$AA$1110:$AB$1185,2,0)</f>
        <v>Tawil At-U'mr: La puerta</v>
      </c>
      <c r="AA1174" s="878">
        <f t="shared" si="274"/>
        <v>42</v>
      </c>
      <c r="AB1174" s="1276" t="s">
        <v>756</v>
      </c>
      <c r="AC1174" s="47">
        <v>440</v>
      </c>
      <c r="AD1174" s="135">
        <v>800</v>
      </c>
    </row>
    <row r="1175" spans="1:30" ht="12.75" customHeight="1" x14ac:dyDescent="0.2">
      <c r="A1175" s="227">
        <v>1175</v>
      </c>
      <c r="B1175" s="6238"/>
      <c r="N1175" s="2986"/>
      <c r="P1175" s="269">
        <f t="shared" si="276"/>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4" t="str">
        <f t="shared" si="278"/>
        <v>Tawil At-U'mr: Más allá del tiempo y el espacio</v>
      </c>
      <c r="AA1175" s="878">
        <f t="shared" ref="AA1175:AA1185" si="279">COUNTIF($AB$1110:$AB$1185,"&lt;="&amp;AB1175)</f>
        <v>43</v>
      </c>
      <c r="AB1175" s="1276" t="s">
        <v>757</v>
      </c>
      <c r="AC1175" s="47">
        <v>440</v>
      </c>
      <c r="AD1175" s="135">
        <v>1000</v>
      </c>
    </row>
    <row r="1176" spans="1:30" ht="12.75" customHeight="1" x14ac:dyDescent="0.2">
      <c r="A1176" s="227">
        <v>1176</v>
      </c>
      <c r="B1176" s="6238"/>
      <c r="N1176" s="2986"/>
      <c r="P1176" s="269">
        <f t="shared" si="276"/>
        <v>0</v>
      </c>
      <c r="Q1176" s="14" t="str">
        <f>IF(Metamagia!$AD$30=1,"Enlazar conjuros","")</f>
        <v/>
      </c>
      <c r="R1176" s="21"/>
      <c r="S1176" s="14" t="str">
        <f>IF(Metamagia!$AD$30=1,"Permite mezclar dos conjuros en uno solo. Ver","")</f>
        <v/>
      </c>
      <c r="T1176" s="21"/>
      <c r="U1176" s="21"/>
      <c r="V1176" s="47"/>
      <c r="W1176" s="36"/>
      <c r="Z1176" s="564" t="str">
        <f t="shared" si="278"/>
        <v>Thanathos</v>
      </c>
      <c r="AA1176" s="878">
        <f t="shared" si="279"/>
        <v>17</v>
      </c>
      <c r="AB1176" s="1276" t="s">
        <v>758</v>
      </c>
      <c r="AC1176" s="47">
        <v>240</v>
      </c>
      <c r="AD1176" s="135">
        <v>800</v>
      </c>
    </row>
    <row r="1177" spans="1:30" ht="12.75" customHeight="1" x14ac:dyDescent="0.2">
      <c r="A1177" s="227">
        <v>1177</v>
      </c>
      <c r="B1177" s="6238"/>
      <c r="N1177" s="2986"/>
      <c r="P1177" s="269">
        <f t="shared" si="276"/>
        <v>0</v>
      </c>
      <c r="Q1177" s="14" t="str">
        <f>IF(Metamagia!$AA$24=1,"Maximización de conjuros","")</f>
        <v/>
      </c>
      <c r="R1177" s="21"/>
      <c r="S1177" s="14" t="str">
        <f>IF(Metamagia!$AA$24=1,"Se considera que el personaje tiene +1 INT para los Requisitos de conjuro","")</f>
        <v/>
      </c>
      <c r="T1177" s="21"/>
      <c r="U1177" s="21"/>
      <c r="V1177" s="47"/>
      <c r="W1177" s="36"/>
      <c r="Z1177" s="564" t="str">
        <f t="shared" si="278"/>
        <v>Veles, el Poder de la Magia</v>
      </c>
      <c r="AA1177" s="878">
        <f t="shared" si="279"/>
        <v>63</v>
      </c>
      <c r="AB1177" s="1276" t="s">
        <v>759</v>
      </c>
      <c r="AC1177" s="47">
        <v>400</v>
      </c>
      <c r="AD1177" s="135">
        <v>800</v>
      </c>
    </row>
    <row r="1178" spans="1:30" ht="12.75" customHeight="1" x14ac:dyDescent="0.2">
      <c r="A1178" s="227">
        <v>1178</v>
      </c>
      <c r="B1178" s="6238"/>
      <c r="K1178" s="1158"/>
      <c r="L1178" s="1158"/>
      <c r="M1178" s="1158"/>
      <c r="N1178" s="2986"/>
      <c r="P1178" s="269">
        <f t="shared" si="276"/>
        <v>0</v>
      </c>
      <c r="Q1178" s="14" t="str">
        <f>IF(Metamagia!$X$30=1,"Doble conjuro","")</f>
        <v/>
      </c>
      <c r="R1178" s="21"/>
      <c r="S1178" s="14" t="str">
        <f>IF(Metamagia!$X$30=1,"Permite lanzar dos conjuros con la ACT doblada. Ver","")</f>
        <v/>
      </c>
      <c r="T1178" s="21"/>
      <c r="U1178" s="21"/>
      <c r="V1178" s="47"/>
      <c r="W1178" s="36"/>
      <c r="Z1178" s="564" t="str">
        <f t="shared" si="278"/>
        <v>Vilfain</v>
      </c>
      <c r="AA1178" s="878">
        <f t="shared" si="279"/>
        <v>64</v>
      </c>
      <c r="AB1178" s="1276" t="s">
        <v>760</v>
      </c>
      <c r="AC1178" s="47">
        <v>280</v>
      </c>
      <c r="AD1178" s="135">
        <v>500</v>
      </c>
    </row>
    <row r="1179" spans="1:30" ht="12.75" customHeight="1" x14ac:dyDescent="0.2">
      <c r="A1179" s="227">
        <v>1179</v>
      </c>
      <c r="B1179" s="6238"/>
      <c r="K1179" s="1158"/>
      <c r="L1179" s="1158"/>
      <c r="M1179" s="1158"/>
      <c r="N1179" s="2986"/>
      <c r="P1179" s="269">
        <f t="shared" si="276"/>
        <v>0</v>
      </c>
      <c r="Q1179" s="14" t="str">
        <f>IF(Metamagia!$AA$34=1,"Conjuro innato superior","")</f>
        <v/>
      </c>
      <c r="R1179" s="21"/>
      <c r="S1179" s="14" t="str">
        <f>IF(Metamagia!$AA$34=1,"Permite acumular magia mientras se lanzan conjuros innatos","")</f>
        <v/>
      </c>
      <c r="T1179" s="21"/>
      <c r="U1179" s="21"/>
      <c r="V1179" s="47"/>
      <c r="W1179" s="36"/>
      <c r="Z1179" s="564" t="str">
        <f t="shared" si="278"/>
        <v>Vilfain: Norfiav</v>
      </c>
      <c r="AA1179" s="878">
        <f t="shared" si="279"/>
        <v>65</v>
      </c>
      <c r="AB1179" s="1276" t="s">
        <v>761</v>
      </c>
      <c r="AC1179" s="47">
        <v>400</v>
      </c>
      <c r="AD1179" s="135">
        <v>900</v>
      </c>
    </row>
    <row r="1180" spans="1:30" ht="12.75" customHeight="1" thickBot="1" x14ac:dyDescent="0.25">
      <c r="A1180" s="227">
        <v>1180</v>
      </c>
      <c r="B1180" s="6238"/>
      <c r="C1180" s="1158"/>
      <c r="D1180" s="1158"/>
      <c r="E1180" s="1158"/>
      <c r="F1180" s="1158"/>
      <c r="G1180" s="1158"/>
      <c r="H1180"/>
      <c r="I1180" s="369"/>
      <c r="J1180" s="369"/>
      <c r="K1180" s="369"/>
      <c r="L1180" s="368"/>
      <c r="M1180" s="368"/>
      <c r="N1180" s="2986"/>
      <c r="P1180" s="270">
        <f t="shared" si="276"/>
        <v>0</v>
      </c>
      <c r="Q1180" s="19" t="str">
        <f>IF(Metamagia!$X$37=1,"Metamagister: Alta Magia","")</f>
        <v/>
      </c>
      <c r="R1180" s="68"/>
      <c r="S1180" s="19" t="str">
        <f>IF(Metamagia!$X$37=1,"Permite lanzar conjuros de Alta Magia sin Gnosis 25. Ver","")</f>
        <v/>
      </c>
      <c r="T1180" s="68"/>
      <c r="U1180" s="68"/>
      <c r="V1180" s="605"/>
      <c r="W1180" s="69"/>
      <c r="Z1180" s="564" t="str">
        <f t="shared" si="278"/>
        <v>Vilfain: Vaifron</v>
      </c>
      <c r="AA1180" s="878">
        <f t="shared" si="279"/>
        <v>66</v>
      </c>
      <c r="AB1180" s="1276" t="s">
        <v>762</v>
      </c>
      <c r="AC1180" s="47">
        <v>500</v>
      </c>
      <c r="AD1180" s="135">
        <v>1200</v>
      </c>
    </row>
    <row r="1181" spans="1:30" ht="12.75" customHeight="1" x14ac:dyDescent="0.2">
      <c r="A1181" s="227">
        <v>1181</v>
      </c>
      <c r="B1181" s="6238"/>
      <c r="C1181" s="1158"/>
      <c r="D1181" s="1158"/>
      <c r="E1181" s="1158"/>
      <c r="F1181" s="1158"/>
      <c r="G1181" s="1158"/>
      <c r="H1181"/>
      <c r="L1181" s="1159"/>
      <c r="M1181" s="273"/>
      <c r="N1181" s="2986"/>
      <c r="Z1181" s="564" t="str">
        <f t="shared" si="278"/>
        <v>Ziz, Señor de los Cielos</v>
      </c>
      <c r="AA1181" s="878">
        <f t="shared" si="279"/>
        <v>75</v>
      </c>
      <c r="AB1181" s="1276" t="s">
        <v>10109</v>
      </c>
      <c r="AC1181" s="47">
        <v>320</v>
      </c>
      <c r="AD1181" s="135">
        <v>600</v>
      </c>
    </row>
    <row r="1182" spans="1:30" ht="12.75" customHeight="1" x14ac:dyDescent="0.2">
      <c r="A1182" s="227">
        <v>1182</v>
      </c>
      <c r="B1182" s="6238"/>
      <c r="C1182" s="1158"/>
      <c r="D1182" s="1158"/>
      <c r="E1182" s="1158"/>
      <c r="F1182" s="1158"/>
      <c r="G1182" s="1158"/>
      <c r="H1182"/>
      <c r="L1182" s="275"/>
      <c r="M1182" s="273"/>
      <c r="N1182" s="2986"/>
      <c r="Z1182" s="564" t="str">
        <f t="shared" si="278"/>
        <v>Ziz: Comunión con el viento</v>
      </c>
      <c r="AA1182" s="878">
        <f t="shared" si="279"/>
        <v>76</v>
      </c>
      <c r="AB1182" s="1276" t="s">
        <v>10110</v>
      </c>
      <c r="AC1182" s="47">
        <v>300</v>
      </c>
      <c r="AD1182" s="135">
        <v>450</v>
      </c>
    </row>
    <row r="1183" spans="1:30" ht="12.75" customHeight="1" x14ac:dyDescent="0.2">
      <c r="A1183" s="227">
        <v>1183</v>
      </c>
      <c r="B1183" s="6238"/>
      <c r="C1183" s="1158"/>
      <c r="D1183" s="1158"/>
      <c r="E1183" s="1158"/>
      <c r="F1183" s="1158"/>
      <c r="G1183" s="1158"/>
      <c r="H1183"/>
      <c r="L1183" s="275"/>
      <c r="M1183" s="273"/>
      <c r="N1183" s="2986"/>
      <c r="Z1183" s="564" t="str">
        <f t="shared" si="278"/>
        <v>Ziz: Señor del viento</v>
      </c>
      <c r="AA1183" s="878">
        <f t="shared" si="279"/>
        <v>69</v>
      </c>
      <c r="AB1183" s="1276" t="s">
        <v>10111</v>
      </c>
      <c r="AC1183" s="47">
        <v>280</v>
      </c>
      <c r="AD1183" s="135">
        <v>600</v>
      </c>
    </row>
    <row r="1184" spans="1:30" ht="12.75" customHeight="1" x14ac:dyDescent="0.2">
      <c r="A1184" s="227">
        <v>1184</v>
      </c>
      <c r="B1184" s="6238"/>
      <c r="C1184" s="1158"/>
      <c r="D1184" s="1158"/>
      <c r="E1184" s="1158"/>
      <c r="F1184" s="1158"/>
      <c r="G1184" s="1158"/>
      <c r="H1184"/>
      <c r="L1184" s="275"/>
      <c r="M1184" s="273"/>
      <c r="N1184"/>
      <c r="Z1184" s="564" t="str">
        <f t="shared" si="278"/>
        <v>Zvilpogghua</v>
      </c>
      <c r="AA1184" s="878">
        <f t="shared" si="279"/>
        <v>71</v>
      </c>
      <c r="AB1184" s="1276" t="s">
        <v>10112</v>
      </c>
      <c r="AC1184" s="47">
        <v>200</v>
      </c>
      <c r="AD1184" s="135">
        <v>250</v>
      </c>
    </row>
    <row r="1185" spans="1:30" ht="12.75" customHeight="1" x14ac:dyDescent="0.2">
      <c r="A1185" s="227">
        <v>1185</v>
      </c>
      <c r="B1185" s="6238"/>
      <c r="C1185" s="1158"/>
      <c r="D1185" s="1158"/>
      <c r="E1185" s="1158"/>
      <c r="F1185" s="1158"/>
      <c r="G1185" s="1158"/>
      <c r="H1185"/>
      <c r="L1185" s="275"/>
      <c r="M1185" s="273"/>
      <c r="N1185"/>
      <c r="Z1185" s="564" t="str">
        <f t="shared" si="278"/>
        <v>Zvilpogghua: Ossadagowah</v>
      </c>
      <c r="AA1185" s="878">
        <f t="shared" si="279"/>
        <v>70</v>
      </c>
      <c r="AB1185" s="1276" t="s">
        <v>10113</v>
      </c>
      <c r="AC1185" s="47">
        <v>260</v>
      </c>
      <c r="AD1185" s="135">
        <v>500</v>
      </c>
    </row>
    <row r="1186" spans="1:30" ht="12.75" customHeight="1" x14ac:dyDescent="0.2">
      <c r="A1186" s="227">
        <v>1186</v>
      </c>
      <c r="B1186" s="6238"/>
      <c r="C1186" s="1158"/>
      <c r="D1186" s="1158"/>
      <c r="E1186" s="1158"/>
      <c r="F1186" s="1158"/>
      <c r="G1186" s="1158"/>
      <c r="H1186"/>
      <c r="L1186" s="275"/>
      <c r="M1186" s="273"/>
      <c r="N1186"/>
      <c r="Z1186" s="564" t="str">
        <f t="shared" ref="Z1186:Z1231" si="280">VLOOKUP(A1,$AA$1186:$AB$1231,2,0)</f>
        <v>&gt; ENCARNACIONES</v>
      </c>
      <c r="AA1186" s="878">
        <f>COUNTIF($AB$1186:$AB$1231,"&lt;="&amp;AB1186)</f>
        <v>1</v>
      </c>
      <c r="AB1186" s="1276" t="s">
        <v>763</v>
      </c>
      <c r="AC1186" s="47"/>
      <c r="AD1186" s="135"/>
    </row>
    <row r="1187" spans="1:30" ht="12.75" customHeight="1" thickBot="1" x14ac:dyDescent="0.25">
      <c r="A1187" s="227">
        <v>1187</v>
      </c>
      <c r="B1187" s="6238"/>
      <c r="C1187" s="1158"/>
      <c r="D1187" s="1158"/>
      <c r="E1187" s="1158"/>
      <c r="F1187" s="1158"/>
      <c r="G1187" s="1158"/>
      <c r="H1187"/>
      <c r="L1187" s="275"/>
      <c r="M1187" s="273"/>
      <c r="N1187"/>
      <c r="Z1187" s="564" t="str">
        <f t="shared" si="280"/>
        <v>Aeriel, el Caballero de Argenta (Nv 12)</v>
      </c>
      <c r="AA1187" s="878">
        <f>COUNTIF($AB$1186:$AB$1231,"&lt;="&amp;AB1187)</f>
        <v>30</v>
      </c>
      <c r="AB1187" s="1276" t="s">
        <v>764</v>
      </c>
      <c r="AC1187" s="47">
        <v>260</v>
      </c>
      <c r="AD1187" s="135">
        <v>400</v>
      </c>
    </row>
    <row r="1188" spans="1:30" ht="12.75" customHeight="1" thickBot="1" x14ac:dyDescent="0.25">
      <c r="A1188" s="227">
        <v>1188</v>
      </c>
      <c r="B1188" s="6238"/>
      <c r="C1188" s="3639" t="s">
        <v>1785</v>
      </c>
      <c r="D1188" s="3640"/>
      <c r="E1188" s="3640"/>
      <c r="F1188" s="3640"/>
      <c r="G1188" s="3640"/>
      <c r="H1188" s="3640"/>
      <c r="I1188" s="3640"/>
      <c r="J1188" s="3640"/>
      <c r="K1188" s="3640"/>
      <c r="L1188" s="3640"/>
      <c r="M1188" s="3640"/>
      <c r="N1188" s="3641"/>
      <c r="Z1188" s="564" t="str">
        <f t="shared" si="280"/>
        <v>Aeriel, el Caballero de Argenta (Nv 6)</v>
      </c>
      <c r="AA1188" s="878">
        <f t="shared" ref="AA1188:AA1231" si="281">COUNTIF($AB$1186:$AB$1231,"&lt;="&amp;AB1188)</f>
        <v>31</v>
      </c>
      <c r="AB1188" s="1276" t="s">
        <v>765</v>
      </c>
      <c r="AC1188" s="47">
        <v>300</v>
      </c>
      <c r="AD1188" s="135">
        <v>600</v>
      </c>
    </row>
    <row r="1189" spans="1:30" ht="12.75" customHeight="1" thickBot="1" x14ac:dyDescent="0.25">
      <c r="A1189" s="227">
        <v>1189</v>
      </c>
      <c r="B1189" s="6238"/>
      <c r="C1189" s="6172"/>
      <c r="D1189" s="6173"/>
      <c r="E1189" s="6173"/>
      <c r="F1189" s="6173"/>
      <c r="G1189" s="6173"/>
      <c r="H1189" s="6173"/>
      <c r="I1189" s="6173"/>
      <c r="J1189" s="6173"/>
      <c r="K1189" s="6173"/>
      <c r="L1189" s="6173"/>
      <c r="M1189" s="6173"/>
      <c r="N1189" s="6174"/>
      <c r="Z1189" s="564" t="str">
        <f t="shared" si="280"/>
        <v>Aeriel, el Caballero de Argenta (Nv 9)</v>
      </c>
      <c r="AA1189" s="878">
        <f t="shared" si="281"/>
        <v>29</v>
      </c>
      <c r="AB1189" s="1276" t="s">
        <v>766</v>
      </c>
      <c r="AC1189" s="47">
        <v>380</v>
      </c>
      <c r="AD1189" s="135">
        <v>900</v>
      </c>
    </row>
    <row r="1190" spans="1:30" ht="12.75" customHeight="1" x14ac:dyDescent="0.2">
      <c r="A1190" s="227">
        <v>1190</v>
      </c>
      <c r="B1190" s="6238"/>
      <c r="C1190" s="489"/>
      <c r="D1190" s="1021" t="s">
        <v>112</v>
      </c>
      <c r="E1190" s="1027" t="s">
        <v>102</v>
      </c>
      <c r="F1190" s="21"/>
      <c r="G1190" s="21"/>
      <c r="H1190" s="21"/>
      <c r="I1190" s="47"/>
      <c r="J1190" s="21"/>
      <c r="K1190" s="21"/>
      <c r="L1190" s="21"/>
      <c r="M1190" s="21"/>
      <c r="N1190" s="581"/>
      <c r="Z1190" s="564" t="str">
        <f t="shared" si="280"/>
        <v>Ambrose Magus, el Hechicero (Nv 4)</v>
      </c>
      <c r="AA1190" s="878">
        <f t="shared" si="281"/>
        <v>36</v>
      </c>
      <c r="AB1190" s="1276" t="s">
        <v>767</v>
      </c>
      <c r="AC1190" s="47">
        <v>280</v>
      </c>
      <c r="AD1190" s="135">
        <v>350</v>
      </c>
    </row>
    <row r="1191" spans="1:30" ht="12.75" customHeight="1" x14ac:dyDescent="0.2">
      <c r="A1191" s="227">
        <v>1191</v>
      </c>
      <c r="B1191" s="6238"/>
      <c r="C1191" s="489"/>
      <c r="D1191" s="1021" t="s">
        <v>105</v>
      </c>
      <c r="E1191" s="1027" t="s">
        <v>106</v>
      </c>
      <c r="F1191" s="21"/>
      <c r="G1191" s="21"/>
      <c r="H1191" s="21"/>
      <c r="I1191" s="47"/>
      <c r="J1191" s="21"/>
      <c r="K1191" s="21"/>
      <c r="L1191" s="21"/>
      <c r="M1191" s="21"/>
      <c r="N1191" s="581"/>
      <c r="Z1191" s="564" t="str">
        <f t="shared" si="280"/>
        <v>Ambrose Magus, el Hechicero (Nv 6)</v>
      </c>
      <c r="AA1191" s="878">
        <f t="shared" si="281"/>
        <v>37</v>
      </c>
      <c r="AB1191" s="1276" t="s">
        <v>768</v>
      </c>
      <c r="AC1191" s="47">
        <v>340</v>
      </c>
      <c r="AD1191" s="135">
        <v>700</v>
      </c>
    </row>
    <row r="1192" spans="1:30" ht="12.75" customHeight="1" x14ac:dyDescent="0.2">
      <c r="A1192" s="227">
        <v>1192</v>
      </c>
      <c r="B1192" s="6238"/>
      <c r="C1192" s="489"/>
      <c r="D1192" s="1021" t="s">
        <v>108</v>
      </c>
      <c r="E1192" s="1027" t="s">
        <v>102</v>
      </c>
      <c r="F1192" s="21"/>
      <c r="G1192" s="21"/>
      <c r="H1192" s="21"/>
      <c r="I1192" s="47"/>
      <c r="J1192" s="21"/>
      <c r="K1192" s="21"/>
      <c r="L1192" s="21"/>
      <c r="M1192" s="21"/>
      <c r="N1192" s="581"/>
      <c r="Z1192" s="564" t="str">
        <f t="shared" si="280"/>
        <v>Ambrose Magus, el Hechicero (Nv 8)</v>
      </c>
      <c r="AA1192" s="878">
        <f t="shared" si="281"/>
        <v>35</v>
      </c>
      <c r="AB1192" s="1276" t="s">
        <v>769</v>
      </c>
      <c r="AC1192" s="47">
        <v>400</v>
      </c>
      <c r="AD1192" s="135">
        <v>900</v>
      </c>
    </row>
    <row r="1193" spans="1:30" ht="12.75" customHeight="1" x14ac:dyDescent="0.2">
      <c r="A1193" s="227">
        <v>1193</v>
      </c>
      <c r="B1193" s="6238"/>
      <c r="C1193" s="489"/>
      <c r="D1193" s="1021" t="s">
        <v>113</v>
      </c>
      <c r="E1193" s="1027" t="s">
        <v>114</v>
      </c>
      <c r="F1193" s="21"/>
      <c r="G1193" s="21"/>
      <c r="H1193" s="21"/>
      <c r="I1193" s="47"/>
      <c r="J1193" s="21"/>
      <c r="K1193" s="21"/>
      <c r="L1193" s="21"/>
      <c r="M1193" s="21"/>
      <c r="N1193" s="581"/>
      <c r="Z1193" s="564" t="str">
        <f t="shared" si="280"/>
        <v>Anassilish, el Sin Rostro (Nv 2)</v>
      </c>
      <c r="AA1193" s="878">
        <f t="shared" si="281"/>
        <v>14</v>
      </c>
      <c r="AB1193" s="1276" t="s">
        <v>770</v>
      </c>
      <c r="AC1193" s="47">
        <v>220</v>
      </c>
      <c r="AD1193" s="135">
        <v>200</v>
      </c>
    </row>
    <row r="1194" spans="1:30" ht="12.75" customHeight="1" x14ac:dyDescent="0.2">
      <c r="A1194" s="227">
        <v>1194</v>
      </c>
      <c r="B1194" s="6238"/>
      <c r="C1194" s="489"/>
      <c r="D1194" s="1021" t="s">
        <v>116</v>
      </c>
      <c r="E1194" s="1027" t="s">
        <v>117</v>
      </c>
      <c r="F1194" s="21"/>
      <c r="G1194" s="21"/>
      <c r="H1194" s="21"/>
      <c r="I1194" s="47"/>
      <c r="J1194" s="21"/>
      <c r="K1194" s="21"/>
      <c r="L1194" s="21"/>
      <c r="M1194" s="21"/>
      <c r="N1194" s="581"/>
      <c r="Z1194" s="564" t="str">
        <f t="shared" si="280"/>
        <v>Anassilish, el Sin Rostro (Nv 5)</v>
      </c>
      <c r="AA1194" s="878">
        <f t="shared" si="281"/>
        <v>15</v>
      </c>
      <c r="AB1194" s="1276" t="s">
        <v>771</v>
      </c>
      <c r="AC1194" s="47">
        <v>300</v>
      </c>
      <c r="AD1194" s="135">
        <v>480</v>
      </c>
    </row>
    <row r="1195" spans="1:30" ht="12.75" customHeight="1" x14ac:dyDescent="0.2">
      <c r="A1195" s="227">
        <v>1195</v>
      </c>
      <c r="B1195" s="6238"/>
      <c r="C1195" s="489"/>
      <c r="D1195" s="1021" t="s">
        <v>107</v>
      </c>
      <c r="E1195" s="1027" t="s">
        <v>102</v>
      </c>
      <c r="F1195" s="21"/>
      <c r="G1195" s="21"/>
      <c r="H1195" s="21"/>
      <c r="I1195" s="47"/>
      <c r="J1195" s="21"/>
      <c r="K1195" s="21"/>
      <c r="L1195" s="21"/>
      <c r="M1195" s="21"/>
      <c r="N1195" s="581"/>
      <c r="Z1195" s="564" t="str">
        <f t="shared" si="280"/>
        <v>Anassilish, el Sin Rostro (Nv 8)</v>
      </c>
      <c r="AA1195" s="878">
        <f t="shared" si="281"/>
        <v>16</v>
      </c>
      <c r="AB1195" s="1276" t="s">
        <v>772</v>
      </c>
      <c r="AC1195" s="47">
        <v>360</v>
      </c>
      <c r="AD1195" s="135">
        <v>600</v>
      </c>
    </row>
    <row r="1196" spans="1:30" ht="12.75" customHeight="1" x14ac:dyDescent="0.2">
      <c r="A1196" s="227">
        <v>1196</v>
      </c>
      <c r="B1196" s="6238"/>
      <c r="C1196" s="489"/>
      <c r="D1196" s="1021" t="s">
        <v>1699</v>
      </c>
      <c r="E1196" s="1027" t="s">
        <v>102</v>
      </c>
      <c r="F1196" s="21"/>
      <c r="G1196" s="21"/>
      <c r="H1196" s="21"/>
      <c r="I1196" s="47"/>
      <c r="J1196" s="21"/>
      <c r="K1196" s="21"/>
      <c r="L1196" s="21"/>
      <c r="M1196" s="21"/>
      <c r="N1196" s="581"/>
      <c r="Z1196" s="564" t="str">
        <f t="shared" si="280"/>
        <v>Arturia, el León Blanco (Nv 1)</v>
      </c>
      <c r="AA1196" s="878">
        <f t="shared" si="281"/>
        <v>38</v>
      </c>
      <c r="AB1196" s="1276" t="s">
        <v>773</v>
      </c>
      <c r="AC1196" s="47">
        <v>200</v>
      </c>
      <c r="AD1196" s="135">
        <v>150</v>
      </c>
    </row>
    <row r="1197" spans="1:30" ht="12.75" customHeight="1" x14ac:dyDescent="0.2">
      <c r="A1197" s="227">
        <v>1197</v>
      </c>
      <c r="B1197" s="6238"/>
      <c r="C1197" s="489"/>
      <c r="D1197" s="1021" t="s">
        <v>103</v>
      </c>
      <c r="E1197" s="1027" t="s">
        <v>104</v>
      </c>
      <c r="F1197" s="21"/>
      <c r="G1197" s="21"/>
      <c r="H1197" s="21"/>
      <c r="I1197" s="47"/>
      <c r="J1197" s="21"/>
      <c r="K1197" s="21"/>
      <c r="L1197" s="21"/>
      <c r="M1197" s="21"/>
      <c r="N1197" s="581"/>
      <c r="Z1197" s="564" t="str">
        <f t="shared" si="280"/>
        <v>Arturia, el León Blanco (Nv 3)</v>
      </c>
      <c r="AA1197" s="878">
        <f t="shared" si="281"/>
        <v>39</v>
      </c>
      <c r="AB1197" s="1276" t="s">
        <v>774</v>
      </c>
      <c r="AC1197" s="47">
        <v>240</v>
      </c>
      <c r="AD1197" s="135">
        <v>300</v>
      </c>
    </row>
    <row r="1198" spans="1:30" ht="12.75" customHeight="1" x14ac:dyDescent="0.2">
      <c r="A1198" s="227">
        <v>1198</v>
      </c>
      <c r="B1198" s="6238"/>
      <c r="C1198" s="489"/>
      <c r="D1198" s="1021" t="s">
        <v>111</v>
      </c>
      <c r="E1198" s="1027" t="s">
        <v>100</v>
      </c>
      <c r="F1198" s="21"/>
      <c r="G1198" s="21"/>
      <c r="H1198" s="21"/>
      <c r="I1198" s="47"/>
      <c r="J1198" s="21"/>
      <c r="K1198" s="21"/>
      <c r="L1198" s="21"/>
      <c r="M1198" s="21"/>
      <c r="N1198" s="581"/>
      <c r="Z1198" s="564" t="str">
        <f t="shared" si="280"/>
        <v>Arturia, el León Blanco (Nv 6)</v>
      </c>
      <c r="AA1198" s="878">
        <f t="shared" si="281"/>
        <v>40</v>
      </c>
      <c r="AB1198" s="1276" t="s">
        <v>775</v>
      </c>
      <c r="AC1198" s="47">
        <v>260</v>
      </c>
      <c r="AD1198" s="135">
        <v>450</v>
      </c>
    </row>
    <row r="1199" spans="1:30" ht="12.75" customHeight="1" x14ac:dyDescent="0.2">
      <c r="A1199" s="227">
        <v>1199</v>
      </c>
      <c r="B1199" s="6238"/>
      <c r="C1199" s="489"/>
      <c r="D1199" s="1021" t="s">
        <v>109</v>
      </c>
      <c r="E1199" s="1027" t="s">
        <v>110</v>
      </c>
      <c r="F1199" s="21"/>
      <c r="G1199" s="21"/>
      <c r="H1199" s="21"/>
      <c r="I1199" s="47"/>
      <c r="J1199" s="21"/>
      <c r="K1199" s="21"/>
      <c r="L1199" s="21"/>
      <c r="M1199" s="21"/>
      <c r="N1199" s="581"/>
      <c r="Z1199" s="564" t="str">
        <f t="shared" si="280"/>
        <v>Eiko, la princesa Oni (Nv 3)</v>
      </c>
      <c r="AA1199" s="878">
        <f t="shared" si="281"/>
        <v>18</v>
      </c>
      <c r="AB1199" s="1276" t="s">
        <v>776</v>
      </c>
      <c r="AC1199" s="47">
        <v>270</v>
      </c>
      <c r="AD1199" s="135">
        <v>390</v>
      </c>
    </row>
    <row r="1200" spans="1:30" ht="12.75" customHeight="1" x14ac:dyDescent="0.2">
      <c r="A1200" s="227">
        <v>1200</v>
      </c>
      <c r="B1200" s="6238"/>
      <c r="C1200" s="489"/>
      <c r="D1200" s="1021" t="s">
        <v>99</v>
      </c>
      <c r="E1200" s="1027" t="s">
        <v>100</v>
      </c>
      <c r="F1200" s="21"/>
      <c r="G1200" s="21"/>
      <c r="H1200" s="21"/>
      <c r="I1200" s="47"/>
      <c r="J1200" s="21"/>
      <c r="K1200" s="21"/>
      <c r="L1200" s="21"/>
      <c r="M1200" s="21"/>
      <c r="N1200" s="581"/>
      <c r="Z1200" s="564" t="str">
        <f t="shared" si="280"/>
        <v>Eiko, la princesa Oni (Nv 6)</v>
      </c>
      <c r="AA1200" s="878">
        <f t="shared" si="281"/>
        <v>19</v>
      </c>
      <c r="AB1200" s="1276" t="s">
        <v>777</v>
      </c>
      <c r="AC1200" s="47">
        <v>380</v>
      </c>
      <c r="AD1200" s="135">
        <v>750</v>
      </c>
    </row>
    <row r="1201" spans="1:30" ht="12.75" customHeight="1" x14ac:dyDescent="0.2">
      <c r="A1201" s="227">
        <v>1201</v>
      </c>
      <c r="B1201" s="6238"/>
      <c r="C1201" s="489"/>
      <c r="D1201" s="1021" t="s">
        <v>101</v>
      </c>
      <c r="E1201" s="1027" t="s">
        <v>102</v>
      </c>
      <c r="F1201" s="21"/>
      <c r="G1201" s="21"/>
      <c r="H1201" s="21"/>
      <c r="I1201" s="47"/>
      <c r="J1201" s="21"/>
      <c r="K1201" s="21"/>
      <c r="L1201" s="21"/>
      <c r="M1201" s="21"/>
      <c r="N1201" s="581"/>
      <c r="Z1201" s="564" t="str">
        <f t="shared" si="280"/>
        <v>Eiko, la princesa Oni (Nv 9)</v>
      </c>
      <c r="AA1201" s="878">
        <f t="shared" si="281"/>
        <v>17</v>
      </c>
      <c r="AB1201" s="1276" t="s">
        <v>778</v>
      </c>
      <c r="AC1201" s="47">
        <v>490</v>
      </c>
      <c r="AD1201" s="135">
        <v>1400</v>
      </c>
    </row>
    <row r="1202" spans="1:30" ht="12.75" customHeight="1" thickBot="1" x14ac:dyDescent="0.25">
      <c r="A1202" s="227">
        <v>1202</v>
      </c>
      <c r="B1202" s="6238"/>
      <c r="C1202" s="489"/>
      <c r="D1202" s="1021" t="s">
        <v>115</v>
      </c>
      <c r="E1202" s="1027" t="s">
        <v>102</v>
      </c>
      <c r="F1202" s="21"/>
      <c r="G1202" s="21"/>
      <c r="H1202" s="21"/>
      <c r="I1202" s="47"/>
      <c r="J1202" s="21"/>
      <c r="K1202" s="21"/>
      <c r="L1202" s="21"/>
      <c r="M1202" s="21"/>
      <c r="N1202" s="581"/>
      <c r="Z1202" s="564" t="str">
        <f t="shared" si="280"/>
        <v>Gygjur, Asesino de Dragones (Nv 13)</v>
      </c>
      <c r="AA1202" s="878">
        <f t="shared" si="281"/>
        <v>11</v>
      </c>
      <c r="AB1202" s="1276" t="s">
        <v>779</v>
      </c>
      <c r="AC1202" s="47">
        <v>160</v>
      </c>
      <c r="AD1202" s="135">
        <v>180</v>
      </c>
    </row>
    <row r="1203" spans="1:30" ht="12.75" customHeight="1" thickBot="1" x14ac:dyDescent="0.25">
      <c r="A1203" s="227">
        <v>1203</v>
      </c>
      <c r="B1203" s="6238"/>
      <c r="C1203" s="1660"/>
      <c r="D1203" s="1661" t="s">
        <v>8728</v>
      </c>
      <c r="E1203" s="1662"/>
      <c r="F1203" s="1663"/>
      <c r="G1203" s="1662"/>
      <c r="H1203" s="1662"/>
      <c r="I1203" s="1662"/>
      <c r="J1203" s="1662"/>
      <c r="K1203" s="1662"/>
      <c r="L1203" s="1662"/>
      <c r="M1203" s="1662"/>
      <c r="N1203" s="1664"/>
      <c r="Z1203" s="564" t="str">
        <f t="shared" si="280"/>
        <v>Gygjur, Asesino de Dragones (Nv 5)</v>
      </c>
      <c r="AA1203" s="878">
        <f t="shared" si="281"/>
        <v>12</v>
      </c>
      <c r="AB1203" s="1276" t="s">
        <v>780</v>
      </c>
      <c r="AC1203" s="47">
        <v>200</v>
      </c>
      <c r="AD1203" s="135">
        <v>300</v>
      </c>
    </row>
    <row r="1204" spans="1:30" ht="12.75" customHeight="1" x14ac:dyDescent="0.2">
      <c r="A1204" s="227">
        <v>1204</v>
      </c>
      <c r="B1204" s="6238"/>
      <c r="C1204" s="1158"/>
      <c r="D1204" s="1158"/>
      <c r="E1204" s="1158"/>
      <c r="F1204" s="1158"/>
      <c r="G1204" s="1158"/>
      <c r="H1204"/>
      <c r="L1204" s="275"/>
      <c r="M1204" s="273"/>
      <c r="N1204"/>
      <c r="Z1204" s="564" t="str">
        <f t="shared" si="280"/>
        <v>Gygjur, Asesino de Dragones (Nv 9)</v>
      </c>
      <c r="AA1204" s="878">
        <f t="shared" si="281"/>
        <v>13</v>
      </c>
      <c r="AB1204" s="1276" t="s">
        <v>781</v>
      </c>
      <c r="AC1204" s="47">
        <v>280</v>
      </c>
      <c r="AD1204" s="135">
        <v>400</v>
      </c>
    </row>
    <row r="1205" spans="1:30" ht="12.75" customHeight="1" x14ac:dyDescent="0.2">
      <c r="A1205" s="227">
        <v>1205</v>
      </c>
      <c r="B1205" s="6238"/>
      <c r="C1205" s="1158"/>
      <c r="D1205" s="1158"/>
      <c r="E1205" s="1158"/>
      <c r="F1205" s="1158"/>
      <c r="G1205" s="1158"/>
      <c r="H1205"/>
      <c r="L1205" s="275"/>
      <c r="M1205" s="273"/>
      <c r="N1205"/>
      <c r="Z1205" s="564" t="str">
        <f t="shared" si="280"/>
        <v>Holst, Rey de Héroes (Nv 12)</v>
      </c>
      <c r="AA1205" s="878">
        <f t="shared" si="281"/>
        <v>23</v>
      </c>
      <c r="AB1205" s="1276" t="s">
        <v>782</v>
      </c>
      <c r="AC1205" s="47">
        <v>230</v>
      </c>
      <c r="AD1205" s="135">
        <v>200</v>
      </c>
    </row>
    <row r="1206" spans="1:30" ht="12.75" customHeight="1" thickBot="1" x14ac:dyDescent="0.25">
      <c r="A1206" s="227">
        <v>1206</v>
      </c>
      <c r="B1206" s="6238"/>
      <c r="C1206" s="1158"/>
      <c r="D1206" s="1158"/>
      <c r="E1206" s="1158"/>
      <c r="F1206" s="1158"/>
      <c r="G1206" s="1158"/>
      <c r="H1206"/>
      <c r="L1206" s="275"/>
      <c r="M1206" s="273"/>
      <c r="N1206"/>
      <c r="Z1206" s="564" t="str">
        <f t="shared" si="280"/>
        <v>Holst, Rey de Héroes (Nv 15)</v>
      </c>
      <c r="AA1206" s="878">
        <f t="shared" si="281"/>
        <v>24</v>
      </c>
      <c r="AB1206" s="1276" t="s">
        <v>783</v>
      </c>
      <c r="AC1206" s="47">
        <v>280</v>
      </c>
      <c r="AD1206" s="135">
        <v>450</v>
      </c>
    </row>
    <row r="1207" spans="1:30" ht="12.75" customHeight="1" thickBot="1" x14ac:dyDescent="0.25">
      <c r="A1207" s="227">
        <v>1207</v>
      </c>
      <c r="B1207" s="6238"/>
      <c r="C1207" s="6058" t="s">
        <v>30</v>
      </c>
      <c r="D1207" s="6058"/>
      <c r="E1207" s="6058"/>
      <c r="F1207" s="6058"/>
      <c r="G1207" s="6058"/>
      <c r="H1207" s="6058"/>
      <c r="I1207" s="6058"/>
      <c r="J1207" s="6058"/>
      <c r="K1207" s="6058"/>
      <c r="L1207" s="6058"/>
      <c r="M1207" s="6058"/>
      <c r="N1207" s="6058"/>
      <c r="O1207" s="6058"/>
      <c r="P1207" s="6058"/>
      <c r="Q1207" s="6058"/>
      <c r="R1207" s="6058"/>
      <c r="S1207" s="6058"/>
      <c r="T1207" s="6058"/>
      <c r="U1207" s="6058"/>
      <c r="V1207" s="6058"/>
      <c r="W1207" s="6058"/>
      <c r="Z1207" s="564" t="str">
        <f t="shared" si="280"/>
        <v>Holst, Rey de Héroes (Nv 8)</v>
      </c>
      <c r="AA1207" s="878">
        <f t="shared" si="281"/>
        <v>25</v>
      </c>
      <c r="AB1207" s="1276" t="s">
        <v>784</v>
      </c>
      <c r="AC1207" s="47">
        <v>320</v>
      </c>
      <c r="AD1207" s="135">
        <v>550</v>
      </c>
    </row>
    <row r="1208" spans="1:30" ht="12.75" customHeight="1" x14ac:dyDescent="0.2">
      <c r="A1208" s="227">
        <v>1208</v>
      </c>
      <c r="B1208" s="6238"/>
      <c r="C1208" s="6058"/>
      <c r="D1208" s="6058"/>
      <c r="E1208" s="6058"/>
      <c r="F1208" s="6058"/>
      <c r="G1208" s="6058"/>
      <c r="H1208" s="6058"/>
      <c r="I1208" s="6058"/>
      <c r="J1208" s="6058"/>
      <c r="K1208" s="6058"/>
      <c r="L1208" s="6058"/>
      <c r="M1208" s="6058"/>
      <c r="N1208" s="6058"/>
      <c r="O1208" s="6058"/>
      <c r="P1208" s="6058"/>
      <c r="Q1208" s="6058"/>
      <c r="R1208" s="6058"/>
      <c r="S1208" s="6058"/>
      <c r="T1208" s="6058"/>
      <c r="U1208" s="6058"/>
      <c r="V1208" s="6058"/>
      <c r="W1208" s="6058"/>
      <c r="Z1208" s="564" t="str">
        <f t="shared" si="280"/>
        <v>Kha-nefer, el Sacerdote Impío (Nv 3)</v>
      </c>
      <c r="AA1208" s="878">
        <f t="shared" si="281"/>
        <v>8</v>
      </c>
      <c r="AB1208" s="1276" t="s">
        <v>785</v>
      </c>
      <c r="AC1208" s="47">
        <v>180</v>
      </c>
      <c r="AD1208" s="135">
        <v>150</v>
      </c>
    </row>
    <row r="1209" spans="1:30" ht="12.75" customHeight="1" thickBot="1" x14ac:dyDescent="0.25">
      <c r="A1209" s="227">
        <v>1209</v>
      </c>
      <c r="B1209" s="6238"/>
      <c r="C1209" s="6178" t="s">
        <v>31</v>
      </c>
      <c r="D1209" s="6178"/>
      <c r="E1209" s="201" t="s">
        <v>1490</v>
      </c>
      <c r="F1209" s="201" t="s">
        <v>1842</v>
      </c>
      <c r="G1209" s="260" t="s">
        <v>1549</v>
      </c>
      <c r="H1209" s="261" t="s">
        <v>10241</v>
      </c>
      <c r="I1209" s="590"/>
      <c r="J1209" s="6179" t="s">
        <v>1207</v>
      </c>
      <c r="K1209" s="6179"/>
      <c r="L1209" s="6179"/>
      <c r="M1209" s="6179"/>
      <c r="N1209" s="6179"/>
      <c r="O1209" s="6179"/>
      <c r="P1209" s="6179"/>
      <c r="Q1209" s="6179"/>
      <c r="R1209" s="6118" t="s">
        <v>998</v>
      </c>
      <c r="S1209" s="6118"/>
      <c r="T1209" s="6118"/>
      <c r="U1209" s="6118"/>
      <c r="V1209" s="6118"/>
      <c r="W1209" s="6118"/>
      <c r="Z1209" s="564" t="str">
        <f t="shared" si="280"/>
        <v>Kha-nefer, el Sacerdote Impío (Nv 6)</v>
      </c>
      <c r="AA1209" s="878">
        <f t="shared" si="281"/>
        <v>9</v>
      </c>
      <c r="AB1209" s="1276" t="s">
        <v>786</v>
      </c>
      <c r="AC1209" s="47">
        <v>280</v>
      </c>
      <c r="AD1209" s="135">
        <v>400</v>
      </c>
    </row>
    <row r="1210" spans="1:30" ht="12.75" customHeight="1" x14ac:dyDescent="0.2">
      <c r="A1210" s="227">
        <v>1210</v>
      </c>
      <c r="B1210" s="6238"/>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4" t="str">
        <f t="shared" si="280"/>
        <v>Kha-nefer, el Sacerdote Impío (Nv 9)</v>
      </c>
      <c r="AA1210" s="878">
        <f t="shared" si="281"/>
        <v>10</v>
      </c>
      <c r="AB1210" s="1276" t="s">
        <v>787</v>
      </c>
      <c r="AC1210" s="47">
        <v>300</v>
      </c>
      <c r="AD1210" s="135">
        <v>600</v>
      </c>
    </row>
    <row r="1211" spans="1:30" ht="12.75" customHeight="1" x14ac:dyDescent="0.2">
      <c r="A1211" s="227">
        <v>1211</v>
      </c>
      <c r="B1211" s="6238"/>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4" t="str">
        <f t="shared" si="280"/>
        <v>Kristoff, el Rey Pirata (Nv 11)</v>
      </c>
      <c r="AA1211" s="878">
        <f t="shared" si="281"/>
        <v>5</v>
      </c>
      <c r="AB1211" s="1276" t="s">
        <v>788</v>
      </c>
      <c r="AC1211" s="47">
        <v>240</v>
      </c>
      <c r="AD1211" s="135">
        <v>200</v>
      </c>
    </row>
    <row r="1212" spans="1:30" ht="12.75" customHeight="1" x14ac:dyDescent="0.2">
      <c r="A1212" s="227">
        <v>1212</v>
      </c>
      <c r="B1212" s="6238"/>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4" t="str">
        <f t="shared" si="280"/>
        <v>Kristoff, el Rey Pirata (Nv 4)</v>
      </c>
      <c r="AA1212" s="878">
        <f t="shared" si="281"/>
        <v>6</v>
      </c>
      <c r="AB1212" s="1276" t="s">
        <v>789</v>
      </c>
      <c r="AC1212" s="47">
        <v>260</v>
      </c>
      <c r="AD1212" s="135">
        <v>350</v>
      </c>
    </row>
    <row r="1213" spans="1:30" ht="12.75" customHeight="1" x14ac:dyDescent="0.2">
      <c r="A1213" s="227">
        <v>1213</v>
      </c>
      <c r="B1213" s="6238"/>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4" t="str">
        <f t="shared" si="280"/>
        <v>Kristoff, el Rey Pirata (Nv 8)</v>
      </c>
      <c r="AA1213" s="878">
        <f t="shared" si="281"/>
        <v>7</v>
      </c>
      <c r="AB1213" s="1276" t="s">
        <v>790</v>
      </c>
      <c r="AC1213" s="47">
        <v>280</v>
      </c>
      <c r="AD1213" s="135">
        <v>500</v>
      </c>
    </row>
    <row r="1214" spans="1:30" ht="12.75" customHeight="1" x14ac:dyDescent="0.2">
      <c r="A1214" s="227">
        <v>1214</v>
      </c>
      <c r="B1214" s="6238"/>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4" t="str">
        <f t="shared" si="280"/>
        <v>Linx Kazte Hex, la Sombra de la Muerte (Nv 12)</v>
      </c>
      <c r="AA1214" s="878">
        <f t="shared" si="281"/>
        <v>42</v>
      </c>
      <c r="AB1214" s="1276" t="s">
        <v>791</v>
      </c>
      <c r="AC1214" s="47">
        <v>280</v>
      </c>
      <c r="AD1214" s="135">
        <v>450</v>
      </c>
    </row>
    <row r="1215" spans="1:30" ht="12.75" customHeight="1" x14ac:dyDescent="0.2">
      <c r="A1215" s="227">
        <v>1215</v>
      </c>
      <c r="B1215" s="6238"/>
      <c r="C1215" s="35"/>
      <c r="D1215" s="80" t="s">
        <v>2440</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4" t="str">
        <f t="shared" si="280"/>
        <v>Linx Kazte Hex, la Sombra de la Muerte (Nv 4)</v>
      </c>
      <c r="AA1215" s="878">
        <f t="shared" si="281"/>
        <v>43</v>
      </c>
      <c r="AB1215" s="1276" t="s">
        <v>792</v>
      </c>
      <c r="AC1215" s="47">
        <v>360</v>
      </c>
      <c r="AD1215" s="135">
        <v>750</v>
      </c>
    </row>
    <row r="1216" spans="1:30" ht="12.75" customHeight="1" x14ac:dyDescent="0.2">
      <c r="A1216" s="227">
        <v>1216</v>
      </c>
      <c r="B1216" s="6238"/>
      <c r="C1216" s="35"/>
      <c r="D1216" s="80" t="s">
        <v>55</v>
      </c>
      <c r="E1216" s="77">
        <v>30</v>
      </c>
      <c r="F1216" s="77">
        <v>40</v>
      </c>
      <c r="G1216" s="78" t="s">
        <v>56</v>
      </c>
      <c r="H1216" s="14" t="s">
        <v>2440</v>
      </c>
      <c r="I1216" s="47"/>
      <c r="J1216" s="14" t="s">
        <v>57</v>
      </c>
      <c r="K1216" s="21"/>
      <c r="L1216" s="21"/>
      <c r="M1216" s="21"/>
      <c r="N1216" s="21"/>
      <c r="O1216" s="47"/>
      <c r="P1216" s="21"/>
      <c r="Q1216" s="21"/>
      <c r="R1216" s="14" t="s">
        <v>58</v>
      </c>
      <c r="S1216" s="21"/>
      <c r="T1216" s="21"/>
      <c r="U1216" s="21"/>
      <c r="V1216" s="21"/>
      <c r="W1216" s="36"/>
      <c r="Z1216" s="564" t="str">
        <f t="shared" si="280"/>
        <v>Linx Kazte Hex, la Sombra de la Muerte (Nv 8)</v>
      </c>
      <c r="AA1216" s="878">
        <f t="shared" si="281"/>
        <v>41</v>
      </c>
      <c r="AB1216" s="1276" t="s">
        <v>793</v>
      </c>
      <c r="AC1216" s="47">
        <v>460</v>
      </c>
      <c r="AD1216" s="135">
        <v>1000</v>
      </c>
    </row>
    <row r="1217" spans="1:41" ht="12.75" customHeight="1" x14ac:dyDescent="0.2">
      <c r="A1217" s="227">
        <v>1217</v>
      </c>
      <c r="B1217" s="6238"/>
      <c r="C1217" s="35"/>
      <c r="D1217" s="80" t="s">
        <v>59</v>
      </c>
      <c r="E1217" s="77">
        <v>10</v>
      </c>
      <c r="F1217" s="77">
        <v>10</v>
      </c>
      <c r="G1217" s="78" t="s">
        <v>60</v>
      </c>
      <c r="H1217" s="21"/>
      <c r="I1217" s="47"/>
      <c r="J1217" s="21" t="str">
        <f t="shared" ref="J1217:J1223" si="282">""</f>
        <v/>
      </c>
      <c r="K1217" s="21"/>
      <c r="L1217" s="21"/>
      <c r="M1217" s="21"/>
      <c r="N1217" s="21"/>
      <c r="O1217" s="47"/>
      <c r="P1217" s="21"/>
      <c r="Q1217" s="21"/>
      <c r="R1217" s="78" t="s">
        <v>61</v>
      </c>
      <c r="S1217" s="21"/>
      <c r="T1217" s="21"/>
      <c r="U1217" s="21"/>
      <c r="V1217" s="21"/>
      <c r="W1217" s="36"/>
      <c r="Z1217" s="564" t="str">
        <f t="shared" si="280"/>
        <v>Loly Ann (Nv 1)</v>
      </c>
      <c r="AA1217" s="878">
        <f t="shared" si="281"/>
        <v>27</v>
      </c>
      <c r="AB1217" s="1276" t="s">
        <v>794</v>
      </c>
      <c r="AC1217" s="47">
        <v>250</v>
      </c>
      <c r="AD1217" s="135">
        <v>350</v>
      </c>
    </row>
    <row r="1218" spans="1:41" ht="12.75" customHeight="1" x14ac:dyDescent="0.2">
      <c r="A1218" s="227">
        <v>1218</v>
      </c>
      <c r="B1218" s="6238"/>
      <c r="C1218" s="35"/>
      <c r="D1218" s="80" t="s">
        <v>62</v>
      </c>
      <c r="E1218" s="77">
        <v>10</v>
      </c>
      <c r="F1218" s="77">
        <v>10</v>
      </c>
      <c r="G1218" s="78" t="s">
        <v>63</v>
      </c>
      <c r="H1218" s="21"/>
      <c r="I1218" s="47"/>
      <c r="J1218" s="21" t="str">
        <f t="shared" si="282"/>
        <v/>
      </c>
      <c r="K1218" s="21"/>
      <c r="L1218" s="21"/>
      <c r="M1218" s="21"/>
      <c r="N1218" s="21"/>
      <c r="O1218" s="47"/>
      <c r="P1218" s="21"/>
      <c r="Q1218" s="21"/>
      <c r="R1218" s="78" t="s">
        <v>64</v>
      </c>
      <c r="S1218" s="21"/>
      <c r="T1218" s="21"/>
      <c r="U1218" s="21"/>
      <c r="V1218" s="21"/>
      <c r="W1218" s="36"/>
      <c r="Z1218" s="564" t="str">
        <f t="shared" si="280"/>
        <v>Loly Ann (Nv 3)</v>
      </c>
      <c r="AA1218" s="878">
        <f t="shared" si="281"/>
        <v>28</v>
      </c>
      <c r="AB1218" s="1276" t="s">
        <v>795</v>
      </c>
      <c r="AC1218" s="47">
        <v>300</v>
      </c>
      <c r="AD1218" s="135">
        <v>500</v>
      </c>
    </row>
    <row r="1219" spans="1:41" ht="12.75" customHeight="1" x14ac:dyDescent="0.2">
      <c r="A1219" s="227">
        <v>1219</v>
      </c>
      <c r="B1219" s="6238"/>
      <c r="C1219" s="35"/>
      <c r="D1219" s="80" t="s">
        <v>65</v>
      </c>
      <c r="E1219" s="77">
        <v>10</v>
      </c>
      <c r="F1219" s="77">
        <v>10</v>
      </c>
      <c r="G1219" s="78" t="s">
        <v>66</v>
      </c>
      <c r="H1219" s="21"/>
      <c r="I1219" s="47"/>
      <c r="J1219" s="21" t="str">
        <f t="shared" si="282"/>
        <v/>
      </c>
      <c r="K1219" s="21"/>
      <c r="L1219" s="21"/>
      <c r="M1219" s="21"/>
      <c r="N1219" s="21"/>
      <c r="O1219" s="47"/>
      <c r="P1219" s="21"/>
      <c r="Q1219" s="21"/>
      <c r="R1219" s="78" t="s">
        <v>67</v>
      </c>
      <c r="S1219" s="21"/>
      <c r="T1219" s="21"/>
      <c r="U1219" s="21"/>
      <c r="V1219" s="21"/>
      <c r="W1219" s="36"/>
      <c r="Z1219" s="564" t="str">
        <f t="shared" si="280"/>
        <v>Loly Ann (Nv 5)</v>
      </c>
      <c r="AA1219" s="878">
        <f t="shared" si="281"/>
        <v>26</v>
      </c>
      <c r="AB1219" s="1276" t="s">
        <v>796</v>
      </c>
      <c r="AC1219" s="47">
        <v>380</v>
      </c>
      <c r="AD1219" s="135">
        <v>800</v>
      </c>
    </row>
    <row r="1220" spans="1:41" ht="12.75" customHeight="1" x14ac:dyDescent="0.2">
      <c r="A1220" s="227">
        <v>1220</v>
      </c>
      <c r="B1220" s="6238"/>
      <c r="C1220" s="35"/>
      <c r="D1220" s="80" t="s">
        <v>68</v>
      </c>
      <c r="E1220" s="77">
        <v>10</v>
      </c>
      <c r="F1220" s="77">
        <v>10</v>
      </c>
      <c r="G1220" s="78" t="s">
        <v>69</v>
      </c>
      <c r="H1220" s="21"/>
      <c r="I1220" s="47"/>
      <c r="J1220" s="21" t="str">
        <f t="shared" si="282"/>
        <v/>
      </c>
      <c r="K1220" s="21"/>
      <c r="L1220" s="21"/>
      <c r="M1220" s="21"/>
      <c r="N1220" s="21"/>
      <c r="O1220" s="47"/>
      <c r="P1220" s="21"/>
      <c r="Q1220" s="21"/>
      <c r="R1220" s="78" t="s">
        <v>70</v>
      </c>
      <c r="S1220" s="21"/>
      <c r="T1220" s="21"/>
      <c r="U1220" s="21"/>
      <c r="V1220" s="21"/>
      <c r="W1220" s="36"/>
      <c r="Z1220" s="564" t="str">
        <f t="shared" si="280"/>
        <v>Nerval, Defensor de los Perdidos (Nv 11)</v>
      </c>
      <c r="AA1220" s="878">
        <f t="shared" si="281"/>
        <v>32</v>
      </c>
      <c r="AB1220" s="1276" t="s">
        <v>797</v>
      </c>
      <c r="AC1220" s="47">
        <v>180</v>
      </c>
      <c r="AD1220" s="135">
        <v>150</v>
      </c>
    </row>
    <row r="1221" spans="1:41" ht="12.75" customHeight="1" x14ac:dyDescent="0.2">
      <c r="A1221" s="227">
        <v>1221</v>
      </c>
      <c r="B1221" s="6238"/>
      <c r="C1221" s="35"/>
      <c r="D1221" s="80" t="s">
        <v>71</v>
      </c>
      <c r="E1221" s="77">
        <v>10</v>
      </c>
      <c r="F1221" s="77">
        <v>10</v>
      </c>
      <c r="G1221" s="78" t="s">
        <v>72</v>
      </c>
      <c r="H1221" s="21"/>
      <c r="I1221" s="47"/>
      <c r="J1221" s="21" t="str">
        <f t="shared" si="282"/>
        <v/>
      </c>
      <c r="K1221" s="21"/>
      <c r="L1221" s="21"/>
      <c r="M1221" s="21"/>
      <c r="N1221" s="21"/>
      <c r="O1221" s="47"/>
      <c r="P1221" s="21"/>
      <c r="Q1221" s="21"/>
      <c r="R1221" s="78" t="s">
        <v>73</v>
      </c>
      <c r="S1221" s="21"/>
      <c r="T1221" s="21"/>
      <c r="U1221" s="21"/>
      <c r="V1221" s="21"/>
      <c r="W1221" s="36"/>
      <c r="Z1221" s="564" t="str">
        <f t="shared" si="280"/>
        <v>Nerval, Defensor de los Perdidos (Nv 4)</v>
      </c>
      <c r="AA1221" s="878">
        <f t="shared" si="281"/>
        <v>33</v>
      </c>
      <c r="AB1221" s="1276" t="s">
        <v>798</v>
      </c>
      <c r="AC1221" s="47">
        <v>220</v>
      </c>
      <c r="AD1221" s="135">
        <v>250</v>
      </c>
    </row>
    <row r="1222" spans="1:41" ht="12.75" customHeight="1" x14ac:dyDescent="0.2">
      <c r="A1222" s="227">
        <v>1222</v>
      </c>
      <c r="B1222" s="6238"/>
      <c r="C1222" s="35"/>
      <c r="D1222" s="80" t="s">
        <v>74</v>
      </c>
      <c r="E1222" s="77">
        <v>10</v>
      </c>
      <c r="F1222" s="77">
        <v>10</v>
      </c>
      <c r="G1222" s="78" t="s">
        <v>75</v>
      </c>
      <c r="H1222" s="21"/>
      <c r="I1222" s="47"/>
      <c r="J1222" s="21" t="str">
        <f t="shared" si="282"/>
        <v/>
      </c>
      <c r="K1222" s="21"/>
      <c r="L1222" s="21"/>
      <c r="M1222" s="21"/>
      <c r="N1222" s="21"/>
      <c r="O1222" s="47"/>
      <c r="P1222" s="21"/>
      <c r="Q1222" s="21"/>
      <c r="R1222" s="78" t="s">
        <v>76</v>
      </c>
      <c r="S1222" s="21"/>
      <c r="T1222" s="21"/>
      <c r="U1222" s="21"/>
      <c r="V1222" s="21"/>
      <c r="W1222" s="36"/>
      <c r="Z1222" s="564" t="str">
        <f t="shared" si="280"/>
        <v>Nerval, Defensor de los Perdidos (Nv 7)</v>
      </c>
      <c r="AA1222" s="878">
        <f t="shared" si="281"/>
        <v>34</v>
      </c>
      <c r="AB1222" s="1276" t="s">
        <v>799</v>
      </c>
      <c r="AC1222" s="47">
        <v>280</v>
      </c>
      <c r="AD1222" s="135">
        <v>400</v>
      </c>
    </row>
    <row r="1223" spans="1:41" ht="12.75" customHeight="1" x14ac:dyDescent="0.2">
      <c r="A1223" s="227">
        <v>1223</v>
      </c>
      <c r="B1223" s="6238"/>
      <c r="C1223" s="35"/>
      <c r="D1223" s="80" t="s">
        <v>77</v>
      </c>
      <c r="E1223" s="77">
        <v>10</v>
      </c>
      <c r="F1223" s="77">
        <v>10</v>
      </c>
      <c r="G1223" s="78" t="s">
        <v>78</v>
      </c>
      <c r="H1223" s="21"/>
      <c r="I1223" s="47"/>
      <c r="J1223" s="21" t="str">
        <f t="shared" si="282"/>
        <v/>
      </c>
      <c r="K1223" s="21"/>
      <c r="L1223" s="21"/>
      <c r="M1223" s="21"/>
      <c r="N1223" s="21"/>
      <c r="O1223" s="47"/>
      <c r="P1223" s="21"/>
      <c r="Q1223" s="21"/>
      <c r="R1223" s="78" t="s">
        <v>79</v>
      </c>
      <c r="S1223" s="21"/>
      <c r="T1223" s="21"/>
      <c r="U1223" s="21"/>
      <c r="V1223" s="21"/>
      <c r="W1223" s="36"/>
      <c r="Z1223" s="564" t="str">
        <f t="shared" si="280"/>
        <v>Quezcatli, Hijo del Sol (Nv 2)</v>
      </c>
      <c r="AA1223" s="878">
        <f t="shared" si="281"/>
        <v>3</v>
      </c>
      <c r="AB1223" s="1276" t="s">
        <v>800</v>
      </c>
      <c r="AC1223" s="47">
        <v>290</v>
      </c>
      <c r="AD1223" s="135">
        <v>450</v>
      </c>
    </row>
    <row r="1224" spans="1:41" ht="12.75" customHeight="1" x14ac:dyDescent="0.2">
      <c r="A1224" s="227">
        <v>1224</v>
      </c>
      <c r="B1224" s="6238"/>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4" t="str">
        <f t="shared" si="280"/>
        <v>Quezcatli, Hijo del Sol (Nv 4)</v>
      </c>
      <c r="AA1224" s="878">
        <f t="shared" si="281"/>
        <v>4</v>
      </c>
      <c r="AB1224" s="1276" t="s">
        <v>801</v>
      </c>
      <c r="AC1224" s="47">
        <v>380</v>
      </c>
      <c r="AD1224" s="135">
        <v>750</v>
      </c>
    </row>
    <row r="1225" spans="1:41" ht="12.75" customHeight="1" thickBot="1" x14ac:dyDescent="0.25">
      <c r="A1225" s="227">
        <v>1225</v>
      </c>
      <c r="B1225" s="6238"/>
      <c r="C1225" s="67"/>
      <c r="D1225" s="247" t="str">
        <f>IF(Personalización!W70=0,"Patrón mental #2",Personalización!W70)</f>
        <v>Patrón mental #2</v>
      </c>
      <c r="E1225" s="197">
        <f>Personalización!AB70</f>
        <v>0</v>
      </c>
      <c r="F1225" s="197">
        <f>Personalización!AC70</f>
        <v>0</v>
      </c>
      <c r="G1225" s="240">
        <f>Personalización!AD70</f>
        <v>0</v>
      </c>
      <c r="H1225" s="68"/>
      <c r="I1225" s="605"/>
      <c r="J1225" s="19">
        <f>Personalización!Y72</f>
        <v>0</v>
      </c>
      <c r="K1225" s="68"/>
      <c r="L1225" s="68"/>
      <c r="M1225" s="68"/>
      <c r="N1225" s="68"/>
      <c r="O1225" s="605"/>
      <c r="P1225" s="68"/>
      <c r="Q1225" s="68"/>
      <c r="R1225" s="240">
        <f>Personalización!Y71</f>
        <v>0</v>
      </c>
      <c r="S1225" s="68"/>
      <c r="T1225" s="68"/>
      <c r="U1225" s="68"/>
      <c r="V1225" s="68"/>
      <c r="W1225" s="69"/>
      <c r="Z1225" s="564" t="str">
        <f t="shared" si="280"/>
        <v>Quezcatli, Hijo del Sol (Nv 6)</v>
      </c>
      <c r="AA1225" s="878">
        <f t="shared" si="281"/>
        <v>2</v>
      </c>
      <c r="AB1225" s="1276" t="s">
        <v>802</v>
      </c>
      <c r="AC1225" s="47">
        <v>460</v>
      </c>
      <c r="AD1225" s="135">
        <v>1250</v>
      </c>
    </row>
    <row r="1226" spans="1:41" ht="12.75" customHeight="1" x14ac:dyDescent="0.2">
      <c r="A1226" s="227">
        <v>1226</v>
      </c>
      <c r="B1226" s="6238"/>
      <c r="C1226" s="1158"/>
      <c r="D1226" s="1158"/>
      <c r="E1226" s="1158"/>
      <c r="F1226" s="1158"/>
      <c r="G1226" s="1158"/>
      <c r="H1226"/>
      <c r="L1226" s="275"/>
      <c r="M1226" s="273"/>
      <c r="N1226"/>
      <c r="Z1226" s="564" t="str">
        <f t="shared" si="280"/>
        <v>Ruatha Synn (Nv 12)</v>
      </c>
      <c r="AA1226" s="878">
        <f t="shared" si="281"/>
        <v>45</v>
      </c>
      <c r="AB1226" s="1276" t="s">
        <v>803</v>
      </c>
      <c r="AC1226" s="47">
        <v>260</v>
      </c>
      <c r="AD1226" s="135">
        <v>400</v>
      </c>
    </row>
    <row r="1227" spans="1:41" ht="12.75" customHeight="1" x14ac:dyDescent="0.2">
      <c r="A1227" s="227">
        <v>1227</v>
      </c>
      <c r="B1227" s="6238"/>
      <c r="C1227" s="1158"/>
      <c r="D1227" s="1158"/>
      <c r="E1227" s="1158"/>
      <c r="F1227" s="1158"/>
      <c r="G1227" s="1158"/>
      <c r="H1227"/>
      <c r="L1227" s="275"/>
      <c r="M1227" s="273"/>
      <c r="N1227"/>
      <c r="Y1227" s="2664"/>
      <c r="Z1227" s="564" t="str">
        <f t="shared" si="280"/>
        <v>Ruatha Synn (Nv 4)</v>
      </c>
      <c r="AA1227" s="878">
        <f t="shared" si="281"/>
        <v>46</v>
      </c>
      <c r="AB1227" s="1276" t="s">
        <v>804</v>
      </c>
      <c r="AC1227" s="47">
        <v>300</v>
      </c>
      <c r="AD1227" s="135">
        <v>600</v>
      </c>
      <c r="AE1227" s="2664"/>
      <c r="AF1227" s="2664"/>
      <c r="AG1227" s="2664"/>
      <c r="AH1227" s="2664"/>
      <c r="AI1227" s="2664"/>
      <c r="AJ1227" s="2664"/>
      <c r="AK1227" s="2664"/>
      <c r="AL1227" s="2664"/>
      <c r="AM1227" s="2664"/>
      <c r="AN1227" s="2664"/>
      <c r="AO1227" s="2664"/>
    </row>
    <row r="1228" spans="1:41" ht="12.75" customHeight="1" x14ac:dyDescent="0.2">
      <c r="A1228" s="227">
        <v>1228</v>
      </c>
      <c r="B1228" s="6238"/>
      <c r="C1228" s="1158"/>
      <c r="D1228" s="1158"/>
      <c r="E1228" s="1158"/>
      <c r="F1228" s="1158"/>
      <c r="G1228" s="1158"/>
      <c r="H1228"/>
      <c r="L1228" s="275"/>
      <c r="M1228" s="273"/>
      <c r="N1228"/>
      <c r="Y1228" s="2664"/>
      <c r="Z1228" s="564" t="str">
        <f t="shared" si="280"/>
        <v>Ruatha Synn (Nv 8)</v>
      </c>
      <c r="AA1228" s="878">
        <f t="shared" si="281"/>
        <v>44</v>
      </c>
      <c r="AB1228" s="1276" t="s">
        <v>805</v>
      </c>
      <c r="AC1228" s="47">
        <v>500</v>
      </c>
      <c r="AD1228" s="135">
        <v>1200</v>
      </c>
      <c r="AE1228" s="2664"/>
      <c r="AF1228" s="2664"/>
      <c r="AG1228" s="2664"/>
      <c r="AH1228" s="2664"/>
      <c r="AI1228" s="2664"/>
      <c r="AJ1228" s="2664"/>
      <c r="AK1228" s="2664"/>
      <c r="AL1228" s="2664"/>
      <c r="AM1228" s="2664"/>
      <c r="AN1228" s="2664"/>
      <c r="AO1228" s="2664"/>
    </row>
    <row r="1229" spans="1:41" ht="12.75" customHeight="1" x14ac:dyDescent="0.2">
      <c r="A1229" s="227">
        <v>1229</v>
      </c>
      <c r="B1229" s="6238"/>
      <c r="C1229" s="1158"/>
      <c r="D1229" s="1158"/>
      <c r="E1229" s="1158"/>
      <c r="F1229" s="1158"/>
      <c r="G1229" s="1158"/>
      <c r="H1229"/>
      <c r="L1229" s="275"/>
      <c r="M1229" s="273"/>
      <c r="N1229"/>
      <c r="Y1229" s="2664"/>
      <c r="Z1229" s="564" t="str">
        <f t="shared" si="280"/>
        <v>Wang Shou Bo (Nv 13)</v>
      </c>
      <c r="AA1229" s="878">
        <f t="shared" si="281"/>
        <v>22</v>
      </c>
      <c r="AB1229" s="1276" t="s">
        <v>806</v>
      </c>
      <c r="AC1229" s="47">
        <v>360</v>
      </c>
      <c r="AD1229" s="135">
        <v>750</v>
      </c>
      <c r="AE1229" s="2664"/>
      <c r="AF1229" s="2664"/>
      <c r="AG1229" s="2664"/>
      <c r="AH1229" s="2664"/>
      <c r="AI1229" s="2664"/>
      <c r="AJ1229" s="2664"/>
      <c r="AK1229" s="2664"/>
      <c r="AL1229" s="2664"/>
      <c r="AM1229" s="2664"/>
      <c r="AN1229" s="2664"/>
      <c r="AO1229" s="2664"/>
    </row>
    <row r="1230" spans="1:41" ht="12.75" customHeight="1" x14ac:dyDescent="0.2">
      <c r="A1230" s="227">
        <v>1230</v>
      </c>
      <c r="B1230" s="6238"/>
      <c r="C1230" s="1158"/>
      <c r="D1230" s="1158"/>
      <c r="E1230" s="1158"/>
      <c r="F1230" s="1158"/>
      <c r="G1230" s="1158"/>
      <c r="H1230"/>
      <c r="L1230" s="275"/>
      <c r="M1230" s="273"/>
      <c r="N1230"/>
      <c r="Y1230" s="2664"/>
      <c r="Z1230" s="564" t="str">
        <f t="shared" si="280"/>
        <v>Wang Shou Bo (Nv 5)</v>
      </c>
      <c r="AA1230" s="878">
        <f t="shared" si="281"/>
        <v>20</v>
      </c>
      <c r="AB1230" s="1276" t="s">
        <v>807</v>
      </c>
      <c r="AC1230" s="47">
        <v>440</v>
      </c>
      <c r="AD1230" s="135">
        <v>1200</v>
      </c>
      <c r="AE1230" s="2664"/>
      <c r="AF1230" s="2664"/>
      <c r="AG1230" s="2664"/>
      <c r="AH1230" s="2664"/>
      <c r="AI1230" s="2664"/>
      <c r="AJ1230" s="2664"/>
      <c r="AK1230" s="2664"/>
      <c r="AL1230" s="2664"/>
      <c r="AM1230" s="2664"/>
      <c r="AN1230" s="2664"/>
      <c r="AO1230" s="2664"/>
    </row>
    <row r="1231" spans="1:41" ht="12.75" customHeight="1" x14ac:dyDescent="0.2">
      <c r="A1231" s="227">
        <v>1231</v>
      </c>
      <c r="B1231" s="6238"/>
      <c r="C1231" s="1158"/>
      <c r="D1231" s="1158"/>
      <c r="E1231" s="1158"/>
      <c r="F1231" s="1158"/>
      <c r="G1231" s="1158"/>
      <c r="H1231"/>
      <c r="L1231" s="275"/>
      <c r="M1231" s="273"/>
      <c r="N1231"/>
      <c r="Y1231" s="2664"/>
      <c r="Z1231" s="564" t="str">
        <f t="shared" si="280"/>
        <v>Wang Shou Bo (Nv 9)</v>
      </c>
      <c r="AA1231" s="878">
        <f t="shared" si="281"/>
        <v>21</v>
      </c>
      <c r="AB1231" s="1276" t="s">
        <v>808</v>
      </c>
      <c r="AC1231" s="47">
        <v>520</v>
      </c>
      <c r="AD1231" s="135">
        <v>1500</v>
      </c>
      <c r="AE1231" s="2664"/>
      <c r="AF1231" s="2664"/>
      <c r="AG1231" s="2664"/>
      <c r="AH1231" s="2664"/>
      <c r="AI1231" s="2664"/>
      <c r="AJ1231" s="2664"/>
      <c r="AK1231" s="2664"/>
      <c r="AL1231" s="2664"/>
      <c r="AM1231" s="2664"/>
      <c r="AN1231" s="2664"/>
      <c r="AO1231" s="2664"/>
    </row>
    <row r="1232" spans="1:41" ht="12.75" customHeight="1" x14ac:dyDescent="0.2">
      <c r="A1232" s="227">
        <v>1232</v>
      </c>
      <c r="B1232" s="6238"/>
      <c r="C1232" s="1158"/>
      <c r="D1232" s="1158"/>
      <c r="E1232" s="1158"/>
      <c r="F1232" s="1158"/>
      <c r="G1232" s="1158"/>
      <c r="H1232"/>
      <c r="L1232" s="275"/>
      <c r="M1232" s="273"/>
      <c r="N1232"/>
      <c r="Z1232" s="564" t="str">
        <f>AB1232</f>
        <v>&gt; INVOCACIONES PERSONALIZADAS</v>
      </c>
      <c r="AA1232" s="878"/>
      <c r="AB1232" s="1276" t="s">
        <v>809</v>
      </c>
      <c r="AC1232" s="47"/>
      <c r="AD1232" s="135"/>
    </row>
    <row r="1233" spans="1:80" ht="12.75" customHeight="1" x14ac:dyDescent="0.2">
      <c r="A1233" s="227">
        <v>1233</v>
      </c>
      <c r="B1233" s="6238"/>
      <c r="C1233" s="1158"/>
      <c r="D1233" s="1158"/>
      <c r="E1233" s="1158"/>
      <c r="F1233" s="1158"/>
      <c r="G1233" s="1158"/>
      <c r="H1233"/>
      <c r="L1233" s="275"/>
      <c r="M1233" s="273"/>
      <c r="N1233"/>
      <c r="Z1233" s="564" t="str">
        <f t="shared" ref="Z1233:Z1238" si="283">AB1233</f>
        <v>Invocación personalizada #1</v>
      </c>
      <c r="AA1233" s="878"/>
      <c r="AB1233" s="1276"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238"/>
      <c r="C1234" s="1158"/>
      <c r="D1234" s="1158"/>
      <c r="E1234" s="1158"/>
      <c r="F1234" s="1158"/>
      <c r="G1234" s="1158"/>
      <c r="H1234"/>
      <c r="L1234" s="275"/>
      <c r="M1234" s="273"/>
      <c r="N1234"/>
      <c r="Z1234" s="564" t="str">
        <f t="shared" si="283"/>
        <v>Invocación personalizada #2</v>
      </c>
      <c r="AA1234" s="878"/>
      <c r="AB1234" s="1276"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238"/>
      <c r="C1235" s="1158"/>
      <c r="D1235" s="1158"/>
      <c r="E1235" s="1158"/>
      <c r="F1235" s="1158"/>
      <c r="G1235" s="1158"/>
      <c r="H1235"/>
      <c r="L1235" s="275"/>
      <c r="M1235" s="273"/>
      <c r="N1235"/>
      <c r="Z1235" s="564" t="str">
        <f t="shared" si="283"/>
        <v>Invocación personalizada #3</v>
      </c>
      <c r="AA1235" s="878"/>
      <c r="AB1235" s="1276"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238"/>
      <c r="C1236" s="1158"/>
      <c r="D1236" s="1158"/>
      <c r="E1236" s="1158"/>
      <c r="F1236" s="1158"/>
      <c r="G1236" s="1158"/>
      <c r="H1236"/>
      <c r="L1236" s="275"/>
      <c r="M1236" s="273"/>
      <c r="N1236"/>
      <c r="Z1236" s="564" t="str">
        <f t="shared" si="283"/>
        <v>Invocación personalizada #4</v>
      </c>
      <c r="AA1236" s="878"/>
      <c r="AB1236" s="1276"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238"/>
      <c r="C1237" s="1158"/>
      <c r="D1237" s="1158"/>
      <c r="E1237" s="1158"/>
      <c r="F1237" s="1158"/>
      <c r="G1237" s="1158"/>
      <c r="H1237"/>
      <c r="L1237" s="275"/>
      <c r="M1237" s="273"/>
      <c r="N1237"/>
      <c r="Z1237" s="564" t="str">
        <f t="shared" si="283"/>
        <v>Invocación personalizada #5</v>
      </c>
      <c r="AA1237" s="878"/>
      <c r="AB1237" s="1276"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238"/>
      <c r="C1238" s="1158"/>
      <c r="D1238" s="1158"/>
      <c r="E1238" s="1158"/>
      <c r="F1238" s="1158"/>
      <c r="G1238" s="1158"/>
      <c r="H1238"/>
      <c r="L1238" s="275"/>
      <c r="M1238" s="273"/>
      <c r="N1238"/>
      <c r="Z1238" s="564" t="str">
        <f t="shared" si="283"/>
        <v>Invocación personalizada #6</v>
      </c>
      <c r="AA1238" s="878"/>
      <c r="AB1238" s="1276"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238"/>
      <c r="C1239" s="1158"/>
      <c r="D1239" s="1158"/>
      <c r="E1239" s="1158"/>
      <c r="F1239" s="1158"/>
      <c r="G1239" s="1158"/>
      <c r="H1239"/>
      <c r="L1239" s="275"/>
      <c r="M1239" s="273"/>
      <c r="N1239"/>
      <c r="Z1239" s="229" t="str">
        <f>AB1239</f>
        <v>Invocación personalizada #7</v>
      </c>
      <c r="AA1239" s="605"/>
      <c r="AB1239" s="1277" t="str">
        <f>IF(Personalización!V61=0,"Invocación personalizada #7",Personalización!V61)</f>
        <v>Invocación personalizada #7</v>
      </c>
      <c r="AC1239" s="605">
        <f>Personalización!AB61</f>
        <v>0</v>
      </c>
      <c r="AD1239" s="610">
        <f>Personalización!AC61</f>
        <v>0</v>
      </c>
    </row>
    <row r="1240" spans="1:80" ht="12.75" customHeight="1" x14ac:dyDescent="0.2">
      <c r="A1240" s="227">
        <v>1240</v>
      </c>
      <c r="B1240" s="6238"/>
      <c r="C1240" s="1158"/>
      <c r="D1240" s="1158"/>
      <c r="E1240" s="1158"/>
      <c r="F1240" s="1158"/>
      <c r="G1240" s="1158"/>
      <c r="H1240"/>
      <c r="L1240" s="275"/>
      <c r="M1240" s="273"/>
      <c r="N1240"/>
    </row>
    <row r="1241" spans="1:80" ht="12.75" customHeight="1" x14ac:dyDescent="0.2">
      <c r="A1241" s="227">
        <v>1241</v>
      </c>
      <c r="B1241" s="5988"/>
      <c r="C1241" s="6003" t="s">
        <v>7315</v>
      </c>
      <c r="D1241" s="6003"/>
      <c r="E1241" s="6003"/>
      <c r="F1241" s="6003"/>
      <c r="G1241" s="6003"/>
      <c r="H1241" s="6003"/>
      <c r="I1241" s="6003"/>
      <c r="J1241" s="6003"/>
      <c r="K1241" s="6003"/>
      <c r="L1241" s="6003"/>
      <c r="M1241" s="6003"/>
      <c r="N1241" s="6003"/>
      <c r="O1241" s="6003"/>
      <c r="P1241" s="6003"/>
      <c r="Q1241" s="6003"/>
      <c r="R1241" s="6003"/>
      <c r="S1241" s="6003"/>
      <c r="T1241" s="6003"/>
      <c r="U1241" s="6003"/>
      <c r="V1241" s="6003"/>
      <c r="W1241" s="6003"/>
      <c r="X1241" s="6003"/>
      <c r="Y1241" s="6003"/>
      <c r="Z1241" s="6003"/>
      <c r="AA1241" s="6003"/>
      <c r="AB1241" s="6003"/>
      <c r="AC1241" s="6003"/>
      <c r="AD1241" s="6003"/>
      <c r="AE1241" s="6003"/>
      <c r="AF1241" s="6003"/>
      <c r="AG1241" s="6003"/>
      <c r="AH1241" s="6003"/>
      <c r="AI1241" s="6003"/>
      <c r="AJ1241" s="6003"/>
      <c r="AK1241" s="6003"/>
      <c r="AL1241" s="6003"/>
      <c r="AM1241" s="6003"/>
      <c r="AN1241" s="6003"/>
      <c r="AO1241" s="6003"/>
      <c r="AP1241" s="6003"/>
      <c r="AQ1241" s="6003"/>
      <c r="AR1241" s="6003"/>
      <c r="AS1241" s="6003"/>
      <c r="AT1241" s="6003"/>
      <c r="AU1241" s="6003"/>
      <c r="AV1241" s="6003"/>
      <c r="AW1241" s="6003"/>
      <c r="AX1241" s="6003"/>
      <c r="AY1241" s="6003"/>
      <c r="AZ1241" s="6003"/>
      <c r="BA1241" s="6003"/>
      <c r="BB1241" s="6003"/>
      <c r="BC1241" s="6003"/>
      <c r="BD1241" s="6003"/>
      <c r="BE1241" s="6003"/>
      <c r="BF1241" s="6003"/>
      <c r="BG1241" s="6003"/>
      <c r="BH1241" s="6003"/>
      <c r="BI1241" s="6003"/>
      <c r="BJ1241" s="6003"/>
      <c r="BK1241" s="6003"/>
      <c r="BL1241" s="6003"/>
      <c r="BM1241" s="6003"/>
      <c r="BN1241" s="6003"/>
      <c r="BO1241" s="6003"/>
      <c r="BP1241" s="6003"/>
      <c r="BQ1241" s="6003"/>
      <c r="BR1241" s="6003"/>
      <c r="BS1241" s="6003"/>
      <c r="BT1241" s="6003"/>
      <c r="BU1241" s="6003"/>
      <c r="BV1241" s="6003"/>
      <c r="BW1241" s="6003"/>
      <c r="BX1241" s="6003"/>
      <c r="BY1241" s="6003"/>
      <c r="BZ1241" s="6003"/>
      <c r="CA1241" s="6003"/>
      <c r="CB1241" s="6003"/>
    </row>
    <row r="1242" spans="1:80" ht="12.75" customHeight="1" x14ac:dyDescent="0.2">
      <c r="A1242" s="227">
        <v>1242</v>
      </c>
      <c r="B1242" s="5988"/>
      <c r="C1242" s="6003"/>
      <c r="D1242" s="6003"/>
      <c r="E1242" s="6003"/>
      <c r="F1242" s="6003"/>
      <c r="G1242" s="6003"/>
      <c r="H1242" s="6003"/>
      <c r="I1242" s="6003"/>
      <c r="J1242" s="6003"/>
      <c r="K1242" s="6003"/>
      <c r="L1242" s="6003"/>
      <c r="M1242" s="6003"/>
      <c r="N1242" s="6003"/>
      <c r="O1242" s="6003"/>
      <c r="P1242" s="6003"/>
      <c r="Q1242" s="6003"/>
      <c r="R1242" s="6003"/>
      <c r="S1242" s="6003"/>
      <c r="T1242" s="6003"/>
      <c r="U1242" s="6003"/>
      <c r="V1242" s="6003"/>
      <c r="W1242" s="6003"/>
      <c r="X1242" s="6003"/>
      <c r="Y1242" s="6003"/>
      <c r="Z1242" s="6003"/>
      <c r="AA1242" s="6003"/>
      <c r="AB1242" s="6003"/>
      <c r="AC1242" s="6003"/>
      <c r="AD1242" s="6003"/>
      <c r="AE1242" s="6003"/>
      <c r="AF1242" s="6003"/>
      <c r="AG1242" s="6003"/>
      <c r="AH1242" s="6003"/>
      <c r="AI1242" s="6003"/>
      <c r="AJ1242" s="6003"/>
      <c r="AK1242" s="6003"/>
      <c r="AL1242" s="6003"/>
      <c r="AM1242" s="6003"/>
      <c r="AN1242" s="6003"/>
      <c r="AO1242" s="6003"/>
      <c r="AP1242" s="6003"/>
      <c r="AQ1242" s="6003"/>
      <c r="AR1242" s="6003"/>
      <c r="AS1242" s="6003"/>
      <c r="AT1242" s="6003"/>
      <c r="AU1242" s="6003"/>
      <c r="AV1242" s="6003"/>
      <c r="AW1242" s="6003"/>
      <c r="AX1242" s="6003"/>
      <c r="AY1242" s="6003"/>
      <c r="AZ1242" s="6003"/>
      <c r="BA1242" s="6003"/>
      <c r="BB1242" s="6003"/>
      <c r="BC1242" s="6003"/>
      <c r="BD1242" s="6003"/>
      <c r="BE1242" s="6003"/>
      <c r="BF1242" s="6003"/>
      <c r="BG1242" s="6003"/>
      <c r="BH1242" s="6003"/>
      <c r="BI1242" s="6003"/>
      <c r="BJ1242" s="6003"/>
      <c r="BK1242" s="6003"/>
      <c r="BL1242" s="6003"/>
      <c r="BM1242" s="6003"/>
      <c r="BN1242" s="6003"/>
      <c r="BO1242" s="6003"/>
      <c r="BP1242" s="6003"/>
      <c r="BQ1242" s="6003"/>
      <c r="BR1242" s="6003"/>
      <c r="BS1242" s="6003"/>
      <c r="BT1242" s="6003"/>
      <c r="BU1242" s="6003"/>
      <c r="BV1242" s="6003"/>
      <c r="BW1242" s="6003"/>
      <c r="BX1242" s="6003"/>
      <c r="BY1242" s="6003"/>
      <c r="BZ1242" s="6003"/>
      <c r="CA1242" s="6003"/>
      <c r="CB1242" s="6003"/>
    </row>
    <row r="1243" spans="1:80" ht="12.75" customHeight="1" x14ac:dyDescent="0.2">
      <c r="A1243" s="227">
        <v>1243</v>
      </c>
      <c r="B1243" s="5988"/>
      <c r="C1243" s="6003"/>
      <c r="D1243" s="6003"/>
      <c r="E1243" s="6003"/>
      <c r="F1243" s="6003"/>
      <c r="G1243" s="6003"/>
      <c r="H1243" s="6003"/>
      <c r="I1243" s="6003"/>
      <c r="J1243" s="6003"/>
      <c r="K1243" s="6003"/>
      <c r="L1243" s="6003"/>
      <c r="M1243" s="6003"/>
      <c r="N1243" s="6003"/>
      <c r="O1243" s="6003"/>
      <c r="P1243" s="6003"/>
      <c r="Q1243" s="6003"/>
      <c r="R1243" s="6003"/>
      <c r="S1243" s="6003"/>
      <c r="T1243" s="6003"/>
      <c r="U1243" s="6003"/>
      <c r="V1243" s="6003"/>
      <c r="W1243" s="6003"/>
      <c r="X1243" s="6003"/>
      <c r="Y1243" s="6003"/>
      <c r="Z1243" s="6003"/>
      <c r="AA1243" s="6003"/>
      <c r="AB1243" s="6003"/>
      <c r="AC1243" s="6003"/>
      <c r="AD1243" s="6003"/>
      <c r="AE1243" s="6003"/>
      <c r="AF1243" s="6003"/>
      <c r="AG1243" s="6003"/>
      <c r="AH1243" s="6003"/>
      <c r="AI1243" s="6003"/>
      <c r="AJ1243" s="6003"/>
      <c r="AK1243" s="6003"/>
      <c r="AL1243" s="6003"/>
      <c r="AM1243" s="6003"/>
      <c r="AN1243" s="6003"/>
      <c r="AO1243" s="6003"/>
      <c r="AP1243" s="6003"/>
      <c r="AQ1243" s="6003"/>
      <c r="AR1243" s="6003"/>
      <c r="AS1243" s="6003"/>
      <c r="AT1243" s="6003"/>
      <c r="AU1243" s="6003"/>
      <c r="AV1243" s="6003"/>
      <c r="AW1243" s="6003"/>
      <c r="AX1243" s="6003"/>
      <c r="AY1243" s="6003"/>
      <c r="AZ1243" s="6003"/>
      <c r="BA1243" s="6003"/>
      <c r="BB1243" s="6003"/>
      <c r="BC1243" s="6003"/>
      <c r="BD1243" s="6003"/>
      <c r="BE1243" s="6003"/>
      <c r="BF1243" s="6003"/>
      <c r="BG1243" s="6003"/>
      <c r="BH1243" s="6003"/>
      <c r="BI1243" s="6003"/>
      <c r="BJ1243" s="6003"/>
      <c r="BK1243" s="6003"/>
      <c r="BL1243" s="6003"/>
      <c r="BM1243" s="6003"/>
      <c r="BN1243" s="6003"/>
      <c r="BO1243" s="6003"/>
      <c r="BP1243" s="6003"/>
      <c r="BQ1243" s="6003"/>
      <c r="BR1243" s="6003"/>
      <c r="BS1243" s="6003"/>
      <c r="BT1243" s="6003"/>
      <c r="BU1243" s="6003"/>
      <c r="BV1243" s="6003"/>
      <c r="BW1243" s="6003"/>
      <c r="BX1243" s="6003"/>
      <c r="BY1243" s="6003"/>
      <c r="BZ1243" s="6003"/>
      <c r="CA1243" s="6003"/>
      <c r="CB1243" s="6003"/>
    </row>
    <row r="1244" spans="1:80" ht="12.75" customHeight="1" thickBot="1" x14ac:dyDescent="0.25">
      <c r="A1244" s="227">
        <v>1244</v>
      </c>
      <c r="B1244" s="5988"/>
      <c r="H1244"/>
      <c r="I1244" s="559"/>
      <c r="N1244"/>
      <c r="O1244" s="559"/>
    </row>
    <row r="1245" spans="1:80" ht="12.75" customHeight="1" x14ac:dyDescent="0.2">
      <c r="A1245" s="227">
        <v>1245</v>
      </c>
      <c r="B1245" s="5988"/>
      <c r="C1245" s="6038" t="s">
        <v>1247</v>
      </c>
      <c r="D1245" s="6039"/>
      <c r="E1245" s="6039"/>
      <c r="F1245" s="6039"/>
      <c r="G1245" s="6039"/>
      <c r="H1245" s="6039"/>
      <c r="I1245" s="6039"/>
      <c r="J1245" s="6039"/>
      <c r="K1245" s="6040"/>
      <c r="M1245" s="6033" t="s">
        <v>1439</v>
      </c>
      <c r="N1245" s="6034"/>
      <c r="O1245" s="6034"/>
      <c r="P1245" s="6034"/>
      <c r="Q1245" s="6034"/>
      <c r="R1245" s="6034"/>
      <c r="S1245" s="6034"/>
      <c r="T1245" s="6035"/>
      <c r="W1245" s="6167" t="s">
        <v>1441</v>
      </c>
      <c r="X1245" s="6168"/>
      <c r="Y1245" s="6044" t="s">
        <v>7325</v>
      </c>
      <c r="Z1245" s="6261" t="s">
        <v>7330</v>
      </c>
      <c r="AA1245" s="6044"/>
      <c r="AB1245" s="6044"/>
      <c r="AC1245" s="6044"/>
      <c r="AD1245" s="6044"/>
      <c r="AE1245" s="6044"/>
      <c r="AF1245" s="6044"/>
      <c r="AG1245" s="6044"/>
      <c r="AH1245" s="6044"/>
      <c r="AI1245" s="6044"/>
      <c r="AJ1245" s="6044"/>
      <c r="AK1245" s="6044"/>
      <c r="AL1245" s="6044"/>
      <c r="AM1245" s="6044"/>
      <c r="AN1245" s="6044"/>
      <c r="AO1245" s="6044"/>
      <c r="AP1245" s="6044"/>
      <c r="AQ1245" s="6044"/>
      <c r="AR1245" s="6044"/>
      <c r="AS1245" s="6044"/>
      <c r="AT1245" s="6044"/>
      <c r="AU1245" s="6044"/>
      <c r="AV1245" s="6044"/>
      <c r="AW1245" s="6044"/>
      <c r="AX1245" s="6044"/>
      <c r="AY1245" s="6044"/>
      <c r="AZ1245" s="6044"/>
      <c r="BA1245" s="6044"/>
      <c r="BB1245" s="6044"/>
      <c r="BC1245" s="6044"/>
      <c r="BD1245" s="6044"/>
      <c r="BE1245" s="6044"/>
      <c r="BF1245" s="6044"/>
      <c r="BG1245" s="6044"/>
      <c r="BH1245" s="6044"/>
      <c r="BI1245" s="6044"/>
      <c r="BJ1245" s="6044"/>
      <c r="BK1245" s="6044"/>
      <c r="BL1245" s="6044"/>
      <c r="BM1245" s="6044"/>
      <c r="BN1245" s="6044"/>
      <c r="BO1245" s="6044"/>
      <c r="BP1245" s="6044"/>
      <c r="BQ1245" s="6044"/>
      <c r="BR1245" s="6044"/>
      <c r="BS1245" s="6044"/>
      <c r="BT1245" s="6044"/>
      <c r="BU1245" s="6044"/>
      <c r="BV1245" s="6044"/>
      <c r="BW1245" s="6044"/>
      <c r="BX1245" s="6044"/>
      <c r="BY1245" s="6044"/>
      <c r="BZ1245" s="6044"/>
      <c r="CA1245" s="6044"/>
      <c r="CB1245" s="6262"/>
    </row>
    <row r="1246" spans="1:80" ht="12.75" customHeight="1" x14ac:dyDescent="0.2">
      <c r="A1246" s="227">
        <v>1246</v>
      </c>
      <c r="B1246" s="5988"/>
      <c r="C1246" s="6041"/>
      <c r="D1246" s="6042"/>
      <c r="E1246" s="6042"/>
      <c r="F1246" s="6042"/>
      <c r="G1246" s="6042"/>
      <c r="H1246" s="6042"/>
      <c r="I1246" s="6042"/>
      <c r="J1246" s="6042"/>
      <c r="K1246" s="6043"/>
      <c r="M1246" s="6036"/>
      <c r="N1246" s="4931"/>
      <c r="O1246" s="4931"/>
      <c r="P1246" s="4931"/>
      <c r="Q1246" s="4931"/>
      <c r="R1246" s="4931"/>
      <c r="S1246" s="4931"/>
      <c r="T1246" s="6037"/>
      <c r="W1246" s="6169"/>
      <c r="X1246" s="4716"/>
      <c r="Y1246" s="6045"/>
      <c r="Z1246" s="6263"/>
      <c r="AA1246" s="6045"/>
      <c r="AB1246" s="6045"/>
      <c r="AC1246" s="6045"/>
      <c r="AD1246" s="6045"/>
      <c r="AE1246" s="6045"/>
      <c r="AF1246" s="6045"/>
      <c r="AG1246" s="6045"/>
      <c r="AH1246" s="6045"/>
      <c r="AI1246" s="6045"/>
      <c r="AJ1246" s="6045"/>
      <c r="AK1246" s="6045"/>
      <c r="AL1246" s="6045"/>
      <c r="AM1246" s="6045"/>
      <c r="AN1246" s="6045"/>
      <c r="AO1246" s="6045"/>
      <c r="AP1246" s="6045"/>
      <c r="AQ1246" s="6045"/>
      <c r="AR1246" s="6045"/>
      <c r="AS1246" s="6045"/>
      <c r="AT1246" s="6045"/>
      <c r="AU1246" s="6045"/>
      <c r="AV1246" s="6045"/>
      <c r="AW1246" s="6045"/>
      <c r="AX1246" s="6045"/>
      <c r="AY1246" s="6045"/>
      <c r="AZ1246" s="6045"/>
      <c r="BA1246" s="6045"/>
      <c r="BB1246" s="6045"/>
      <c r="BC1246" s="6045"/>
      <c r="BD1246" s="6045"/>
      <c r="BE1246" s="6045"/>
      <c r="BF1246" s="6045"/>
      <c r="BG1246" s="6045"/>
      <c r="BH1246" s="6045"/>
      <c r="BI1246" s="6045"/>
      <c r="BJ1246" s="6045"/>
      <c r="BK1246" s="6045"/>
      <c r="BL1246" s="6045"/>
      <c r="BM1246" s="6045"/>
      <c r="BN1246" s="6045"/>
      <c r="BO1246" s="6045"/>
      <c r="BP1246" s="6045"/>
      <c r="BQ1246" s="6045"/>
      <c r="BR1246" s="6045"/>
      <c r="BS1246" s="6045"/>
      <c r="BT1246" s="6045"/>
      <c r="BU1246" s="6045"/>
      <c r="BV1246" s="6045"/>
      <c r="BW1246" s="6045"/>
      <c r="BX1246" s="6045"/>
      <c r="BY1246" s="6045"/>
      <c r="BZ1246" s="6045"/>
      <c r="CA1246" s="6045"/>
      <c r="CB1246" s="6260"/>
    </row>
    <row r="1247" spans="1:80" ht="12.75" customHeight="1" x14ac:dyDescent="0.2">
      <c r="A1247" s="227">
        <v>1247</v>
      </c>
      <c r="B1247" s="5988"/>
      <c r="C1247" s="1007"/>
      <c r="D1247" s="951"/>
      <c r="E1247" s="951">
        <v>1</v>
      </c>
      <c r="F1247" s="951">
        <v>2</v>
      </c>
      <c r="G1247" s="951">
        <v>3</v>
      </c>
      <c r="H1247" s="951">
        <v>4</v>
      </c>
      <c r="I1247" s="951">
        <v>5</v>
      </c>
      <c r="J1247" s="951">
        <v>6</v>
      </c>
      <c r="K1247" s="728">
        <v>7</v>
      </c>
      <c r="M1247" s="1007"/>
      <c r="N1247" s="951"/>
      <c r="O1247" s="951">
        <v>1</v>
      </c>
      <c r="P1247" s="951">
        <v>2</v>
      </c>
      <c r="Q1247" s="951">
        <v>3</v>
      </c>
      <c r="R1247" s="951">
        <v>4</v>
      </c>
      <c r="S1247" s="951">
        <v>5</v>
      </c>
      <c r="T1247" s="728">
        <v>6</v>
      </c>
      <c r="W1247" s="1028" t="s">
        <v>1306</v>
      </c>
      <c r="X1247" s="758"/>
      <c r="Y1247" s="1019"/>
      <c r="Z1247" s="1294"/>
      <c r="AA1247" s="1295"/>
      <c r="AB1247" s="1295"/>
      <c r="AC1247" s="1295"/>
      <c r="AD1247" s="1295"/>
      <c r="AE1247" s="1295"/>
      <c r="AF1247" s="1295"/>
      <c r="AG1247" s="1295"/>
      <c r="AH1247" s="1295"/>
      <c r="AI1247" s="1295"/>
      <c r="AJ1247" s="1295"/>
      <c r="AK1247" s="1295"/>
      <c r="AL1247" s="1295"/>
      <c r="AM1247" s="1295"/>
      <c r="AN1247" s="1295"/>
      <c r="AO1247" s="1295"/>
      <c r="AP1247" s="1295"/>
      <c r="AQ1247" s="1296"/>
      <c r="AR1247" s="1296"/>
      <c r="AS1247" s="1296"/>
      <c r="AT1247" s="1296"/>
      <c r="AU1247" s="1296"/>
      <c r="AV1247" s="1296"/>
      <c r="AW1247" s="1296"/>
      <c r="AX1247" s="1296"/>
      <c r="AY1247" s="1296"/>
      <c r="AZ1247" s="1296"/>
      <c r="BA1247" s="1296"/>
      <c r="BB1247" s="1296"/>
      <c r="BC1247" s="1296"/>
      <c r="BD1247" s="1296"/>
      <c r="BE1247" s="1296"/>
      <c r="BF1247" s="1296"/>
      <c r="BG1247" s="1296"/>
      <c r="BH1247" s="1296"/>
      <c r="BI1247" s="1296"/>
      <c r="BJ1247" s="1296"/>
      <c r="BK1247" s="1296"/>
      <c r="BL1247" s="1296"/>
      <c r="BM1247" s="1297"/>
      <c r="BN1247" s="1297"/>
      <c r="BO1247" s="1297"/>
      <c r="BP1247" s="1297"/>
      <c r="BQ1247" s="1297"/>
      <c r="BR1247" s="1297"/>
      <c r="BS1247" s="1297"/>
      <c r="BT1247" s="1297"/>
      <c r="BU1247" s="1297"/>
      <c r="BV1247" s="1297"/>
      <c r="BW1247" s="1297"/>
      <c r="BX1247" s="1297"/>
      <c r="BY1247" s="1297"/>
      <c r="BZ1247" s="1297"/>
      <c r="CA1247" s="1297"/>
      <c r="CB1247" s="1298"/>
    </row>
    <row r="1248" spans="1:80" ht="12.75" customHeight="1" x14ac:dyDescent="0.2">
      <c r="A1248" s="227">
        <v>1248</v>
      </c>
      <c r="B1248" s="5988"/>
      <c r="C1248" s="1008"/>
      <c r="D1248" s="1009"/>
      <c r="E1248" s="950" t="s">
        <v>1441</v>
      </c>
      <c r="F1248" s="950" t="s">
        <v>1248</v>
      </c>
      <c r="G1248" s="950" t="s">
        <v>1490</v>
      </c>
      <c r="H1248" s="950" t="s">
        <v>2252</v>
      </c>
      <c r="I1248" s="1010" t="s">
        <v>1903</v>
      </c>
      <c r="J1248" s="950" t="s">
        <v>7078</v>
      </c>
      <c r="K1248" s="1011" t="s">
        <v>7322</v>
      </c>
      <c r="M1248" s="1013"/>
      <c r="N1248" s="1014"/>
      <c r="O1248" s="950" t="s">
        <v>1441</v>
      </c>
      <c r="P1248" s="950" t="s">
        <v>1376</v>
      </c>
      <c r="Q1248" s="1015" t="s">
        <v>1490</v>
      </c>
      <c r="R1248" s="950" t="s">
        <v>2252</v>
      </c>
      <c r="S1248" s="950" t="s">
        <v>7078</v>
      </c>
      <c r="T1248" s="1011" t="s">
        <v>7322</v>
      </c>
      <c r="W1248" s="1028" t="s">
        <v>1916</v>
      </c>
      <c r="X1248" s="304"/>
      <c r="Y1248" s="1023" t="str">
        <f>IF(Z1248="","",SUBSTITUTE("PodHab_"&amp;W1248," ",""))</f>
        <v/>
      </c>
      <c r="Z1248" s="1293" t="s">
        <v>6926</v>
      </c>
      <c r="AA1248" s="1299"/>
      <c r="AB1248" s="1299"/>
      <c r="AC1248" s="1299"/>
      <c r="AD1248" s="1299"/>
      <c r="AE1248" s="1299"/>
      <c r="AF1248" s="1299"/>
      <c r="AG1248" s="1299"/>
      <c r="AH1248" s="1299"/>
      <c r="AI1248" s="1299"/>
      <c r="AJ1248" s="1299"/>
      <c r="AK1248" s="1299"/>
      <c r="AL1248" s="1299"/>
      <c r="AM1248" s="1299"/>
      <c r="AN1248" s="1299"/>
      <c r="AO1248" s="1299"/>
      <c r="AP1248" s="1299"/>
      <c r="AQ1248" s="1297"/>
      <c r="AR1248" s="1297"/>
      <c r="AS1248" s="1297"/>
      <c r="AT1248" s="1297"/>
      <c r="AU1248" s="1297"/>
      <c r="AV1248" s="1297"/>
      <c r="AW1248" s="1297"/>
      <c r="AX1248" s="1297"/>
      <c r="AY1248" s="1297"/>
      <c r="AZ1248" s="1297"/>
      <c r="BA1248" s="1297"/>
      <c r="BB1248" s="1297"/>
      <c r="BC1248" s="1297"/>
      <c r="BD1248" s="1297"/>
      <c r="BE1248" s="1297"/>
      <c r="BF1248" s="1297"/>
      <c r="BG1248" s="1297"/>
      <c r="BH1248" s="1297"/>
      <c r="BI1248" s="1297"/>
      <c r="BJ1248" s="1297"/>
      <c r="BK1248" s="1297"/>
      <c r="BL1248" s="1297"/>
      <c r="BM1248" s="1297"/>
      <c r="BN1248" s="1297"/>
      <c r="BO1248" s="1297"/>
      <c r="BP1248" s="1297"/>
      <c r="BQ1248" s="1297"/>
      <c r="BR1248" s="1297"/>
      <c r="BS1248" s="1297"/>
      <c r="BT1248" s="1297"/>
      <c r="BU1248" s="1297"/>
      <c r="BV1248" s="1297"/>
      <c r="BW1248" s="1297"/>
      <c r="BX1248" s="1297"/>
      <c r="BY1248" s="1297"/>
      <c r="BZ1248" s="1297"/>
      <c r="CA1248" s="1297"/>
      <c r="CB1248" s="1298"/>
    </row>
    <row r="1249" spans="1:80" ht="12.75" customHeight="1" x14ac:dyDescent="0.2">
      <c r="A1249" s="227">
        <v>1249</v>
      </c>
      <c r="B1249" s="5988"/>
      <c r="C1249" s="564"/>
      <c r="D1249" s="264"/>
      <c r="E1249" s="1003" t="s">
        <v>1249</v>
      </c>
      <c r="F1249" s="77">
        <v>0</v>
      </c>
      <c r="G1249" s="77">
        <v>0</v>
      </c>
      <c r="H1249" s="77"/>
      <c r="I1249" s="1005"/>
      <c r="J1249" s="176"/>
      <c r="K1249" s="996"/>
      <c r="M1249" s="326"/>
      <c r="N1249" s="21"/>
      <c r="O1249" s="134" t="s">
        <v>1306</v>
      </c>
      <c r="P1249" s="993"/>
      <c r="Q1249" s="86"/>
      <c r="R1249" s="1005"/>
      <c r="S1249" s="176"/>
      <c r="T1249" s="996"/>
      <c r="W1249" s="1028" t="s">
        <v>7332</v>
      </c>
      <c r="X1249" s="304"/>
      <c r="Y1249" s="834" t="str">
        <f t="shared" ref="Y1249:Y1254" si="284">IF(Z1249="","",SUBSTITUTE("PodHab_"&amp;W1249," ",""))</f>
        <v>PodHab_Ataqueadicional</v>
      </c>
      <c r="Z1249" s="1293" t="s">
        <v>7382</v>
      </c>
      <c r="AA1249" s="1299" t="s">
        <v>7383</v>
      </c>
      <c r="AB1249" s="1299" t="s">
        <v>7384</v>
      </c>
      <c r="AC1249" s="1299" t="s">
        <v>7385</v>
      </c>
      <c r="AD1249" s="1299" t="s">
        <v>7386</v>
      </c>
      <c r="AE1249" s="1299" t="s">
        <v>7387</v>
      </c>
      <c r="AF1249" s="1299" t="s">
        <v>7354</v>
      </c>
      <c r="AG1249" s="1299"/>
      <c r="AH1249" s="1299"/>
      <c r="AI1249" s="1299"/>
      <c r="AJ1249" s="1299"/>
      <c r="AK1249" s="1299"/>
      <c r="AL1249" s="1299"/>
      <c r="AM1249" s="1299"/>
      <c r="AN1249" s="1299"/>
      <c r="AO1249" s="1299"/>
      <c r="AP1249" s="1299"/>
      <c r="AQ1249" s="1297"/>
      <c r="AR1249" s="1297"/>
      <c r="AS1249" s="1297"/>
      <c r="AT1249" s="1297"/>
      <c r="AU1249" s="1297"/>
      <c r="AV1249" s="1297"/>
      <c r="AW1249" s="1297"/>
      <c r="AX1249" s="1297"/>
      <c r="AY1249" s="1297"/>
      <c r="AZ1249" s="1297"/>
      <c r="BA1249" s="1297"/>
      <c r="BB1249" s="1297"/>
      <c r="BC1249" s="1297"/>
      <c r="BD1249" s="1297"/>
      <c r="BE1249" s="1297"/>
      <c r="BF1249" s="1297"/>
      <c r="BG1249" s="1297"/>
      <c r="BH1249" s="1297"/>
      <c r="BI1249" s="1297"/>
      <c r="BJ1249" s="1297"/>
      <c r="BK1249" s="1297"/>
      <c r="BL1249" s="1297"/>
      <c r="BM1249" s="1297"/>
      <c r="BN1249" s="1297"/>
      <c r="BO1249" s="1297"/>
      <c r="BP1249" s="1297"/>
      <c r="BQ1249" s="1297"/>
      <c r="BR1249" s="1297"/>
      <c r="BS1249" s="1297"/>
      <c r="BT1249" s="1297"/>
      <c r="BU1249" s="1297"/>
      <c r="BV1249" s="1297"/>
      <c r="BW1249" s="1297"/>
      <c r="BX1249" s="1297"/>
      <c r="BY1249" s="1297"/>
      <c r="BZ1249" s="1297"/>
      <c r="CA1249" s="1297"/>
      <c r="CB1249" s="1298"/>
    </row>
    <row r="1250" spans="1:80" ht="12.75" customHeight="1" x14ac:dyDescent="0.2">
      <c r="A1250" s="227">
        <v>1250</v>
      </c>
      <c r="B1250" s="5988"/>
      <c r="C1250" s="1000"/>
      <c r="D1250" s="58"/>
      <c r="E1250" s="1003" t="s">
        <v>1250</v>
      </c>
      <c r="F1250" s="77">
        <v>0</v>
      </c>
      <c r="G1250" s="77">
        <v>10</v>
      </c>
      <c r="H1250" s="77">
        <f>COUNTIF(HabilidadesEsenciales_Adquiridas,Tablas!E1250)</f>
        <v>0</v>
      </c>
      <c r="I1250" s="1005">
        <v>1</v>
      </c>
      <c r="J1250" s="176"/>
      <c r="K1250" s="996"/>
      <c r="M1250" s="326"/>
      <c r="N1250" s="21"/>
      <c r="O1250" s="134" t="s">
        <v>1916</v>
      </c>
      <c r="P1250" s="998">
        <v>0</v>
      </c>
      <c r="Q1250" s="176">
        <v>20</v>
      </c>
      <c r="R1250" s="1005">
        <f>COUNTIF(PoderesDeCriatura_Adquiridos,Tablas!O1250)</f>
        <v>0</v>
      </c>
      <c r="S1250" s="176"/>
      <c r="T1250" s="996"/>
      <c r="W1250" s="1028" t="s">
        <v>1636</v>
      </c>
      <c r="X1250" s="323"/>
      <c r="Y1250" s="834" t="str">
        <f>IF(Z1250="","",SUBSTITUTE("PodHab_"&amp;W1250," ",""))</f>
        <v>PodHab_Ataqueelemental</v>
      </c>
      <c r="Z1250" s="1293" t="s">
        <v>1610</v>
      </c>
      <c r="AA1250" s="1299" t="s">
        <v>1603</v>
      </c>
      <c r="AB1250" s="1299" t="s">
        <v>1606</v>
      </c>
      <c r="AC1250" s="1299" t="s">
        <v>1704</v>
      </c>
      <c r="AD1250" s="1299" t="s">
        <v>1699</v>
      </c>
      <c r="AE1250" s="1299" t="s">
        <v>1700</v>
      </c>
      <c r="AF1250" s="1295"/>
      <c r="AG1250" s="1295"/>
      <c r="AH1250" s="1295"/>
      <c r="AI1250" s="1295"/>
      <c r="AJ1250" s="1295"/>
      <c r="AK1250" s="1295"/>
      <c r="AL1250" s="1295"/>
      <c r="AM1250" s="1295"/>
      <c r="AN1250" s="1295"/>
      <c r="AO1250" s="1295"/>
      <c r="AP1250" s="1295"/>
      <c r="AQ1250" s="1296"/>
      <c r="AR1250" s="1296"/>
      <c r="AS1250" s="1296"/>
      <c r="AT1250" s="1296"/>
      <c r="AU1250" s="1296"/>
      <c r="AV1250" s="1296"/>
      <c r="AW1250" s="1296"/>
      <c r="AX1250" s="1296"/>
      <c r="AY1250" s="1296"/>
      <c r="AZ1250" s="1296"/>
      <c r="BA1250" s="1296"/>
      <c r="BB1250" s="1296"/>
      <c r="BC1250" s="1296"/>
      <c r="BD1250" s="1296"/>
      <c r="BE1250" s="1296"/>
      <c r="BF1250" s="1296"/>
      <c r="BG1250" s="1296"/>
      <c r="BH1250" s="1296"/>
      <c r="BI1250" s="1296"/>
      <c r="BJ1250" s="1296"/>
      <c r="BK1250" s="1296"/>
      <c r="BL1250" s="1297"/>
      <c r="BM1250" s="1297"/>
      <c r="BN1250" s="1297"/>
      <c r="BO1250" s="1297"/>
      <c r="BP1250" s="1297"/>
      <c r="BQ1250" s="1297"/>
      <c r="BR1250" s="1297"/>
      <c r="BS1250" s="1297"/>
      <c r="BT1250" s="1297"/>
      <c r="BU1250" s="1297"/>
      <c r="BV1250" s="1297"/>
      <c r="BW1250" s="1297"/>
      <c r="BX1250" s="1297"/>
      <c r="BY1250" s="1297"/>
      <c r="BZ1250" s="1297"/>
      <c r="CA1250" s="1297"/>
      <c r="CB1250" s="1298"/>
    </row>
    <row r="1251" spans="1:80" ht="12.75" customHeight="1" x14ac:dyDescent="0.2">
      <c r="A1251" s="227">
        <v>1251</v>
      </c>
      <c r="B1251" s="5988"/>
      <c r="C1251" s="1000"/>
      <c r="D1251" s="58"/>
      <c r="E1251" s="1003" t="s">
        <v>2268</v>
      </c>
      <c r="F1251" s="77">
        <v>5</v>
      </c>
      <c r="G1251" s="77">
        <v>30</v>
      </c>
      <c r="H1251" s="77">
        <f>COUNTIF(HabilidadesEsenciales_Adquiridas,Tablas!E1251)</f>
        <v>0</v>
      </c>
      <c r="I1251" s="1005">
        <v>2</v>
      </c>
      <c r="J1251" s="176"/>
      <c r="K1251" s="996"/>
      <c r="M1251" s="326"/>
      <c r="N1251" s="21"/>
      <c r="O1251" s="134" t="s">
        <v>7650</v>
      </c>
      <c r="P1251" s="998">
        <v>0</v>
      </c>
      <c r="Q1251" s="176">
        <v>20</v>
      </c>
      <c r="R1251" s="1005">
        <f>COUNTIF(PoderesDeCriatura_Adquiridos,Tablas!O1251)</f>
        <v>0</v>
      </c>
      <c r="S1251" s="176"/>
      <c r="T1251" s="996"/>
      <c r="W1251" s="1028" t="s">
        <v>7355</v>
      </c>
      <c r="X1251" s="304"/>
      <c r="Y1251" s="834" t="str">
        <f t="shared" si="284"/>
        <v>PodHab_Ataqueespecial</v>
      </c>
      <c r="Z1251" s="1293" t="s">
        <v>7388</v>
      </c>
      <c r="AA1251" s="1299" t="s">
        <v>7389</v>
      </c>
      <c r="AB1251" s="1299" t="s">
        <v>7390</v>
      </c>
      <c r="AC1251" s="1299" t="s">
        <v>7391</v>
      </c>
      <c r="AD1251" s="1299" t="s">
        <v>7392</v>
      </c>
      <c r="AE1251" s="1299" t="s">
        <v>7393</v>
      </c>
      <c r="AF1251" s="1299" t="s">
        <v>7394</v>
      </c>
      <c r="AG1251" s="1299" t="s">
        <v>7395</v>
      </c>
      <c r="AH1251" s="1299" t="s">
        <v>7396</v>
      </c>
      <c r="AI1251" s="1299" t="s">
        <v>7397</v>
      </c>
      <c r="AJ1251" s="1299" t="s">
        <v>7398</v>
      </c>
      <c r="AK1251" s="1299" t="s">
        <v>7399</v>
      </c>
      <c r="AL1251" s="1299" t="s">
        <v>7400</v>
      </c>
      <c r="AM1251" s="1299" t="s">
        <v>7401</v>
      </c>
      <c r="AN1251" s="1299" t="s">
        <v>7402</v>
      </c>
      <c r="AO1251" s="1299" t="s">
        <v>7403</v>
      </c>
      <c r="AP1251" s="1299" t="s">
        <v>7404</v>
      </c>
      <c r="AQ1251" s="1297" t="s">
        <v>7405</v>
      </c>
      <c r="AR1251" s="1297" t="s">
        <v>7406</v>
      </c>
      <c r="AS1251" s="1297" t="s">
        <v>7407</v>
      </c>
      <c r="AT1251" s="1297" t="s">
        <v>7408</v>
      </c>
      <c r="AU1251" s="1297" t="s">
        <v>7409</v>
      </c>
      <c r="AV1251" s="1297" t="s">
        <v>7410</v>
      </c>
      <c r="AW1251" s="1297" t="s">
        <v>5584</v>
      </c>
      <c r="AX1251" s="1297" t="s">
        <v>7411</v>
      </c>
      <c r="AY1251" s="1297" t="s">
        <v>7412</v>
      </c>
      <c r="AZ1251" s="1297" t="s">
        <v>7413</v>
      </c>
      <c r="BA1251" s="1297" t="s">
        <v>7414</v>
      </c>
      <c r="BB1251" s="1297" t="s">
        <v>7415</v>
      </c>
      <c r="BC1251" s="1297" t="s">
        <v>7416</v>
      </c>
      <c r="BD1251" s="1297" t="s">
        <v>7417</v>
      </c>
      <c r="BE1251" s="1297" t="s">
        <v>1551</v>
      </c>
      <c r="BF1251" s="1296" t="s">
        <v>1498</v>
      </c>
      <c r="BG1251" s="1296" t="s">
        <v>1552</v>
      </c>
      <c r="BH1251" s="1296" t="s">
        <v>1553</v>
      </c>
      <c r="BI1251" s="1296" t="s">
        <v>1555</v>
      </c>
      <c r="BJ1251" s="1296" t="s">
        <v>1554</v>
      </c>
      <c r="BK1251" s="1296" t="s">
        <v>1556</v>
      </c>
      <c r="BL1251" s="1297"/>
      <c r="BM1251" s="1297"/>
      <c r="BN1251" s="1297"/>
      <c r="BO1251" s="1297"/>
      <c r="BP1251" s="1297"/>
      <c r="BQ1251" s="1297"/>
      <c r="BR1251" s="1297"/>
      <c r="BS1251" s="1297"/>
      <c r="BT1251" s="1297"/>
      <c r="BU1251" s="1297"/>
      <c r="BV1251" s="1297"/>
      <c r="BW1251" s="1297"/>
      <c r="BX1251" s="1297"/>
      <c r="BY1251" s="1297"/>
      <c r="BZ1251" s="1297"/>
      <c r="CA1251" s="1297"/>
      <c r="CB1251" s="1298"/>
    </row>
    <row r="1252" spans="1:80" ht="12.75" customHeight="1" x14ac:dyDescent="0.2">
      <c r="A1252" s="227">
        <v>1252</v>
      </c>
      <c r="B1252" s="5988"/>
      <c r="C1252" s="1000"/>
      <c r="D1252" s="58"/>
      <c r="E1252" s="1003" t="s">
        <v>1251</v>
      </c>
      <c r="F1252" s="77">
        <v>5</v>
      </c>
      <c r="G1252" s="77">
        <v>15</v>
      </c>
      <c r="H1252" s="77">
        <f>COUNTIF(HabilidadesEsenciales_Adquiridas,Tablas!E1252)</f>
        <v>0</v>
      </c>
      <c r="I1252" s="1005"/>
      <c r="J1252" s="176"/>
      <c r="K1252" s="996"/>
      <c r="M1252" s="326"/>
      <c r="N1252" s="21"/>
      <c r="O1252" s="134" t="s">
        <v>7651</v>
      </c>
      <c r="P1252" s="998">
        <v>0</v>
      </c>
      <c r="Q1252" s="176">
        <v>30</v>
      </c>
      <c r="R1252" s="1005">
        <f>COUNTIF(PoderesDeCriatura_Adquiridos,Tablas!O1252)</f>
        <v>0</v>
      </c>
      <c r="S1252" s="176"/>
      <c r="T1252" s="996"/>
      <c r="W1252" s="1028" t="s">
        <v>1308</v>
      </c>
      <c r="X1252" s="323"/>
      <c r="Y1252" s="834" t="str">
        <f t="shared" si="284"/>
        <v/>
      </c>
      <c r="Z1252" s="1294"/>
      <c r="AA1252" s="1295"/>
      <c r="AB1252" s="1295"/>
      <c r="AC1252" s="1295"/>
      <c r="AD1252" s="1295"/>
      <c r="AE1252" s="1295"/>
      <c r="AF1252" s="1295"/>
      <c r="AG1252" s="1295"/>
      <c r="AH1252" s="1295"/>
      <c r="AI1252" s="1295"/>
      <c r="AJ1252" s="1295"/>
      <c r="AK1252" s="1295"/>
      <c r="AL1252" s="1295"/>
      <c r="AM1252" s="1295"/>
      <c r="AN1252" s="1295"/>
      <c r="AO1252" s="1295"/>
      <c r="AP1252" s="1295"/>
      <c r="AQ1252" s="1296"/>
      <c r="AR1252" s="1296"/>
      <c r="AS1252" s="1296"/>
      <c r="AT1252" s="1296"/>
      <c r="AU1252" s="1296"/>
      <c r="AV1252" s="1296"/>
      <c r="AW1252" s="1296"/>
      <c r="AX1252" s="1296"/>
      <c r="AY1252" s="1296"/>
      <c r="AZ1252" s="1296"/>
      <c r="BA1252" s="1296"/>
      <c r="BB1252" s="1296"/>
      <c r="BC1252" s="1296"/>
      <c r="BD1252" s="1296"/>
      <c r="BE1252" s="1296"/>
      <c r="BF1252" s="1296"/>
      <c r="BG1252" s="1296"/>
      <c r="BH1252" s="1296"/>
      <c r="BI1252" s="1296"/>
      <c r="BJ1252" s="1296"/>
      <c r="BK1252" s="1296"/>
      <c r="BL1252" s="1297"/>
      <c r="BM1252" s="1297"/>
      <c r="BN1252" s="1297"/>
      <c r="BO1252" s="1297"/>
      <c r="BP1252" s="1297"/>
      <c r="BQ1252" s="1297"/>
      <c r="BR1252" s="1297"/>
      <c r="BS1252" s="1297"/>
      <c r="BT1252" s="1297"/>
      <c r="BU1252" s="1297"/>
      <c r="BV1252" s="1297"/>
      <c r="BW1252" s="1297"/>
      <c r="BX1252" s="1297"/>
      <c r="BY1252" s="1297"/>
      <c r="BZ1252" s="1297"/>
      <c r="CA1252" s="1297"/>
      <c r="CB1252" s="1298"/>
    </row>
    <row r="1253" spans="1:80" ht="12.75" customHeight="1" x14ac:dyDescent="0.2">
      <c r="A1253" s="227">
        <v>1253</v>
      </c>
      <c r="B1253" s="5988"/>
      <c r="C1253" s="1000"/>
      <c r="D1253" s="58"/>
      <c r="E1253" s="1003" t="s">
        <v>1252</v>
      </c>
      <c r="F1253" s="77">
        <v>5</v>
      </c>
      <c r="G1253" s="77">
        <v>30</v>
      </c>
      <c r="H1253" s="77">
        <f>COUNTIF(HabilidadesEsenciales_Adquiridas,Tablas!E1253)</f>
        <v>0</v>
      </c>
      <c r="I1253" s="1005"/>
      <c r="J1253" s="176"/>
      <c r="K1253" s="996"/>
      <c r="M1253" s="326"/>
      <c r="N1253" s="21"/>
      <c r="O1253" s="134" t="s">
        <v>7652</v>
      </c>
      <c r="P1253" s="998">
        <v>0</v>
      </c>
      <c r="Q1253" s="176">
        <v>40</v>
      </c>
      <c r="R1253" s="1005">
        <f>COUNTIF(PoderesDeCriatura_Adquiridos,Tablas!O1253)</f>
        <v>0</v>
      </c>
      <c r="S1253" s="176"/>
      <c r="T1253" s="996"/>
      <c r="W1253" s="1028" t="s">
        <v>7335</v>
      </c>
      <c r="X1253" s="304"/>
      <c r="Y1253" s="834" t="str">
        <f t="shared" si="284"/>
        <v>PodHab_Ataquevenenoso</v>
      </c>
      <c r="Z1253" s="1293" t="s">
        <v>7418</v>
      </c>
      <c r="AA1253" s="1299" t="s">
        <v>7419</v>
      </c>
      <c r="AB1253" s="1299" t="s">
        <v>7420</v>
      </c>
      <c r="AC1253" s="1299" t="s">
        <v>7421</v>
      </c>
      <c r="AD1253" s="1299" t="s">
        <v>7422</v>
      </c>
      <c r="AE1253" s="1299" t="s">
        <v>7423</v>
      </c>
      <c r="AF1253" s="1299" t="s">
        <v>7424</v>
      </c>
      <c r="AG1253" s="1299" t="s">
        <v>7425</v>
      </c>
      <c r="AH1253" s="1299" t="s">
        <v>7426</v>
      </c>
      <c r="AI1253" s="1299" t="s">
        <v>7427</v>
      </c>
      <c r="AJ1253" s="1299"/>
      <c r="AK1253" s="1295"/>
      <c r="AL1253" s="1295"/>
      <c r="AM1253" s="1295"/>
      <c r="AN1253" s="1295"/>
      <c r="AO1253" s="1295"/>
      <c r="AP1253" s="1295"/>
      <c r="AQ1253" s="1296"/>
      <c r="AR1253" s="1296"/>
      <c r="AS1253" s="1296"/>
      <c r="AT1253" s="1296"/>
      <c r="AU1253" s="1296"/>
      <c r="AV1253" s="1296"/>
      <c r="AW1253" s="1296"/>
      <c r="AX1253" s="1296"/>
      <c r="AY1253" s="1296"/>
      <c r="AZ1253" s="1296"/>
      <c r="BA1253" s="1296"/>
      <c r="BB1253" s="1296"/>
      <c r="BC1253" s="1296"/>
      <c r="BD1253" s="1296"/>
      <c r="BE1253" s="1296"/>
      <c r="BF1253" s="1296"/>
      <c r="BG1253" s="1296"/>
      <c r="BH1253" s="1296"/>
      <c r="BI1253" s="1296"/>
      <c r="BJ1253" s="1296"/>
      <c r="BK1253" s="1296"/>
      <c r="BL1253" s="1297"/>
      <c r="BM1253" s="1297"/>
      <c r="BN1253" s="1297"/>
      <c r="BO1253" s="1297"/>
      <c r="BP1253" s="1297"/>
      <c r="BQ1253" s="1297"/>
      <c r="BR1253" s="1297"/>
      <c r="BS1253" s="1297"/>
      <c r="BT1253" s="1297"/>
      <c r="BU1253" s="1297"/>
      <c r="BV1253" s="1297"/>
      <c r="BW1253" s="1297"/>
      <c r="BX1253" s="1297"/>
      <c r="BY1253" s="1297"/>
      <c r="BZ1253" s="1297"/>
      <c r="CA1253" s="1297"/>
      <c r="CB1253" s="1298"/>
    </row>
    <row r="1254" spans="1:80" ht="12.75" customHeight="1" x14ac:dyDescent="0.2">
      <c r="A1254" s="227">
        <v>1254</v>
      </c>
      <c r="B1254" s="5988"/>
      <c r="C1254" s="1000"/>
      <c r="D1254" s="58"/>
      <c r="E1254" s="1003" t="s">
        <v>10290</v>
      </c>
      <c r="F1254" s="77">
        <v>0</v>
      </c>
      <c r="G1254" s="77">
        <v>10</v>
      </c>
      <c r="H1254" s="77">
        <f>COUNTIF(HabilidadesEsenciales_Adquiridas,Tablas!E1254)</f>
        <v>0</v>
      </c>
      <c r="I1254" s="1005">
        <v>1</v>
      </c>
      <c r="J1254" s="176" t="b">
        <f>SUM($H$1254:$H$1258)&gt;0</f>
        <v>0</v>
      </c>
      <c r="K1254" s="996" t="str">
        <f>IFERROR(LEFT(L1254,LEN(L1254)-2),"")</f>
        <v/>
      </c>
      <c r="L1254" t="str">
        <f>IF(H1254,"Gusto, ","")&amp;IF(H1255,"Oído, ","")&amp;IF(H1256,"Olfato, ","")&amp;IF(H1257,"Tacto, ","")&amp;IF(H1258,"Vista, ","")</f>
        <v/>
      </c>
      <c r="M1254" s="326"/>
      <c r="N1254" s="21"/>
      <c r="O1254" s="134" t="s">
        <v>7653</v>
      </c>
      <c r="P1254" s="998">
        <v>5</v>
      </c>
      <c r="Q1254" s="176">
        <v>50</v>
      </c>
      <c r="R1254" s="1005">
        <f>COUNTIF(PoderesDeCriatura_Adquiridos,Tablas!O1254)</f>
        <v>0</v>
      </c>
      <c r="S1254" s="176"/>
      <c r="T1254" s="996"/>
      <c r="W1254" s="1028" t="s">
        <v>7100</v>
      </c>
      <c r="X1254" s="304"/>
      <c r="Y1254" s="834" t="str">
        <f t="shared" si="284"/>
        <v>PodHab_Críticoincrementado</v>
      </c>
      <c r="Z1254" s="1293" t="s">
        <v>7428</v>
      </c>
      <c r="AA1254" s="1299" t="s">
        <v>7429</v>
      </c>
      <c r="AB1254" s="1299" t="s">
        <v>7430</v>
      </c>
      <c r="AC1254" s="1299" t="s">
        <v>7431</v>
      </c>
      <c r="AD1254" s="1299" t="s">
        <v>7432</v>
      </c>
      <c r="AE1254" s="1299" t="s">
        <v>7433</v>
      </c>
      <c r="AF1254" s="1299" t="s">
        <v>7434</v>
      </c>
      <c r="AG1254" s="1299" t="s">
        <v>7435</v>
      </c>
      <c r="AH1254" s="1299" t="s">
        <v>7436</v>
      </c>
      <c r="AI1254" s="1299" t="s">
        <v>7437</v>
      </c>
      <c r="AJ1254" s="1299"/>
      <c r="AK1254" s="1295"/>
      <c r="AL1254" s="1295"/>
      <c r="AM1254" s="1295"/>
      <c r="AN1254" s="1295"/>
      <c r="AO1254" s="1295"/>
      <c r="AP1254" s="1295"/>
      <c r="AQ1254" s="1296"/>
      <c r="AR1254" s="1296"/>
      <c r="AS1254" s="1296"/>
      <c r="AT1254" s="1296"/>
      <c r="AU1254" s="1296"/>
      <c r="AV1254" s="1296"/>
      <c r="AW1254" s="1296"/>
      <c r="AX1254" s="1296"/>
      <c r="AY1254" s="1296"/>
      <c r="AZ1254" s="1296"/>
      <c r="BA1254" s="1296"/>
      <c r="BB1254" s="1296"/>
      <c r="BC1254" s="1296"/>
      <c r="BD1254" s="1296"/>
      <c r="BE1254" s="1296"/>
      <c r="BF1254" s="1296"/>
      <c r="BG1254" s="1296"/>
      <c r="BH1254" s="1296"/>
      <c r="BI1254" s="1296"/>
      <c r="BJ1254" s="1296"/>
      <c r="BK1254" s="1296"/>
      <c r="BL1254" s="1297"/>
      <c r="BM1254" s="1297"/>
      <c r="BN1254" s="1297"/>
      <c r="BO1254" s="1297"/>
      <c r="BP1254" s="1297"/>
      <c r="BQ1254" s="1297"/>
      <c r="BR1254" s="1297"/>
      <c r="BS1254" s="1297"/>
      <c r="BT1254" s="1297"/>
      <c r="BU1254" s="1297"/>
      <c r="BV1254" s="1297"/>
      <c r="BW1254" s="1297"/>
      <c r="BX1254" s="1297"/>
      <c r="BY1254" s="1297"/>
      <c r="BZ1254" s="1297"/>
      <c r="CA1254" s="1297"/>
      <c r="CB1254" s="1298"/>
    </row>
    <row r="1255" spans="1:80" ht="12.75" customHeight="1" x14ac:dyDescent="0.2">
      <c r="A1255" s="227">
        <v>1255</v>
      </c>
      <c r="B1255" s="5988"/>
      <c r="C1255" s="1000"/>
      <c r="D1255" s="58"/>
      <c r="E1255" s="1003" t="s">
        <v>10291</v>
      </c>
      <c r="F1255" s="2665">
        <v>0</v>
      </c>
      <c r="G1255" s="2665">
        <v>10</v>
      </c>
      <c r="H1255" s="2665">
        <f>COUNTIF(HabilidadesEsenciales_Adquiridas,Tablas!E1255)</f>
        <v>0</v>
      </c>
      <c r="I1255" s="1005">
        <v>1</v>
      </c>
      <c r="J1255" s="176"/>
      <c r="K1255" s="996"/>
      <c r="M1255" s="326"/>
      <c r="N1255" s="21"/>
      <c r="O1255" s="134" t="s">
        <v>7654</v>
      </c>
      <c r="P1255" s="998">
        <v>5</v>
      </c>
      <c r="Q1255" s="176">
        <v>60</v>
      </c>
      <c r="R1255" s="1005">
        <f>COUNTIF(PoderesDeCriatura_Adquiridos,Tablas!O1255)</f>
        <v>0</v>
      </c>
      <c r="S1255" s="176"/>
      <c r="T1255" s="996"/>
      <c r="W1255" s="1028" t="s">
        <v>8315</v>
      </c>
      <c r="X1255" s="304"/>
      <c r="Y1255" s="834"/>
      <c r="Z1255" s="1293"/>
      <c r="AA1255" s="1299"/>
      <c r="AB1255" s="1299"/>
      <c r="AC1255" s="1299"/>
      <c r="AD1255" s="1299"/>
      <c r="AE1255" s="1299"/>
      <c r="AF1255" s="1299"/>
      <c r="AG1255" s="1299"/>
      <c r="AH1255" s="1299"/>
      <c r="AI1255" s="1299"/>
      <c r="AJ1255" s="1299"/>
      <c r="AK1255" s="1295"/>
      <c r="AL1255" s="1295"/>
      <c r="AM1255" s="1295"/>
      <c r="AN1255" s="1295"/>
      <c r="AO1255" s="1295"/>
      <c r="AP1255" s="1295"/>
      <c r="AQ1255" s="1296"/>
      <c r="AR1255" s="1296"/>
      <c r="AS1255" s="1296"/>
      <c r="AT1255" s="1296"/>
      <c r="AU1255" s="1296"/>
      <c r="AV1255" s="1296"/>
      <c r="AW1255" s="1296"/>
      <c r="AX1255" s="1296"/>
      <c r="AY1255" s="1296"/>
      <c r="AZ1255" s="1296"/>
      <c r="BA1255" s="1296"/>
      <c r="BB1255" s="1296"/>
      <c r="BC1255" s="1296"/>
      <c r="BD1255" s="1296"/>
      <c r="BE1255" s="1296"/>
      <c r="BF1255" s="1296"/>
      <c r="BG1255" s="1296"/>
      <c r="BH1255" s="1296"/>
      <c r="BI1255" s="1296"/>
      <c r="BJ1255" s="1296"/>
      <c r="BK1255" s="1296"/>
      <c r="BL1255" s="1297"/>
      <c r="BM1255" s="1297"/>
      <c r="BN1255" s="1297"/>
      <c r="BO1255" s="1297"/>
      <c r="BP1255" s="1297"/>
      <c r="BQ1255" s="1297"/>
      <c r="BR1255" s="1297"/>
      <c r="BS1255" s="1297"/>
      <c r="BT1255" s="1297"/>
      <c r="BU1255" s="1297"/>
      <c r="BV1255" s="1297"/>
      <c r="BW1255" s="1297"/>
      <c r="BX1255" s="1297"/>
      <c r="BY1255" s="1297"/>
      <c r="BZ1255" s="1297"/>
      <c r="CA1255" s="1297"/>
      <c r="CB1255" s="1298"/>
    </row>
    <row r="1256" spans="1:80" ht="12.75" customHeight="1" x14ac:dyDescent="0.2">
      <c r="A1256" s="227">
        <v>1256</v>
      </c>
      <c r="B1256" s="5988"/>
      <c r="C1256" s="1000"/>
      <c r="D1256" s="58"/>
      <c r="E1256" s="1003" t="s">
        <v>10292</v>
      </c>
      <c r="F1256" s="2665">
        <v>0</v>
      </c>
      <c r="G1256" s="2665">
        <v>10</v>
      </c>
      <c r="H1256" s="2665">
        <f>COUNTIF(HabilidadesEsenciales_Adquiridas,Tablas!E1256)</f>
        <v>0</v>
      </c>
      <c r="I1256" s="1005">
        <v>1</v>
      </c>
      <c r="J1256" s="176"/>
      <c r="K1256" s="996"/>
      <c r="M1256" s="326"/>
      <c r="N1256" s="21"/>
      <c r="O1256" s="134" t="s">
        <v>7655</v>
      </c>
      <c r="P1256" s="998">
        <v>10</v>
      </c>
      <c r="Q1256" s="176">
        <v>80</v>
      </c>
      <c r="R1256" s="1005">
        <f>COUNTIF(PoderesDeCriatura_Adquiridos,Tablas!O1256)</f>
        <v>0</v>
      </c>
      <c r="S1256" s="176"/>
      <c r="T1256" s="996"/>
      <c r="W1256" s="1028" t="s">
        <v>1637</v>
      </c>
      <c r="X1256" s="304"/>
      <c r="Y1256" s="834" t="str">
        <f>IF(Z1256="","",SUBSTITUTE("PodHab_"&amp;W1256," ",""))</f>
        <v>PodHab_Dañoincrementado</v>
      </c>
      <c r="Z1256" s="1293" t="s">
        <v>7438</v>
      </c>
      <c r="AA1256" s="1299" t="s">
        <v>7439</v>
      </c>
      <c r="AB1256" s="1299" t="s">
        <v>7440</v>
      </c>
      <c r="AC1256" s="1299" t="s">
        <v>7441</v>
      </c>
      <c r="AD1256" s="1299" t="s">
        <v>7442</v>
      </c>
      <c r="AE1256" s="1299" t="s">
        <v>7443</v>
      </c>
      <c r="AF1256" s="1299" t="s">
        <v>7444</v>
      </c>
      <c r="AG1256" s="1299" t="s">
        <v>7445</v>
      </c>
      <c r="AH1256" s="1299" t="s">
        <v>7446</v>
      </c>
      <c r="AI1256" s="1295"/>
      <c r="AJ1256" s="1295"/>
      <c r="AK1256" s="1295"/>
      <c r="AL1256" s="1295"/>
      <c r="AM1256" s="1295"/>
      <c r="AN1256" s="1295"/>
      <c r="AO1256" s="1295"/>
      <c r="AP1256" s="1295"/>
      <c r="AQ1256" s="1296"/>
      <c r="AR1256" s="1296"/>
      <c r="AS1256" s="1296"/>
      <c r="AT1256" s="1296"/>
      <c r="AU1256" s="1296"/>
      <c r="AV1256" s="1296"/>
      <c r="AW1256" s="1296"/>
      <c r="AX1256" s="1296"/>
      <c r="AY1256" s="1296"/>
      <c r="AZ1256" s="1296"/>
      <c r="BA1256" s="1296"/>
      <c r="BB1256" s="1296"/>
      <c r="BC1256" s="1296"/>
      <c r="BD1256" s="1296"/>
      <c r="BE1256" s="1296"/>
      <c r="BF1256" s="1296"/>
      <c r="BG1256" s="1296"/>
      <c r="BH1256" s="1296"/>
      <c r="BI1256" s="1296"/>
      <c r="BJ1256" s="1296"/>
      <c r="BK1256" s="1296"/>
      <c r="BL1256" s="1297"/>
      <c r="BM1256" s="1297"/>
      <c r="BN1256" s="1297"/>
      <c r="BO1256" s="1297"/>
      <c r="BP1256" s="1297"/>
      <c r="BQ1256" s="1297"/>
      <c r="BR1256" s="1297"/>
      <c r="BS1256" s="1297"/>
      <c r="BT1256" s="1297"/>
      <c r="BU1256" s="1297"/>
      <c r="BV1256" s="1297"/>
      <c r="BW1256" s="1297"/>
      <c r="BX1256" s="1297"/>
      <c r="BY1256" s="1297"/>
      <c r="BZ1256" s="1297"/>
      <c r="CA1256" s="1297"/>
      <c r="CB1256" s="1298"/>
    </row>
    <row r="1257" spans="1:80" ht="12.75" customHeight="1" x14ac:dyDescent="0.2">
      <c r="A1257" s="227">
        <v>1257</v>
      </c>
      <c r="B1257" s="5988"/>
      <c r="C1257" s="1000"/>
      <c r="D1257" s="58"/>
      <c r="E1257" s="1003" t="s">
        <v>10293</v>
      </c>
      <c r="F1257" s="2665">
        <v>0</v>
      </c>
      <c r="G1257" s="2665">
        <v>10</v>
      </c>
      <c r="H1257" s="2665">
        <f>COUNTIF(HabilidadesEsenciales_Adquiridas,Tablas!E1257)</f>
        <v>0</v>
      </c>
      <c r="I1257" s="1005">
        <v>1</v>
      </c>
      <c r="J1257" s="176"/>
      <c r="K1257" s="996"/>
      <c r="M1257" s="326"/>
      <c r="N1257" s="21"/>
      <c r="O1257" s="134" t="s">
        <v>7656</v>
      </c>
      <c r="P1257" s="998">
        <v>15</v>
      </c>
      <c r="Q1257" s="176">
        <v>100</v>
      </c>
      <c r="R1257" s="1005">
        <f>COUNTIF(PoderesDeCriatura_Adquiridos,Tablas!O1257)</f>
        <v>0</v>
      </c>
      <c r="S1257" s="176"/>
      <c r="T1257" s="996"/>
      <c r="W1257" s="1028" t="s">
        <v>7336</v>
      </c>
      <c r="X1257" s="304"/>
      <c r="Y1257" s="834" t="str">
        <f>IF(Z1257="","",SUBSTITUTE("PodHab_"&amp;W1257," ",""))</f>
        <v>PodHab_Efectomísticoañadido</v>
      </c>
      <c r="Z1257" s="1293" t="s">
        <v>7447</v>
      </c>
      <c r="AA1257" s="1299" t="s">
        <v>7448</v>
      </c>
      <c r="AB1257" s="1299" t="s">
        <v>4695</v>
      </c>
      <c r="AC1257" s="1299" t="s">
        <v>4696</v>
      </c>
      <c r="AD1257" s="1299" t="s">
        <v>3797</v>
      </c>
      <c r="AE1257" s="1299" t="s">
        <v>3798</v>
      </c>
      <c r="AF1257" s="1299" t="s">
        <v>3799</v>
      </c>
      <c r="AG1257" s="1299" t="s">
        <v>3800</v>
      </c>
      <c r="AH1257" s="1299" t="s">
        <v>7449</v>
      </c>
      <c r="AI1257" s="1299" t="s">
        <v>3167</v>
      </c>
      <c r="AJ1257" s="1299" t="s">
        <v>628</v>
      </c>
      <c r="AK1257" s="1299" t="s">
        <v>3164</v>
      </c>
      <c r="AL1257" s="1299" t="s">
        <v>7450</v>
      </c>
      <c r="AM1257" s="1299" t="s">
        <v>453</v>
      </c>
      <c r="AN1257" s="1299" t="s">
        <v>7451</v>
      </c>
      <c r="AO1257" s="1299" t="s">
        <v>7452</v>
      </c>
      <c r="AP1257" s="1299" t="s">
        <v>577</v>
      </c>
      <c r="AQ1257" s="1297" t="s">
        <v>440</v>
      </c>
      <c r="AR1257" s="1297" t="s">
        <v>441</v>
      </c>
      <c r="AS1257" s="1297" t="s">
        <v>442</v>
      </c>
      <c r="AT1257" s="1297" t="s">
        <v>3165</v>
      </c>
      <c r="AU1257" s="1297" t="s">
        <v>7453</v>
      </c>
      <c r="AV1257" s="1297" t="s">
        <v>7454</v>
      </c>
      <c r="AW1257" s="1297" t="s">
        <v>3166</v>
      </c>
      <c r="AX1257" s="1297" t="s">
        <v>467</v>
      </c>
      <c r="AY1257" s="1297" t="s">
        <v>84</v>
      </c>
      <c r="AZ1257" s="1297" t="s">
        <v>40</v>
      </c>
      <c r="BA1257" s="1297" t="s">
        <v>7455</v>
      </c>
      <c r="BB1257" s="1297" t="s">
        <v>7456</v>
      </c>
      <c r="BC1257" s="1297" t="s">
        <v>9986</v>
      </c>
      <c r="BD1257" s="1297" t="s">
        <v>9987</v>
      </c>
      <c r="BE1257" s="1297" t="s">
        <v>489</v>
      </c>
      <c r="BF1257" s="1297" t="s">
        <v>7457</v>
      </c>
      <c r="BG1257" s="1297" t="s">
        <v>7458</v>
      </c>
      <c r="BH1257" s="1297" t="s">
        <v>7459</v>
      </c>
      <c r="BI1257" s="1297" t="s">
        <v>7460</v>
      </c>
      <c r="BJ1257" s="1297" t="s">
        <v>7461</v>
      </c>
      <c r="BK1257" s="1297"/>
      <c r="BL1257" s="1297"/>
      <c r="BM1257" s="1297"/>
      <c r="BN1257" s="1297"/>
      <c r="BO1257" s="1297"/>
      <c r="BP1257" s="1297"/>
      <c r="BQ1257" s="1297"/>
      <c r="BR1257" s="1297"/>
      <c r="BS1257" s="1297"/>
      <c r="BT1257" s="1297"/>
      <c r="BU1257" s="1297"/>
      <c r="BV1257" s="1297"/>
      <c r="BW1257" s="1297"/>
      <c r="BX1257" s="1297"/>
      <c r="BY1257" s="1297"/>
      <c r="BZ1257" s="1297"/>
      <c r="CA1257" s="1297"/>
      <c r="CB1257" s="1298"/>
    </row>
    <row r="1258" spans="1:80" ht="12.75" customHeight="1" x14ac:dyDescent="0.2">
      <c r="A1258" s="227">
        <v>1258</v>
      </c>
      <c r="B1258" s="5988"/>
      <c r="C1258" s="1000"/>
      <c r="D1258" s="58"/>
      <c r="E1258" s="1003" t="s">
        <v>10294</v>
      </c>
      <c r="F1258" s="2665">
        <v>0</v>
      </c>
      <c r="G1258" s="2665">
        <v>10</v>
      </c>
      <c r="H1258" s="2665">
        <f>COUNTIF(HabilidadesEsenciales_Adquiridas,Tablas!E1258)</f>
        <v>0</v>
      </c>
      <c r="I1258" s="1005">
        <v>1</v>
      </c>
      <c r="J1258" s="176"/>
      <c r="K1258" s="996"/>
      <c r="M1258" s="326"/>
      <c r="N1258" s="21"/>
      <c r="O1258" s="134" t="s">
        <v>7657</v>
      </c>
      <c r="P1258" s="998">
        <v>0</v>
      </c>
      <c r="Q1258" s="176">
        <v>10</v>
      </c>
      <c r="R1258" s="1005">
        <f>COUNTIF(PoderesDeCriatura_Adquiridos,Tablas!O1258)</f>
        <v>0</v>
      </c>
      <c r="S1258" s="176"/>
      <c r="T1258" s="996"/>
      <c r="W1258" s="1028" t="s">
        <v>7334</v>
      </c>
      <c r="X1258" s="304"/>
      <c r="Y1258" s="834" t="str">
        <f>IF(Z1258="","",SUBSTITUTE("PodHab_"&amp;W1258," ",""))</f>
        <v>PodHab_Modificadordearmadura</v>
      </c>
      <c r="Z1258" s="1293" t="s">
        <v>7462</v>
      </c>
      <c r="AA1258" s="1299" t="s">
        <v>7463</v>
      </c>
      <c r="AB1258" s="1299" t="s">
        <v>7464</v>
      </c>
      <c r="AC1258" s="1299" t="s">
        <v>7465</v>
      </c>
      <c r="AD1258" s="1299" t="s">
        <v>7466</v>
      </c>
      <c r="AE1258" s="1295"/>
      <c r="AF1258" s="1295"/>
      <c r="AG1258" s="1295"/>
      <c r="AH1258" s="1295"/>
      <c r="AI1258" s="1295"/>
      <c r="AJ1258" s="1295"/>
      <c r="AK1258" s="1295"/>
      <c r="AL1258" s="1295"/>
      <c r="AM1258" s="1295"/>
      <c r="AN1258" s="1295"/>
      <c r="AO1258" s="1295"/>
      <c r="AP1258" s="1295"/>
      <c r="AQ1258" s="1296"/>
      <c r="AR1258" s="1296"/>
      <c r="AS1258" s="1296"/>
      <c r="AT1258" s="1296"/>
      <c r="AU1258" s="1296"/>
      <c r="AV1258" s="1296"/>
      <c r="AW1258" s="1296"/>
      <c r="AX1258" s="1296"/>
      <c r="AY1258" s="1296"/>
      <c r="AZ1258" s="1296"/>
      <c r="BA1258" s="1296"/>
      <c r="BB1258" s="1296"/>
      <c r="BC1258" s="1296"/>
      <c r="BD1258" s="1296"/>
      <c r="BE1258" s="1296"/>
      <c r="BF1258" s="1296"/>
      <c r="BG1258" s="1296"/>
      <c r="BH1258" s="1296"/>
      <c r="BI1258" s="1296"/>
      <c r="BJ1258" s="1296"/>
      <c r="BK1258" s="1296"/>
      <c r="BL1258" s="1297"/>
      <c r="BM1258" s="1297"/>
      <c r="BN1258" s="1297"/>
      <c r="BO1258" s="1297"/>
      <c r="BP1258" s="1297"/>
      <c r="BQ1258" s="1297"/>
      <c r="BR1258" s="1297"/>
      <c r="BS1258" s="1297"/>
      <c r="BT1258" s="1297"/>
      <c r="BU1258" s="1297"/>
      <c r="BV1258" s="1297"/>
      <c r="BW1258" s="1297"/>
      <c r="BX1258" s="1297"/>
      <c r="BY1258" s="1297"/>
      <c r="BZ1258" s="1297"/>
      <c r="CA1258" s="1297"/>
      <c r="CB1258" s="1298"/>
    </row>
    <row r="1259" spans="1:80" ht="12.75" customHeight="1" x14ac:dyDescent="0.2">
      <c r="A1259" s="227">
        <v>1259</v>
      </c>
      <c r="B1259" s="5988"/>
      <c r="C1259" s="1000"/>
      <c r="D1259" s="58"/>
      <c r="E1259" s="1003" t="s">
        <v>1254</v>
      </c>
      <c r="F1259" s="77">
        <v>5</v>
      </c>
      <c r="G1259" s="77">
        <v>10</v>
      </c>
      <c r="H1259" s="77">
        <f>COUNTIF(HabilidadesEsenciales_Adquiridas,Tablas!E1259)</f>
        <v>0</v>
      </c>
      <c r="I1259" s="1005"/>
      <c r="J1259" s="176"/>
      <c r="K1259" s="996"/>
      <c r="M1259" s="326"/>
      <c r="N1259" s="21"/>
      <c r="O1259" s="134" t="s">
        <v>7658</v>
      </c>
      <c r="P1259" s="998">
        <v>0</v>
      </c>
      <c r="Q1259" s="176">
        <v>20</v>
      </c>
      <c r="R1259" s="1005">
        <f>COUNTIF(PoderesDeCriatura_Adquiridos,Tablas!O1259)</f>
        <v>0</v>
      </c>
      <c r="S1259" s="176"/>
      <c r="T1259" s="996"/>
      <c r="W1259" s="1028" t="s">
        <v>7337</v>
      </c>
      <c r="X1259" s="304"/>
      <c r="Y1259" s="834" t="str">
        <f>IF(Z1259="","",SUBSTITUTE("PodHab_"&amp;W1259," ",""))</f>
        <v>PodHab_Presaespecial</v>
      </c>
      <c r="Z1259" s="1293" t="s">
        <v>7467</v>
      </c>
      <c r="AA1259" s="1299" t="s">
        <v>7468</v>
      </c>
      <c r="AB1259" s="1299" t="s">
        <v>7469</v>
      </c>
      <c r="AC1259" s="1299" t="s">
        <v>7470</v>
      </c>
      <c r="AD1259" s="1299" t="s">
        <v>7471</v>
      </c>
      <c r="AE1259" s="1299" t="s">
        <v>7472</v>
      </c>
      <c r="AF1259" s="1295"/>
      <c r="AG1259" s="1295"/>
      <c r="AH1259" s="1295"/>
      <c r="AI1259" s="1295"/>
      <c r="AJ1259" s="1295"/>
      <c r="AK1259" s="1295"/>
      <c r="AL1259" s="1295"/>
      <c r="AM1259" s="1295"/>
      <c r="AN1259" s="1295"/>
      <c r="AO1259" s="1295"/>
      <c r="AP1259" s="1295"/>
      <c r="AQ1259" s="1296"/>
      <c r="AR1259" s="1296"/>
      <c r="AS1259" s="1296"/>
      <c r="AT1259" s="1296"/>
      <c r="AU1259" s="1296"/>
      <c r="AV1259" s="1296"/>
      <c r="AW1259" s="1296"/>
      <c r="AX1259" s="1296"/>
      <c r="AY1259" s="1296"/>
      <c r="AZ1259" s="1296"/>
      <c r="BA1259" s="1296"/>
      <c r="BB1259" s="1296"/>
      <c r="BC1259" s="1296"/>
      <c r="BD1259" s="1296"/>
      <c r="BE1259" s="1296"/>
      <c r="BF1259" s="1296"/>
      <c r="BG1259" s="1296"/>
      <c r="BH1259" s="1296"/>
      <c r="BI1259" s="1296"/>
      <c r="BJ1259" s="1296"/>
      <c r="BK1259" s="1296"/>
      <c r="BL1259" s="1297"/>
      <c r="BM1259" s="1297"/>
      <c r="BN1259" s="1297"/>
      <c r="BO1259" s="1297"/>
      <c r="BP1259" s="1297"/>
      <c r="BQ1259" s="1297"/>
      <c r="BR1259" s="1297"/>
      <c r="BS1259" s="1297"/>
      <c r="BT1259" s="1297"/>
      <c r="BU1259" s="1297"/>
      <c r="BV1259" s="1297"/>
      <c r="BW1259" s="1297"/>
      <c r="BX1259" s="1297"/>
      <c r="BY1259" s="1297"/>
      <c r="BZ1259" s="1297"/>
      <c r="CA1259" s="1297"/>
      <c r="CB1259" s="1298"/>
    </row>
    <row r="1260" spans="1:80" ht="12.75" customHeight="1" x14ac:dyDescent="0.2">
      <c r="A1260" s="227">
        <v>1260</v>
      </c>
      <c r="B1260" s="5988"/>
      <c r="C1260" s="1000"/>
      <c r="D1260" s="58"/>
      <c r="E1260" s="1003" t="s">
        <v>1255</v>
      </c>
      <c r="F1260" s="77">
        <v>0</v>
      </c>
      <c r="G1260" s="77">
        <v>20</v>
      </c>
      <c r="H1260" s="77">
        <f>COUNTIF(HabilidadesEsenciales_Adquiridas,Tablas!E1260)</f>
        <v>0</v>
      </c>
      <c r="I1260" s="1005">
        <v>1</v>
      </c>
      <c r="J1260" s="176">
        <f>IF(H1264&gt;0,20,IF(H1262&gt;0,15,IF(H1260&gt;0,13,10)))</f>
        <v>10</v>
      </c>
      <c r="K1260" s="996" t="s">
        <v>8296</v>
      </c>
      <c r="M1260" s="326"/>
      <c r="N1260" s="21"/>
      <c r="O1260" s="134" t="s">
        <v>7659</v>
      </c>
      <c r="P1260" s="998">
        <v>0</v>
      </c>
      <c r="Q1260" s="176">
        <v>30</v>
      </c>
      <c r="R1260" s="1005">
        <f>COUNTIF(PoderesDeCriatura_Adquiridos,Tablas!O1260)</f>
        <v>0</v>
      </c>
      <c r="S1260" s="176"/>
      <c r="T1260" s="996"/>
      <c r="W1260" s="1028" t="s">
        <v>7333</v>
      </c>
      <c r="X1260" s="304"/>
      <c r="Y1260" s="834" t="str">
        <f>IF(Z1260="","",SUBSTITUTE("PodHab_"&amp;W1260," ",""))</f>
        <v>PodHab_Reacciónincrementada</v>
      </c>
      <c r="Z1260" s="1293" t="s">
        <v>7473</v>
      </c>
      <c r="AA1260" s="1299" t="s">
        <v>7474</v>
      </c>
      <c r="AB1260" s="1299" t="s">
        <v>7475</v>
      </c>
      <c r="AC1260" s="1295"/>
      <c r="AD1260" s="1295"/>
      <c r="AE1260" s="1295"/>
      <c r="AF1260" s="1295"/>
      <c r="AG1260" s="1295"/>
      <c r="AH1260" s="1295"/>
      <c r="AI1260" s="1295"/>
      <c r="AJ1260" s="1295"/>
      <c r="AK1260" s="1295"/>
      <c r="AL1260" s="1295"/>
      <c r="AM1260" s="1295"/>
      <c r="AN1260" s="1295"/>
      <c r="AO1260" s="1295"/>
      <c r="AP1260" s="1295"/>
      <c r="AQ1260" s="1296"/>
      <c r="AR1260" s="1296"/>
      <c r="AS1260" s="1296"/>
      <c r="AT1260" s="1296"/>
      <c r="AU1260" s="1296"/>
      <c r="AV1260" s="1296"/>
      <c r="AW1260" s="1296"/>
      <c r="AX1260" s="1296"/>
      <c r="AY1260" s="1296"/>
      <c r="AZ1260" s="1296"/>
      <c r="BA1260" s="1296"/>
      <c r="BB1260" s="1296"/>
      <c r="BC1260" s="1296"/>
      <c r="BD1260" s="1296"/>
      <c r="BE1260" s="1296"/>
      <c r="BF1260" s="1296"/>
      <c r="BG1260" s="1296"/>
      <c r="BH1260" s="1296"/>
      <c r="BI1260" s="1296"/>
      <c r="BJ1260" s="1296"/>
      <c r="BK1260" s="1296"/>
      <c r="BL1260" s="1297"/>
      <c r="BM1260" s="1297"/>
      <c r="BN1260" s="1297"/>
      <c r="BO1260" s="1297"/>
      <c r="BP1260" s="1297"/>
      <c r="BQ1260" s="1297"/>
      <c r="BR1260" s="1297"/>
      <c r="BS1260" s="1297"/>
      <c r="BT1260" s="1297"/>
      <c r="BU1260" s="1297"/>
      <c r="BV1260" s="1297"/>
      <c r="BW1260" s="1297"/>
      <c r="BX1260" s="1297"/>
      <c r="BY1260" s="1297"/>
      <c r="BZ1260" s="1297"/>
      <c r="CA1260" s="1297"/>
      <c r="CB1260" s="1298"/>
    </row>
    <row r="1261" spans="1:80" ht="12.75" customHeight="1" x14ac:dyDescent="0.2">
      <c r="A1261" s="227">
        <v>1261</v>
      </c>
      <c r="B1261" s="5988"/>
      <c r="C1261" s="1000"/>
      <c r="D1261" s="58"/>
      <c r="E1261" s="1003" t="s">
        <v>1256</v>
      </c>
      <c r="F1261" s="77">
        <v>5</v>
      </c>
      <c r="G1261" s="77">
        <v>20</v>
      </c>
      <c r="H1261" s="77">
        <f>COUNTIF(HabilidadesEsenciales_Adquiridas,Tablas!E1261)</f>
        <v>0</v>
      </c>
      <c r="I1261" s="1005">
        <v>1</v>
      </c>
      <c r="J1261" s="176">
        <f>IF(H1265&gt;0,20,IF(H1263&gt;0,15,IF(H1261&gt;0,13,10)))</f>
        <v>10</v>
      </c>
      <c r="K1261" s="996" t="s">
        <v>8297</v>
      </c>
      <c r="M1261" s="326"/>
      <c r="N1261" s="21"/>
      <c r="O1261" s="134" t="s">
        <v>7660</v>
      </c>
      <c r="P1261" s="998">
        <v>0</v>
      </c>
      <c r="Q1261" s="176">
        <v>40</v>
      </c>
      <c r="R1261" s="1005">
        <f>COUNTIF(PoderesDeCriatura_Adquiridos,Tablas!O1261)</f>
        <v>0</v>
      </c>
      <c r="S1261" s="176"/>
      <c r="T1261" s="996"/>
      <c r="W1261" s="1028" t="s">
        <v>1309</v>
      </c>
      <c r="X1261" s="758"/>
      <c r="Y1261" s="834"/>
      <c r="Z1261" s="1293" t="s">
        <v>6926</v>
      </c>
      <c r="AA1261" s="1299"/>
      <c r="AB1261" s="1299"/>
      <c r="AC1261" s="1299"/>
      <c r="AD1261" s="1299"/>
      <c r="AE1261" s="1299"/>
      <c r="AF1261" s="1299"/>
      <c r="AG1261" s="1299"/>
      <c r="AH1261" s="1299"/>
      <c r="AI1261" s="1299"/>
      <c r="AJ1261" s="1299"/>
      <c r="AK1261" s="1299"/>
      <c r="AL1261" s="1299"/>
      <c r="AM1261" s="1299"/>
      <c r="AN1261" s="1299"/>
      <c r="AO1261" s="1299"/>
      <c r="AP1261" s="1299"/>
      <c r="AQ1261" s="1297"/>
      <c r="AR1261" s="1297"/>
      <c r="AS1261" s="1297"/>
      <c r="AT1261" s="1297"/>
      <c r="AU1261" s="1297"/>
      <c r="AV1261" s="1297"/>
      <c r="AW1261" s="1297"/>
      <c r="AX1261" s="1297"/>
      <c r="AY1261" s="1297"/>
      <c r="AZ1261" s="1297"/>
      <c r="BA1261" s="1297"/>
      <c r="BB1261" s="1297"/>
      <c r="BC1261" s="1297"/>
      <c r="BD1261" s="1297"/>
      <c r="BE1261" s="1297"/>
      <c r="BF1261" s="1297"/>
      <c r="BG1261" s="1297"/>
      <c r="BH1261" s="1297"/>
      <c r="BI1261" s="1297"/>
      <c r="BJ1261" s="1297"/>
      <c r="BK1261" s="1297"/>
      <c r="BL1261" s="1297"/>
      <c r="BM1261" s="1297"/>
      <c r="BN1261" s="1297"/>
      <c r="BO1261" s="1297"/>
      <c r="BP1261" s="1297"/>
      <c r="BQ1261" s="1297"/>
      <c r="BR1261" s="1297"/>
      <c r="BS1261" s="1297"/>
      <c r="BT1261" s="1297"/>
      <c r="BU1261" s="1297"/>
      <c r="BV1261" s="1297"/>
      <c r="BW1261" s="1297"/>
      <c r="BX1261" s="1297"/>
      <c r="BY1261" s="1297"/>
      <c r="BZ1261" s="1297"/>
      <c r="CA1261" s="1297"/>
      <c r="CB1261" s="1298"/>
    </row>
    <row r="1262" spans="1:80" ht="12.75" customHeight="1" x14ac:dyDescent="0.2">
      <c r="A1262" s="227">
        <v>1262</v>
      </c>
      <c r="B1262" s="5988"/>
      <c r="C1262" s="1000"/>
      <c r="D1262" s="58"/>
      <c r="E1262" s="1003" t="s">
        <v>1257</v>
      </c>
      <c r="F1262" s="77">
        <v>20</v>
      </c>
      <c r="G1262" s="77">
        <v>40</v>
      </c>
      <c r="H1262" s="77">
        <f>COUNTIF(HabilidadesEsenciales_Adquiridas,Tablas!E1262)</f>
        <v>0</v>
      </c>
      <c r="I1262" s="1005">
        <v>1</v>
      </c>
      <c r="J1262" s="176"/>
      <c r="K1262" s="996"/>
      <c r="M1262" s="326"/>
      <c r="N1262" s="21"/>
      <c r="O1262" s="134" t="s">
        <v>7661</v>
      </c>
      <c r="P1262" s="998">
        <v>5</v>
      </c>
      <c r="Q1262" s="176">
        <v>50</v>
      </c>
      <c r="R1262" s="1005">
        <f>COUNTIF(PoderesDeCriatura_Adquiridos,Tablas!O1262)</f>
        <v>0</v>
      </c>
      <c r="S1262" s="176"/>
      <c r="T1262" s="996"/>
      <c r="W1262" s="1028" t="s">
        <v>7356</v>
      </c>
      <c r="X1262" s="758"/>
      <c r="Y1262" s="834" t="str">
        <f>IF(Z1262="","",SUBSTITUTE("PodHab_"&amp;W1262," ",""))</f>
        <v>PodHab_Desplazamientoespecial</v>
      </c>
      <c r="Z1262" s="1293" t="s">
        <v>2505</v>
      </c>
      <c r="AA1262" s="1299" t="s">
        <v>1310</v>
      </c>
      <c r="AB1262" s="1299" t="s">
        <v>1311</v>
      </c>
      <c r="AC1262" s="1299" t="s">
        <v>1312</v>
      </c>
      <c r="AD1262" s="1299" t="s">
        <v>1313</v>
      </c>
      <c r="AE1262" s="1299" t="s">
        <v>1314</v>
      </c>
      <c r="AF1262" s="1299"/>
      <c r="AG1262" s="1299"/>
      <c r="AH1262" s="1299"/>
      <c r="AI1262" s="1299"/>
      <c r="AJ1262" s="1299"/>
      <c r="AK1262" s="1299"/>
      <c r="AL1262" s="1299"/>
      <c r="AM1262" s="1299"/>
      <c r="AN1262" s="1299"/>
      <c r="AO1262" s="1299"/>
      <c r="AP1262" s="1299"/>
      <c r="AQ1262" s="1297"/>
      <c r="AR1262" s="1297"/>
      <c r="AS1262" s="1297"/>
      <c r="AT1262" s="1297"/>
      <c r="AU1262" s="1297"/>
      <c r="AV1262" s="1297"/>
      <c r="AW1262" s="1297"/>
      <c r="AX1262" s="1297"/>
      <c r="AY1262" s="1297"/>
      <c r="AZ1262" s="1297"/>
      <c r="BA1262" s="1297"/>
      <c r="BB1262" s="1297"/>
      <c r="BC1262" s="1297"/>
      <c r="BD1262" s="1297"/>
      <c r="BE1262" s="1297"/>
      <c r="BF1262" s="1297"/>
      <c r="BG1262" s="1297"/>
      <c r="BH1262" s="1297"/>
      <c r="BI1262" s="1297"/>
      <c r="BJ1262" s="1297"/>
      <c r="BK1262" s="1297"/>
      <c r="BL1262" s="1297"/>
      <c r="BM1262" s="1297"/>
      <c r="BN1262" s="1297"/>
      <c r="BO1262" s="1297"/>
      <c r="BP1262" s="1297"/>
      <c r="BQ1262" s="1297"/>
      <c r="BR1262" s="1297"/>
      <c r="BS1262" s="1297"/>
      <c r="BT1262" s="1297"/>
      <c r="BU1262" s="1297"/>
      <c r="BV1262" s="1297"/>
      <c r="BW1262" s="1297"/>
      <c r="BX1262" s="1297"/>
      <c r="BY1262" s="1297"/>
      <c r="BZ1262" s="1297"/>
      <c r="CA1262" s="1297"/>
      <c r="CB1262" s="1298"/>
    </row>
    <row r="1263" spans="1:80" ht="12.75" customHeight="1" x14ac:dyDescent="0.2">
      <c r="A1263" s="227">
        <v>1263</v>
      </c>
      <c r="B1263" s="5988"/>
      <c r="C1263" s="1000"/>
      <c r="D1263" s="58"/>
      <c r="E1263" s="1003" t="s">
        <v>1258</v>
      </c>
      <c r="F1263" s="77">
        <v>20</v>
      </c>
      <c r="G1263" s="77">
        <v>40</v>
      </c>
      <c r="H1263" s="77">
        <f>COUNTIF(HabilidadesEsenciales_Adquiridas,Tablas!E1263)</f>
        <v>0</v>
      </c>
      <c r="I1263" s="1005">
        <v>1</v>
      </c>
      <c r="J1263" s="176"/>
      <c r="K1263" s="996"/>
      <c r="M1263" s="326"/>
      <c r="N1263" s="21"/>
      <c r="O1263" s="134" t="s">
        <v>7662</v>
      </c>
      <c r="P1263" s="998">
        <v>10</v>
      </c>
      <c r="Q1263" s="176">
        <v>60</v>
      </c>
      <c r="R1263" s="1005">
        <f>COUNTIF(PoderesDeCriatura_Adquiridos,Tablas!O1263)</f>
        <v>0</v>
      </c>
      <c r="S1263" s="176"/>
      <c r="T1263" s="996"/>
      <c r="W1263" s="1028" t="s">
        <v>7373</v>
      </c>
      <c r="X1263" s="304"/>
      <c r="Y1263" s="834" t="str">
        <f>IF(Z1263="","",SUBSTITUTE("PodHab_"&amp;W1263," ",""))</f>
        <v>PodHab_Transporteautomático</v>
      </c>
      <c r="Z1263" s="1293" t="s">
        <v>7476</v>
      </c>
      <c r="AA1263" s="1299" t="s">
        <v>6076</v>
      </c>
      <c r="AB1263" s="1299" t="s">
        <v>5735</v>
      </c>
      <c r="AC1263" s="1299" t="s">
        <v>6149</v>
      </c>
      <c r="AD1263" s="1299" t="s">
        <v>5736</v>
      </c>
      <c r="AE1263" s="1299" t="s">
        <v>6061</v>
      </c>
      <c r="AF1263" s="1299" t="s">
        <v>6078</v>
      </c>
      <c r="AG1263" s="1299" t="s">
        <v>7477</v>
      </c>
      <c r="AH1263" s="1299" t="s">
        <v>5739</v>
      </c>
      <c r="AI1263" s="1299" t="s">
        <v>7478</v>
      </c>
      <c r="AJ1263" s="1299" t="s">
        <v>7411</v>
      </c>
      <c r="AK1263" s="1299" t="s">
        <v>7412</v>
      </c>
      <c r="AL1263" s="1299" t="s">
        <v>7413</v>
      </c>
      <c r="AM1263" s="1299" t="s">
        <v>7416</v>
      </c>
      <c r="AN1263" s="1299" t="s">
        <v>7417</v>
      </c>
      <c r="AO1263" s="1299" t="s">
        <v>7479</v>
      </c>
      <c r="AP1263" s="1299"/>
      <c r="AQ1263" s="1297"/>
      <c r="AR1263" s="1297"/>
      <c r="AS1263" s="1297"/>
      <c r="AT1263" s="1297"/>
      <c r="AU1263" s="1297"/>
      <c r="AV1263" s="1297"/>
      <c r="AW1263" s="1297"/>
      <c r="AX1263" s="1297"/>
      <c r="AY1263" s="1297"/>
      <c r="AZ1263" s="1297"/>
      <c r="BA1263" s="1297"/>
      <c r="BB1263" s="1297"/>
      <c r="BC1263" s="1297"/>
      <c r="BD1263" s="1297"/>
      <c r="BE1263" s="1297"/>
      <c r="BF1263" s="1297"/>
      <c r="BG1263" s="1297"/>
      <c r="BH1263" s="1297"/>
      <c r="BI1263" s="1297"/>
      <c r="BJ1263" s="1297"/>
      <c r="BK1263" s="1297"/>
      <c r="BL1263" s="1297"/>
      <c r="BM1263" s="1297"/>
      <c r="BN1263" s="1297"/>
      <c r="BO1263" s="1297"/>
      <c r="BP1263" s="1297"/>
      <c r="BQ1263" s="1297"/>
      <c r="BR1263" s="1297"/>
      <c r="BS1263" s="1297"/>
      <c r="BT1263" s="1297"/>
      <c r="BU1263" s="1297"/>
      <c r="BV1263" s="1297"/>
      <c r="BW1263" s="1297"/>
      <c r="BX1263" s="1297"/>
      <c r="BY1263" s="1297"/>
      <c r="BZ1263" s="1297"/>
      <c r="CA1263" s="1297"/>
      <c r="CB1263" s="1298"/>
    </row>
    <row r="1264" spans="1:80" ht="12.75" customHeight="1" x14ac:dyDescent="0.2">
      <c r="A1264" s="227">
        <v>1264</v>
      </c>
      <c r="B1264" s="5988"/>
      <c r="C1264" s="1000"/>
      <c r="D1264" s="58"/>
      <c r="E1264" s="1003" t="s">
        <v>1259</v>
      </c>
      <c r="F1264" s="77">
        <v>30</v>
      </c>
      <c r="G1264" s="77">
        <v>80</v>
      </c>
      <c r="H1264" s="77">
        <f>COUNTIF(HabilidadesEsenciales_Adquiridas,Tablas!E1264)</f>
        <v>0</v>
      </c>
      <c r="I1264" s="1005">
        <v>1</v>
      </c>
      <c r="J1264" s="176"/>
      <c r="K1264" s="996"/>
      <c r="M1264" s="326"/>
      <c r="N1264" s="21"/>
      <c r="O1264" s="134" t="s">
        <v>7663</v>
      </c>
      <c r="P1264" s="998">
        <v>20</v>
      </c>
      <c r="Q1264" s="176">
        <v>80</v>
      </c>
      <c r="R1264" s="1005">
        <f>COUNTIF(PoderesDeCriatura_Adquiridos,Tablas!O1264)</f>
        <v>0</v>
      </c>
      <c r="S1264" s="176"/>
      <c r="T1264" s="996"/>
      <c r="W1264" s="1028" t="s">
        <v>7374</v>
      </c>
      <c r="X1264" s="304"/>
      <c r="Y1264" s="834" t="str">
        <f>IF(Z1264="","",SUBSTITUTE("PodHab_"&amp;W1264," ",""))</f>
        <v>PodHab_Tipodemovimiento</v>
      </c>
      <c r="Z1264" s="1293" t="str">
        <f>"+"&amp;A1</f>
        <v>+1</v>
      </c>
      <c r="AA1264" s="1299" t="str">
        <f>"+"&amp;B1</f>
        <v>+2</v>
      </c>
      <c r="AB1264" s="1299" t="str">
        <f>"+"&amp;C1</f>
        <v>+3</v>
      </c>
      <c r="AC1264" s="1299" t="str">
        <f>"+"&amp;D1</f>
        <v>+4</v>
      </c>
      <c r="AD1264" s="1299"/>
      <c r="AE1264" s="1299"/>
      <c r="AF1264" s="1299"/>
      <c r="AG1264" s="1299"/>
      <c r="AH1264" s="1299"/>
      <c r="AI1264" s="1299"/>
      <c r="AJ1264" s="1299"/>
      <c r="AK1264" s="1299"/>
      <c r="AL1264" s="1299"/>
      <c r="AM1264" s="1299"/>
      <c r="AN1264" s="1299"/>
      <c r="AO1264" s="1299"/>
      <c r="AP1264" s="1299"/>
      <c r="AQ1264" s="1297"/>
      <c r="AR1264" s="1297"/>
      <c r="AS1264" s="1297"/>
      <c r="AT1264" s="1297"/>
      <c r="AU1264" s="1297"/>
      <c r="AV1264" s="1297"/>
      <c r="AW1264" s="1297"/>
      <c r="AX1264" s="1297"/>
      <c r="AY1264" s="1297"/>
      <c r="AZ1264" s="1297"/>
      <c r="BA1264" s="1297"/>
      <c r="BB1264" s="1297"/>
      <c r="BC1264" s="1297"/>
      <c r="BD1264" s="1297"/>
      <c r="BE1264" s="1297"/>
      <c r="BF1264" s="1297"/>
      <c r="BG1264" s="1297"/>
      <c r="BH1264" s="1297"/>
      <c r="BI1264" s="1297"/>
      <c r="BJ1264" s="1297"/>
      <c r="BK1264" s="1297"/>
      <c r="BL1264" s="1297"/>
      <c r="BM1264" s="1297"/>
      <c r="BN1264" s="1297"/>
      <c r="BO1264" s="1297"/>
      <c r="BP1264" s="1297"/>
      <c r="BQ1264" s="1297"/>
      <c r="BR1264" s="1297"/>
      <c r="BS1264" s="1297"/>
      <c r="BT1264" s="1297"/>
      <c r="BU1264" s="1297"/>
      <c r="BV1264" s="1297"/>
      <c r="BW1264" s="1297"/>
      <c r="BX1264" s="1297"/>
      <c r="BY1264" s="1297"/>
      <c r="BZ1264" s="1297"/>
      <c r="CA1264" s="1297"/>
      <c r="CB1264" s="1298"/>
    </row>
    <row r="1265" spans="1:80" ht="12.75" customHeight="1" x14ac:dyDescent="0.2">
      <c r="A1265" s="227">
        <v>1265</v>
      </c>
      <c r="B1265" s="5988"/>
      <c r="C1265" s="1000"/>
      <c r="D1265" s="58"/>
      <c r="E1265" s="1003" t="s">
        <v>1260</v>
      </c>
      <c r="F1265" s="77">
        <v>35</v>
      </c>
      <c r="G1265" s="77">
        <v>80</v>
      </c>
      <c r="H1265" s="77">
        <f>COUNTIF(HabilidadesEsenciales_Adquiridas,Tablas!E1265)</f>
        <v>0</v>
      </c>
      <c r="I1265" s="1005">
        <v>1</v>
      </c>
      <c r="J1265" s="176"/>
      <c r="K1265" s="996"/>
      <c r="M1265" s="326"/>
      <c r="N1265" s="21"/>
      <c r="O1265" s="134" t="s">
        <v>7664</v>
      </c>
      <c r="P1265" s="998">
        <v>25</v>
      </c>
      <c r="Q1265" s="176">
        <v>100</v>
      </c>
      <c r="R1265" s="1005">
        <f>COUNTIF(PoderesDeCriatura_Adquiridos,Tablas!O1265)</f>
        <v>0</v>
      </c>
      <c r="S1265" s="176"/>
      <c r="T1265" s="996"/>
      <c r="W1265" s="1028" t="s">
        <v>7338</v>
      </c>
      <c r="X1265" s="304"/>
      <c r="Y1265" s="834" t="str">
        <f>IF(Z1265="","",SUBSTITUTE("PodHab_"&amp;W1265," ",""))</f>
        <v>PodHab_Vuelonatural</v>
      </c>
      <c r="Z1265" s="1293" t="s">
        <v>7480</v>
      </c>
      <c r="AA1265" s="1299" t="s">
        <v>7481</v>
      </c>
      <c r="AB1265" s="1299" t="s">
        <v>7482</v>
      </c>
      <c r="AC1265" s="1299" t="s">
        <v>7483</v>
      </c>
      <c r="AD1265" s="1299" t="s">
        <v>7484</v>
      </c>
      <c r="AE1265" s="1299"/>
      <c r="AF1265" s="1299"/>
      <c r="AG1265" s="1299"/>
      <c r="AH1265" s="1299"/>
      <c r="AI1265" s="1299"/>
      <c r="AJ1265" s="1299"/>
      <c r="AK1265" s="1299"/>
      <c r="AL1265" s="1299"/>
      <c r="AM1265" s="1299"/>
      <c r="AN1265" s="1299"/>
      <c r="AO1265" s="1299"/>
      <c r="AP1265" s="1299"/>
      <c r="AQ1265" s="1297"/>
      <c r="AR1265" s="1297"/>
      <c r="AS1265" s="1297"/>
      <c r="AT1265" s="1297"/>
      <c r="AU1265" s="1297"/>
      <c r="AV1265" s="1297"/>
      <c r="AW1265" s="1297"/>
      <c r="AX1265" s="1297"/>
      <c r="AY1265" s="1297"/>
      <c r="AZ1265" s="1297"/>
      <c r="BA1265" s="1297"/>
      <c r="BB1265" s="1297"/>
      <c r="BC1265" s="1297"/>
      <c r="BD1265" s="1297"/>
      <c r="BE1265" s="1297"/>
      <c r="BF1265" s="1297"/>
      <c r="BG1265" s="1297"/>
      <c r="BH1265" s="1297"/>
      <c r="BI1265" s="1297"/>
      <c r="BJ1265" s="1297"/>
      <c r="BK1265" s="1297"/>
      <c r="BL1265" s="1297"/>
      <c r="BM1265" s="1297"/>
      <c r="BN1265" s="1297"/>
      <c r="BO1265" s="1297"/>
      <c r="BP1265" s="1297"/>
      <c r="BQ1265" s="1297"/>
      <c r="BR1265" s="1297"/>
      <c r="BS1265" s="1297"/>
      <c r="BT1265" s="1297"/>
      <c r="BU1265" s="1297"/>
      <c r="BV1265" s="1297"/>
      <c r="BW1265" s="1297"/>
      <c r="BX1265" s="1297"/>
      <c r="BY1265" s="1297"/>
      <c r="BZ1265" s="1297"/>
      <c r="CA1265" s="1297"/>
      <c r="CB1265" s="1298"/>
    </row>
    <row r="1266" spans="1:80" ht="12.75" customHeight="1" x14ac:dyDescent="0.2">
      <c r="A1266" s="227">
        <v>1266</v>
      </c>
      <c r="B1266" s="5988"/>
      <c r="C1266" s="1000"/>
      <c r="D1266" s="58"/>
      <c r="E1266" s="1003" t="s">
        <v>8070</v>
      </c>
      <c r="F1266" s="77">
        <v>0</v>
      </c>
      <c r="G1266" s="77">
        <v>20</v>
      </c>
      <c r="H1266" s="77">
        <f>COUNTIF(HabilidadesEsenciales_Adquiridas,Tablas!E1266)</f>
        <v>0</v>
      </c>
      <c r="I1266" s="1005">
        <v>1</v>
      </c>
      <c r="J1266" s="176">
        <f t="array" ref="J1266">MAX({1;2;3;4;5}*H1266:H1270)</f>
        <v>0</v>
      </c>
      <c r="K1266" s="996" t="s">
        <v>1373</v>
      </c>
      <c r="M1266" s="326"/>
      <c r="N1266" s="21"/>
      <c r="O1266" s="134" t="s">
        <v>7665</v>
      </c>
      <c r="P1266" s="998">
        <v>30</v>
      </c>
      <c r="Q1266" s="176">
        <v>120</v>
      </c>
      <c r="R1266" s="1005">
        <f>COUNTIF(PoderesDeCriatura_Adquiridos,Tablas!O1266)</f>
        <v>0</v>
      </c>
      <c r="S1266" s="176"/>
      <c r="T1266" s="996"/>
      <c r="W1266" s="1028" t="s">
        <v>7339</v>
      </c>
      <c r="X1266" s="304"/>
      <c r="Y1266" s="834" t="str">
        <f>IF(Z1266="","",SUBSTITUTE("PodHab_"&amp;W1266," ",""))</f>
        <v>PodHab_Vuelomístico</v>
      </c>
      <c r="Z1266" s="1293" t="s">
        <v>7485</v>
      </c>
      <c r="AA1266" s="1299" t="s">
        <v>7480</v>
      </c>
      <c r="AB1266" s="1299" t="s">
        <v>7481</v>
      </c>
      <c r="AC1266" s="1299" t="s">
        <v>7482</v>
      </c>
      <c r="AD1266" s="1299" t="s">
        <v>7483</v>
      </c>
      <c r="AE1266" s="1299" t="s">
        <v>7484</v>
      </c>
      <c r="AF1266" s="1299" t="s">
        <v>7486</v>
      </c>
      <c r="AG1266" s="1299" t="s">
        <v>7487</v>
      </c>
      <c r="AH1266" s="1299"/>
      <c r="AI1266" s="1299"/>
      <c r="AJ1266" s="1299"/>
      <c r="AK1266" s="1299"/>
      <c r="AL1266" s="1299"/>
      <c r="AM1266" s="1299"/>
      <c r="AN1266" s="1299"/>
      <c r="AO1266" s="1299"/>
      <c r="AP1266" s="1299"/>
      <c r="AQ1266" s="1297"/>
      <c r="AR1266" s="1297"/>
      <c r="AS1266" s="1297"/>
      <c r="AT1266" s="1297"/>
      <c r="AU1266" s="1297"/>
      <c r="AV1266" s="1297"/>
      <c r="AW1266" s="1297"/>
      <c r="AX1266" s="1297"/>
      <c r="AY1266" s="1297"/>
      <c r="AZ1266" s="1297"/>
      <c r="BA1266" s="1297"/>
      <c r="BB1266" s="1297"/>
      <c r="BC1266" s="1297"/>
      <c r="BD1266" s="1297"/>
      <c r="BE1266" s="1297"/>
      <c r="BF1266" s="1297"/>
      <c r="BG1266" s="1297"/>
      <c r="BH1266" s="1297"/>
      <c r="BI1266" s="1297"/>
      <c r="BJ1266" s="1297"/>
      <c r="BK1266" s="1297"/>
      <c r="BL1266" s="1297"/>
      <c r="BM1266" s="1297"/>
      <c r="BN1266" s="1297"/>
      <c r="BO1266" s="1297"/>
      <c r="BP1266" s="1297"/>
      <c r="BQ1266" s="1297"/>
      <c r="BR1266" s="1297"/>
      <c r="BS1266" s="1297"/>
      <c r="BT1266" s="1297"/>
      <c r="BU1266" s="1297"/>
      <c r="BV1266" s="1297"/>
      <c r="BW1266" s="1297"/>
      <c r="BX1266" s="1297"/>
      <c r="BY1266" s="1297"/>
      <c r="BZ1266" s="1297"/>
      <c r="CA1266" s="1297"/>
      <c r="CB1266" s="1298"/>
    </row>
    <row r="1267" spans="1:80" ht="12.75" customHeight="1" x14ac:dyDescent="0.2">
      <c r="A1267" s="227">
        <v>1267</v>
      </c>
      <c r="B1267" s="5988"/>
      <c r="C1267" s="1000"/>
      <c r="D1267" s="58"/>
      <c r="E1267" s="1003" t="s">
        <v>8071</v>
      </c>
      <c r="F1267" s="77">
        <v>5</v>
      </c>
      <c r="G1267" s="77">
        <v>40</v>
      </c>
      <c r="H1267" s="77">
        <f>COUNTIF(HabilidadesEsenciales_Adquiridas,Tablas!E1267)</f>
        <v>0</v>
      </c>
      <c r="I1267" s="1005">
        <v>1</v>
      </c>
      <c r="J1267" s="176">
        <f t="array" ref="J1267">MAX({1;2;3;4;5}*H1271:H1275)</f>
        <v>0</v>
      </c>
      <c r="K1267" s="996" t="s">
        <v>1498</v>
      </c>
      <c r="M1267" s="326"/>
      <c r="N1267" s="21"/>
      <c r="O1267" s="134" t="s">
        <v>7666</v>
      </c>
      <c r="P1267" s="998">
        <v>0</v>
      </c>
      <c r="Q1267" s="176">
        <v>10</v>
      </c>
      <c r="R1267" s="1005">
        <f>COUNTIF(PoderesDeCriatura_Adquiridos,Tablas!O1267)</f>
        <v>0</v>
      </c>
      <c r="S1267" s="176"/>
      <c r="T1267" s="996"/>
      <c r="W1267" s="1028" t="s">
        <v>1319</v>
      </c>
      <c r="X1267" s="758"/>
      <c r="Y1267" s="834"/>
      <c r="Z1267" s="1293" t="s">
        <v>6926</v>
      </c>
      <c r="AA1267" s="1299" t="s">
        <v>6926</v>
      </c>
      <c r="AB1267" s="1299" t="s">
        <v>6926</v>
      </c>
      <c r="AC1267" s="1299" t="s">
        <v>6926</v>
      </c>
      <c r="AD1267" s="1299" t="s">
        <v>6926</v>
      </c>
      <c r="AE1267" s="1299" t="s">
        <v>6926</v>
      </c>
      <c r="AF1267" s="1299"/>
      <c r="AG1267" s="1299"/>
      <c r="AH1267" s="1299"/>
      <c r="AI1267" s="1299"/>
      <c r="AJ1267" s="1299"/>
      <c r="AK1267" s="1299"/>
      <c r="AL1267" s="1299"/>
      <c r="AM1267" s="1299"/>
      <c r="AN1267" s="1299"/>
      <c r="AO1267" s="1299"/>
      <c r="AP1267" s="1299"/>
      <c r="AQ1267" s="1297"/>
      <c r="AR1267" s="1297"/>
      <c r="AS1267" s="1297"/>
      <c r="AT1267" s="1297"/>
      <c r="AU1267" s="1297"/>
      <c r="AV1267" s="1297"/>
      <c r="AW1267" s="1297"/>
      <c r="AX1267" s="1297"/>
      <c r="AY1267" s="1297"/>
      <c r="AZ1267" s="1297"/>
      <c r="BA1267" s="1297"/>
      <c r="BB1267" s="1297"/>
      <c r="BC1267" s="1297"/>
      <c r="BD1267" s="1297"/>
      <c r="BE1267" s="1297"/>
      <c r="BF1267" s="1297"/>
      <c r="BG1267" s="1297"/>
      <c r="BH1267" s="1297"/>
      <c r="BI1267" s="1297"/>
      <c r="BJ1267" s="1297"/>
      <c r="BK1267" s="1297"/>
      <c r="BL1267" s="1297"/>
      <c r="BM1267" s="1297"/>
      <c r="BN1267" s="1297"/>
      <c r="BO1267" s="1297"/>
      <c r="BP1267" s="1297"/>
      <c r="BQ1267" s="1297"/>
      <c r="BR1267" s="1297"/>
      <c r="BS1267" s="1297"/>
      <c r="BT1267" s="1297"/>
      <c r="BU1267" s="1297"/>
      <c r="BV1267" s="1297"/>
      <c r="BW1267" s="1297"/>
      <c r="BX1267" s="1297"/>
      <c r="BY1267" s="1297"/>
      <c r="BZ1267" s="1297"/>
      <c r="CA1267" s="1297"/>
      <c r="CB1267" s="1298"/>
    </row>
    <row r="1268" spans="1:80" ht="12.75" customHeight="1" x14ac:dyDescent="0.2">
      <c r="A1268" s="227">
        <v>1268</v>
      </c>
      <c r="B1268" s="5988"/>
      <c r="C1268" s="1000"/>
      <c r="D1268" s="58"/>
      <c r="E1268" s="1003" t="s">
        <v>8072</v>
      </c>
      <c r="F1268" s="77">
        <v>15</v>
      </c>
      <c r="G1268" s="77">
        <v>60</v>
      </c>
      <c r="H1268" s="77">
        <f>COUNTIF(HabilidadesEsenciales_Adquiridas,Tablas!E1268)</f>
        <v>0</v>
      </c>
      <c r="I1268" s="1005">
        <v>1</v>
      </c>
      <c r="J1268" s="176">
        <f t="array" ref="J1268">MAX({1;2;3;4;5}*H1276:H1280)</f>
        <v>0</v>
      </c>
      <c r="K1268" s="996" t="s">
        <v>1378</v>
      </c>
      <c r="M1268" s="326"/>
      <c r="N1268" s="21"/>
      <c r="O1268" s="134" t="s">
        <v>7667</v>
      </c>
      <c r="P1268" s="998">
        <v>10</v>
      </c>
      <c r="Q1268" s="176">
        <v>20</v>
      </c>
      <c r="R1268" s="1005">
        <f>COUNTIF(PoderesDeCriatura_Adquiridos,Tablas!O1268)</f>
        <v>0</v>
      </c>
      <c r="S1268" s="176">
        <f>IF(R1267=1,10,IF(R1268=1,20,IF(R1269=1,30,0)))</f>
        <v>0</v>
      </c>
      <c r="T1268" s="996" t="s">
        <v>1393</v>
      </c>
      <c r="W1268" s="1028" t="s">
        <v>7357</v>
      </c>
      <c r="X1268" s="304"/>
      <c r="Y1268" s="834" t="str">
        <f>IF(Z1268="","",SUBSTITUTE("PodHab_"&amp;W1268," ",""))</f>
        <v>PodHab_Resistenciafísicamejorada</v>
      </c>
      <c r="Z1268" s="1293" t="s">
        <v>7488</v>
      </c>
      <c r="AA1268" s="1299" t="s">
        <v>2699</v>
      </c>
      <c r="AB1268" s="1299" t="s">
        <v>7489</v>
      </c>
      <c r="AC1268" s="1299" t="s">
        <v>7490</v>
      </c>
      <c r="AD1268" s="1299" t="s">
        <v>7491</v>
      </c>
      <c r="AE1268" s="1299" t="s">
        <v>7492</v>
      </c>
      <c r="AF1268" s="1299" t="s">
        <v>7493</v>
      </c>
      <c r="AG1268" s="1299" t="s">
        <v>7494</v>
      </c>
      <c r="AH1268" s="1299"/>
      <c r="AI1268" s="1299"/>
      <c r="AJ1268" s="1299"/>
      <c r="AK1268" s="1299"/>
      <c r="AL1268" s="1299"/>
      <c r="AM1268" s="1299"/>
      <c r="AN1268" s="1299"/>
      <c r="AO1268" s="1299"/>
      <c r="AP1268" s="1299"/>
      <c r="AQ1268" s="1297"/>
      <c r="AR1268" s="1297"/>
      <c r="AS1268" s="1297"/>
      <c r="AT1268" s="1297"/>
      <c r="AU1268" s="1297"/>
      <c r="AV1268" s="1297"/>
      <c r="AW1268" s="1297"/>
      <c r="AX1268" s="1297"/>
      <c r="AY1268" s="1297"/>
      <c r="AZ1268" s="1297"/>
      <c r="BA1268" s="1297"/>
      <c r="BB1268" s="1297"/>
      <c r="BC1268" s="1297"/>
      <c r="BD1268" s="1297"/>
      <c r="BE1268" s="1297"/>
      <c r="BF1268" s="1297"/>
      <c r="BG1268" s="1297"/>
      <c r="BH1268" s="1297"/>
      <c r="BI1268" s="1297"/>
      <c r="BJ1268" s="1297"/>
      <c r="BK1268" s="1297"/>
      <c r="BL1268" s="1297"/>
      <c r="BM1268" s="1297"/>
      <c r="BN1268" s="1297"/>
      <c r="BO1268" s="1297"/>
      <c r="BP1268" s="1297"/>
      <c r="BQ1268" s="1297"/>
      <c r="BR1268" s="1297"/>
      <c r="BS1268" s="1297"/>
      <c r="BT1268" s="1297"/>
      <c r="BU1268" s="1297"/>
      <c r="BV1268" s="1297"/>
      <c r="BW1268" s="1297"/>
      <c r="BX1268" s="1297"/>
      <c r="BY1268" s="1297"/>
      <c r="BZ1268" s="1297"/>
      <c r="CA1268" s="1297"/>
      <c r="CB1268" s="1298"/>
    </row>
    <row r="1269" spans="1:80" ht="12.75" customHeight="1" x14ac:dyDescent="0.2">
      <c r="A1269" s="227">
        <v>1269</v>
      </c>
      <c r="B1269" s="5988"/>
      <c r="C1269" s="1000"/>
      <c r="D1269" s="58"/>
      <c r="E1269" s="1003" t="s">
        <v>8073</v>
      </c>
      <c r="F1269" s="77">
        <v>20</v>
      </c>
      <c r="G1269" s="77">
        <v>120</v>
      </c>
      <c r="H1269" s="77">
        <f>COUNTIF(HabilidadesEsenciales_Adquiridas,Tablas!E1269)</f>
        <v>0</v>
      </c>
      <c r="I1269" s="1005"/>
      <c r="J1269" s="176">
        <f t="array" ref="J1269">MAX({1;2;3;4;5}*H1281:H1285)</f>
        <v>0</v>
      </c>
      <c r="K1269" s="996" t="s">
        <v>1383</v>
      </c>
      <c r="M1269" s="326"/>
      <c r="N1269" s="21"/>
      <c r="O1269" s="134" t="s">
        <v>7668</v>
      </c>
      <c r="P1269" s="998">
        <v>20</v>
      </c>
      <c r="Q1269" s="176">
        <v>30</v>
      </c>
      <c r="R1269" s="1005">
        <f>COUNTIF(PoderesDeCriatura_Adquiridos,Tablas!O1269)</f>
        <v>0</v>
      </c>
      <c r="S1269" s="176"/>
      <c r="T1269" s="996"/>
      <c r="W1269" s="1028" t="s">
        <v>7358</v>
      </c>
      <c r="X1269" s="304"/>
      <c r="Y1269" s="834" t="str">
        <f>IF(Z1269="","",SUBSTITUTE("PodHab_"&amp;W1269," ",""))</f>
        <v>PodHab_Resistenciamísticamejorada</v>
      </c>
      <c r="Z1269" s="1293" t="s">
        <v>7495</v>
      </c>
      <c r="AA1269" s="1299" t="s">
        <v>7496</v>
      </c>
      <c r="AB1269" s="1299" t="s">
        <v>7497</v>
      </c>
      <c r="AC1269" s="1299" t="s">
        <v>7498</v>
      </c>
      <c r="AD1269" s="1299" t="s">
        <v>7499</v>
      </c>
      <c r="AE1269" s="1299" t="s">
        <v>7500</v>
      </c>
      <c r="AF1269" s="1299" t="s">
        <v>7501</v>
      </c>
      <c r="AG1269" s="1299" t="s">
        <v>7502</v>
      </c>
      <c r="AH1269" s="1299" t="s">
        <v>7503</v>
      </c>
      <c r="AI1269" s="1299" t="s">
        <v>7504</v>
      </c>
      <c r="AJ1269" s="758"/>
      <c r="AK1269" s="758"/>
      <c r="AL1269" s="758"/>
      <c r="AM1269" s="758"/>
      <c r="AN1269" s="758"/>
      <c r="AO1269" s="1299"/>
      <c r="AP1269" s="1299"/>
      <c r="AQ1269" s="1297"/>
      <c r="AR1269" s="1297"/>
      <c r="AS1269" s="1297"/>
      <c r="AT1269" s="1297"/>
      <c r="AU1269" s="1297"/>
      <c r="AV1269" s="1297"/>
      <c r="AW1269" s="1297"/>
      <c r="AX1269" s="1297"/>
      <c r="AY1269" s="1297"/>
      <c r="AZ1269" s="1297"/>
      <c r="BA1269" s="1297"/>
      <c r="BB1269" s="1297"/>
      <c r="BC1269" s="1297"/>
      <c r="BD1269" s="1297"/>
      <c r="BE1269" s="1297"/>
      <c r="BF1269" s="1297"/>
      <c r="BG1269" s="1297"/>
      <c r="BH1269" s="1297"/>
      <c r="BI1269" s="1297"/>
      <c r="BJ1269" s="1297"/>
      <c r="BK1269" s="1297"/>
      <c r="BL1269" s="1297"/>
      <c r="BM1269" s="1297"/>
      <c r="BN1269" s="1297"/>
      <c r="BO1269" s="1297"/>
      <c r="BP1269" s="1297"/>
      <c r="BQ1269" s="1297"/>
      <c r="BR1269" s="1297"/>
      <c r="BS1269" s="1297"/>
      <c r="BT1269" s="1297"/>
      <c r="BU1269" s="1297"/>
      <c r="BV1269" s="1297"/>
      <c r="BW1269" s="1297"/>
      <c r="BX1269" s="1297"/>
      <c r="BY1269" s="1297"/>
      <c r="BZ1269" s="1297"/>
      <c r="CA1269" s="1297"/>
      <c r="CB1269" s="1298"/>
    </row>
    <row r="1270" spans="1:80" ht="12.75" customHeight="1" x14ac:dyDescent="0.2">
      <c r="A1270" s="227">
        <v>1270</v>
      </c>
      <c r="B1270" s="5988"/>
      <c r="C1270" s="1000"/>
      <c r="D1270" s="58"/>
      <c r="E1270" s="1003" t="s">
        <v>8074</v>
      </c>
      <c r="F1270" s="77">
        <v>25</v>
      </c>
      <c r="G1270" s="77">
        <v>180</v>
      </c>
      <c r="H1270" s="77">
        <f>COUNTIF(HabilidadesEsenciales_Adquiridas,Tablas!E1270)</f>
        <v>0</v>
      </c>
      <c r="I1270" s="1005"/>
      <c r="J1270" s="176">
        <f t="array" ref="J1270">MAX({1;2;3;4;5}*H1286:H1290)</f>
        <v>0</v>
      </c>
      <c r="K1270" s="996" t="s">
        <v>1386</v>
      </c>
      <c r="M1270" s="326"/>
      <c r="N1270" s="21"/>
      <c r="O1270" s="134" t="s">
        <v>1307</v>
      </c>
      <c r="P1270" s="998">
        <v>10</v>
      </c>
      <c r="Q1270" s="176">
        <v>10</v>
      </c>
      <c r="R1270" s="1005">
        <f>COUNTIF(PoderesDeCriatura_Adquiridos,Tablas!O1270)</f>
        <v>0</v>
      </c>
      <c r="S1270" s="176"/>
      <c r="T1270" s="996"/>
      <c r="W1270" s="1028" t="s">
        <v>9950</v>
      </c>
      <c r="X1270" s="304"/>
      <c r="Y1270" s="834" t="str">
        <f>IF(Z1270="","",SUBSTITUTE("PodHab_"&amp;W1270," ",""))</f>
        <v>PodHab_PenalaResistenciamística</v>
      </c>
      <c r="Z1270" s="1293" t="s">
        <v>7505</v>
      </c>
      <c r="AA1270" s="1299" t="s">
        <v>7506</v>
      </c>
      <c r="AB1270" s="1299" t="s">
        <v>7507</v>
      </c>
      <c r="AC1270" s="1299" t="s">
        <v>7508</v>
      </c>
      <c r="AD1270" s="1299" t="s">
        <v>7509</v>
      </c>
      <c r="AE1270" s="1299" t="s">
        <v>7510</v>
      </c>
      <c r="AF1270" s="1299" t="s">
        <v>7511</v>
      </c>
      <c r="AG1270" s="1299" t="s">
        <v>7512</v>
      </c>
      <c r="AH1270" s="1299" t="s">
        <v>7513</v>
      </c>
      <c r="AI1270" s="1299" t="s">
        <v>7514</v>
      </c>
      <c r="AJ1270" s="758"/>
      <c r="AK1270" s="758"/>
      <c r="AL1270" s="758"/>
      <c r="AM1270" s="758"/>
      <c r="AN1270" s="758"/>
      <c r="AO1270" s="1299" t="s">
        <v>6926</v>
      </c>
      <c r="AP1270" s="1299" t="s">
        <v>6926</v>
      </c>
      <c r="AQ1270" s="1297"/>
      <c r="AR1270" s="1297"/>
      <c r="AS1270" s="1297"/>
      <c r="AT1270" s="1297"/>
      <c r="AU1270" s="1297"/>
      <c r="AV1270" s="1297"/>
      <c r="AW1270" s="1297"/>
      <c r="AX1270" s="1297"/>
      <c r="AY1270" s="1297"/>
      <c r="AZ1270" s="1297"/>
      <c r="BA1270" s="1297"/>
      <c r="BB1270" s="1297"/>
      <c r="BC1270" s="1297"/>
      <c r="BD1270" s="1297"/>
      <c r="BE1270" s="1297"/>
      <c r="BF1270" s="1297"/>
      <c r="BG1270" s="1297"/>
      <c r="BH1270" s="1297"/>
      <c r="BI1270" s="1297"/>
      <c r="BJ1270" s="1297"/>
      <c r="BK1270" s="1297"/>
      <c r="BL1270" s="1297"/>
      <c r="BM1270" s="1297"/>
      <c r="BN1270" s="1297"/>
      <c r="BO1270" s="1297"/>
      <c r="BP1270" s="1297"/>
      <c r="BQ1270" s="1297"/>
      <c r="BR1270" s="1297"/>
      <c r="BS1270" s="1297"/>
      <c r="BT1270" s="1297"/>
      <c r="BU1270" s="1297"/>
      <c r="BV1270" s="1297"/>
      <c r="BW1270" s="1297"/>
      <c r="BX1270" s="1297"/>
      <c r="BY1270" s="1297"/>
      <c r="BZ1270" s="1297"/>
      <c r="CA1270" s="1297"/>
      <c r="CB1270" s="1298"/>
    </row>
    <row r="1271" spans="1:80" ht="12.75" customHeight="1" x14ac:dyDescent="0.2">
      <c r="A1271" s="227">
        <v>1271</v>
      </c>
      <c r="B1271" s="5988"/>
      <c r="C1271" s="1000"/>
      <c r="D1271" s="58"/>
      <c r="E1271" s="1003" t="s">
        <v>8075</v>
      </c>
      <c r="F1271" s="77">
        <v>0</v>
      </c>
      <c r="G1271" s="77">
        <v>20</v>
      </c>
      <c r="H1271" s="77">
        <f>COUNTIF(HabilidadesEsenciales_Adquiridas,Tablas!E1271)</f>
        <v>0</v>
      </c>
      <c r="I1271" s="1005">
        <v>1</v>
      </c>
      <c r="J1271" s="176">
        <f t="array" ref="J1271">MAX({1;2;3;4;5}*H1291:H1295)</f>
        <v>0</v>
      </c>
      <c r="K1271" s="996" t="s">
        <v>1389</v>
      </c>
      <c r="M1271" s="326"/>
      <c r="N1271" s="21"/>
      <c r="O1271" s="134" t="s">
        <v>7669</v>
      </c>
      <c r="P1271" s="998">
        <v>0</v>
      </c>
      <c r="Q1271" s="176">
        <v>10</v>
      </c>
      <c r="R1271" s="1005">
        <f>COUNTIF(PoderesDeCriatura_Adquiridos,Tablas!O1271)</f>
        <v>0</v>
      </c>
      <c r="S1271" s="176"/>
      <c r="T1271" s="996"/>
      <c r="W1271" s="1028" t="s">
        <v>1368</v>
      </c>
      <c r="X1271" s="304"/>
      <c r="Y1271" s="834" t="str">
        <f>IF(Z1271="","",SUBSTITUTE("PodHab_"&amp;W1271," ",""))</f>
        <v>PodHab_Regeneración</v>
      </c>
      <c r="Z1271" s="1293" t="s">
        <v>7515</v>
      </c>
      <c r="AA1271" s="1299" t="s">
        <v>7485</v>
      </c>
      <c r="AB1271" s="1299" t="s">
        <v>7480</v>
      </c>
      <c r="AC1271" s="1299" t="s">
        <v>7481</v>
      </c>
      <c r="AD1271" s="1299" t="s">
        <v>7482</v>
      </c>
      <c r="AE1271" s="1299" t="s">
        <v>7483</v>
      </c>
      <c r="AF1271" s="1299" t="s">
        <v>7484</v>
      </c>
      <c r="AG1271" s="1299" t="s">
        <v>7486</v>
      </c>
      <c r="AH1271" s="1299" t="s">
        <v>7516</v>
      </c>
      <c r="AI1271" s="1299" t="s">
        <v>7517</v>
      </c>
      <c r="AJ1271" s="1299" t="s">
        <v>7518</v>
      </c>
      <c r="AK1271" s="1299" t="s">
        <v>7519</v>
      </c>
      <c r="AL1271" s="1299" t="s">
        <v>7520</v>
      </c>
      <c r="AM1271" s="1299"/>
      <c r="AN1271" s="1299"/>
      <c r="AO1271" s="1299"/>
      <c r="AP1271" s="1299"/>
      <c r="AQ1271" s="1297"/>
      <c r="AR1271" s="1297"/>
      <c r="AS1271" s="1297"/>
      <c r="AT1271" s="1297"/>
      <c r="AU1271" s="1297"/>
      <c r="AV1271" s="1297"/>
      <c r="AW1271" s="1297"/>
      <c r="AX1271" s="1297"/>
      <c r="AY1271" s="1297"/>
      <c r="AZ1271" s="1297"/>
      <c r="BA1271" s="1297"/>
      <c r="BB1271" s="1297"/>
      <c r="BC1271" s="1297"/>
      <c r="BD1271" s="1297"/>
      <c r="BE1271" s="1297"/>
      <c r="BF1271" s="1297"/>
      <c r="BG1271" s="1297"/>
      <c r="BH1271" s="1297"/>
      <c r="BI1271" s="1297"/>
      <c r="BJ1271" s="1297"/>
      <c r="BK1271" s="1297"/>
      <c r="BL1271" s="1297"/>
      <c r="BM1271" s="1297"/>
      <c r="BN1271" s="1297"/>
      <c r="BO1271" s="1297"/>
      <c r="BP1271" s="1297"/>
      <c r="BQ1271" s="1297"/>
      <c r="BR1271" s="1297"/>
      <c r="BS1271" s="1297"/>
      <c r="BT1271" s="1297"/>
      <c r="BU1271" s="1297"/>
      <c r="BV1271" s="1297"/>
      <c r="BW1271" s="1297"/>
      <c r="BX1271" s="1297"/>
      <c r="BY1271" s="1297"/>
      <c r="BZ1271" s="1297"/>
      <c r="CA1271" s="1297"/>
      <c r="CB1271" s="1298"/>
    </row>
    <row r="1272" spans="1:80" ht="12.75" customHeight="1" x14ac:dyDescent="0.2">
      <c r="A1272" s="227">
        <v>1272</v>
      </c>
      <c r="B1272" s="5988"/>
      <c r="C1272" s="1000"/>
      <c r="D1272" s="58"/>
      <c r="E1272" s="1003" t="s">
        <v>8076</v>
      </c>
      <c r="F1272" s="77">
        <v>5</v>
      </c>
      <c r="G1272" s="77">
        <v>40</v>
      </c>
      <c r="H1272" s="77">
        <f>COUNTIF(HabilidadesEsenciales_Adquiridas,Tablas!E1272)</f>
        <v>0</v>
      </c>
      <c r="I1272" s="1005">
        <v>1</v>
      </c>
      <c r="J1272" s="176">
        <f t="array" ref="J1272">MAX({1;2;3;4;5}*H1296:H1300)</f>
        <v>0</v>
      </c>
      <c r="K1272" s="996" t="s">
        <v>1391</v>
      </c>
      <c r="M1272" s="326"/>
      <c r="N1272" s="21"/>
      <c r="O1272" s="134" t="s">
        <v>7670</v>
      </c>
      <c r="P1272" s="998">
        <v>10</v>
      </c>
      <c r="Q1272" s="176">
        <v>15</v>
      </c>
      <c r="R1272" s="1005">
        <f>COUNTIF(PoderesDeCriatura_Adquiridos,Tablas!O1272)</f>
        <v>0</v>
      </c>
      <c r="S1272" s="176"/>
      <c r="T1272" s="996"/>
      <c r="W1272" s="1028" t="s">
        <v>7340</v>
      </c>
      <c r="X1272" s="304"/>
      <c r="Y1272" s="834" t="str">
        <f>IF(Z1272="","",SUBSTITUTE("PodHab_"&amp;W1272," ",""))</f>
        <v>PodHab_Degeneración</v>
      </c>
      <c r="Z1272" s="1293" t="s">
        <v>7521</v>
      </c>
      <c r="AA1272" s="1299" t="s">
        <v>7522</v>
      </c>
      <c r="AB1272" s="1299" t="s">
        <v>7523</v>
      </c>
      <c r="AC1272" s="1299" t="s">
        <v>7524</v>
      </c>
      <c r="AD1272" s="1299" t="s">
        <v>7525</v>
      </c>
      <c r="AE1272" s="1299"/>
      <c r="AF1272" s="1299"/>
      <c r="AG1272" s="1299"/>
      <c r="AH1272" s="1299"/>
      <c r="AI1272" s="1299"/>
      <c r="AJ1272" s="1299"/>
      <c r="AK1272" s="1299"/>
      <c r="AL1272" s="1299"/>
      <c r="AM1272" s="1299"/>
      <c r="AN1272" s="1299"/>
      <c r="AO1272" s="1299"/>
      <c r="AP1272" s="1299"/>
      <c r="AQ1272" s="1297"/>
      <c r="AR1272" s="1297"/>
      <c r="AS1272" s="1297"/>
      <c r="AT1272" s="1297"/>
      <c r="AU1272" s="1297"/>
      <c r="AV1272" s="1297"/>
      <c r="AW1272" s="1297"/>
      <c r="AX1272" s="1297"/>
      <c r="AY1272" s="1297"/>
      <c r="AZ1272" s="1297"/>
      <c r="BA1272" s="1297"/>
      <c r="BB1272" s="1297"/>
      <c r="BC1272" s="1297"/>
      <c r="BD1272" s="1297"/>
      <c r="BE1272" s="1297"/>
      <c r="BF1272" s="1297"/>
      <c r="BG1272" s="1297"/>
      <c r="BH1272" s="1297"/>
      <c r="BI1272" s="1297"/>
      <c r="BJ1272" s="1297"/>
      <c r="BK1272" s="1297"/>
      <c r="BL1272" s="1297"/>
      <c r="BM1272" s="1297"/>
      <c r="BN1272" s="1297"/>
      <c r="BO1272" s="1297"/>
      <c r="BP1272" s="1297"/>
      <c r="BQ1272" s="1297"/>
      <c r="BR1272" s="1297"/>
      <c r="BS1272" s="1297"/>
      <c r="BT1272" s="1297"/>
      <c r="BU1272" s="1297"/>
      <c r="BV1272" s="1297"/>
      <c r="BW1272" s="1297"/>
      <c r="BX1272" s="1297"/>
      <c r="BY1272" s="1297"/>
      <c r="BZ1272" s="1297"/>
      <c r="CA1272" s="1297"/>
      <c r="CB1272" s="1298"/>
    </row>
    <row r="1273" spans="1:80" ht="12.75" customHeight="1" x14ac:dyDescent="0.2">
      <c r="A1273" s="227">
        <v>1273</v>
      </c>
      <c r="B1273" s="5988"/>
      <c r="C1273" s="1000"/>
      <c r="D1273" s="58"/>
      <c r="E1273" s="1003" t="s">
        <v>8077</v>
      </c>
      <c r="F1273" s="77">
        <v>15</v>
      </c>
      <c r="G1273" s="77">
        <v>60</v>
      </c>
      <c r="H1273" s="77">
        <f>COUNTIF(HabilidadesEsenciales_Adquiridas,Tablas!E1273)</f>
        <v>0</v>
      </c>
      <c r="I1273" s="1005">
        <v>1</v>
      </c>
      <c r="J1273" s="176">
        <f t="array" ref="J1273">MAX({1;2;3;4;5}*H1301:H1305)</f>
        <v>0</v>
      </c>
      <c r="K1273" s="996" t="s">
        <v>1392</v>
      </c>
      <c r="M1273" s="326"/>
      <c r="N1273" s="21"/>
      <c r="O1273" s="134" t="s">
        <v>7671</v>
      </c>
      <c r="P1273" s="998">
        <v>15</v>
      </c>
      <c r="Q1273" s="176">
        <v>20</v>
      </c>
      <c r="R1273" s="1005">
        <f>COUNTIF(PoderesDeCriatura_Adquiridos,Tablas!O1273)</f>
        <v>0</v>
      </c>
      <c r="S1273" s="176"/>
      <c r="T1273" s="996"/>
      <c r="W1273" s="1028" t="s">
        <v>1320</v>
      </c>
      <c r="X1273" s="304"/>
      <c r="Y1273" s="834"/>
      <c r="Z1273" s="1293"/>
      <c r="AA1273" s="1299"/>
      <c r="AB1273" s="1299"/>
      <c r="AC1273" s="1299"/>
      <c r="AD1273" s="1299"/>
      <c r="AE1273" s="1299"/>
      <c r="AF1273" s="1299"/>
      <c r="AG1273" s="1299"/>
      <c r="AH1273" s="1299"/>
      <c r="AI1273" s="1299"/>
      <c r="AJ1273" s="1299"/>
      <c r="AK1273" s="1299"/>
      <c r="AL1273" s="1299"/>
      <c r="AM1273" s="1299"/>
      <c r="AN1273" s="1299"/>
      <c r="AO1273" s="1299"/>
      <c r="AP1273" s="1299"/>
      <c r="AQ1273" s="1297"/>
      <c r="AR1273" s="1297"/>
      <c r="AS1273" s="1297"/>
      <c r="AT1273" s="1297"/>
      <c r="AU1273" s="1297"/>
      <c r="AV1273" s="1297"/>
      <c r="AW1273" s="1297"/>
      <c r="AX1273" s="1297"/>
      <c r="AY1273" s="1297"/>
      <c r="AZ1273" s="1297"/>
      <c r="BA1273" s="1297"/>
      <c r="BB1273" s="1297"/>
      <c r="BC1273" s="1297"/>
      <c r="BD1273" s="1297"/>
      <c r="BE1273" s="1297"/>
      <c r="BF1273" s="1297"/>
      <c r="BG1273" s="1297"/>
      <c r="BH1273" s="1297"/>
      <c r="BI1273" s="1297"/>
      <c r="BJ1273" s="1297"/>
      <c r="BK1273" s="1297"/>
      <c r="BL1273" s="1297"/>
      <c r="BM1273" s="1297"/>
      <c r="BN1273" s="1297"/>
      <c r="BO1273" s="1297"/>
      <c r="BP1273" s="1297"/>
      <c r="BQ1273" s="1297"/>
      <c r="BR1273" s="1297"/>
      <c r="BS1273" s="1297"/>
      <c r="BT1273" s="1297"/>
      <c r="BU1273" s="1297"/>
      <c r="BV1273" s="1297"/>
      <c r="BW1273" s="1297"/>
      <c r="BX1273" s="1297"/>
      <c r="BY1273" s="1297"/>
      <c r="BZ1273" s="1297"/>
      <c r="CA1273" s="1297"/>
      <c r="CB1273" s="1298"/>
    </row>
    <row r="1274" spans="1:80" ht="12.75" customHeight="1" x14ac:dyDescent="0.2">
      <c r="A1274" s="227">
        <v>1274</v>
      </c>
      <c r="B1274" s="5988"/>
      <c r="C1274" s="1000"/>
      <c r="D1274" s="58"/>
      <c r="E1274" s="1003" t="s">
        <v>8078</v>
      </c>
      <c r="F1274" s="77">
        <v>20</v>
      </c>
      <c r="G1274" s="77">
        <v>120</v>
      </c>
      <c r="H1274" s="77">
        <f>COUNTIF(HabilidadesEsenciales_Adquiridas,Tablas!E1274)</f>
        <v>0</v>
      </c>
      <c r="I1274" s="1005"/>
      <c r="J1274" s="176"/>
      <c r="K1274" s="996"/>
      <c r="M1274" s="326"/>
      <c r="N1274" s="21"/>
      <c r="O1274" s="134" t="s">
        <v>7672</v>
      </c>
      <c r="P1274" s="998">
        <v>20</v>
      </c>
      <c r="Q1274" s="176">
        <v>25</v>
      </c>
      <c r="R1274" s="1005">
        <f>COUNTIF(PoderesDeCriatura_Adquiridos,Tablas!O1274)</f>
        <v>0</v>
      </c>
      <c r="S1274" s="176"/>
      <c r="T1274" s="996"/>
      <c r="W1274" s="1028" t="s">
        <v>195</v>
      </c>
      <c r="X1274" s="304"/>
      <c r="Y1274" s="834" t="str">
        <f t="shared" ref="Y1274:Y1305" si="285">IF(Z1274="","",SUBSTITUTE("PodHab_"&amp;W1274," ",""))</f>
        <v>PodHab_Inmunidad</v>
      </c>
      <c r="Z1274" s="1293" t="s">
        <v>8418</v>
      </c>
      <c r="AA1274" s="1299" t="s">
        <v>8419</v>
      </c>
      <c r="AB1274" s="1299" t="s">
        <v>8420</v>
      </c>
      <c r="AC1274" s="1299" t="s">
        <v>8421</v>
      </c>
      <c r="AD1274" s="1299" t="s">
        <v>8422</v>
      </c>
      <c r="AE1274" s="1299" t="s">
        <v>8423</v>
      </c>
      <c r="AF1274" s="1299" t="s">
        <v>8424</v>
      </c>
      <c r="AG1274" s="1299" t="s">
        <v>8425</v>
      </c>
      <c r="AH1274" s="1299" t="s">
        <v>8426</v>
      </c>
      <c r="AI1274" s="1299" t="s">
        <v>8427</v>
      </c>
      <c r="AJ1274" s="1299" t="s">
        <v>8428</v>
      </c>
      <c r="AK1274" s="1299" t="s">
        <v>8429</v>
      </c>
      <c r="AL1274" s="1299" t="s">
        <v>8430</v>
      </c>
      <c r="AM1274" s="1299" t="s">
        <v>8431</v>
      </c>
      <c r="AN1274" s="1299" t="s">
        <v>8432</v>
      </c>
      <c r="AO1274" s="1299" t="s">
        <v>8433</v>
      </c>
      <c r="AP1274" s="1299" t="s">
        <v>8434</v>
      </c>
      <c r="AQ1274" s="1297" t="s">
        <v>7526</v>
      </c>
      <c r="AR1274" s="1297"/>
      <c r="AS1274" s="1297"/>
      <c r="AT1274" s="1297"/>
      <c r="AU1274" s="1297"/>
      <c r="AV1274" s="1297"/>
      <c r="AW1274" s="1297"/>
      <c r="AX1274" s="1297"/>
      <c r="AY1274" s="1297"/>
      <c r="AZ1274" s="1297"/>
      <c r="BA1274" s="1297"/>
      <c r="BB1274" s="1297"/>
      <c r="BC1274" s="1297"/>
      <c r="BD1274" s="1297"/>
      <c r="BE1274" s="1297"/>
      <c r="BF1274" s="1297"/>
      <c r="BG1274" s="1297"/>
      <c r="BH1274" s="1297"/>
      <c r="BI1274" s="1297"/>
      <c r="BJ1274" s="1297"/>
      <c r="BK1274" s="1297"/>
      <c r="BL1274" s="1297"/>
      <c r="BM1274" s="1297"/>
      <c r="BN1274" s="1297"/>
      <c r="BO1274" s="1297"/>
      <c r="BP1274" s="1297"/>
      <c r="BQ1274" s="1297"/>
      <c r="BR1274" s="1297"/>
      <c r="BS1274" s="1297"/>
      <c r="BT1274" s="1297"/>
      <c r="BU1274" s="1297"/>
      <c r="BV1274" s="1297"/>
      <c r="BW1274" s="1297"/>
      <c r="BX1274" s="1297"/>
      <c r="BY1274" s="1297"/>
      <c r="BZ1274" s="1297"/>
      <c r="CA1274" s="1297"/>
      <c r="CB1274" s="1298"/>
    </row>
    <row r="1275" spans="1:80" ht="12.75" customHeight="1" x14ac:dyDescent="0.2">
      <c r="A1275" s="227">
        <v>1275</v>
      </c>
      <c r="B1275" s="5988"/>
      <c r="C1275" s="1000"/>
      <c r="D1275" s="58"/>
      <c r="E1275" s="1003" t="s">
        <v>8079</v>
      </c>
      <c r="F1275" s="77">
        <v>25</v>
      </c>
      <c r="G1275" s="77">
        <v>180</v>
      </c>
      <c r="H1275" s="77">
        <f>COUNTIF(HabilidadesEsenciales_Adquiridas,Tablas!E1275)</f>
        <v>0</v>
      </c>
      <c r="I1275" s="1005"/>
      <c r="J1275" s="176"/>
      <c r="K1275" s="996"/>
      <c r="M1275" s="326"/>
      <c r="N1275" s="21"/>
      <c r="O1275" s="134" t="s">
        <v>7673</v>
      </c>
      <c r="P1275" s="998">
        <v>25</v>
      </c>
      <c r="Q1275" s="176">
        <v>30</v>
      </c>
      <c r="R1275" s="1005">
        <f>COUNTIF(PoderesDeCriatura_Adquiridos,Tablas!O1275)</f>
        <v>0</v>
      </c>
      <c r="S1275" s="176"/>
      <c r="T1275" s="996"/>
      <c r="W1275" s="1028" t="s">
        <v>7341</v>
      </c>
      <c r="X1275" s="304"/>
      <c r="Y1275" s="834" t="str">
        <f t="shared" si="285"/>
        <v>PodHab_Vulnerabilidadextrema</v>
      </c>
      <c r="Z1275" s="1293" t="s">
        <v>7527</v>
      </c>
      <c r="AA1275" s="1299" t="s">
        <v>7528</v>
      </c>
      <c r="AB1275" s="1299" t="s">
        <v>7529</v>
      </c>
      <c r="AC1275" s="1299" t="s">
        <v>7530</v>
      </c>
      <c r="AD1275" s="1299" t="s">
        <v>7531</v>
      </c>
      <c r="AE1275" s="1299" t="s">
        <v>7532</v>
      </c>
      <c r="AF1275" s="1299" t="s">
        <v>7533</v>
      </c>
      <c r="AG1275" s="1299" t="s">
        <v>8338</v>
      </c>
      <c r="AH1275" s="1299" t="s">
        <v>9988</v>
      </c>
      <c r="AI1275" s="1299" t="s">
        <v>3166</v>
      </c>
      <c r="AJ1275" s="1299" t="s">
        <v>7452</v>
      </c>
      <c r="AK1275" s="1299" t="s">
        <v>453</v>
      </c>
      <c r="AL1275" s="1299" t="s">
        <v>84</v>
      </c>
      <c r="AM1275" s="1299" t="s">
        <v>3798</v>
      </c>
      <c r="AN1275" s="1299" t="s">
        <v>3799</v>
      </c>
      <c r="AO1275" s="1299" t="s">
        <v>3800</v>
      </c>
      <c r="AP1275" s="1299" t="s">
        <v>7449</v>
      </c>
      <c r="AQ1275" s="1297"/>
      <c r="AR1275" s="1297"/>
      <c r="AS1275" s="1297"/>
      <c r="AT1275" s="1297"/>
      <c r="AU1275" s="1297"/>
      <c r="AV1275" s="1297"/>
      <c r="AW1275" s="1297"/>
      <c r="AX1275" s="1297"/>
      <c r="AY1275" s="1297"/>
      <c r="AZ1275" s="1297"/>
      <c r="BA1275" s="1297"/>
      <c r="BB1275" s="1297"/>
      <c r="BC1275" s="1297"/>
      <c r="BD1275" s="1297"/>
      <c r="BE1275" s="1297"/>
      <c r="BF1275" s="1297"/>
      <c r="BG1275" s="1297"/>
      <c r="BH1275" s="1297"/>
      <c r="BI1275" s="1297"/>
      <c r="BJ1275" s="1297"/>
      <c r="BK1275" s="1297"/>
      <c r="BL1275" s="1297"/>
      <c r="BM1275" s="1297"/>
      <c r="BN1275" s="1297"/>
      <c r="BO1275" s="1297"/>
      <c r="BP1275" s="1297"/>
      <c r="BQ1275" s="1297"/>
      <c r="BR1275" s="1297"/>
      <c r="BS1275" s="1297"/>
      <c r="BT1275" s="1297"/>
      <c r="BU1275" s="1297"/>
      <c r="BV1275" s="1297"/>
      <c r="BW1275" s="1297"/>
      <c r="BX1275" s="1297"/>
      <c r="BY1275" s="1297"/>
      <c r="BZ1275" s="1297"/>
      <c r="CA1275" s="1297"/>
      <c r="CB1275" s="1298"/>
    </row>
    <row r="1276" spans="1:80" ht="12.75" customHeight="1" x14ac:dyDescent="0.2">
      <c r="A1276" s="227">
        <v>1276</v>
      </c>
      <c r="B1276" s="5988"/>
      <c r="C1276" s="1000"/>
      <c r="D1276" s="58"/>
      <c r="E1276" s="1003" t="s">
        <v>8080</v>
      </c>
      <c r="F1276" s="77">
        <v>0</v>
      </c>
      <c r="G1276" s="77">
        <v>20</v>
      </c>
      <c r="H1276" s="77">
        <f>COUNTIF(HabilidadesEsenciales_Adquiridas,Tablas!E1276)</f>
        <v>0</v>
      </c>
      <c r="I1276" s="1005">
        <v>1</v>
      </c>
      <c r="J1276" s="176"/>
      <c r="K1276" s="996"/>
      <c r="M1276" s="326"/>
      <c r="N1276" s="21"/>
      <c r="O1276" s="134" t="s">
        <v>7674</v>
      </c>
      <c r="P1276" s="998">
        <v>5</v>
      </c>
      <c r="Q1276" s="176">
        <v>10</v>
      </c>
      <c r="R1276" s="1005">
        <f>COUNTIF(PoderesDeCriatura_Adquiridos,Tablas!O1276)</f>
        <v>0</v>
      </c>
      <c r="S1276" s="176"/>
      <c r="T1276" s="996"/>
      <c r="U1276">
        <v>1</v>
      </c>
      <c r="W1276" s="1028" t="s">
        <v>7342</v>
      </c>
      <c r="X1276" s="304"/>
      <c r="Y1276" s="834" t="str">
        <f t="shared" si="285"/>
        <v>PodHab_Barreradedaño</v>
      </c>
      <c r="Z1276" s="1293" t="s">
        <v>7534</v>
      </c>
      <c r="AA1276" s="1299" t="s">
        <v>7535</v>
      </c>
      <c r="AB1276" s="1299" t="s">
        <v>7536</v>
      </c>
      <c r="AC1276" s="1299" t="s">
        <v>7537</v>
      </c>
      <c r="AD1276" s="1299" t="s">
        <v>7538</v>
      </c>
      <c r="AE1276" s="1299" t="s">
        <v>7539</v>
      </c>
      <c r="AF1276" s="1299" t="s">
        <v>7540</v>
      </c>
      <c r="AG1276" s="1299"/>
      <c r="AH1276" s="1299"/>
      <c r="AI1276" s="1299"/>
      <c r="AJ1276" s="1299"/>
      <c r="AK1276" s="1299"/>
      <c r="AL1276" s="1299"/>
      <c r="AM1276" s="1299"/>
      <c r="AN1276" s="1299"/>
      <c r="AO1276" s="1299"/>
      <c r="AP1276" s="1299"/>
      <c r="AQ1276" s="1297"/>
      <c r="AR1276" s="1297"/>
      <c r="AS1276" s="1297"/>
      <c r="AT1276" s="1297"/>
      <c r="AU1276" s="1297"/>
      <c r="AV1276" s="1297"/>
      <c r="AW1276" s="1297"/>
      <c r="AX1276" s="1297"/>
      <c r="AY1276" s="1297"/>
      <c r="AZ1276" s="1297"/>
      <c r="BA1276" s="1297"/>
      <c r="BB1276" s="1297"/>
      <c r="BC1276" s="1297"/>
      <c r="BD1276" s="1297"/>
      <c r="BE1276" s="1297"/>
      <c r="BF1276" s="1297"/>
      <c r="BG1276" s="1297"/>
      <c r="BH1276" s="1297"/>
      <c r="BI1276" s="1297"/>
      <c r="BJ1276" s="1297"/>
      <c r="BK1276" s="1297"/>
      <c r="BL1276" s="1297"/>
      <c r="BM1276" s="1297"/>
      <c r="BN1276" s="1297"/>
      <c r="BO1276" s="1297"/>
      <c r="BP1276" s="1297"/>
      <c r="BQ1276" s="1297"/>
      <c r="BR1276" s="1297"/>
      <c r="BS1276" s="1297"/>
      <c r="BT1276" s="1297"/>
      <c r="BU1276" s="1297"/>
      <c r="BV1276" s="1297"/>
      <c r="BW1276" s="1297"/>
      <c r="BX1276" s="1297"/>
      <c r="BY1276" s="1297"/>
      <c r="BZ1276" s="1297"/>
      <c r="CA1276" s="1297"/>
      <c r="CB1276" s="1298"/>
    </row>
    <row r="1277" spans="1:80" ht="12.75" customHeight="1" x14ac:dyDescent="0.2">
      <c r="A1277" s="227">
        <v>1277</v>
      </c>
      <c r="B1277" s="5988"/>
      <c r="C1277" s="1000"/>
      <c r="D1277" s="58"/>
      <c r="E1277" s="1003" t="s">
        <v>8081</v>
      </c>
      <c r="F1277" s="77">
        <v>5</v>
      </c>
      <c r="G1277" s="77">
        <v>40</v>
      </c>
      <c r="H1277" s="77">
        <f>COUNTIF(HabilidadesEsenciales_Adquiridas,Tablas!E1277)</f>
        <v>0</v>
      </c>
      <c r="I1277" s="1005">
        <v>1</v>
      </c>
      <c r="J1277" s="176"/>
      <c r="K1277" s="996"/>
      <c r="M1277" s="326"/>
      <c r="N1277" s="21"/>
      <c r="O1277" s="134" t="s">
        <v>7675</v>
      </c>
      <c r="P1277" s="998">
        <v>10</v>
      </c>
      <c r="Q1277" s="176">
        <v>20</v>
      </c>
      <c r="R1277" s="1005">
        <f>COUNTIF(PoderesDeCriatura_Adquiridos,Tablas!O1277)</f>
        <v>0</v>
      </c>
      <c r="S1277" s="176"/>
      <c r="T1277" s="996"/>
      <c r="U1277">
        <v>1</v>
      </c>
      <c r="W1277" s="1028" t="s">
        <v>1321</v>
      </c>
      <c r="X1277" s="758"/>
      <c r="Y1277" s="834" t="str">
        <f t="shared" si="285"/>
        <v/>
      </c>
      <c r="Z1277" s="1293"/>
      <c r="AA1277" s="1299"/>
      <c r="AB1277" s="1299"/>
      <c r="AC1277" s="1299"/>
      <c r="AD1277" s="1299"/>
      <c r="AE1277" s="1299"/>
      <c r="AF1277" s="1299"/>
      <c r="AG1277" s="1299"/>
      <c r="AH1277" s="1299"/>
      <c r="AI1277" s="1299"/>
      <c r="AJ1277" s="1299"/>
      <c r="AK1277" s="1299"/>
      <c r="AL1277" s="1299"/>
      <c r="AM1277" s="1299"/>
      <c r="AN1277" s="1299"/>
      <c r="AO1277" s="1299"/>
      <c r="AP1277" s="1299"/>
      <c r="AQ1277" s="1297"/>
      <c r="AR1277" s="1297"/>
      <c r="AS1277" s="1297"/>
      <c r="AT1277" s="1297"/>
      <c r="AU1277" s="1297"/>
      <c r="AV1277" s="1297"/>
      <c r="AW1277" s="1297"/>
      <c r="AX1277" s="1297"/>
      <c r="AY1277" s="1297"/>
      <c r="AZ1277" s="1297"/>
      <c r="BA1277" s="1297"/>
      <c r="BB1277" s="1297"/>
      <c r="BC1277" s="1297"/>
      <c r="BD1277" s="1297"/>
      <c r="BE1277" s="1297"/>
      <c r="BF1277" s="1297"/>
      <c r="BG1277" s="1297"/>
      <c r="BH1277" s="1297"/>
      <c r="BI1277" s="1297"/>
      <c r="BJ1277" s="1297"/>
      <c r="BK1277" s="1297"/>
      <c r="BL1277" s="1297"/>
      <c r="BM1277" s="1297"/>
      <c r="BN1277" s="1297"/>
      <c r="BO1277" s="1297"/>
      <c r="BP1277" s="1297"/>
      <c r="BQ1277" s="1297"/>
      <c r="BR1277" s="1297"/>
      <c r="BS1277" s="1297"/>
      <c r="BT1277" s="1297"/>
      <c r="BU1277" s="1297"/>
      <c r="BV1277" s="1297"/>
      <c r="BW1277" s="1297"/>
      <c r="BX1277" s="1297"/>
      <c r="BY1277" s="1297"/>
      <c r="BZ1277" s="1297"/>
      <c r="CA1277" s="1297"/>
      <c r="CB1277" s="1298"/>
    </row>
    <row r="1278" spans="1:80" ht="12.75" customHeight="1" x14ac:dyDescent="0.2">
      <c r="A1278" s="227">
        <v>1278</v>
      </c>
      <c r="B1278" s="5988"/>
      <c r="C1278" s="1000"/>
      <c r="D1278" s="58"/>
      <c r="E1278" s="1003" t="s">
        <v>8082</v>
      </c>
      <c r="F1278" s="77">
        <v>15</v>
      </c>
      <c r="G1278" s="77">
        <v>60</v>
      </c>
      <c r="H1278" s="77">
        <f>COUNTIF(HabilidadesEsenciales_Adquiridas,Tablas!E1278)</f>
        <v>0</v>
      </c>
      <c r="I1278" s="1005">
        <v>1</v>
      </c>
      <c r="J1278" s="176"/>
      <c r="K1278" s="996"/>
      <c r="M1278" s="326"/>
      <c r="N1278" s="21"/>
      <c r="O1278" s="134" t="s">
        <v>7676</v>
      </c>
      <c r="P1278" s="998">
        <v>15</v>
      </c>
      <c r="Q1278" s="176">
        <v>30</v>
      </c>
      <c r="R1278" s="1005">
        <f>COUNTIF(PoderesDeCriatura_Adquiridos,Tablas!O1278)</f>
        <v>0</v>
      </c>
      <c r="S1278" s="176"/>
      <c r="T1278" s="996"/>
      <c r="U1278">
        <v>1</v>
      </c>
      <c r="W1278" s="1028" t="s">
        <v>7359</v>
      </c>
      <c r="X1278" s="304"/>
      <c r="Y1278" s="834" t="str">
        <f t="shared" si="285"/>
        <v>PodHab_Armadurafísica</v>
      </c>
      <c r="Z1278" s="1293" t="s">
        <v>5805</v>
      </c>
      <c r="AA1278" s="1299" t="s">
        <v>4298</v>
      </c>
      <c r="AB1278" s="1299" t="s">
        <v>7541</v>
      </c>
      <c r="AC1278" s="1299" t="s">
        <v>4299</v>
      </c>
      <c r="AD1278" s="1299" t="s">
        <v>7542</v>
      </c>
      <c r="AE1278" s="1299" t="s">
        <v>4300</v>
      </c>
      <c r="AF1278" s="1299" t="s">
        <v>7543</v>
      </c>
      <c r="AG1278" s="1299" t="s">
        <v>4301</v>
      </c>
      <c r="AH1278" s="1299" t="s">
        <v>7544</v>
      </c>
      <c r="AI1278" s="1299" t="s">
        <v>5806</v>
      </c>
      <c r="AJ1278" s="1299" t="s">
        <v>5807</v>
      </c>
      <c r="AK1278" s="1299" t="s">
        <v>7545</v>
      </c>
      <c r="AL1278" s="1299" t="s">
        <v>7546</v>
      </c>
      <c r="AM1278" s="1299" t="s">
        <v>7547</v>
      </c>
      <c r="AN1278" s="1299" t="s">
        <v>7548</v>
      </c>
      <c r="AO1278" s="1299" t="s">
        <v>7549</v>
      </c>
      <c r="AP1278" s="1299" t="s">
        <v>7550</v>
      </c>
      <c r="AQ1278" s="1297" t="s">
        <v>7551</v>
      </c>
      <c r="AR1278" s="1297"/>
      <c r="AS1278" s="1297"/>
      <c r="AT1278" s="1297"/>
      <c r="AU1278" s="1297"/>
      <c r="AV1278" s="1297"/>
      <c r="AW1278" s="1297"/>
      <c r="AX1278" s="1297"/>
      <c r="AY1278" s="1297"/>
      <c r="AZ1278" s="1297"/>
      <c r="BA1278" s="1297"/>
      <c r="BB1278" s="1297"/>
      <c r="BC1278" s="1297"/>
      <c r="BD1278" s="1297"/>
      <c r="BE1278" s="1297"/>
      <c r="BF1278" s="1297"/>
      <c r="BG1278" s="1297"/>
      <c r="BH1278" s="1297"/>
      <c r="BI1278" s="1297"/>
      <c r="BJ1278" s="1297"/>
      <c r="BK1278" s="1297"/>
      <c r="BL1278" s="1297"/>
      <c r="BM1278" s="1297"/>
      <c r="BN1278" s="1297"/>
      <c r="BO1278" s="1297"/>
      <c r="BP1278" s="1297"/>
      <c r="BQ1278" s="1297"/>
      <c r="BR1278" s="1297"/>
      <c r="BS1278" s="1297"/>
      <c r="BT1278" s="1297"/>
      <c r="BU1278" s="1297"/>
      <c r="BV1278" s="1297"/>
      <c r="BW1278" s="1297"/>
      <c r="BX1278" s="1297"/>
      <c r="BY1278" s="1297"/>
      <c r="BZ1278" s="1297"/>
      <c r="CA1278" s="1297"/>
      <c r="CB1278" s="1298"/>
    </row>
    <row r="1279" spans="1:80" ht="12.75" customHeight="1" x14ac:dyDescent="0.2">
      <c r="A1279" s="227">
        <v>1279</v>
      </c>
      <c r="B1279" s="5988"/>
      <c r="C1279" s="1000"/>
      <c r="D1279" s="58"/>
      <c r="E1279" s="1003" t="s">
        <v>8083</v>
      </c>
      <c r="F1279" s="77">
        <v>20</v>
      </c>
      <c r="G1279" s="77">
        <v>120</v>
      </c>
      <c r="H1279" s="77">
        <f>COUNTIF(HabilidadesEsenciales_Adquiridas,Tablas!E1279)</f>
        <v>0</v>
      </c>
      <c r="I1279" s="1005"/>
      <c r="J1279" s="176"/>
      <c r="K1279" s="996"/>
      <c r="M1279" s="326"/>
      <c r="N1279" s="21"/>
      <c r="O1279" s="134" t="s">
        <v>7677</v>
      </c>
      <c r="P1279" s="998">
        <v>20</v>
      </c>
      <c r="Q1279" s="176">
        <v>40</v>
      </c>
      <c r="R1279" s="1005">
        <f>COUNTIF(PoderesDeCriatura_Adquiridos,Tablas!O1279)</f>
        <v>0</v>
      </c>
      <c r="S1279" s="176"/>
      <c r="T1279" s="996"/>
      <c r="U1279">
        <v>1</v>
      </c>
      <c r="W1279" s="1028" t="s">
        <v>2297</v>
      </c>
      <c r="X1279" s="304"/>
      <c r="Y1279" s="834" t="str">
        <f t="shared" si="285"/>
        <v>PodHab_Armaduramística</v>
      </c>
      <c r="Z1279" s="1293" t="s">
        <v>5805</v>
      </c>
      <c r="AA1279" s="1299" t="s">
        <v>4298</v>
      </c>
      <c r="AB1279" s="1299" t="s">
        <v>7541</v>
      </c>
      <c r="AC1279" s="1299" t="s">
        <v>4299</v>
      </c>
      <c r="AD1279" s="1299" t="s">
        <v>7542</v>
      </c>
      <c r="AE1279" s="1299" t="s">
        <v>4300</v>
      </c>
      <c r="AF1279" s="1299" t="s">
        <v>7543</v>
      </c>
      <c r="AG1279" s="1299" t="s">
        <v>4301</v>
      </c>
      <c r="AH1279" s="1299"/>
      <c r="AI1279" s="1299"/>
      <c r="AJ1279" s="1299"/>
      <c r="AK1279" s="1299"/>
      <c r="AL1279" s="1299"/>
      <c r="AM1279" s="1299"/>
      <c r="AN1279" s="1299"/>
      <c r="AO1279" s="1299"/>
      <c r="AP1279" s="1299"/>
      <c r="AQ1279" s="1297"/>
      <c r="AR1279" s="1297"/>
      <c r="AS1279" s="1297"/>
      <c r="AT1279" s="1297"/>
      <c r="AU1279" s="1297"/>
      <c r="AV1279" s="1297"/>
      <c r="AW1279" s="1297"/>
      <c r="AX1279" s="1297"/>
      <c r="AY1279" s="1297"/>
      <c r="AZ1279" s="1297"/>
      <c r="BA1279" s="1297"/>
      <c r="BB1279" s="1297"/>
      <c r="BC1279" s="1297"/>
      <c r="BD1279" s="1297"/>
      <c r="BE1279" s="1297"/>
      <c r="BF1279" s="1297"/>
      <c r="BG1279" s="1297"/>
      <c r="BH1279" s="1297"/>
      <c r="BI1279" s="1297"/>
      <c r="BJ1279" s="1297"/>
      <c r="BK1279" s="1297"/>
      <c r="BL1279" s="1297"/>
      <c r="BM1279" s="1297"/>
      <c r="BN1279" s="1297"/>
      <c r="BO1279" s="1297"/>
      <c r="BP1279" s="1297"/>
      <c r="BQ1279" s="1297"/>
      <c r="BR1279" s="1297"/>
      <c r="BS1279" s="1297"/>
      <c r="BT1279" s="1297"/>
      <c r="BU1279" s="1297"/>
      <c r="BV1279" s="1297"/>
      <c r="BW1279" s="1297"/>
      <c r="BX1279" s="1297"/>
      <c r="BY1279" s="1297"/>
      <c r="BZ1279" s="1297"/>
      <c r="CA1279" s="1297"/>
      <c r="CB1279" s="1298"/>
    </row>
    <row r="1280" spans="1:80" ht="12.75" customHeight="1" x14ac:dyDescent="0.2">
      <c r="A1280" s="227">
        <v>1280</v>
      </c>
      <c r="B1280" s="5988"/>
      <c r="C1280" s="1000"/>
      <c r="D1280" s="58"/>
      <c r="E1280" s="1003" t="s">
        <v>8084</v>
      </c>
      <c r="F1280" s="77">
        <v>25</v>
      </c>
      <c r="G1280" s="77">
        <v>180</v>
      </c>
      <c r="H1280" s="77">
        <f>COUNTIF(HabilidadesEsenciales_Adquiridas,Tablas!E1280)</f>
        <v>0</v>
      </c>
      <c r="I1280" s="1005"/>
      <c r="J1280" s="176"/>
      <c r="K1280" s="996"/>
      <c r="M1280" s="326"/>
      <c r="N1280" s="21"/>
      <c r="O1280" s="134" t="s">
        <v>7678</v>
      </c>
      <c r="P1280" s="998">
        <v>25</v>
      </c>
      <c r="Q1280" s="176">
        <v>50</v>
      </c>
      <c r="R1280" s="1005">
        <f>COUNTIF(PoderesDeCriatura_Adquiridos,Tablas!O1280)</f>
        <v>0</v>
      </c>
      <c r="S1280" s="176"/>
      <c r="T1280" s="996"/>
      <c r="U1280">
        <v>1</v>
      </c>
      <c r="W1280" s="1028" t="s">
        <v>1322</v>
      </c>
      <c r="X1280" s="758"/>
      <c r="Y1280" s="834" t="str">
        <f t="shared" si="285"/>
        <v/>
      </c>
      <c r="Z1280" s="1293"/>
      <c r="AA1280" s="1299"/>
      <c r="AB1280" s="1299"/>
      <c r="AC1280" s="1299"/>
      <c r="AD1280" s="1299"/>
      <c r="AE1280" s="1299"/>
      <c r="AF1280" s="1299"/>
      <c r="AG1280" s="1299"/>
      <c r="AH1280" s="1299"/>
      <c r="AI1280" s="1299"/>
      <c r="AJ1280" s="1299"/>
      <c r="AK1280" s="1299"/>
      <c r="AL1280" s="1299"/>
      <c r="AM1280" s="1299"/>
      <c r="AN1280" s="1299"/>
      <c r="AO1280" s="1299"/>
      <c r="AP1280" s="1299"/>
      <c r="AQ1280" s="1297"/>
      <c r="AR1280" s="1297"/>
      <c r="AS1280" s="1297"/>
      <c r="AT1280" s="1297"/>
      <c r="AU1280" s="1297"/>
      <c r="AV1280" s="1297"/>
      <c r="AW1280" s="1297"/>
      <c r="AX1280" s="1297"/>
      <c r="AY1280" s="1297"/>
      <c r="AZ1280" s="1297"/>
      <c r="BA1280" s="1297"/>
      <c r="BB1280" s="1297"/>
      <c r="BC1280" s="1297"/>
      <c r="BD1280" s="1297"/>
      <c r="BE1280" s="1297"/>
      <c r="BF1280" s="1297"/>
      <c r="BG1280" s="1297"/>
      <c r="BH1280" s="1297"/>
      <c r="BI1280" s="1297"/>
      <c r="BJ1280" s="1297"/>
      <c r="BK1280" s="1297"/>
      <c r="BL1280" s="1297"/>
      <c r="BM1280" s="1297"/>
      <c r="BN1280" s="1297"/>
      <c r="BO1280" s="1297"/>
      <c r="BP1280" s="1297"/>
      <c r="BQ1280" s="1297"/>
      <c r="BR1280" s="1297"/>
      <c r="BS1280" s="1297"/>
      <c r="BT1280" s="1297"/>
      <c r="BU1280" s="1297"/>
      <c r="BV1280" s="1297"/>
      <c r="BW1280" s="1297"/>
      <c r="BX1280" s="1297"/>
      <c r="BY1280" s="1297"/>
      <c r="BZ1280" s="1297"/>
      <c r="CA1280" s="1297"/>
      <c r="CB1280" s="1298"/>
    </row>
    <row r="1281" spans="1:80" ht="12.75" customHeight="1" x14ac:dyDescent="0.2">
      <c r="A1281" s="227">
        <v>1281</v>
      </c>
      <c r="B1281" s="5988"/>
      <c r="C1281" s="1000"/>
      <c r="D1281" s="58"/>
      <c r="E1281" s="1003" t="s">
        <v>8085</v>
      </c>
      <c r="F1281" s="77">
        <v>0</v>
      </c>
      <c r="G1281" s="77">
        <v>20</v>
      </c>
      <c r="H1281" s="77">
        <f>COUNTIF(HabilidadesEsenciales_Adquiridas,Tablas!E1281)</f>
        <v>0</v>
      </c>
      <c r="I1281" s="1005">
        <v>1</v>
      </c>
      <c r="J1281" s="176"/>
      <c r="K1281" s="996"/>
      <c r="M1281" s="326"/>
      <c r="N1281" s="21"/>
      <c r="O1281" s="134" t="s">
        <v>7679</v>
      </c>
      <c r="P1281" s="998">
        <v>30</v>
      </c>
      <c r="Q1281" s="176">
        <v>60</v>
      </c>
      <c r="R1281" s="1005">
        <f>COUNTIF(PoderesDeCriatura_Adquiridos,Tablas!O1281)</f>
        <v>0</v>
      </c>
      <c r="S1281" s="176"/>
      <c r="T1281" s="996"/>
      <c r="U1281">
        <v>1</v>
      </c>
      <c r="W1281" s="1028" t="s">
        <v>7375</v>
      </c>
      <c r="X1281" s="304"/>
      <c r="Y1281" s="834" t="str">
        <f t="shared" si="285"/>
        <v>PodHab_HabilidadesEspirituales</v>
      </c>
      <c r="Z1281" s="1293" t="s">
        <v>7552</v>
      </c>
      <c r="AA1281" s="1299" t="s">
        <v>7553</v>
      </c>
      <c r="AB1281" s="1299" t="s">
        <v>7554</v>
      </c>
      <c r="AC1281" s="1299"/>
      <c r="AD1281" s="1299"/>
      <c r="AE1281" s="1299"/>
      <c r="AF1281" s="1299"/>
      <c r="AG1281" s="1299"/>
      <c r="AH1281" s="1299"/>
      <c r="AI1281" s="1295"/>
      <c r="AJ1281" s="1295"/>
      <c r="AK1281" s="1295"/>
      <c r="AL1281" s="1295"/>
      <c r="AM1281" s="1295"/>
      <c r="AN1281" s="1295"/>
      <c r="AO1281" s="1295"/>
      <c r="AP1281" s="1295"/>
      <c r="AQ1281" s="1296"/>
      <c r="AR1281" s="1296"/>
      <c r="AS1281" s="1296"/>
      <c r="AT1281" s="1296"/>
      <c r="AU1281" s="1296"/>
      <c r="AV1281" s="1296"/>
      <c r="AW1281" s="1296"/>
      <c r="AX1281" s="1296"/>
      <c r="AY1281" s="1296"/>
      <c r="AZ1281" s="1296"/>
      <c r="BA1281" s="1297"/>
      <c r="BB1281" s="1297"/>
      <c r="BC1281" s="1297"/>
      <c r="BD1281" s="1297"/>
      <c r="BE1281" s="1297"/>
      <c r="BF1281" s="1297"/>
      <c r="BG1281" s="1297"/>
      <c r="BH1281" s="1297"/>
      <c r="BI1281" s="1297"/>
      <c r="BJ1281" s="1297"/>
      <c r="BK1281" s="1297"/>
      <c r="BL1281" s="1297"/>
      <c r="BM1281" s="1297"/>
      <c r="BN1281" s="1297"/>
      <c r="BO1281" s="1297"/>
      <c r="BP1281" s="1297"/>
      <c r="BQ1281" s="1297"/>
      <c r="BR1281" s="1297"/>
      <c r="BS1281" s="1297"/>
      <c r="BT1281" s="1297"/>
      <c r="BU1281" s="1297"/>
      <c r="BV1281" s="1297"/>
      <c r="BW1281" s="1297"/>
      <c r="BX1281" s="1297"/>
      <c r="BY1281" s="1297"/>
      <c r="BZ1281" s="1297"/>
      <c r="CA1281" s="1297"/>
      <c r="CB1281" s="1298"/>
    </row>
    <row r="1282" spans="1:80" ht="12.75" customHeight="1" x14ac:dyDescent="0.2">
      <c r="A1282" s="227">
        <v>1282</v>
      </c>
      <c r="B1282" s="5988"/>
      <c r="C1282" s="1000"/>
      <c r="D1282" s="58"/>
      <c r="E1282" s="1003" t="s">
        <v>8086</v>
      </c>
      <c r="F1282" s="77">
        <v>5</v>
      </c>
      <c r="G1282" s="77">
        <v>40</v>
      </c>
      <c r="H1282" s="77">
        <f>COUNTIF(HabilidadesEsenciales_Adquiridas,Tablas!E1282)</f>
        <v>0</v>
      </c>
      <c r="I1282" s="1005">
        <v>1</v>
      </c>
      <c r="J1282" s="176"/>
      <c r="K1282" s="996"/>
      <c r="M1282" s="326"/>
      <c r="N1282" s="21"/>
      <c r="O1282" s="134" t="s">
        <v>7680</v>
      </c>
      <c r="P1282" s="998">
        <v>35</v>
      </c>
      <c r="Q1282" s="176">
        <v>70</v>
      </c>
      <c r="R1282" s="1005">
        <f>COUNTIF(PoderesDeCriatura_Adquiridos,Tablas!O1282)</f>
        <v>0</v>
      </c>
      <c r="S1282" s="176"/>
      <c r="T1282" s="996"/>
      <c r="U1282">
        <v>1</v>
      </c>
      <c r="W1282" s="1028" t="s">
        <v>0</v>
      </c>
      <c r="X1282" s="758"/>
      <c r="Y1282" s="834" t="str">
        <f t="shared" si="285"/>
        <v/>
      </c>
      <c r="Z1282" s="1293"/>
      <c r="AA1282" s="1299"/>
      <c r="AB1282" s="1299"/>
      <c r="AC1282" s="1299"/>
      <c r="AD1282" s="1299"/>
      <c r="AE1282" s="1299"/>
      <c r="AF1282" s="1299"/>
      <c r="AG1282" s="1299"/>
      <c r="AH1282" s="1299"/>
      <c r="AI1282" s="1299"/>
      <c r="AJ1282" s="1299"/>
      <c r="AK1282" s="1299"/>
      <c r="AL1282" s="1299"/>
      <c r="AM1282" s="1299"/>
      <c r="AN1282" s="1299"/>
      <c r="AO1282" s="1299"/>
      <c r="AP1282" s="1299"/>
      <c r="AQ1282" s="1297"/>
      <c r="AR1282" s="1297"/>
      <c r="AS1282" s="1297"/>
      <c r="AT1282" s="1297"/>
      <c r="AU1282" s="1297"/>
      <c r="AV1282" s="1297"/>
      <c r="AW1282" s="1297"/>
      <c r="AX1282" s="1297"/>
      <c r="AY1282" s="1297"/>
      <c r="AZ1282" s="1297"/>
      <c r="BA1282" s="1297"/>
      <c r="BB1282" s="1297"/>
      <c r="BC1282" s="1297"/>
      <c r="BD1282" s="1297"/>
      <c r="BE1282" s="1297"/>
      <c r="BF1282" s="1297"/>
      <c r="BG1282" s="1297"/>
      <c r="BH1282" s="1297"/>
      <c r="BI1282" s="1297"/>
      <c r="BJ1282" s="1297"/>
      <c r="BK1282" s="1297"/>
      <c r="BL1282" s="1297"/>
      <c r="BM1282" s="1297"/>
      <c r="BN1282" s="1297"/>
      <c r="BO1282" s="1297"/>
      <c r="BP1282" s="1297"/>
      <c r="BQ1282" s="1297"/>
      <c r="BR1282" s="1297"/>
      <c r="BS1282" s="1297"/>
      <c r="BT1282" s="1297"/>
      <c r="BU1282" s="1297"/>
      <c r="BV1282" s="1297"/>
      <c r="BW1282" s="1297"/>
      <c r="BX1282" s="1297"/>
      <c r="BY1282" s="1297"/>
      <c r="BZ1282" s="1297"/>
      <c r="CA1282" s="1297"/>
      <c r="CB1282" s="1298"/>
    </row>
    <row r="1283" spans="1:80" ht="12.75" customHeight="1" x14ac:dyDescent="0.2">
      <c r="A1283" s="227">
        <v>1283</v>
      </c>
      <c r="B1283" s="5988"/>
      <c r="C1283" s="1000"/>
      <c r="D1283" s="58"/>
      <c r="E1283" s="1003" t="s">
        <v>8087</v>
      </c>
      <c r="F1283" s="77">
        <v>15</v>
      </c>
      <c r="G1283" s="77">
        <v>60</v>
      </c>
      <c r="H1283" s="77">
        <f>COUNTIF(HabilidadesEsenciales_Adquiridas,Tablas!E1283)</f>
        <v>0</v>
      </c>
      <c r="I1283" s="1005">
        <v>1</v>
      </c>
      <c r="J1283" s="176"/>
      <c r="K1283" s="996"/>
      <c r="M1283" s="326"/>
      <c r="N1283" s="21"/>
      <c r="O1283" s="134" t="s">
        <v>7681</v>
      </c>
      <c r="P1283" s="998">
        <v>40</v>
      </c>
      <c r="Q1283" s="176">
        <v>80</v>
      </c>
      <c r="R1283" s="1005">
        <f>COUNTIF(PoderesDeCriatura_Adquiridos,Tablas!O1283)</f>
        <v>0</v>
      </c>
      <c r="S1283" s="176"/>
      <c r="T1283" s="996"/>
      <c r="U1283">
        <v>1</v>
      </c>
      <c r="W1283" s="1028" t="s">
        <v>2720</v>
      </c>
      <c r="X1283" s="304"/>
      <c r="Y1283" s="834" t="str">
        <f t="shared" si="285"/>
        <v>PodHab_Aura</v>
      </c>
      <c r="Z1283" s="1293" t="s">
        <v>7405</v>
      </c>
      <c r="AA1283" s="1299" t="s">
        <v>7407</v>
      </c>
      <c r="AB1283" s="1299" t="s">
        <v>7408</v>
      </c>
      <c r="AC1283" s="1299" t="s">
        <v>7409</v>
      </c>
      <c r="AD1283" s="1299" t="s">
        <v>7410</v>
      </c>
      <c r="AE1283" s="1299" t="s">
        <v>5584</v>
      </c>
      <c r="AF1283" s="1299" t="s">
        <v>7447</v>
      </c>
      <c r="AG1283" s="1299" t="s">
        <v>7448</v>
      </c>
      <c r="AH1283" s="1299" t="s">
        <v>4695</v>
      </c>
      <c r="AI1283" s="1299" t="s">
        <v>4696</v>
      </c>
      <c r="AJ1283" s="1299" t="s">
        <v>3797</v>
      </c>
      <c r="AK1283" s="1299" t="s">
        <v>3798</v>
      </c>
      <c r="AL1283" s="1299" t="s">
        <v>3167</v>
      </c>
      <c r="AM1283" s="1299" t="s">
        <v>628</v>
      </c>
      <c r="AN1283" s="1299" t="s">
        <v>3164</v>
      </c>
      <c r="AO1283" s="1299" t="s">
        <v>7450</v>
      </c>
      <c r="AP1283" s="1299" t="s">
        <v>453</v>
      </c>
      <c r="AQ1283" s="1297" t="s">
        <v>7451</v>
      </c>
      <c r="AR1283" s="1297" t="s">
        <v>7452</v>
      </c>
      <c r="AS1283" s="1297" t="s">
        <v>577</v>
      </c>
      <c r="AT1283" s="1297" t="s">
        <v>440</v>
      </c>
      <c r="AU1283" s="1297" t="s">
        <v>441</v>
      </c>
      <c r="AV1283" s="1297" t="s">
        <v>442</v>
      </c>
      <c r="AW1283" s="1297" t="s">
        <v>3165</v>
      </c>
      <c r="AX1283" s="1297" t="s">
        <v>7453</v>
      </c>
      <c r="AY1283" s="1297" t="s">
        <v>7454</v>
      </c>
      <c r="AZ1283" s="1297" t="s">
        <v>3166</v>
      </c>
      <c r="BA1283" s="1297" t="s">
        <v>467</v>
      </c>
      <c r="BB1283" s="1297" t="s">
        <v>84</v>
      </c>
      <c r="BC1283" s="1297" t="s">
        <v>40</v>
      </c>
      <c r="BD1283" s="1297" t="s">
        <v>7455</v>
      </c>
      <c r="BE1283" s="1297" t="s">
        <v>7456</v>
      </c>
      <c r="BF1283" s="1297" t="s">
        <v>7555</v>
      </c>
      <c r="BG1283" s="1297" t="s">
        <v>7460</v>
      </c>
      <c r="BH1283" s="1297" t="s">
        <v>7556</v>
      </c>
      <c r="BI1283" s="1297"/>
      <c r="BJ1283" s="1297"/>
      <c r="BK1283" s="1297"/>
      <c r="BL1283" s="1297"/>
      <c r="BM1283" s="1297"/>
      <c r="BN1283" s="1297"/>
      <c r="BO1283" s="1297"/>
      <c r="BP1283" s="1297"/>
      <c r="BQ1283" s="1297"/>
      <c r="BR1283" s="1297"/>
      <c r="BS1283" s="1297"/>
      <c r="BT1283" s="1297"/>
      <c r="BU1283" s="1297"/>
      <c r="BV1283" s="1297"/>
      <c r="BW1283" s="1297"/>
      <c r="BX1283" s="1297"/>
      <c r="BY1283" s="1297"/>
      <c r="BZ1283" s="1297"/>
      <c r="CA1283" s="1297"/>
      <c r="CB1283" s="1298"/>
    </row>
    <row r="1284" spans="1:80" ht="12.75" customHeight="1" x14ac:dyDescent="0.2">
      <c r="A1284" s="227">
        <v>1284</v>
      </c>
      <c r="B1284" s="5988"/>
      <c r="C1284" s="1000"/>
      <c r="D1284" s="58"/>
      <c r="E1284" s="1003" t="s">
        <v>8088</v>
      </c>
      <c r="F1284" s="77">
        <v>20</v>
      </c>
      <c r="G1284" s="77">
        <v>120</v>
      </c>
      <c r="H1284" s="77">
        <f>COUNTIF(HabilidadesEsenciales_Adquiridas,Tablas!E1284)</f>
        <v>0</v>
      </c>
      <c r="I1284" s="1005"/>
      <c r="J1284" s="176"/>
      <c r="K1284" s="996"/>
      <c r="M1284" s="326"/>
      <c r="N1284" s="21"/>
      <c r="O1284" s="134" t="s">
        <v>7682</v>
      </c>
      <c r="P1284" s="998">
        <v>5</v>
      </c>
      <c r="Q1284" s="176">
        <f>10+IF(OR(TipoDeCriatura="Entre mundos, Elemental",TipoDeCriatura="Ánima, Elemental"),10,0)</f>
        <v>10</v>
      </c>
      <c r="R1284" s="1005">
        <f>COUNTIF(PoderesDeCriatura_Adquiridos,Tablas!O1284)</f>
        <v>0</v>
      </c>
      <c r="S1284" s="176"/>
      <c r="T1284" s="996"/>
      <c r="U1284">
        <v>1</v>
      </c>
      <c r="W1284" s="1028" t="s">
        <v>7343</v>
      </c>
      <c r="X1284" s="304"/>
      <c r="Y1284" s="834" t="str">
        <f t="shared" si="285"/>
        <v>PodHab_Forma</v>
      </c>
      <c r="Z1284" s="1293" t="s">
        <v>7557</v>
      </c>
      <c r="AA1284" s="1299" t="s">
        <v>7558</v>
      </c>
      <c r="AB1284" s="1299" t="s">
        <v>359</v>
      </c>
      <c r="AC1284" s="1299" t="s">
        <v>7559</v>
      </c>
      <c r="AD1284" s="1299" t="s">
        <v>10080</v>
      </c>
      <c r="AE1284" s="1299" t="s">
        <v>7526</v>
      </c>
      <c r="AF1284" s="1299"/>
      <c r="AG1284" s="1299"/>
      <c r="AH1284" s="1299"/>
      <c r="AI1284" s="1299"/>
      <c r="AJ1284" s="1299"/>
      <c r="AK1284" s="1299"/>
      <c r="AL1284" s="1299"/>
      <c r="AM1284" s="1299"/>
      <c r="AN1284" s="1299"/>
      <c r="AO1284" s="1299"/>
      <c r="AP1284" s="1299"/>
      <c r="AQ1284" s="1297"/>
      <c r="AR1284" s="1297"/>
      <c r="AS1284" s="1297"/>
      <c r="AT1284" s="1297"/>
      <c r="AU1284" s="1297"/>
      <c r="AV1284" s="1297"/>
      <c r="AW1284" s="1297"/>
      <c r="AX1284" s="1297"/>
      <c r="AY1284" s="1297"/>
      <c r="AZ1284" s="1297"/>
      <c r="BA1284" s="1297"/>
      <c r="BB1284" s="1297"/>
      <c r="BC1284" s="1297"/>
      <c r="BD1284" s="1297"/>
      <c r="BE1284" s="1297"/>
      <c r="BF1284" s="1297"/>
      <c r="BG1284" s="1297"/>
      <c r="BH1284" s="1297"/>
      <c r="BI1284" s="1297"/>
      <c r="BJ1284" s="1297"/>
      <c r="BK1284" s="1297"/>
      <c r="BL1284" s="1297"/>
      <c r="BM1284" s="1297"/>
      <c r="BN1284" s="1297"/>
      <c r="BO1284" s="1297"/>
      <c r="BP1284" s="1297"/>
      <c r="BQ1284" s="1297"/>
      <c r="BR1284" s="1297"/>
      <c r="BS1284" s="1297"/>
      <c r="BT1284" s="1297"/>
      <c r="BU1284" s="1297"/>
      <c r="BV1284" s="1297"/>
      <c r="BW1284" s="1297"/>
      <c r="BX1284" s="1297"/>
      <c r="BY1284" s="1297"/>
      <c r="BZ1284" s="1297"/>
      <c r="CA1284" s="1297"/>
      <c r="CB1284" s="1298"/>
    </row>
    <row r="1285" spans="1:80" ht="12.75" customHeight="1" x14ac:dyDescent="0.2">
      <c r="A1285" s="227">
        <v>1285</v>
      </c>
      <c r="B1285" s="5988"/>
      <c r="C1285" s="1000"/>
      <c r="D1285" s="58"/>
      <c r="E1285" s="1003" t="s">
        <v>8089</v>
      </c>
      <c r="F1285" s="77">
        <v>25</v>
      </c>
      <c r="G1285" s="77">
        <v>180</v>
      </c>
      <c r="H1285" s="77">
        <f>COUNTIF(HabilidadesEsenciales_Adquiridas,Tablas!E1285)</f>
        <v>0</v>
      </c>
      <c r="I1285" s="1005"/>
      <c r="J1285" s="176"/>
      <c r="K1285" s="996"/>
      <c r="M1285" s="326"/>
      <c r="N1285" s="21"/>
      <c r="O1285" s="134" t="s">
        <v>7683</v>
      </c>
      <c r="P1285" s="998">
        <v>10</v>
      </c>
      <c r="Q1285" s="176">
        <f>15+IF(OR(TipoDeCriatura="Entre mundos, Elemental",TipoDeCriatura="Ánima, Elemental"),10,0)</f>
        <v>15</v>
      </c>
      <c r="R1285" s="1005">
        <f>COUNTIF(PoderesDeCriatura_Adquiridos,Tablas!O1285)</f>
        <v>0</v>
      </c>
      <c r="S1285" s="176"/>
      <c r="T1285" s="996"/>
      <c r="U1285">
        <v>1</v>
      </c>
      <c r="W1285" s="1028" t="s">
        <v>7360</v>
      </c>
      <c r="X1285" s="304"/>
      <c r="Y1285" s="834" t="str">
        <f t="shared" si="285"/>
        <v>PodHab_Indetecciones</v>
      </c>
      <c r="Z1285" s="1293" t="s">
        <v>7560</v>
      </c>
      <c r="AA1285" s="1299" t="s">
        <v>7561</v>
      </c>
      <c r="AB1285" s="1299" t="s">
        <v>7562</v>
      </c>
      <c r="AC1285" s="1299" t="s">
        <v>7563</v>
      </c>
      <c r="AD1285" s="1299" t="s">
        <v>2</v>
      </c>
      <c r="AE1285" s="1299" t="s">
        <v>7564</v>
      </c>
      <c r="AF1285" s="1299" t="s">
        <v>3</v>
      </c>
      <c r="AG1285" s="1299" t="s">
        <v>7565</v>
      </c>
      <c r="AH1285" s="1299" t="s">
        <v>4</v>
      </c>
      <c r="AI1285" s="1299" t="s">
        <v>7566</v>
      </c>
      <c r="AJ1285" s="1299"/>
      <c r="AK1285" s="1299"/>
      <c r="AL1285" s="1299"/>
      <c r="AM1285" s="1299"/>
      <c r="AN1285" s="1299"/>
      <c r="AO1285" s="1299"/>
      <c r="AP1285" s="1295"/>
      <c r="AQ1285" s="1296"/>
      <c r="AR1285" s="1296"/>
      <c r="AS1285" s="1296"/>
      <c r="AT1285" s="1296"/>
      <c r="AU1285" s="1296"/>
      <c r="AV1285" s="1296"/>
      <c r="AW1285" s="1297"/>
      <c r="AX1285" s="1297"/>
      <c r="AY1285" s="1297"/>
      <c r="AZ1285" s="1297"/>
      <c r="BA1285" s="1297"/>
      <c r="BB1285" s="1297"/>
      <c r="BC1285" s="1297"/>
      <c r="BD1285" s="1297"/>
      <c r="BE1285" s="1297"/>
      <c r="BF1285" s="1297"/>
      <c r="BG1285" s="1297"/>
      <c r="BH1285" s="1297"/>
      <c r="BI1285" s="1297"/>
      <c r="BJ1285" s="1297"/>
      <c r="BK1285" s="1297"/>
      <c r="BL1285" s="1297"/>
      <c r="BM1285" s="1297"/>
      <c r="BN1285" s="1297"/>
      <c r="BO1285" s="1297"/>
      <c r="BP1285" s="1297"/>
      <c r="BQ1285" s="1297"/>
      <c r="BR1285" s="1297"/>
      <c r="BS1285" s="1297"/>
      <c r="BT1285" s="1297"/>
      <c r="BU1285" s="1297"/>
      <c r="BV1285" s="1297"/>
      <c r="BW1285" s="1297"/>
      <c r="BX1285" s="1297"/>
      <c r="BY1285" s="1297"/>
      <c r="BZ1285" s="1297"/>
      <c r="CA1285" s="1297"/>
      <c r="CB1285" s="1298"/>
    </row>
    <row r="1286" spans="1:80" ht="12.75" customHeight="1" x14ac:dyDescent="0.2">
      <c r="A1286" s="227">
        <v>1286</v>
      </c>
      <c r="B1286" s="5988"/>
      <c r="C1286" s="1000"/>
      <c r="D1286" s="58"/>
      <c r="E1286" s="1003" t="s">
        <v>8090</v>
      </c>
      <c r="F1286" s="77">
        <v>0</v>
      </c>
      <c r="G1286" s="77">
        <v>20</v>
      </c>
      <c r="H1286" s="77">
        <f>COUNTIF(HabilidadesEsenciales_Adquiridas,Tablas!E1286)</f>
        <v>0</v>
      </c>
      <c r="I1286" s="1005">
        <v>1</v>
      </c>
      <c r="J1286" s="176"/>
      <c r="K1286" s="996"/>
      <c r="M1286" s="326"/>
      <c r="N1286" s="21"/>
      <c r="O1286" s="134" t="s">
        <v>7684</v>
      </c>
      <c r="P1286" s="998">
        <v>10</v>
      </c>
      <c r="Q1286" s="176">
        <f>20+IF(OR(TipoDeCriatura="Entre mundos, Elemental",TipoDeCriatura="Ánima, Elemental"),10,0)</f>
        <v>20</v>
      </c>
      <c r="R1286" s="1005">
        <f>COUNTIF(PoderesDeCriatura_Adquiridos,Tablas!O1286)</f>
        <v>0</v>
      </c>
      <c r="S1286" s="176"/>
      <c r="T1286" s="996"/>
      <c r="U1286">
        <v>1</v>
      </c>
      <c r="W1286" s="1028" t="s">
        <v>7376</v>
      </c>
      <c r="X1286" s="304"/>
      <c r="Y1286" s="834" t="str">
        <f t="shared" si="285"/>
        <v>PodHab_MagiaInnata</v>
      </c>
      <c r="Z1286" s="1293" t="s">
        <v>7567</v>
      </c>
      <c r="AA1286" s="1299" t="s">
        <v>7568</v>
      </c>
      <c r="AB1286" s="1299" t="s">
        <v>7412</v>
      </c>
      <c r="AC1286" s="1299" t="s">
        <v>7569</v>
      </c>
      <c r="AD1286" s="1299" t="s">
        <v>7413</v>
      </c>
      <c r="AE1286" s="1299" t="s">
        <v>7414</v>
      </c>
      <c r="AF1286" s="1299" t="s">
        <v>7415</v>
      </c>
      <c r="AG1286" s="1299" t="s">
        <v>7416</v>
      </c>
      <c r="AH1286" s="1299" t="s">
        <v>7417</v>
      </c>
      <c r="AI1286" s="1299"/>
      <c r="AJ1286" s="1299"/>
      <c r="AK1286" s="1299"/>
      <c r="AL1286" s="1299"/>
      <c r="AM1286" s="1299"/>
      <c r="AN1286" s="1299"/>
      <c r="AO1286" s="1299"/>
      <c r="AP1286" s="1299"/>
      <c r="AQ1286" s="1297"/>
      <c r="AR1286" s="1297"/>
      <c r="AS1286" s="1297"/>
      <c r="AT1286" s="1297"/>
      <c r="AU1286" s="1297"/>
      <c r="AV1286" s="1297"/>
      <c r="AW1286" s="1297"/>
      <c r="AX1286" s="1297"/>
      <c r="AY1286" s="1297"/>
      <c r="AZ1286" s="1297"/>
      <c r="BA1286" s="1297"/>
      <c r="BB1286" s="1297"/>
      <c r="BC1286" s="1297"/>
      <c r="BD1286" s="1297"/>
      <c r="BE1286" s="1297"/>
      <c r="BF1286" s="1297"/>
      <c r="BG1286" s="1297"/>
      <c r="BH1286" s="1297"/>
      <c r="BI1286" s="1297"/>
      <c r="BJ1286" s="1297"/>
      <c r="BK1286" s="1297"/>
      <c r="BL1286" s="1297"/>
      <c r="BM1286" s="1297"/>
      <c r="BN1286" s="1297"/>
      <c r="BO1286" s="1297"/>
      <c r="BP1286" s="1297"/>
      <c r="BQ1286" s="1297"/>
      <c r="BR1286" s="1297"/>
      <c r="BS1286" s="1297"/>
      <c r="BT1286" s="1297"/>
      <c r="BU1286" s="1297"/>
      <c r="BV1286" s="1297"/>
      <c r="BW1286" s="1297"/>
      <c r="BX1286" s="1297"/>
      <c r="BY1286" s="1297"/>
      <c r="BZ1286" s="1297"/>
      <c r="CA1286" s="1297"/>
      <c r="CB1286" s="1298"/>
    </row>
    <row r="1287" spans="1:80" ht="12.75" customHeight="1" x14ac:dyDescent="0.2">
      <c r="A1287" s="227">
        <v>1287</v>
      </c>
      <c r="B1287" s="5988"/>
      <c r="C1287" s="1000"/>
      <c r="D1287" s="58"/>
      <c r="E1287" s="1003" t="s">
        <v>8091</v>
      </c>
      <c r="F1287" s="77">
        <v>5</v>
      </c>
      <c r="G1287" s="77">
        <v>40</v>
      </c>
      <c r="H1287" s="77">
        <f>COUNTIF(HabilidadesEsenciales_Adquiridas,Tablas!E1287)</f>
        <v>0</v>
      </c>
      <c r="I1287" s="1005">
        <v>1</v>
      </c>
      <c r="J1287" s="176"/>
      <c r="K1287" s="996"/>
      <c r="M1287" s="326"/>
      <c r="N1287" s="21"/>
      <c r="O1287" s="134" t="s">
        <v>7685</v>
      </c>
      <c r="P1287" s="998">
        <v>10</v>
      </c>
      <c r="Q1287" s="176">
        <f>25+IF(OR(TipoDeCriatura="Entre mundos, Elemental",TipoDeCriatura="Ánima, Elemental"),10,0)</f>
        <v>25</v>
      </c>
      <c r="R1287" s="1005">
        <f>COUNTIF(PoderesDeCriatura_Adquiridos,Tablas!O1287)</f>
        <v>0</v>
      </c>
      <c r="S1287" s="176"/>
      <c r="T1287" s="996"/>
      <c r="U1287">
        <v>1</v>
      </c>
      <c r="W1287" s="1028" t="s">
        <v>7344</v>
      </c>
      <c r="X1287" s="304"/>
      <c r="Y1287" s="834" t="str">
        <f t="shared" si="285"/>
        <v>PodHab_Psíquicainnata</v>
      </c>
      <c r="Z1287" s="1293" t="s">
        <v>7570</v>
      </c>
      <c r="AA1287" s="1299" t="s">
        <v>7568</v>
      </c>
      <c r="AB1287" s="1299" t="s">
        <v>7412</v>
      </c>
      <c r="AC1287" s="1299" t="s">
        <v>7569</v>
      </c>
      <c r="AD1287" s="1299" t="s">
        <v>7413</v>
      </c>
      <c r="AE1287" s="1299" t="s">
        <v>7414</v>
      </c>
      <c r="AF1287" s="1299" t="s">
        <v>7415</v>
      </c>
      <c r="AG1287" s="1299" t="s">
        <v>7416</v>
      </c>
      <c r="AH1287" s="1299" t="s">
        <v>7417</v>
      </c>
      <c r="AI1287" s="1299"/>
      <c r="AJ1287" s="1295"/>
      <c r="AK1287" s="1295"/>
      <c r="AL1287" s="1299"/>
      <c r="AM1287" s="1299"/>
      <c r="AN1287" s="1299"/>
      <c r="AO1287" s="1299"/>
      <c r="AP1287" s="1299"/>
      <c r="AQ1287" s="1297"/>
      <c r="AR1287" s="1297"/>
      <c r="AS1287" s="1297"/>
      <c r="AT1287" s="1297"/>
      <c r="AU1287" s="1297"/>
      <c r="AV1287" s="1297"/>
      <c r="AW1287" s="1297"/>
      <c r="AX1287" s="1297"/>
      <c r="AY1287" s="1297"/>
      <c r="AZ1287" s="1297"/>
      <c r="BA1287" s="1297"/>
      <c r="BB1287" s="1297"/>
      <c r="BC1287" s="1297"/>
      <c r="BD1287" s="1297"/>
      <c r="BE1287" s="1297"/>
      <c r="BF1287" s="1297"/>
      <c r="BG1287" s="1297"/>
      <c r="BH1287" s="1297"/>
      <c r="BI1287" s="1297"/>
      <c r="BJ1287" s="1297"/>
      <c r="BK1287" s="1297"/>
      <c r="BL1287" s="1297"/>
      <c r="BM1287" s="1297"/>
      <c r="BN1287" s="1297"/>
      <c r="BO1287" s="1297"/>
      <c r="BP1287" s="1297"/>
      <c r="BQ1287" s="1297"/>
      <c r="BR1287" s="1297"/>
      <c r="BS1287" s="1297"/>
      <c r="BT1287" s="1297"/>
      <c r="BU1287" s="1297"/>
      <c r="BV1287" s="1297"/>
      <c r="BW1287" s="1297"/>
      <c r="BX1287" s="1297"/>
      <c r="BY1287" s="1297"/>
      <c r="BZ1287" s="1297"/>
      <c r="CA1287" s="1297"/>
      <c r="CB1287" s="1298"/>
    </row>
    <row r="1288" spans="1:80" ht="12.75" customHeight="1" x14ac:dyDescent="0.2">
      <c r="A1288" s="227">
        <v>1288</v>
      </c>
      <c r="B1288" s="5988"/>
      <c r="C1288" s="1000"/>
      <c r="D1288" s="58"/>
      <c r="E1288" s="1003" t="s">
        <v>8092</v>
      </c>
      <c r="F1288" s="77">
        <v>15</v>
      </c>
      <c r="G1288" s="77">
        <v>60</v>
      </c>
      <c r="H1288" s="77">
        <f>COUNTIF(HabilidadesEsenciales_Adquiridas,Tablas!E1288)</f>
        <v>0</v>
      </c>
      <c r="I1288" s="1005">
        <v>1</v>
      </c>
      <c r="J1288" s="176"/>
      <c r="K1288" s="996"/>
      <c r="M1288" s="326"/>
      <c r="N1288" s="21"/>
      <c r="O1288" s="134" t="s">
        <v>7686</v>
      </c>
      <c r="P1288" s="998">
        <v>15</v>
      </c>
      <c r="Q1288" s="176">
        <f>30+IF(OR(TipoDeCriatura="Entre mundos, Elemental",TipoDeCriatura="Ánima, Elemental"),10,0)</f>
        <v>30</v>
      </c>
      <c r="R1288" s="1005">
        <f>COUNTIF(PoderesDeCriatura_Adquiridos,Tablas!O1288)</f>
        <v>0</v>
      </c>
      <c r="S1288" s="176"/>
      <c r="T1288" s="996"/>
      <c r="U1288">
        <v>1</v>
      </c>
      <c r="W1288" s="1028" t="s">
        <v>1</v>
      </c>
      <c r="X1288" s="304"/>
      <c r="Y1288" s="834" t="str">
        <f t="shared" si="285"/>
        <v>PodHab_Metamorfismo</v>
      </c>
      <c r="Z1288" s="1293" t="s">
        <v>7571</v>
      </c>
      <c r="AA1288" s="1299" t="s">
        <v>1728</v>
      </c>
      <c r="AB1288" s="1299" t="s">
        <v>3198</v>
      </c>
      <c r="AC1288" s="1299" t="s">
        <v>7569</v>
      </c>
      <c r="AD1288" s="1295"/>
      <c r="AE1288" s="1295"/>
      <c r="AF1288" s="1295"/>
      <c r="AG1288" s="1295"/>
      <c r="AH1288" s="1295"/>
      <c r="AI1288" s="1295"/>
      <c r="AJ1288" s="1295"/>
      <c r="AK1288" s="1295"/>
      <c r="AL1288" s="1295"/>
      <c r="AM1288" s="1295"/>
      <c r="AN1288" s="1295"/>
      <c r="AO1288" s="1295"/>
      <c r="AP1288" s="1295"/>
      <c r="AQ1288" s="1296"/>
      <c r="AR1288" s="1296"/>
      <c r="AS1288" s="1296"/>
      <c r="AT1288" s="1296"/>
      <c r="AU1288" s="1296"/>
      <c r="AV1288" s="1296"/>
      <c r="AW1288" s="1296"/>
      <c r="AX1288" s="1296"/>
      <c r="AY1288" s="1296"/>
      <c r="AZ1288" s="1296"/>
      <c r="BA1288" s="1296"/>
      <c r="BB1288" s="1296"/>
      <c r="BC1288" s="1296"/>
      <c r="BD1288" s="1296"/>
      <c r="BE1288" s="1296"/>
      <c r="BF1288" s="1296"/>
      <c r="BG1288" s="1296"/>
      <c r="BH1288" s="1296"/>
      <c r="BI1288" s="1296"/>
      <c r="BJ1288" s="1297"/>
      <c r="BK1288" s="1297"/>
      <c r="BL1288" s="1297"/>
      <c r="BM1288" s="1297"/>
      <c r="BN1288" s="1297"/>
      <c r="BO1288" s="1297"/>
      <c r="BP1288" s="1297"/>
      <c r="BQ1288" s="1297"/>
      <c r="BR1288" s="1297"/>
      <c r="BS1288" s="1297"/>
      <c r="BT1288" s="1297"/>
      <c r="BU1288" s="1297"/>
      <c r="BV1288" s="1297"/>
      <c r="BW1288" s="1297"/>
      <c r="BX1288" s="1297"/>
      <c r="BY1288" s="1297"/>
      <c r="BZ1288" s="1297"/>
      <c r="CA1288" s="1297"/>
      <c r="CB1288" s="1298"/>
    </row>
    <row r="1289" spans="1:80" ht="12.75" customHeight="1" x14ac:dyDescent="0.2">
      <c r="A1289" s="227">
        <v>1289</v>
      </c>
      <c r="B1289" s="5988"/>
      <c r="C1289" s="1000"/>
      <c r="D1289" s="58"/>
      <c r="E1289" s="1003" t="s">
        <v>8093</v>
      </c>
      <c r="F1289" s="77">
        <v>20</v>
      </c>
      <c r="G1289" s="77">
        <v>120</v>
      </c>
      <c r="H1289" s="77">
        <f>COUNTIF(HabilidadesEsenciales_Adquiridas,Tablas!E1289)</f>
        <v>0</v>
      </c>
      <c r="I1289" s="1005">
        <v>1</v>
      </c>
      <c r="J1289" s="176"/>
      <c r="K1289" s="996"/>
      <c r="M1289" s="326"/>
      <c r="N1289" s="21"/>
      <c r="O1289" s="134" t="s">
        <v>7687</v>
      </c>
      <c r="P1289" s="998">
        <v>20</v>
      </c>
      <c r="Q1289" s="176">
        <f>50+IF(OR(TipoDeCriatura="Entre mundos, Elemental",TipoDeCriatura="Ánima, Elemental"),10,0)</f>
        <v>50</v>
      </c>
      <c r="R1289" s="1005">
        <f>COUNTIF(PoderesDeCriatura_Adquiridos,Tablas!O1289)</f>
        <v>0</v>
      </c>
      <c r="S1289" s="176"/>
      <c r="T1289" s="996"/>
      <c r="U1289">
        <v>1</v>
      </c>
      <c r="W1289" s="1028" t="s">
        <v>5</v>
      </c>
      <c r="X1289" s="758"/>
      <c r="Y1289" s="834" t="str">
        <f t="shared" si="285"/>
        <v/>
      </c>
      <c r="Z1289" s="1293"/>
      <c r="AA1289" s="1299"/>
      <c r="AB1289" s="1299"/>
      <c r="AC1289" s="1299"/>
      <c r="AD1289" s="1299"/>
      <c r="AE1289" s="1299"/>
      <c r="AF1289" s="1299"/>
      <c r="AG1289" s="1299"/>
      <c r="AH1289" s="1299"/>
      <c r="AI1289" s="1299"/>
      <c r="AJ1289" s="1299"/>
      <c r="AK1289" s="1299"/>
      <c r="AL1289" s="1299"/>
      <c r="AM1289" s="1299"/>
      <c r="AN1289" s="1299"/>
      <c r="AO1289" s="1299"/>
      <c r="AP1289" s="1299"/>
      <c r="AQ1289" s="1297"/>
      <c r="AR1289" s="1297"/>
      <c r="AS1289" s="1297"/>
      <c r="AT1289" s="1297"/>
      <c r="AU1289" s="1297"/>
      <c r="AV1289" s="1297"/>
      <c r="AW1289" s="1297"/>
      <c r="AX1289" s="1297"/>
      <c r="AY1289" s="1297"/>
      <c r="AZ1289" s="1297"/>
      <c r="BA1289" s="1297"/>
      <c r="BB1289" s="1297"/>
      <c r="BC1289" s="1297"/>
      <c r="BD1289" s="1297"/>
      <c r="BE1289" s="1297"/>
      <c r="BF1289" s="1297"/>
      <c r="BG1289" s="1297"/>
      <c r="BH1289" s="1297"/>
      <c r="BI1289" s="1297"/>
      <c r="BJ1289" s="1297"/>
      <c r="BK1289" s="1297"/>
      <c r="BL1289" s="1297"/>
      <c r="BM1289" s="1297"/>
      <c r="BN1289" s="1297"/>
      <c r="BO1289" s="1297"/>
      <c r="BP1289" s="1297"/>
      <c r="BQ1289" s="1297"/>
      <c r="BR1289" s="1297"/>
      <c r="BS1289" s="1297"/>
      <c r="BT1289" s="1297"/>
      <c r="BU1289" s="1297"/>
      <c r="BV1289" s="1297"/>
      <c r="BW1289" s="1297"/>
      <c r="BX1289" s="1297"/>
      <c r="BY1289" s="1297"/>
      <c r="BZ1289" s="1297"/>
      <c r="CA1289" s="1297"/>
      <c r="CB1289" s="1298"/>
    </row>
    <row r="1290" spans="1:80" ht="12.75" customHeight="1" x14ac:dyDescent="0.2">
      <c r="A1290" s="227">
        <v>1290</v>
      </c>
      <c r="B1290" s="5988"/>
      <c r="C1290" s="1000"/>
      <c r="D1290" s="58"/>
      <c r="E1290" s="1003" t="s">
        <v>8094</v>
      </c>
      <c r="F1290" s="77">
        <v>25</v>
      </c>
      <c r="G1290" s="77">
        <v>180</v>
      </c>
      <c r="H1290" s="77">
        <f>COUNTIF(HabilidadesEsenciales_Adquiridas,Tablas!E1290)</f>
        <v>0</v>
      </c>
      <c r="I1290" s="1005">
        <v>1</v>
      </c>
      <c r="J1290" s="176"/>
      <c r="K1290" s="996"/>
      <c r="M1290" s="326"/>
      <c r="N1290" s="21"/>
      <c r="O1290" s="134" t="s">
        <v>7688</v>
      </c>
      <c r="P1290" s="998">
        <v>20</v>
      </c>
      <c r="Q1290" s="176">
        <f>60+IF(OR(TipoDeCriatura="Entre mundos, Elemental",TipoDeCriatura="Ánima, Elemental"),10,0)</f>
        <v>60</v>
      </c>
      <c r="R1290" s="1005">
        <f>COUNTIF(PoderesDeCriatura_Adquiridos,Tablas!O1290)</f>
        <v>0</v>
      </c>
      <c r="S1290" s="176"/>
      <c r="T1290" s="996"/>
      <c r="U1290">
        <v>1</v>
      </c>
      <c r="W1290" s="1028" t="s">
        <v>7345</v>
      </c>
      <c r="X1290" s="304"/>
      <c r="Y1290" s="834" t="str">
        <f t="shared" si="285"/>
        <v>PodHab_Detecciónsobrenatural</v>
      </c>
      <c r="Z1290" s="1293" t="s">
        <v>5608</v>
      </c>
      <c r="AA1290" s="1299" t="s">
        <v>5609</v>
      </c>
      <c r="AB1290" s="1299" t="s">
        <v>5610</v>
      </c>
      <c r="AC1290" s="1299" t="s">
        <v>5611</v>
      </c>
      <c r="AD1290" s="1299" t="s">
        <v>7572</v>
      </c>
      <c r="AE1290" s="1299" t="s">
        <v>7573</v>
      </c>
      <c r="AF1290" s="1299" t="s">
        <v>7574</v>
      </c>
      <c r="AG1290" s="1299" t="s">
        <v>3628</v>
      </c>
      <c r="AH1290" s="1299" t="s">
        <v>3591</v>
      </c>
      <c r="AI1290" s="1299" t="s">
        <v>3322</v>
      </c>
      <c r="AJ1290" s="1299" t="s">
        <v>3776</v>
      </c>
      <c r="AK1290" s="1299" t="s">
        <v>4654</v>
      </c>
      <c r="AL1290" s="1299" t="s">
        <v>7575</v>
      </c>
      <c r="AM1290" s="1299" t="s">
        <v>7576</v>
      </c>
      <c r="AN1290" s="1299"/>
      <c r="AO1290" s="1295"/>
      <c r="AP1290" s="1295"/>
      <c r="AQ1290" s="1296"/>
      <c r="AR1290" s="1297"/>
      <c r="AS1290" s="1297"/>
      <c r="AT1290" s="1297"/>
      <c r="AU1290" s="1297"/>
      <c r="AV1290" s="1297"/>
      <c r="AW1290" s="1297"/>
      <c r="AX1290" s="1297"/>
      <c r="AY1290" s="1297"/>
      <c r="AZ1290" s="1297"/>
      <c r="BA1290" s="1297"/>
      <c r="BB1290" s="1297"/>
      <c r="BC1290" s="1297"/>
      <c r="BD1290" s="1297"/>
      <c r="BE1290" s="1297"/>
      <c r="BF1290" s="1297"/>
      <c r="BG1290" s="1297"/>
      <c r="BH1290" s="1297"/>
      <c r="BI1290" s="1297"/>
      <c r="BJ1290" s="1297"/>
      <c r="BK1290" s="1297"/>
      <c r="BL1290" s="1297"/>
      <c r="BM1290" s="1297"/>
      <c r="BN1290" s="1297"/>
      <c r="BO1290" s="1297"/>
      <c r="BP1290" s="1297"/>
      <c r="BQ1290" s="1297"/>
      <c r="BR1290" s="1297"/>
      <c r="BS1290" s="1297"/>
      <c r="BT1290" s="1297"/>
      <c r="BU1290" s="1297"/>
      <c r="BV1290" s="1297"/>
      <c r="BW1290" s="1297"/>
      <c r="BX1290" s="1297"/>
      <c r="BY1290" s="1297"/>
      <c r="BZ1290" s="1297"/>
      <c r="CA1290" s="1297"/>
      <c r="CB1290" s="1298"/>
    </row>
    <row r="1291" spans="1:80" ht="12.75" customHeight="1" x14ac:dyDescent="0.2">
      <c r="A1291" s="227">
        <v>1291</v>
      </c>
      <c r="B1291" s="5988"/>
      <c r="C1291" s="1000"/>
      <c r="D1291" s="58"/>
      <c r="E1291" s="1003" t="s">
        <v>8095</v>
      </c>
      <c r="F1291" s="77">
        <v>0</v>
      </c>
      <c r="G1291" s="77">
        <v>20</v>
      </c>
      <c r="H1291" s="77">
        <f>COUNTIF(HabilidadesEsenciales_Adquiridas,Tablas!E1291)</f>
        <v>0</v>
      </c>
      <c r="I1291" s="1005">
        <v>1</v>
      </c>
      <c r="J1291" s="176"/>
      <c r="K1291" s="996"/>
      <c r="M1291" s="326"/>
      <c r="N1291" s="21"/>
      <c r="O1291" s="134" t="s">
        <v>7689</v>
      </c>
      <c r="P1291" s="998">
        <v>25</v>
      </c>
      <c r="Q1291" s="176">
        <f>80+IF(OR(TipoDeCriatura="Entre mundos, Elemental",TipoDeCriatura="Ánima, Elemental"),10,0)</f>
        <v>80</v>
      </c>
      <c r="R1291" s="1005">
        <f>COUNTIF(PoderesDeCriatura_Adquiridos,Tablas!O1291)</f>
        <v>0</v>
      </c>
      <c r="S1291" s="176"/>
      <c r="T1291" s="996"/>
      <c r="U1291">
        <v>1</v>
      </c>
      <c r="W1291" s="1028" t="s">
        <v>7361</v>
      </c>
      <c r="X1291" s="304"/>
      <c r="Y1291" s="834" t="str">
        <f t="shared" si="285"/>
        <v>PodHab_Visiónespecial</v>
      </c>
      <c r="Z1291" s="1293" t="s">
        <v>1912</v>
      </c>
      <c r="AA1291" s="1299" t="s">
        <v>6</v>
      </c>
      <c r="AB1291" s="1299" t="s">
        <v>7</v>
      </c>
      <c r="AC1291" s="1299" t="s">
        <v>8</v>
      </c>
      <c r="AD1291" s="1299" t="s">
        <v>9</v>
      </c>
      <c r="AE1291" s="1299" t="s">
        <v>10</v>
      </c>
      <c r="AF1291" s="1299" t="s">
        <v>2302</v>
      </c>
      <c r="AG1291" s="1299"/>
      <c r="AH1291" s="1299"/>
      <c r="AI1291" s="1299"/>
      <c r="AJ1291" s="1299"/>
      <c r="AK1291" s="1299"/>
      <c r="AL1291" s="1299"/>
      <c r="AM1291" s="1299"/>
      <c r="AN1291" s="1299"/>
      <c r="AO1291" s="1299"/>
      <c r="AP1291" s="1299"/>
      <c r="AQ1291" s="1297"/>
      <c r="AR1291" s="1297"/>
      <c r="AS1291" s="1297"/>
      <c r="AT1291" s="1297"/>
      <c r="AU1291" s="1297"/>
      <c r="AV1291" s="1297"/>
      <c r="AW1291" s="1297"/>
      <c r="AX1291" s="1297"/>
      <c r="AY1291" s="1297"/>
      <c r="AZ1291" s="1297"/>
      <c r="BA1291" s="1297"/>
      <c r="BB1291" s="1297"/>
      <c r="BC1291" s="1297"/>
      <c r="BD1291" s="1297"/>
      <c r="BE1291" s="1297"/>
      <c r="BF1291" s="1297"/>
      <c r="BG1291" s="1297"/>
      <c r="BH1291" s="1297"/>
      <c r="BI1291" s="1297"/>
      <c r="BJ1291" s="1297"/>
      <c r="BK1291" s="1297"/>
      <c r="BL1291" s="1297"/>
      <c r="BM1291" s="1297"/>
      <c r="BN1291" s="1297"/>
      <c r="BO1291" s="1297"/>
      <c r="BP1291" s="1297"/>
      <c r="BQ1291" s="1297"/>
      <c r="BR1291" s="1297"/>
      <c r="BS1291" s="1297"/>
      <c r="BT1291" s="1297"/>
      <c r="BU1291" s="1297"/>
      <c r="BV1291" s="1297"/>
      <c r="BW1291" s="1297"/>
      <c r="BX1291" s="1297"/>
      <c r="BY1291" s="1297"/>
      <c r="BZ1291" s="1297"/>
      <c r="CA1291" s="1297"/>
      <c r="CB1291" s="1298"/>
    </row>
    <row r="1292" spans="1:80" ht="12.75" customHeight="1" x14ac:dyDescent="0.2">
      <c r="A1292" s="227">
        <v>1292</v>
      </c>
      <c r="B1292" s="5988"/>
      <c r="C1292" s="1000"/>
      <c r="D1292" s="58"/>
      <c r="E1292" s="1003" t="s">
        <v>8096</v>
      </c>
      <c r="F1292" s="77">
        <v>5</v>
      </c>
      <c r="G1292" s="77">
        <v>40</v>
      </c>
      <c r="H1292" s="77">
        <f>COUNTIF(HabilidadesEsenciales_Adquiridas,Tablas!E1292)</f>
        <v>0</v>
      </c>
      <c r="I1292" s="1005">
        <v>1</v>
      </c>
      <c r="J1292" s="176"/>
      <c r="K1292" s="996"/>
      <c r="M1292" s="326"/>
      <c r="N1292" s="21"/>
      <c r="O1292" s="134" t="s">
        <v>7690</v>
      </c>
      <c r="P1292" s="998">
        <v>30</v>
      </c>
      <c r="Q1292" s="176">
        <f>100+IF(OR(TipoDeCriatura="Entre mundos, Elemental",TipoDeCriatura="Ánima, Elemental"),10,0)</f>
        <v>100</v>
      </c>
      <c r="R1292" s="1005">
        <f>COUNTIF(PoderesDeCriatura_Adquiridos,Tablas!O1292)</f>
        <v>0</v>
      </c>
      <c r="S1292" s="176"/>
      <c r="T1292" s="996"/>
      <c r="U1292">
        <v>1</v>
      </c>
      <c r="W1292" s="1028" t="s">
        <v>11</v>
      </c>
      <c r="X1292" s="758"/>
      <c r="Y1292" s="834" t="str">
        <f t="shared" si="285"/>
        <v/>
      </c>
      <c r="Z1292" s="1293"/>
      <c r="AA1292" s="1299"/>
      <c r="AB1292" s="1299"/>
      <c r="AC1292" s="1299"/>
      <c r="AD1292" s="1299"/>
      <c r="AE1292" s="1299"/>
      <c r="AF1292" s="1299"/>
      <c r="AG1292" s="1299"/>
      <c r="AH1292" s="1299"/>
      <c r="AI1292" s="1299"/>
      <c r="AJ1292" s="1299"/>
      <c r="AK1292" s="1299"/>
      <c r="AL1292" s="1299"/>
      <c r="AM1292" s="1299"/>
      <c r="AN1292" s="1299"/>
      <c r="AO1292" s="1299"/>
      <c r="AP1292" s="1299"/>
      <c r="AQ1292" s="1297"/>
      <c r="AR1292" s="1297"/>
      <c r="AS1292" s="1297"/>
      <c r="AT1292" s="1297"/>
      <c r="AU1292" s="1297"/>
      <c r="AV1292" s="1297"/>
      <c r="AW1292" s="1297"/>
      <c r="AX1292" s="1297"/>
      <c r="AY1292" s="1297"/>
      <c r="AZ1292" s="1297"/>
      <c r="BA1292" s="1297"/>
      <c r="BB1292" s="1297"/>
      <c r="BC1292" s="1297"/>
      <c r="BD1292" s="1297"/>
      <c r="BE1292" s="1297"/>
      <c r="BF1292" s="1297"/>
      <c r="BG1292" s="1297"/>
      <c r="BH1292" s="1297"/>
      <c r="BI1292" s="1297"/>
      <c r="BJ1292" s="1297"/>
      <c r="BK1292" s="1297"/>
      <c r="BL1292" s="1297"/>
      <c r="BM1292" s="1297"/>
      <c r="BN1292" s="1297"/>
      <c r="BO1292" s="1297"/>
      <c r="BP1292" s="1297"/>
      <c r="BQ1292" s="1297"/>
      <c r="BR1292" s="1297"/>
      <c r="BS1292" s="1297"/>
      <c r="BT1292" s="1297"/>
      <c r="BU1292" s="1297"/>
      <c r="BV1292" s="1297"/>
      <c r="BW1292" s="1297"/>
      <c r="BX1292" s="1297"/>
      <c r="BY1292" s="1297"/>
      <c r="BZ1292" s="1297"/>
      <c r="CA1292" s="1297"/>
      <c r="CB1292" s="1298"/>
    </row>
    <row r="1293" spans="1:80" ht="12.75" customHeight="1" x14ac:dyDescent="0.2">
      <c r="A1293" s="227">
        <v>1293</v>
      </c>
      <c r="B1293" s="5988"/>
      <c r="C1293" s="1000"/>
      <c r="D1293" s="58"/>
      <c r="E1293" s="1003" t="s">
        <v>8097</v>
      </c>
      <c r="F1293" s="77">
        <v>15</v>
      </c>
      <c r="G1293" s="77">
        <v>60</v>
      </c>
      <c r="H1293" s="77">
        <f>COUNTIF(HabilidadesEsenciales_Adquiridas,Tablas!E1293)</f>
        <v>0</v>
      </c>
      <c r="I1293" s="1005">
        <v>1</v>
      </c>
      <c r="J1293" s="176"/>
      <c r="K1293" s="996"/>
      <c r="M1293" s="326"/>
      <c r="N1293" s="21"/>
      <c r="O1293" s="134" t="s">
        <v>7691</v>
      </c>
      <c r="P1293" s="998">
        <v>10</v>
      </c>
      <c r="Q1293" s="176">
        <f>10+IF(OR(TipoDeCriatura="Entre mundos, Elemental",TipoDeCriatura="Ánima, Elemental"),10,0)</f>
        <v>10</v>
      </c>
      <c r="R1293" s="1005">
        <f>COUNTIF(PoderesDeCriatura_Adquiridos,Tablas!O1293)</f>
        <v>0</v>
      </c>
      <c r="S1293" s="176"/>
      <c r="T1293" s="996"/>
      <c r="U1293">
        <v>1</v>
      </c>
      <c r="W1293" s="1028" t="s">
        <v>7348</v>
      </c>
      <c r="X1293" s="304"/>
      <c r="Y1293" s="834" t="str">
        <f t="shared" si="285"/>
        <v>PodHab_Acumularataque</v>
      </c>
      <c r="Z1293" s="1293" t="s">
        <v>7577</v>
      </c>
      <c r="AA1293" s="1299" t="s">
        <v>7578</v>
      </c>
      <c r="AB1293" s="1299" t="s">
        <v>7579</v>
      </c>
      <c r="AC1293" s="1299" t="s">
        <v>7580</v>
      </c>
      <c r="AD1293" s="1299" t="s">
        <v>7581</v>
      </c>
      <c r="AE1293" s="1299" t="s">
        <v>7582</v>
      </c>
      <c r="AF1293" s="1299" t="s">
        <v>7583</v>
      </c>
      <c r="AG1293" s="1299"/>
      <c r="AH1293" s="1299"/>
      <c r="AI1293" s="1299"/>
      <c r="AJ1293" s="1299"/>
      <c r="AK1293" s="1299"/>
      <c r="AL1293" s="1295"/>
      <c r="AM1293" s="1295"/>
      <c r="AN1293" s="1295"/>
      <c r="AO1293" s="1295"/>
      <c r="AP1293" s="1295"/>
      <c r="AQ1293" s="1296"/>
      <c r="AR1293" s="1296"/>
      <c r="AS1293" s="1296"/>
      <c r="AT1293" s="1296"/>
      <c r="AU1293" s="1296"/>
      <c r="AV1293" s="1296"/>
      <c r="AW1293" s="1296"/>
      <c r="AX1293" s="1296"/>
      <c r="AY1293" s="1297"/>
      <c r="AZ1293" s="1297"/>
      <c r="BA1293" s="1297"/>
      <c r="BB1293" s="1297"/>
      <c r="BC1293" s="1297"/>
      <c r="BD1293" s="1297"/>
      <c r="BE1293" s="1297"/>
      <c r="BF1293" s="1297"/>
      <c r="BG1293" s="1297"/>
      <c r="BH1293" s="1297"/>
      <c r="BI1293" s="1297"/>
      <c r="BJ1293" s="1297"/>
      <c r="BK1293" s="1297"/>
      <c r="BL1293" s="1297"/>
      <c r="BM1293" s="1297"/>
      <c r="BN1293" s="1297"/>
      <c r="BO1293" s="1297"/>
      <c r="BP1293" s="1297"/>
      <c r="BQ1293" s="1297"/>
      <c r="BR1293" s="1297"/>
      <c r="BS1293" s="1297"/>
      <c r="BT1293" s="1297"/>
      <c r="BU1293" s="1297"/>
      <c r="BV1293" s="1297"/>
      <c r="BW1293" s="1297"/>
      <c r="BX1293" s="1297"/>
      <c r="BY1293" s="1297"/>
      <c r="BZ1293" s="1297"/>
      <c r="CA1293" s="1297"/>
      <c r="CB1293" s="1298"/>
    </row>
    <row r="1294" spans="1:80" ht="12.75" customHeight="1" x14ac:dyDescent="0.2">
      <c r="A1294" s="227">
        <v>1294</v>
      </c>
      <c r="B1294" s="5988"/>
      <c r="C1294" s="1000"/>
      <c r="D1294" s="58"/>
      <c r="E1294" s="1003" t="s">
        <v>8098</v>
      </c>
      <c r="F1294" s="77">
        <v>20</v>
      </c>
      <c r="G1294" s="77">
        <v>120</v>
      </c>
      <c r="H1294" s="77">
        <f>COUNTIF(HabilidadesEsenciales_Adquiridas,Tablas!E1294)</f>
        <v>0</v>
      </c>
      <c r="I1294" s="1005"/>
      <c r="J1294" s="176"/>
      <c r="K1294" s="996"/>
      <c r="M1294" s="326"/>
      <c r="N1294" s="21"/>
      <c r="O1294" s="134" t="s">
        <v>7692</v>
      </c>
      <c r="P1294" s="998">
        <v>10</v>
      </c>
      <c r="Q1294" s="176">
        <f>20+IF(OR(TipoDeCriatura="Entre mundos, Elemental",TipoDeCriatura="Ánima, Elemental"),10,0)</f>
        <v>20</v>
      </c>
      <c r="R1294" s="1005">
        <f>COUNTIF(PoderesDeCriatura_Adquiridos,Tablas!O1294)</f>
        <v>0</v>
      </c>
      <c r="S1294" s="176"/>
      <c r="T1294" s="996"/>
      <c r="U1294">
        <v>1</v>
      </c>
      <c r="W1294" s="1028" t="s">
        <v>13</v>
      </c>
      <c r="X1294" s="304"/>
      <c r="Y1294" s="834" t="str">
        <f t="shared" si="285"/>
        <v>PodHab_Armanaturaladistancia</v>
      </c>
      <c r="Z1294" s="1293" t="s">
        <v>7377</v>
      </c>
      <c r="AA1294" s="1299" t="s">
        <v>7378</v>
      </c>
      <c r="AB1294" s="1299" t="s">
        <v>7379</v>
      </c>
      <c r="AC1294" s="1299" t="s">
        <v>7380</v>
      </c>
      <c r="AD1294" s="1299"/>
      <c r="AE1294" s="1299"/>
      <c r="AF1294" s="1299"/>
      <c r="AG1294" s="1299"/>
      <c r="AH1294" s="1299"/>
      <c r="AI1294" s="1299"/>
      <c r="AJ1294" s="1299"/>
      <c r="AK1294" s="1299"/>
      <c r="AL1294" s="1295"/>
      <c r="AM1294" s="1295"/>
      <c r="AN1294" s="1295"/>
      <c r="AO1294" s="1295"/>
      <c r="AP1294" s="1295"/>
      <c r="AQ1294" s="1296"/>
      <c r="AR1294" s="1296"/>
      <c r="AS1294" s="1296"/>
      <c r="AT1294" s="1296"/>
      <c r="AU1294" s="1296"/>
      <c r="AV1294" s="1296"/>
      <c r="AW1294" s="1296"/>
      <c r="AX1294" s="1296"/>
      <c r="AY1294" s="1297"/>
      <c r="AZ1294" s="1297"/>
      <c r="BA1294" s="1297"/>
      <c r="BB1294" s="1297"/>
      <c r="BC1294" s="1297"/>
      <c r="BD1294" s="1297"/>
      <c r="BE1294" s="1297"/>
      <c r="BF1294" s="1297"/>
      <c r="BG1294" s="1297"/>
      <c r="BH1294" s="1297"/>
      <c r="BI1294" s="1297"/>
      <c r="BJ1294" s="1297"/>
      <c r="BK1294" s="1297"/>
      <c r="BL1294" s="1297"/>
      <c r="BM1294" s="1297"/>
      <c r="BN1294" s="1297"/>
      <c r="BO1294" s="1297"/>
      <c r="BP1294" s="1297"/>
      <c r="BQ1294" s="1297"/>
      <c r="BR1294" s="1297"/>
      <c r="BS1294" s="1297"/>
      <c r="BT1294" s="1297"/>
      <c r="BU1294" s="1297"/>
      <c r="BV1294" s="1297"/>
      <c r="BW1294" s="1297"/>
      <c r="BX1294" s="1297"/>
      <c r="BY1294" s="1297"/>
      <c r="BZ1294" s="1297"/>
      <c r="CA1294" s="1297"/>
      <c r="CB1294" s="1298"/>
    </row>
    <row r="1295" spans="1:80" ht="12.75" customHeight="1" x14ac:dyDescent="0.2">
      <c r="A1295" s="227">
        <v>1295</v>
      </c>
      <c r="B1295" s="5988"/>
      <c r="C1295" s="1000"/>
      <c r="D1295" s="58"/>
      <c r="E1295" s="1003" t="s">
        <v>8099</v>
      </c>
      <c r="F1295" s="77">
        <v>25</v>
      </c>
      <c r="G1295" s="77">
        <v>180</v>
      </c>
      <c r="H1295" s="77">
        <f>COUNTIF(HabilidadesEsenciales_Adquiridas,Tablas!E1295)</f>
        <v>0</v>
      </c>
      <c r="I1295" s="1005"/>
      <c r="J1295" s="176"/>
      <c r="K1295" s="996"/>
      <c r="M1295" s="326"/>
      <c r="N1295" s="21"/>
      <c r="O1295" s="134" t="s">
        <v>7693</v>
      </c>
      <c r="P1295" s="998">
        <v>15</v>
      </c>
      <c r="Q1295" s="176">
        <f>30+IF(OR(TipoDeCriatura="Entre mundos, Elemental",TipoDeCriatura="Ánima, Elemental"),10,0)</f>
        <v>30</v>
      </c>
      <c r="R1295" s="1005">
        <f>COUNTIF(PoderesDeCriatura_Adquiridos,Tablas!O1295)</f>
        <v>0</v>
      </c>
      <c r="S1295" s="176"/>
      <c r="T1295" s="996"/>
      <c r="U1295">
        <v>1</v>
      </c>
      <c r="W1295" s="1028" t="s">
        <v>9954</v>
      </c>
      <c r="X1295" s="304"/>
      <c r="Y1295" s="834" t="str">
        <f t="shared" si="285"/>
        <v>PodHab_Ataqueautomáticocondicionado</v>
      </c>
      <c r="Z1295" s="1293" t="s">
        <v>7584</v>
      </c>
      <c r="AA1295" s="1299" t="s">
        <v>7585</v>
      </c>
      <c r="AB1295" s="1299" t="s">
        <v>7586</v>
      </c>
      <c r="AC1295" s="1299" t="s">
        <v>7587</v>
      </c>
      <c r="AD1295" s="1299" t="s">
        <v>7588</v>
      </c>
      <c r="AE1295" s="1299" t="s">
        <v>7589</v>
      </c>
      <c r="AF1295" s="1299" t="s">
        <v>861</v>
      </c>
      <c r="AG1295" s="1299" t="s">
        <v>84</v>
      </c>
      <c r="AH1295" s="1299" t="s">
        <v>2157</v>
      </c>
      <c r="AI1295" s="1299" t="s">
        <v>7590</v>
      </c>
      <c r="AJ1295" s="1299"/>
      <c r="AK1295" s="1299"/>
      <c r="AL1295" s="1295"/>
      <c r="AM1295" s="1295"/>
      <c r="AN1295" s="1295"/>
      <c r="AO1295" s="1295"/>
      <c r="AP1295" s="1295"/>
      <c r="AQ1295" s="1296"/>
      <c r="AR1295" s="1296"/>
      <c r="AS1295" s="1296"/>
      <c r="AT1295" s="1296"/>
      <c r="AU1295" s="1296"/>
      <c r="AV1295" s="1296"/>
      <c r="AW1295" s="1296"/>
      <c r="AX1295" s="1296"/>
      <c r="AY1295" s="1297"/>
      <c r="AZ1295" s="1297"/>
      <c r="BA1295" s="1297"/>
      <c r="BB1295" s="1297"/>
      <c r="BC1295" s="1297"/>
      <c r="BD1295" s="1297"/>
      <c r="BE1295" s="1297"/>
      <c r="BF1295" s="1297"/>
      <c r="BG1295" s="1297"/>
      <c r="BH1295" s="1297"/>
      <c r="BI1295" s="1297"/>
      <c r="BJ1295" s="1297"/>
      <c r="BK1295" s="1297"/>
      <c r="BL1295" s="1297"/>
      <c r="BM1295" s="1297"/>
      <c r="BN1295" s="1297"/>
      <c r="BO1295" s="1297"/>
      <c r="BP1295" s="1297"/>
      <c r="BQ1295" s="1297"/>
      <c r="BR1295" s="1297"/>
      <c r="BS1295" s="1297"/>
      <c r="BT1295" s="1297"/>
      <c r="BU1295" s="1297"/>
      <c r="BV1295" s="1297"/>
      <c r="BW1295" s="1297"/>
      <c r="BX1295" s="1297"/>
      <c r="BY1295" s="1297"/>
      <c r="BZ1295" s="1297"/>
      <c r="CA1295" s="1297"/>
      <c r="CB1295" s="1298"/>
    </row>
    <row r="1296" spans="1:80" ht="12.75" customHeight="1" x14ac:dyDescent="0.2">
      <c r="A1296" s="227">
        <v>1296</v>
      </c>
      <c r="B1296" s="5988"/>
      <c r="C1296" s="1000"/>
      <c r="D1296" s="58"/>
      <c r="E1296" s="1003" t="s">
        <v>8100</v>
      </c>
      <c r="F1296" s="77">
        <v>0</v>
      </c>
      <c r="G1296" s="77">
        <v>20</v>
      </c>
      <c r="H1296" s="77">
        <f>COUNTIF(HabilidadesEsenciales_Adquiridas,Tablas!E1296)</f>
        <v>0</v>
      </c>
      <c r="I1296" s="1005">
        <v>1</v>
      </c>
      <c r="J1296" s="176"/>
      <c r="K1296" s="996"/>
      <c r="M1296" s="326"/>
      <c r="N1296" s="21"/>
      <c r="O1296" s="134" t="s">
        <v>7694</v>
      </c>
      <c r="P1296" s="998">
        <v>20</v>
      </c>
      <c r="Q1296" s="176">
        <f>40+IF(OR(TipoDeCriatura="Entre mundos, Elemental",TipoDeCriatura="Ánima, Elemental"),10,0)</f>
        <v>40</v>
      </c>
      <c r="R1296" s="1005">
        <f>COUNTIF(PoderesDeCriatura_Adquiridos,Tablas!O1296)</f>
        <v>0</v>
      </c>
      <c r="S1296" s="176"/>
      <c r="T1296" s="996"/>
      <c r="U1296">
        <v>1</v>
      </c>
      <c r="W1296" s="1028" t="s">
        <v>12</v>
      </c>
      <c r="X1296" s="1024"/>
      <c r="Y1296" s="834" t="str">
        <f>IF(Z1296="","",SUBSTITUTE("PodHab_"&amp;W1296," ",""))</f>
        <v/>
      </c>
      <c r="Z1296" s="1293"/>
      <c r="AA1296" s="1299"/>
      <c r="AB1296" s="1299"/>
      <c r="AC1296" s="1299"/>
      <c r="AD1296" s="1299"/>
      <c r="AE1296" s="1299"/>
      <c r="AF1296" s="1299"/>
      <c r="AG1296" s="1299"/>
      <c r="AH1296" s="1299"/>
      <c r="AI1296" s="1299"/>
      <c r="AJ1296" s="1299"/>
      <c r="AK1296" s="1299"/>
      <c r="AL1296" s="1295"/>
      <c r="AM1296" s="1295"/>
      <c r="AN1296" s="1295"/>
      <c r="AO1296" s="1295"/>
      <c r="AP1296" s="1295"/>
      <c r="AQ1296" s="1296"/>
      <c r="AR1296" s="1296"/>
      <c r="AS1296" s="1296"/>
      <c r="AT1296" s="1296"/>
      <c r="AU1296" s="1296"/>
      <c r="AV1296" s="1296"/>
      <c r="AW1296" s="1296"/>
      <c r="AX1296" s="1296"/>
      <c r="AY1296" s="1297"/>
      <c r="AZ1296" s="1297"/>
      <c r="BA1296" s="1297"/>
      <c r="BB1296" s="1297"/>
      <c r="BC1296" s="1297"/>
      <c r="BD1296" s="1297"/>
      <c r="BE1296" s="1297"/>
      <c r="BF1296" s="1297"/>
      <c r="BG1296" s="1297"/>
      <c r="BH1296" s="1297"/>
      <c r="BI1296" s="1297"/>
      <c r="BJ1296" s="1297"/>
      <c r="BK1296" s="1297"/>
      <c r="BL1296" s="1297"/>
      <c r="BM1296" s="1297"/>
      <c r="BN1296" s="1297"/>
      <c r="BO1296" s="1297"/>
      <c r="BP1296" s="1297"/>
      <c r="BQ1296" s="1297"/>
      <c r="BR1296" s="1297"/>
      <c r="BS1296" s="1297"/>
      <c r="BT1296" s="1297"/>
      <c r="BU1296" s="1297"/>
      <c r="BV1296" s="1297"/>
      <c r="BW1296" s="1297"/>
      <c r="BX1296" s="1297"/>
      <c r="BY1296" s="1297"/>
      <c r="BZ1296" s="1297"/>
      <c r="CA1296" s="1297"/>
      <c r="CB1296" s="1298"/>
    </row>
    <row r="1297" spans="1:80" ht="12.75" customHeight="1" x14ac:dyDescent="0.2">
      <c r="A1297" s="227">
        <v>1297</v>
      </c>
      <c r="B1297" s="5988"/>
      <c r="C1297" s="1000"/>
      <c r="D1297" s="58"/>
      <c r="E1297" s="1003" t="s">
        <v>8101</v>
      </c>
      <c r="F1297" s="77">
        <v>5</v>
      </c>
      <c r="G1297" s="77">
        <v>40</v>
      </c>
      <c r="H1297" s="77">
        <f>COUNTIF(HabilidadesEsenciales_Adquiridas,Tablas!E1297)</f>
        <v>0</v>
      </c>
      <c r="I1297" s="1005">
        <v>1</v>
      </c>
      <c r="J1297" s="176"/>
      <c r="K1297" s="996"/>
      <c r="M1297" s="326"/>
      <c r="N1297" s="21"/>
      <c r="O1297" s="134" t="s">
        <v>7695</v>
      </c>
      <c r="P1297" s="998">
        <v>25</v>
      </c>
      <c r="Q1297" s="176">
        <f>50+IF(OR(TipoDeCriatura="Entre mundos, Elemental",TipoDeCriatura="Ánima, Elemental"),10,0)</f>
        <v>50</v>
      </c>
      <c r="R1297" s="1005">
        <f>COUNTIF(PoderesDeCriatura_Adquiridos,Tablas!O1297)</f>
        <v>0</v>
      </c>
      <c r="S1297" s="176"/>
      <c r="T1297" s="996"/>
      <c r="U1297">
        <v>1</v>
      </c>
      <c r="W1297" s="1028" t="s">
        <v>7363</v>
      </c>
      <c r="X1297" s="304"/>
      <c r="Y1297" s="834" t="str">
        <f t="shared" si="285"/>
        <v>PodHab_Ataquecamuflado</v>
      </c>
      <c r="Z1297" s="1293" t="s">
        <v>7591</v>
      </c>
      <c r="AA1297" s="1299" t="s">
        <v>7592</v>
      </c>
      <c r="AB1297" s="1299" t="s">
        <v>7593</v>
      </c>
      <c r="AC1297" s="1299" t="s">
        <v>7594</v>
      </c>
      <c r="AD1297" s="1299" t="s">
        <v>7595</v>
      </c>
      <c r="AE1297" s="1299"/>
      <c r="AF1297" s="1299"/>
      <c r="AG1297" s="1299"/>
      <c r="AH1297" s="1299"/>
      <c r="AI1297" s="1299"/>
      <c r="AJ1297" s="1299"/>
      <c r="AK1297" s="1299"/>
      <c r="AL1297" s="1295"/>
      <c r="AM1297" s="1295"/>
      <c r="AN1297" s="1295"/>
      <c r="AO1297" s="1295"/>
      <c r="AP1297" s="1295"/>
      <c r="AQ1297" s="1296"/>
      <c r="AR1297" s="1296"/>
      <c r="AS1297" s="1296"/>
      <c r="AT1297" s="1296"/>
      <c r="AU1297" s="1296"/>
      <c r="AV1297" s="1296"/>
      <c r="AW1297" s="1296"/>
      <c r="AX1297" s="1296"/>
      <c r="AY1297" s="1297"/>
      <c r="AZ1297" s="1297"/>
      <c r="BA1297" s="1297"/>
      <c r="BB1297" s="1297"/>
      <c r="BC1297" s="1297"/>
      <c r="BD1297" s="1297"/>
      <c r="BE1297" s="1297"/>
      <c r="BF1297" s="1297"/>
      <c r="BG1297" s="1297"/>
      <c r="BH1297" s="1297"/>
      <c r="BI1297" s="1297"/>
      <c r="BJ1297" s="1297"/>
      <c r="BK1297" s="1297"/>
      <c r="BL1297" s="1297"/>
      <c r="BM1297" s="1297"/>
      <c r="BN1297" s="1297"/>
      <c r="BO1297" s="1297"/>
      <c r="BP1297" s="1297"/>
      <c r="BQ1297" s="1297"/>
      <c r="BR1297" s="1297"/>
      <c r="BS1297" s="1297"/>
      <c r="BT1297" s="1297"/>
      <c r="BU1297" s="1297"/>
      <c r="BV1297" s="1297"/>
      <c r="BW1297" s="1297"/>
      <c r="BX1297" s="1297"/>
      <c r="BY1297" s="1297"/>
      <c r="BZ1297" s="1297"/>
      <c r="CA1297" s="1297"/>
      <c r="CB1297" s="1298"/>
    </row>
    <row r="1298" spans="1:80" ht="12.75" customHeight="1" x14ac:dyDescent="0.2">
      <c r="A1298" s="227">
        <v>1298</v>
      </c>
      <c r="B1298" s="5988"/>
      <c r="C1298" s="1000"/>
      <c r="D1298" s="58"/>
      <c r="E1298" s="1003" t="s">
        <v>8102</v>
      </c>
      <c r="F1298" s="77">
        <v>15</v>
      </c>
      <c r="G1298" s="77">
        <v>60</v>
      </c>
      <c r="H1298" s="77">
        <f>COUNTIF(HabilidadesEsenciales_Adquiridas,Tablas!E1298)</f>
        <v>0</v>
      </c>
      <c r="I1298" s="1005">
        <v>1</v>
      </c>
      <c r="J1298" s="176"/>
      <c r="K1298" s="996"/>
      <c r="M1298" s="326"/>
      <c r="N1298" s="21"/>
      <c r="O1298" s="134" t="s">
        <v>7696</v>
      </c>
      <c r="P1298" s="998">
        <v>30</v>
      </c>
      <c r="Q1298" s="176">
        <f>60+IF(OR(TipoDeCriatura="Entre mundos, Elemental",TipoDeCriatura="Ánima, Elemental"),10,0)</f>
        <v>60</v>
      </c>
      <c r="R1298" s="1005">
        <f>COUNTIF(PoderesDeCriatura_Adquiridos,Tablas!O1298)</f>
        <v>0</v>
      </c>
      <c r="S1298" s="176"/>
      <c r="T1298" s="996"/>
      <c r="U1298">
        <v>1</v>
      </c>
      <c r="W1298" s="1028" t="s">
        <v>7353</v>
      </c>
      <c r="X1298" s="323"/>
      <c r="Y1298" s="834" t="str">
        <f t="shared" si="285"/>
        <v>PodHab_Ataqueespecialincrementado</v>
      </c>
      <c r="Z1298" s="1293" t="s">
        <v>7596</v>
      </c>
      <c r="AA1298" s="1299" t="s">
        <v>7597</v>
      </c>
      <c r="AB1298" s="1299" t="s">
        <v>7598</v>
      </c>
      <c r="AC1298" s="1299" t="s">
        <v>7599</v>
      </c>
      <c r="AD1298" s="1299" t="s">
        <v>7600</v>
      </c>
      <c r="AE1298" s="1299" t="s">
        <v>6926</v>
      </c>
      <c r="AF1298" s="1295"/>
      <c r="AG1298" s="1295"/>
      <c r="AH1298" s="1295"/>
      <c r="AI1298" s="1299"/>
      <c r="AJ1298" s="1299"/>
      <c r="AK1298" s="1299"/>
      <c r="AL1298" s="1295"/>
      <c r="AM1298" s="1295"/>
      <c r="AN1298" s="1295"/>
      <c r="AO1298" s="1295"/>
      <c r="AP1298" s="1295"/>
      <c r="AQ1298" s="1296"/>
      <c r="AR1298" s="1296"/>
      <c r="AS1298" s="1296"/>
      <c r="AT1298" s="1296"/>
      <c r="AU1298" s="1296"/>
      <c r="AV1298" s="1296"/>
      <c r="AW1298" s="1296"/>
      <c r="AX1298" s="1296"/>
      <c r="AY1298" s="1297"/>
      <c r="AZ1298" s="1297"/>
      <c r="BA1298" s="1297"/>
      <c r="BB1298" s="1297"/>
      <c r="BC1298" s="1297"/>
      <c r="BD1298" s="1297"/>
      <c r="BE1298" s="1297"/>
      <c r="BF1298" s="1297"/>
      <c r="BG1298" s="1297"/>
      <c r="BH1298" s="1297"/>
      <c r="BI1298" s="1297"/>
      <c r="BJ1298" s="1297"/>
      <c r="BK1298" s="1297"/>
      <c r="BL1298" s="1297"/>
      <c r="BM1298" s="1297"/>
      <c r="BN1298" s="1297"/>
      <c r="BO1298" s="1297"/>
      <c r="BP1298" s="1297"/>
      <c r="BQ1298" s="1297"/>
      <c r="BR1298" s="1297"/>
      <c r="BS1298" s="1297"/>
      <c r="BT1298" s="1297"/>
      <c r="BU1298" s="1297"/>
      <c r="BV1298" s="1297"/>
      <c r="BW1298" s="1297"/>
      <c r="BX1298" s="1297"/>
      <c r="BY1298" s="1297"/>
      <c r="BZ1298" s="1297"/>
      <c r="CA1298" s="1297"/>
      <c r="CB1298" s="1298"/>
    </row>
    <row r="1299" spans="1:80" ht="12.75" customHeight="1" x14ac:dyDescent="0.2">
      <c r="A1299" s="227">
        <v>1299</v>
      </c>
      <c r="B1299" s="5988"/>
      <c r="C1299" s="1000"/>
      <c r="D1299" s="58"/>
      <c r="E1299" s="1003" t="s">
        <v>8103</v>
      </c>
      <c r="F1299" s="77">
        <v>20</v>
      </c>
      <c r="G1299" s="77">
        <v>120</v>
      </c>
      <c r="H1299" s="77">
        <f>COUNTIF(HabilidadesEsenciales_Adquiridas,Tablas!E1299)</f>
        <v>0</v>
      </c>
      <c r="I1299" s="1005"/>
      <c r="J1299" s="176"/>
      <c r="K1299" s="996"/>
      <c r="M1299" s="326"/>
      <c r="N1299" s="21"/>
      <c r="O1299" s="134" t="s">
        <v>7697</v>
      </c>
      <c r="P1299" s="998">
        <v>35</v>
      </c>
      <c r="Q1299" s="176">
        <f>80+IF(OR(TipoDeCriatura="Entre mundos, Elemental",TipoDeCriatura="Ánima, Elemental"),10,0)</f>
        <v>80</v>
      </c>
      <c r="R1299" s="1005">
        <f>COUNTIF(PoderesDeCriatura_Adquiridos,Tablas!O1299)</f>
        <v>0</v>
      </c>
      <c r="S1299" s="176"/>
      <c r="T1299" s="996"/>
      <c r="U1299">
        <v>1</v>
      </c>
      <c r="W1299" s="1028" t="s">
        <v>7364</v>
      </c>
      <c r="X1299" s="304"/>
      <c r="Y1299" s="834" t="str">
        <f t="shared" si="285"/>
        <v>PodHab_Ataquemantenido</v>
      </c>
      <c r="Z1299" s="1293" t="s">
        <v>7601</v>
      </c>
      <c r="AA1299" s="1299" t="s">
        <v>7602</v>
      </c>
      <c r="AB1299" s="1299" t="s">
        <v>7603</v>
      </c>
      <c r="AC1299" s="1299" t="s">
        <v>7604</v>
      </c>
      <c r="AD1299" s="1299" t="s">
        <v>7605</v>
      </c>
      <c r="AE1299" s="1299"/>
      <c r="AF1299" s="1299"/>
      <c r="AG1299" s="1299"/>
      <c r="AH1299" s="1299"/>
      <c r="AI1299" s="1299"/>
      <c r="AJ1299" s="1299"/>
      <c r="AK1299" s="1299"/>
      <c r="AL1299" s="1295"/>
      <c r="AM1299" s="1295"/>
      <c r="AN1299" s="1295"/>
      <c r="AO1299" s="1295"/>
      <c r="AP1299" s="1295"/>
      <c r="AQ1299" s="1296"/>
      <c r="AR1299" s="1296"/>
      <c r="AS1299" s="1296"/>
      <c r="AT1299" s="1296"/>
      <c r="AU1299" s="1296"/>
      <c r="AV1299" s="1296"/>
      <c r="AW1299" s="1296"/>
      <c r="AX1299" s="1296"/>
      <c r="AY1299" s="1297"/>
      <c r="AZ1299" s="1297"/>
      <c r="BA1299" s="1297"/>
      <c r="BB1299" s="1297"/>
      <c r="BC1299" s="1297"/>
      <c r="BD1299" s="1297"/>
      <c r="BE1299" s="1297"/>
      <c r="BF1299" s="1297"/>
      <c r="BG1299" s="1297"/>
      <c r="BH1299" s="1297"/>
      <c r="BI1299" s="1297"/>
      <c r="BJ1299" s="1297"/>
      <c r="BK1299" s="1297"/>
      <c r="BL1299" s="1297"/>
      <c r="BM1299" s="1297"/>
      <c r="BN1299" s="1297"/>
      <c r="BO1299" s="1297"/>
      <c r="BP1299" s="1297"/>
      <c r="BQ1299" s="1297"/>
      <c r="BR1299" s="1297"/>
      <c r="BS1299" s="1297"/>
      <c r="BT1299" s="1297"/>
      <c r="BU1299" s="1297"/>
      <c r="BV1299" s="1297"/>
      <c r="BW1299" s="1297"/>
      <c r="BX1299" s="1297"/>
      <c r="BY1299" s="1297"/>
      <c r="BZ1299" s="1297"/>
      <c r="CA1299" s="1297"/>
      <c r="CB1299" s="1298"/>
    </row>
    <row r="1300" spans="1:80" ht="12.75" customHeight="1" x14ac:dyDescent="0.2">
      <c r="A1300" s="227">
        <v>1300</v>
      </c>
      <c r="B1300" s="5988"/>
      <c r="C1300" s="1000"/>
      <c r="D1300" s="58"/>
      <c r="E1300" s="1003" t="s">
        <v>8104</v>
      </c>
      <c r="F1300" s="77">
        <v>25</v>
      </c>
      <c r="G1300" s="77">
        <v>180</v>
      </c>
      <c r="H1300" s="77">
        <f>COUNTIF(HabilidadesEsenciales_Adquiridas,Tablas!E1300)</f>
        <v>0</v>
      </c>
      <c r="I1300" s="1005"/>
      <c r="J1300" s="176"/>
      <c r="K1300" s="996"/>
      <c r="M1300" s="326"/>
      <c r="N1300" s="21"/>
      <c r="O1300" s="134" t="s">
        <v>7698</v>
      </c>
      <c r="P1300" s="998">
        <v>10</v>
      </c>
      <c r="Q1300" s="176">
        <f>5+IF(OR(TipoDeCriatura="Entre mundos, Elemental",TipoDeCriatura="Ánima, Elemental"),5,0)</f>
        <v>5</v>
      </c>
      <c r="R1300" s="1005">
        <f>COUNTIF(PoderesDeCriatura_Adquiridos,Tablas!O1300)</f>
        <v>0</v>
      </c>
      <c r="S1300" s="176"/>
      <c r="T1300" s="996"/>
      <c r="U1300">
        <v>1</v>
      </c>
      <c r="W1300" s="1028" t="s">
        <v>7362</v>
      </c>
      <c r="X1300" s="304"/>
      <c r="Y1300" s="834" t="str">
        <f t="shared" si="285"/>
        <v>PodHab_Ataqueretardado</v>
      </c>
      <c r="Z1300" s="1293" t="s">
        <v>7606</v>
      </c>
      <c r="AA1300" s="1299" t="s">
        <v>7607</v>
      </c>
      <c r="AB1300" s="1299" t="s">
        <v>7608</v>
      </c>
      <c r="AC1300" s="1299" t="s">
        <v>7609</v>
      </c>
      <c r="AD1300" s="1299"/>
      <c r="AE1300" s="1299"/>
      <c r="AF1300" s="1299"/>
      <c r="AG1300" s="1299"/>
      <c r="AH1300" s="1299"/>
      <c r="AI1300" s="1299"/>
      <c r="AJ1300" s="1299"/>
      <c r="AK1300" s="1299"/>
      <c r="AL1300" s="1295"/>
      <c r="AM1300" s="1295"/>
      <c r="AN1300" s="1295"/>
      <c r="AO1300" s="1295"/>
      <c r="AP1300" s="1295"/>
      <c r="AQ1300" s="1296"/>
      <c r="AR1300" s="1296"/>
      <c r="AS1300" s="1296"/>
      <c r="AT1300" s="1296"/>
      <c r="AU1300" s="1296"/>
      <c r="AV1300" s="1296"/>
      <c r="AW1300" s="1296"/>
      <c r="AX1300" s="1296"/>
      <c r="AY1300" s="1297"/>
      <c r="AZ1300" s="1297"/>
      <c r="BA1300" s="1297"/>
      <c r="BB1300" s="1297"/>
      <c r="BC1300" s="1297"/>
      <c r="BD1300" s="1297"/>
      <c r="BE1300" s="1297"/>
      <c r="BF1300" s="1297"/>
      <c r="BG1300" s="1297"/>
      <c r="BH1300" s="1297"/>
      <c r="BI1300" s="1297"/>
      <c r="BJ1300" s="1297"/>
      <c r="BK1300" s="1297"/>
      <c r="BL1300" s="1297"/>
      <c r="BM1300" s="1297"/>
      <c r="BN1300" s="1297"/>
      <c r="BO1300" s="1297"/>
      <c r="BP1300" s="1297"/>
      <c r="BQ1300" s="1297"/>
      <c r="BR1300" s="1297"/>
      <c r="BS1300" s="1297"/>
      <c r="BT1300" s="1297"/>
      <c r="BU1300" s="1297"/>
      <c r="BV1300" s="1297"/>
      <c r="BW1300" s="1297"/>
      <c r="BX1300" s="1297"/>
      <c r="BY1300" s="1297"/>
      <c r="BZ1300" s="1297"/>
      <c r="CA1300" s="1297"/>
      <c r="CB1300" s="1298"/>
    </row>
    <row r="1301" spans="1:80" ht="12.75" customHeight="1" x14ac:dyDescent="0.2">
      <c r="A1301" s="227">
        <v>1301</v>
      </c>
      <c r="B1301" s="5988"/>
      <c r="C1301" s="1000"/>
      <c r="D1301" s="58"/>
      <c r="E1301" s="1003" t="s">
        <v>8105</v>
      </c>
      <c r="F1301" s="77">
        <v>0</v>
      </c>
      <c r="G1301" s="77">
        <v>20</v>
      </c>
      <c r="H1301" s="77">
        <f>COUNTIF(HabilidadesEsenciales_Adquiridas,Tablas!E1301)</f>
        <v>0</v>
      </c>
      <c r="I1301" s="1005">
        <v>1</v>
      </c>
      <c r="J1301" s="176"/>
      <c r="K1301" s="996"/>
      <c r="M1301" s="326"/>
      <c r="N1301" s="21"/>
      <c r="O1301" s="134" t="s">
        <v>7699</v>
      </c>
      <c r="P1301" s="998">
        <v>20</v>
      </c>
      <c r="Q1301" s="176">
        <f>60+IF(OR(TipoDeCriatura="Entre mundos, Elemental",TipoDeCriatura="Ánima, Elemental"),10,0)</f>
        <v>60</v>
      </c>
      <c r="R1301" s="1005">
        <f>COUNTIF(PoderesDeCriatura_Adquiridos,Tablas!O1301)</f>
        <v>0</v>
      </c>
      <c r="S1301" s="176"/>
      <c r="T1301" s="996"/>
      <c r="U1301">
        <v>1</v>
      </c>
      <c r="W1301" s="1028" t="s">
        <v>7349</v>
      </c>
      <c r="X1301" s="304"/>
      <c r="Y1301" s="834" t="str">
        <f t="shared" si="285"/>
        <v>PodHab_Ataquesmúltiplesaleatorios</v>
      </c>
      <c r="Z1301" s="1293" t="s">
        <v>7610</v>
      </c>
      <c r="AA1301" s="1299" t="s">
        <v>7611</v>
      </c>
      <c r="AB1301" s="1299" t="s">
        <v>7612</v>
      </c>
      <c r="AC1301" s="1299" t="s">
        <v>7584</v>
      </c>
      <c r="AD1301" s="1299" t="s">
        <v>7585</v>
      </c>
      <c r="AE1301" s="1299" t="s">
        <v>7586</v>
      </c>
      <c r="AF1301" s="1299" t="s">
        <v>7613</v>
      </c>
      <c r="AG1301" s="1299"/>
      <c r="AH1301" s="1299"/>
      <c r="AI1301" s="1299"/>
      <c r="AJ1301" s="1299" t="s">
        <v>6926</v>
      </c>
      <c r="AK1301" s="1299" t="s">
        <v>6926</v>
      </c>
      <c r="AL1301" s="1295"/>
      <c r="AM1301" s="1295"/>
      <c r="AN1301" s="1295"/>
      <c r="AO1301" s="1295"/>
      <c r="AP1301" s="1295"/>
      <c r="AQ1301" s="1296"/>
      <c r="AR1301" s="1296"/>
      <c r="AS1301" s="1296"/>
      <c r="AT1301" s="1296"/>
      <c r="AU1301" s="1296"/>
      <c r="AV1301" s="1296"/>
      <c r="AW1301" s="1296"/>
      <c r="AX1301" s="1296"/>
      <c r="AY1301" s="1297"/>
      <c r="AZ1301" s="1297"/>
      <c r="BA1301" s="1297"/>
      <c r="BB1301" s="1297"/>
      <c r="BC1301" s="1297"/>
      <c r="BD1301" s="1297"/>
      <c r="BE1301" s="1297"/>
      <c r="BF1301" s="1297"/>
      <c r="BG1301" s="1297"/>
      <c r="BH1301" s="1297"/>
      <c r="BI1301" s="1297"/>
      <c r="BJ1301" s="1297"/>
      <c r="BK1301" s="1297"/>
      <c r="BL1301" s="1297"/>
      <c r="BM1301" s="1297"/>
      <c r="BN1301" s="1297"/>
      <c r="BO1301" s="1297"/>
      <c r="BP1301" s="1297"/>
      <c r="BQ1301" s="1297"/>
      <c r="BR1301" s="1297"/>
      <c r="BS1301" s="1297"/>
      <c r="BT1301" s="1297"/>
      <c r="BU1301" s="1297"/>
      <c r="BV1301" s="1297"/>
      <c r="BW1301" s="1297"/>
      <c r="BX1301" s="1297"/>
      <c r="BY1301" s="1297"/>
      <c r="BZ1301" s="1297"/>
      <c r="CA1301" s="1297"/>
      <c r="CB1301" s="1298"/>
    </row>
    <row r="1302" spans="1:80" ht="12.75" customHeight="1" x14ac:dyDescent="0.2">
      <c r="A1302" s="227">
        <v>1302</v>
      </c>
      <c r="B1302" s="5988"/>
      <c r="C1302" s="1000"/>
      <c r="D1302" s="58"/>
      <c r="E1302" s="1003" t="s">
        <v>8106</v>
      </c>
      <c r="F1302" s="77">
        <v>5</v>
      </c>
      <c r="G1302" s="77">
        <v>40</v>
      </c>
      <c r="H1302" s="77">
        <f>COUNTIF(HabilidadesEsenciales_Adquiridas,Tablas!E1302)</f>
        <v>0</v>
      </c>
      <c r="I1302" s="1005">
        <v>1</v>
      </c>
      <c r="J1302" s="176"/>
      <c r="K1302" s="996"/>
      <c r="M1302" s="326"/>
      <c r="N1302" s="21"/>
      <c r="O1302" s="134" t="s">
        <v>7700</v>
      </c>
      <c r="P1302" s="998">
        <v>5</v>
      </c>
      <c r="Q1302" s="176">
        <v>-10</v>
      </c>
      <c r="R1302" s="1005">
        <f>COUNTIF(PoderesDeCriatura_Adquiridos,Tablas!O1302)</f>
        <v>0</v>
      </c>
      <c r="S1302" s="176"/>
      <c r="T1302" s="996"/>
      <c r="U1302">
        <v>1</v>
      </c>
      <c r="W1302" s="1028" t="s">
        <v>7350</v>
      </c>
      <c r="X1302" s="1024"/>
      <c r="Y1302" s="834" t="str">
        <f t="shared" si="285"/>
        <v/>
      </c>
      <c r="Z1302" s="1293" t="s">
        <v>6926</v>
      </c>
      <c r="AA1302" s="1299"/>
      <c r="AB1302" s="1299"/>
      <c r="AC1302" s="1299"/>
      <c r="AD1302" s="1299"/>
      <c r="AE1302" s="1299"/>
      <c r="AF1302" s="1299"/>
      <c r="AG1302" s="1299"/>
      <c r="AH1302" s="1299"/>
      <c r="AI1302" s="1299"/>
      <c r="AJ1302" s="1299"/>
      <c r="AK1302" s="1299"/>
      <c r="AL1302" s="1295"/>
      <c r="AM1302" s="1295"/>
      <c r="AN1302" s="1295"/>
      <c r="AO1302" s="1295"/>
      <c r="AP1302" s="1295"/>
      <c r="AQ1302" s="1296"/>
      <c r="AR1302" s="1296"/>
      <c r="AS1302" s="1296"/>
      <c r="AT1302" s="1296"/>
      <c r="AU1302" s="1296"/>
      <c r="AV1302" s="1296"/>
      <c r="AW1302" s="1296"/>
      <c r="AX1302" s="1296"/>
      <c r="AY1302" s="1297"/>
      <c r="AZ1302" s="1297"/>
      <c r="BA1302" s="1297"/>
      <c r="BB1302" s="1297"/>
      <c r="BC1302" s="1297"/>
      <c r="BD1302" s="1297"/>
      <c r="BE1302" s="1297"/>
      <c r="BF1302" s="1297"/>
      <c r="BG1302" s="1297"/>
      <c r="BH1302" s="1297"/>
      <c r="BI1302" s="1297"/>
      <c r="BJ1302" s="1297"/>
      <c r="BK1302" s="1297"/>
      <c r="BL1302" s="1297"/>
      <c r="BM1302" s="1297"/>
      <c r="BN1302" s="1297"/>
      <c r="BO1302" s="1297"/>
      <c r="BP1302" s="1297"/>
      <c r="BQ1302" s="1297"/>
      <c r="BR1302" s="1297"/>
      <c r="BS1302" s="1297"/>
      <c r="BT1302" s="1297"/>
      <c r="BU1302" s="1297"/>
      <c r="BV1302" s="1297"/>
      <c r="BW1302" s="1297"/>
      <c r="BX1302" s="1297"/>
      <c r="BY1302" s="1297"/>
      <c r="BZ1302" s="1297"/>
      <c r="CA1302" s="1297"/>
      <c r="CB1302" s="1298"/>
    </row>
    <row r="1303" spans="1:80" ht="12.75" customHeight="1" x14ac:dyDescent="0.2">
      <c r="A1303" s="227">
        <v>1303</v>
      </c>
      <c r="B1303" s="5988"/>
      <c r="C1303" s="1000"/>
      <c r="D1303" s="58"/>
      <c r="E1303" s="1003" t="s">
        <v>8107</v>
      </c>
      <c r="F1303" s="77">
        <v>15</v>
      </c>
      <c r="G1303" s="77">
        <v>60</v>
      </c>
      <c r="H1303" s="77">
        <f>COUNTIF(HabilidadesEsenciales_Adquiridas,Tablas!E1303)</f>
        <v>0</v>
      </c>
      <c r="I1303" s="1005">
        <v>1</v>
      </c>
      <c r="J1303" s="176"/>
      <c r="K1303" s="996"/>
      <c r="M1303" s="326"/>
      <c r="N1303" s="21"/>
      <c r="O1303" s="134" t="s">
        <v>7701</v>
      </c>
      <c r="P1303" s="998">
        <v>5</v>
      </c>
      <c r="Q1303" s="176">
        <v>-20</v>
      </c>
      <c r="R1303" s="1005">
        <f>COUNTIF(PoderesDeCriatura_Adquiridos,Tablas!O1303)</f>
        <v>0</v>
      </c>
      <c r="S1303" s="176"/>
      <c r="T1303" s="996"/>
      <c r="U1303">
        <v>1</v>
      </c>
      <c r="W1303" s="1028" t="s">
        <v>7347</v>
      </c>
      <c r="X1303" s="1024"/>
      <c r="Y1303" s="834" t="str">
        <f t="shared" si="285"/>
        <v/>
      </c>
      <c r="Z1303" s="1293"/>
      <c r="AA1303" s="1299"/>
      <c r="AB1303" s="1299"/>
      <c r="AC1303" s="1299"/>
      <c r="AD1303" s="1299"/>
      <c r="AE1303" s="1299"/>
      <c r="AF1303" s="1299"/>
      <c r="AG1303" s="1299"/>
      <c r="AH1303" s="1299"/>
      <c r="AI1303" s="1299"/>
      <c r="AJ1303" s="1299"/>
      <c r="AK1303" s="1299"/>
      <c r="AL1303" s="1295"/>
      <c r="AM1303" s="1295"/>
      <c r="AN1303" s="1295"/>
      <c r="AO1303" s="1295"/>
      <c r="AP1303" s="1295"/>
      <c r="AQ1303" s="1296"/>
      <c r="AR1303" s="1296"/>
      <c r="AS1303" s="1296"/>
      <c r="AT1303" s="1296"/>
      <c r="AU1303" s="1296"/>
      <c r="AV1303" s="1296"/>
      <c r="AW1303" s="1296"/>
      <c r="AX1303" s="1296"/>
      <c r="AY1303" s="1297"/>
      <c r="AZ1303" s="1297"/>
      <c r="BA1303" s="1297"/>
      <c r="BB1303" s="1297"/>
      <c r="BC1303" s="1297"/>
      <c r="BD1303" s="1297"/>
      <c r="BE1303" s="1297"/>
      <c r="BF1303" s="1297"/>
      <c r="BG1303" s="1297"/>
      <c r="BH1303" s="1297"/>
      <c r="BI1303" s="1297"/>
      <c r="BJ1303" s="1297"/>
      <c r="BK1303" s="1297"/>
      <c r="BL1303" s="1297"/>
      <c r="BM1303" s="1297"/>
      <c r="BN1303" s="1297"/>
      <c r="BO1303" s="1297"/>
      <c r="BP1303" s="1297"/>
      <c r="BQ1303" s="1297"/>
      <c r="BR1303" s="1297"/>
      <c r="BS1303" s="1297"/>
      <c r="BT1303" s="1297"/>
      <c r="BU1303" s="1297"/>
      <c r="BV1303" s="1297"/>
      <c r="BW1303" s="1297"/>
      <c r="BX1303" s="1297"/>
      <c r="BY1303" s="1297"/>
      <c r="BZ1303" s="1297"/>
      <c r="CA1303" s="1297"/>
      <c r="CB1303" s="1298"/>
    </row>
    <row r="1304" spans="1:80" ht="12.75" customHeight="1" x14ac:dyDescent="0.2">
      <c r="A1304" s="227">
        <v>1304</v>
      </c>
      <c r="B1304" s="5988"/>
      <c r="C1304" s="1000"/>
      <c r="D1304" s="58"/>
      <c r="E1304" s="1003" t="s">
        <v>8108</v>
      </c>
      <c r="F1304" s="77">
        <v>20</v>
      </c>
      <c r="G1304" s="77">
        <v>120</v>
      </c>
      <c r="H1304" s="77">
        <f>COUNTIF(HabilidadesEsenciales_Adquiridas,Tablas!E1304)</f>
        <v>0</v>
      </c>
      <c r="I1304" s="1005"/>
      <c r="J1304" s="176"/>
      <c r="K1304" s="996"/>
      <c r="M1304" s="326"/>
      <c r="N1304" s="21"/>
      <c r="O1304" s="134" t="s">
        <v>7702</v>
      </c>
      <c r="P1304" s="998">
        <v>5</v>
      </c>
      <c r="Q1304" s="176">
        <v>-30</v>
      </c>
      <c r="R1304" s="1005">
        <f>COUNTIF(PoderesDeCriatura_Adquiridos,Tablas!O1304)</f>
        <v>0</v>
      </c>
      <c r="S1304" s="176"/>
      <c r="T1304" s="996"/>
      <c r="U1304">
        <v>1</v>
      </c>
      <c r="W1304" s="1028" t="s">
        <v>2169</v>
      </c>
      <c r="X1304" s="304"/>
      <c r="Y1304" s="834" t="str">
        <f t="shared" si="285"/>
        <v>PodHab_Escudo</v>
      </c>
      <c r="Z1304" s="1293" t="s">
        <v>2171</v>
      </c>
      <c r="AA1304" s="1299" t="s">
        <v>2170</v>
      </c>
      <c r="AB1304" s="1299" t="s">
        <v>2168</v>
      </c>
      <c r="AC1304" s="1299" t="s">
        <v>7614</v>
      </c>
      <c r="AD1304" s="1299" t="s">
        <v>7615</v>
      </c>
      <c r="AE1304" s="1299" t="s">
        <v>7616</v>
      </c>
      <c r="AF1304" s="1299" t="s">
        <v>7617</v>
      </c>
      <c r="AG1304" s="1299" t="s">
        <v>7618</v>
      </c>
      <c r="AH1304" s="1299"/>
      <c r="AI1304" s="1299"/>
      <c r="AJ1304" s="1299"/>
      <c r="AK1304" s="1299"/>
      <c r="AL1304" s="1295"/>
      <c r="AM1304" s="1295"/>
      <c r="AN1304" s="1295"/>
      <c r="AO1304" s="1295"/>
      <c r="AP1304" s="1295"/>
      <c r="AQ1304" s="1296"/>
      <c r="AR1304" s="1296"/>
      <c r="AS1304" s="1296"/>
      <c r="AT1304" s="1296"/>
      <c r="AU1304" s="1296"/>
      <c r="AV1304" s="1296"/>
      <c r="AW1304" s="1296"/>
      <c r="AX1304" s="1296"/>
      <c r="AY1304" s="1297"/>
      <c r="AZ1304" s="1297"/>
      <c r="BA1304" s="1297"/>
      <c r="BB1304" s="1297"/>
      <c r="BC1304" s="1297"/>
      <c r="BD1304" s="1297"/>
      <c r="BE1304" s="1297"/>
      <c r="BF1304" s="1297"/>
      <c r="BG1304" s="1297"/>
      <c r="BH1304" s="1297"/>
      <c r="BI1304" s="1297"/>
      <c r="BJ1304" s="1297"/>
      <c r="BK1304" s="1297"/>
      <c r="BL1304" s="1297"/>
      <c r="BM1304" s="1297"/>
      <c r="BN1304" s="1297"/>
      <c r="BO1304" s="1297"/>
      <c r="BP1304" s="1297"/>
      <c r="BQ1304" s="1297"/>
      <c r="BR1304" s="1297"/>
      <c r="BS1304" s="1297"/>
      <c r="BT1304" s="1297"/>
      <c r="BU1304" s="1297"/>
      <c r="BV1304" s="1297"/>
      <c r="BW1304" s="1297"/>
      <c r="BX1304" s="1297"/>
      <c r="BY1304" s="1297"/>
      <c r="BZ1304" s="1297"/>
      <c r="CA1304" s="1297"/>
      <c r="CB1304" s="1298"/>
    </row>
    <row r="1305" spans="1:80" ht="12.75" customHeight="1" x14ac:dyDescent="0.2">
      <c r="A1305" s="227">
        <v>1305</v>
      </c>
      <c r="B1305" s="5988"/>
      <c r="C1305" s="1000"/>
      <c r="D1305" s="58"/>
      <c r="E1305" s="1003" t="s">
        <v>8109</v>
      </c>
      <c r="F1305" s="77">
        <v>25</v>
      </c>
      <c r="G1305" s="77">
        <v>180</v>
      </c>
      <c r="H1305" s="77">
        <f>COUNTIF(HabilidadesEsenciales_Adquiridas,Tablas!E1305)</f>
        <v>0</v>
      </c>
      <c r="I1305" s="1005"/>
      <c r="J1305" s="176"/>
      <c r="K1305" s="996"/>
      <c r="M1305" s="326"/>
      <c r="N1305" s="21"/>
      <c r="O1305" s="134" t="s">
        <v>7703</v>
      </c>
      <c r="P1305" s="998">
        <v>5</v>
      </c>
      <c r="Q1305" s="176">
        <v>-40</v>
      </c>
      <c r="R1305" s="1005">
        <f>COUNTIF(PoderesDeCriatura_Adquiridos,Tablas!O1305)</f>
        <v>0</v>
      </c>
      <c r="S1305" s="176"/>
      <c r="T1305" s="996"/>
      <c r="U1305">
        <v>1</v>
      </c>
      <c r="W1305" s="1028" t="s">
        <v>7352</v>
      </c>
      <c r="X1305" s="1024"/>
      <c r="Y1305" s="834" t="str">
        <f t="shared" si="285"/>
        <v/>
      </c>
      <c r="Z1305" s="1293"/>
      <c r="AA1305" s="1299"/>
      <c r="AB1305" s="1299"/>
      <c r="AC1305" s="1299"/>
      <c r="AD1305" s="1299"/>
      <c r="AE1305" s="1299"/>
      <c r="AF1305" s="1299"/>
      <c r="AG1305" s="1299"/>
      <c r="AH1305" s="1299"/>
      <c r="AI1305" s="1299"/>
      <c r="AJ1305" s="1299" t="s">
        <v>6926</v>
      </c>
      <c r="AK1305" s="1299" t="s">
        <v>6926</v>
      </c>
      <c r="AL1305" s="1295"/>
      <c r="AM1305" s="1295"/>
      <c r="AN1305" s="1295"/>
      <c r="AO1305" s="1295"/>
      <c r="AP1305" s="1295"/>
      <c r="AQ1305" s="1296"/>
      <c r="AR1305" s="1296"/>
      <c r="AS1305" s="1296"/>
      <c r="AT1305" s="1296"/>
      <c r="AU1305" s="1296"/>
      <c r="AV1305" s="1296"/>
      <c r="AW1305" s="1296"/>
      <c r="AX1305" s="1296"/>
      <c r="AY1305" s="1297"/>
      <c r="AZ1305" s="1297"/>
      <c r="BA1305" s="1297"/>
      <c r="BB1305" s="1297"/>
      <c r="BC1305" s="1297"/>
      <c r="BD1305" s="1297"/>
      <c r="BE1305" s="1297"/>
      <c r="BF1305" s="1297"/>
      <c r="BG1305" s="1297"/>
      <c r="BH1305" s="1297"/>
      <c r="BI1305" s="1297"/>
      <c r="BJ1305" s="1297"/>
      <c r="BK1305" s="1297"/>
      <c r="BL1305" s="1297"/>
      <c r="BM1305" s="1297"/>
      <c r="BN1305" s="1297"/>
      <c r="BO1305" s="1297"/>
      <c r="BP1305" s="1297"/>
      <c r="BQ1305" s="1297"/>
      <c r="BR1305" s="1297"/>
      <c r="BS1305" s="1297"/>
      <c r="BT1305" s="1297"/>
      <c r="BU1305" s="1297"/>
      <c r="BV1305" s="1297"/>
      <c r="BW1305" s="1297"/>
      <c r="BX1305" s="1297"/>
      <c r="BY1305" s="1297"/>
      <c r="BZ1305" s="1297"/>
      <c r="CA1305" s="1297"/>
      <c r="CB1305" s="1298"/>
    </row>
    <row r="1306" spans="1:80" ht="12.75" customHeight="1" x14ac:dyDescent="0.2">
      <c r="A1306" s="227">
        <v>1306</v>
      </c>
      <c r="B1306" s="5988"/>
      <c r="C1306" s="1000"/>
      <c r="D1306" s="58"/>
      <c r="E1306" s="1003" t="s">
        <v>2285</v>
      </c>
      <c r="F1306" s="77">
        <v>0</v>
      </c>
      <c r="G1306" s="77">
        <v>10</v>
      </c>
      <c r="H1306" s="77">
        <f>COUNTIF(HabilidadesEsenciales_Adquiridas,Tablas!E1306)</f>
        <v>0</v>
      </c>
      <c r="I1306" s="1005">
        <v>1</v>
      </c>
      <c r="J1306" s="176"/>
      <c r="K1306" s="996"/>
      <c r="M1306" s="326"/>
      <c r="N1306" s="21"/>
      <c r="O1306" s="134" t="s">
        <v>7704</v>
      </c>
      <c r="P1306" s="993">
        <v>5</v>
      </c>
      <c r="Q1306" s="86">
        <v>-50</v>
      </c>
      <c r="R1306" s="1005">
        <f>COUNTIF(PoderesDeCriatura_Adquiridos,Tablas!O1306)</f>
        <v>0</v>
      </c>
      <c r="S1306" s="176"/>
      <c r="T1306" s="996"/>
      <c r="U1306">
        <v>1</v>
      </c>
      <c r="W1306" s="1028" t="s">
        <v>7346</v>
      </c>
      <c r="X1306" s="1024" t="str">
        <f>MID(INDEX(Lista_PoderesCriatura,MATCH($W1301&amp;"*",Lista_PoderesCriatura,0)-1+Tablas!N$1),LEN($W1301)+3,200)</f>
        <v/>
      </c>
      <c r="Y1306" s="834" t="str">
        <f t="shared" ref="Y1306:Y1325" si="286">IF(Z1306="","",SUBSTITUTE("PodHab_"&amp;W1306," ",""))</f>
        <v/>
      </c>
      <c r="Z1306" s="1293" t="s">
        <v>6926</v>
      </c>
      <c r="AA1306" s="1299" t="s">
        <v>6926</v>
      </c>
      <c r="AB1306" s="1299"/>
      <c r="AC1306" s="1299"/>
      <c r="AD1306" s="1299"/>
      <c r="AE1306" s="1299"/>
      <c r="AF1306" s="1299"/>
      <c r="AG1306" s="1299"/>
      <c r="AH1306" s="1299"/>
      <c r="AI1306" s="1299"/>
      <c r="AJ1306" s="1299"/>
      <c r="AK1306" s="1299"/>
      <c r="AL1306" s="1295"/>
      <c r="AM1306" s="1295"/>
      <c r="AN1306" s="1295"/>
      <c r="AO1306" s="1295"/>
      <c r="AP1306" s="1295"/>
      <c r="AQ1306" s="1296"/>
      <c r="AR1306" s="1296"/>
      <c r="AS1306" s="1296"/>
      <c r="AT1306" s="1296"/>
      <c r="AU1306" s="1296"/>
      <c r="AV1306" s="1296"/>
      <c r="AW1306" s="1296"/>
      <c r="AX1306" s="1296"/>
      <c r="AY1306" s="1297"/>
      <c r="AZ1306" s="1297"/>
      <c r="BA1306" s="1297"/>
      <c r="BB1306" s="1297"/>
      <c r="BC1306" s="1297"/>
      <c r="BD1306" s="1297"/>
      <c r="BE1306" s="1297"/>
      <c r="BF1306" s="1297"/>
      <c r="BG1306" s="1297"/>
      <c r="BH1306" s="1297"/>
      <c r="BI1306" s="1297"/>
      <c r="BJ1306" s="1297"/>
      <c r="BK1306" s="1297"/>
      <c r="BL1306" s="1297"/>
      <c r="BM1306" s="1297"/>
      <c r="BN1306" s="1297"/>
      <c r="BO1306" s="1297"/>
      <c r="BP1306" s="1297"/>
      <c r="BQ1306" s="1297"/>
      <c r="BR1306" s="1297"/>
      <c r="BS1306" s="1297"/>
      <c r="BT1306" s="1297"/>
      <c r="BU1306" s="1297"/>
      <c r="BV1306" s="1297"/>
      <c r="BW1306" s="1297"/>
      <c r="BX1306" s="1297"/>
      <c r="BY1306" s="1297"/>
      <c r="BZ1306" s="1297"/>
      <c r="CA1306" s="1297"/>
      <c r="CB1306" s="1298"/>
    </row>
    <row r="1307" spans="1:80" ht="12.75" customHeight="1" x14ac:dyDescent="0.2">
      <c r="A1307" s="227">
        <v>1307</v>
      </c>
      <c r="B1307" s="5988"/>
      <c r="C1307" s="1000"/>
      <c r="D1307" s="58"/>
      <c r="E1307" s="1003" t="s">
        <v>2286</v>
      </c>
      <c r="F1307" s="77">
        <v>0</v>
      </c>
      <c r="G1307" s="77">
        <v>10</v>
      </c>
      <c r="H1307" s="77">
        <f>COUNTIF(HabilidadesEsenciales_Adquiridas,Tablas!E1307)</f>
        <v>0</v>
      </c>
      <c r="I1307" s="1005">
        <v>1</v>
      </c>
      <c r="J1307" s="176">
        <f t="array" ref="J1307">MAX({1;2;3;4;5}*H1306:H1310)+MIN({-1;-2;-3;-4;-5}*H1311:H1315)</f>
        <v>0</v>
      </c>
      <c r="K1307" s="996" t="s">
        <v>1901</v>
      </c>
      <c r="M1307" s="326"/>
      <c r="N1307" s="21"/>
      <c r="O1307" s="134" t="s">
        <v>10310</v>
      </c>
      <c r="P1307" s="993">
        <v>0</v>
      </c>
      <c r="Q1307" s="86">
        <v>0</v>
      </c>
      <c r="R1307" s="1005">
        <f>COUNTIF(PoderesDeCriatura_Adquiridos,Tablas!O1307)</f>
        <v>0</v>
      </c>
      <c r="S1307" s="176"/>
      <c r="T1307" s="996"/>
      <c r="W1307" s="1028" t="s">
        <v>7112</v>
      </c>
      <c r="X1307" s="304"/>
      <c r="Y1307" s="834" t="str">
        <f t="shared" si="286"/>
        <v>PodHab_Imparable</v>
      </c>
      <c r="Z1307" s="1293" t="s">
        <v>7619</v>
      </c>
      <c r="AA1307" s="1299" t="s">
        <v>7620</v>
      </c>
      <c r="AB1307" s="1299" t="s">
        <v>7621</v>
      </c>
      <c r="AC1307" s="1299"/>
      <c r="AD1307" s="1299"/>
      <c r="AE1307" s="1299"/>
      <c r="AF1307" s="1299"/>
      <c r="AG1307" s="1299"/>
      <c r="AH1307" s="1299"/>
      <c r="AI1307" s="1299"/>
      <c r="AJ1307" s="1299"/>
      <c r="AK1307" s="1299"/>
      <c r="AL1307" s="1295"/>
      <c r="AM1307" s="1295"/>
      <c r="AN1307" s="1295"/>
      <c r="AO1307" s="1295"/>
      <c r="AP1307" s="1295"/>
      <c r="AQ1307" s="1296"/>
      <c r="AR1307" s="1296"/>
      <c r="AS1307" s="1296"/>
      <c r="AT1307" s="1296"/>
      <c r="AU1307" s="1296"/>
      <c r="AV1307" s="1296"/>
      <c r="AW1307" s="1296"/>
      <c r="AX1307" s="1296"/>
      <c r="AY1307" s="1297"/>
      <c r="AZ1307" s="1297"/>
      <c r="BA1307" s="1297"/>
      <c r="BB1307" s="1297"/>
      <c r="BC1307" s="1297"/>
      <c r="BD1307" s="1297"/>
      <c r="BE1307" s="1297"/>
      <c r="BF1307" s="1297"/>
      <c r="BG1307" s="1297"/>
      <c r="BH1307" s="1297"/>
      <c r="BI1307" s="1297"/>
      <c r="BJ1307" s="1297"/>
      <c r="BK1307" s="1297"/>
      <c r="BL1307" s="1297"/>
      <c r="BM1307" s="1297"/>
      <c r="BN1307" s="1297"/>
      <c r="BO1307" s="1297"/>
      <c r="BP1307" s="1297"/>
      <c r="BQ1307" s="1297"/>
      <c r="BR1307" s="1297"/>
      <c r="BS1307" s="1297"/>
      <c r="BT1307" s="1297"/>
      <c r="BU1307" s="1297"/>
      <c r="BV1307" s="1297"/>
      <c r="BW1307" s="1297"/>
      <c r="BX1307" s="1297"/>
      <c r="BY1307" s="1297"/>
      <c r="BZ1307" s="1297"/>
      <c r="CA1307" s="1297"/>
      <c r="CB1307" s="1298"/>
    </row>
    <row r="1308" spans="1:80" ht="12.75" customHeight="1" x14ac:dyDescent="0.2">
      <c r="A1308" s="227">
        <v>1308</v>
      </c>
      <c r="B1308" s="5988"/>
      <c r="C1308" s="1000"/>
      <c r="D1308" s="58"/>
      <c r="E1308" s="1003" t="s">
        <v>2287</v>
      </c>
      <c r="F1308" s="77">
        <v>0</v>
      </c>
      <c r="G1308" s="77">
        <v>10</v>
      </c>
      <c r="H1308" s="77">
        <f>COUNTIF(HabilidadesEsenciales_Adquiridas,Tablas!E1308)</f>
        <v>0</v>
      </c>
      <c r="I1308" s="1005">
        <v>1</v>
      </c>
      <c r="J1308" s="176"/>
      <c r="K1308" s="996"/>
      <c r="M1308" s="326"/>
      <c r="N1308" s="21"/>
      <c r="O1308" s="134" t="s">
        <v>10311</v>
      </c>
      <c r="P1308" s="993">
        <v>0</v>
      </c>
      <c r="Q1308" s="86">
        <v>0</v>
      </c>
      <c r="R1308" s="1005">
        <f>COUNTIF(PoderesDeCriatura_Adquiridos,Tablas!O1308)</f>
        <v>0</v>
      </c>
      <c r="S1308" s="176"/>
      <c r="T1308" s="996"/>
      <c r="W1308" s="1028" t="s">
        <v>7351</v>
      </c>
      <c r="X1308" s="304"/>
      <c r="Y1308" s="834" t="str">
        <f t="shared" si="286"/>
        <v>PodHab_Reduccióndedaño</v>
      </c>
      <c r="Z1308" s="1293" t="s">
        <v>7622</v>
      </c>
      <c r="AA1308" s="1299" t="s">
        <v>7623</v>
      </c>
      <c r="AB1308" s="1299" t="s">
        <v>7624</v>
      </c>
      <c r="AC1308" s="1299" t="s">
        <v>7625</v>
      </c>
      <c r="AD1308" s="1299" t="s">
        <v>7626</v>
      </c>
      <c r="AE1308" s="1299" t="s">
        <v>7627</v>
      </c>
      <c r="AF1308" s="1299"/>
      <c r="AG1308" s="1299"/>
      <c r="AH1308" s="1299"/>
      <c r="AI1308" s="1299"/>
      <c r="AJ1308" s="1299"/>
      <c r="AK1308" s="1299"/>
      <c r="AL1308" s="1295"/>
      <c r="AM1308" s="1295"/>
      <c r="AN1308" s="1295"/>
      <c r="AO1308" s="1295"/>
      <c r="AP1308" s="1295"/>
      <c r="AQ1308" s="1296"/>
      <c r="AR1308" s="1296"/>
      <c r="AS1308" s="1296"/>
      <c r="AT1308" s="1296"/>
      <c r="AU1308" s="1296"/>
      <c r="AV1308" s="1296"/>
      <c r="AW1308" s="1296"/>
      <c r="AX1308" s="1296"/>
      <c r="AY1308" s="1297"/>
      <c r="AZ1308" s="1297"/>
      <c r="BA1308" s="1297"/>
      <c r="BB1308" s="1297"/>
      <c r="BC1308" s="1297"/>
      <c r="BD1308" s="1297"/>
      <c r="BE1308" s="1297"/>
      <c r="BF1308" s="1297"/>
      <c r="BG1308" s="1297"/>
      <c r="BH1308" s="1297"/>
      <c r="BI1308" s="1297"/>
      <c r="BJ1308" s="1297"/>
      <c r="BK1308" s="1297"/>
      <c r="BL1308" s="1297"/>
      <c r="BM1308" s="1297"/>
      <c r="BN1308" s="1297"/>
      <c r="BO1308" s="1297"/>
      <c r="BP1308" s="1297"/>
      <c r="BQ1308" s="1297"/>
      <c r="BR1308" s="1297"/>
      <c r="BS1308" s="1297"/>
      <c r="BT1308" s="1297"/>
      <c r="BU1308" s="1297"/>
      <c r="BV1308" s="1297"/>
      <c r="BW1308" s="1297"/>
      <c r="BX1308" s="1297"/>
      <c r="BY1308" s="1297"/>
      <c r="BZ1308" s="1297"/>
      <c r="CA1308" s="1297"/>
      <c r="CB1308" s="1298"/>
    </row>
    <row r="1309" spans="1:80" ht="12.75" customHeight="1" x14ac:dyDescent="0.2">
      <c r="A1309" s="227">
        <v>1309</v>
      </c>
      <c r="B1309" s="5988"/>
      <c r="C1309" s="1000"/>
      <c r="D1309" s="58"/>
      <c r="E1309" s="1003" t="s">
        <v>2288</v>
      </c>
      <c r="F1309" s="77">
        <v>0</v>
      </c>
      <c r="G1309" s="77">
        <v>10</v>
      </c>
      <c r="H1309" s="77">
        <f>COUNTIF(HabilidadesEsenciales_Adquiridas,Tablas!E1309)</f>
        <v>0</v>
      </c>
      <c r="I1309" s="1005">
        <v>1</v>
      </c>
      <c r="J1309" s="176"/>
      <c r="K1309" s="996"/>
      <c r="M1309" s="326"/>
      <c r="N1309" s="21"/>
      <c r="O1309" s="134" t="s">
        <v>10312</v>
      </c>
      <c r="P1309" s="993">
        <v>0</v>
      </c>
      <c r="Q1309" s="86">
        <v>0</v>
      </c>
      <c r="R1309" s="1005">
        <f>COUNTIF(PoderesDeCriatura_Adquiridos,Tablas!O1309)</f>
        <v>0</v>
      </c>
      <c r="S1309" s="176"/>
      <c r="T1309" s="996"/>
      <c r="W1309" s="1028" t="s">
        <v>7365</v>
      </c>
      <c r="X1309" s="304"/>
      <c r="Y1309" s="834" t="str">
        <f t="shared" si="286"/>
        <v>PodHab_Reflejarataques</v>
      </c>
      <c r="Z1309" s="1293" t="s">
        <v>1118</v>
      </c>
      <c r="AA1309" s="1299" t="s">
        <v>7628</v>
      </c>
      <c r="AB1309" s="1299" t="s">
        <v>7629</v>
      </c>
      <c r="AC1309" s="1299" t="s">
        <v>7630</v>
      </c>
      <c r="AD1309" s="1299"/>
      <c r="AE1309" s="1299"/>
      <c r="AF1309" s="1299"/>
      <c r="AG1309" s="1299"/>
      <c r="AH1309" s="1299"/>
      <c r="AI1309" s="1299"/>
      <c r="AJ1309" s="1299"/>
      <c r="AK1309" s="1299"/>
      <c r="AL1309" s="1295"/>
      <c r="AM1309" s="1295"/>
      <c r="AN1309" s="1295"/>
      <c r="AO1309" s="1295"/>
      <c r="AP1309" s="1295"/>
      <c r="AQ1309" s="1296"/>
      <c r="AR1309" s="1296"/>
      <c r="AS1309" s="1296"/>
      <c r="AT1309" s="1296"/>
      <c r="AU1309" s="1296"/>
      <c r="AV1309" s="1296"/>
      <c r="AW1309" s="1296"/>
      <c r="AX1309" s="1296"/>
      <c r="AY1309" s="1297"/>
      <c r="AZ1309" s="1297"/>
      <c r="BA1309" s="1297"/>
      <c r="BB1309" s="1297"/>
      <c r="BC1309" s="1297"/>
      <c r="BD1309" s="1297"/>
      <c r="BE1309" s="1297"/>
      <c r="BF1309" s="1297"/>
      <c r="BG1309" s="1297"/>
      <c r="BH1309" s="1297"/>
      <c r="BI1309" s="1297"/>
      <c r="BJ1309" s="1297"/>
      <c r="BK1309" s="1297"/>
      <c r="BL1309" s="1297"/>
      <c r="BM1309" s="1297"/>
      <c r="BN1309" s="1297"/>
      <c r="BO1309" s="1297"/>
      <c r="BP1309" s="1297"/>
      <c r="BQ1309" s="1297"/>
      <c r="BR1309" s="1297"/>
      <c r="BS1309" s="1297"/>
      <c r="BT1309" s="1297"/>
      <c r="BU1309" s="1297"/>
      <c r="BV1309" s="1297"/>
      <c r="BW1309" s="1297"/>
      <c r="BX1309" s="1297"/>
      <c r="BY1309" s="1297"/>
      <c r="BZ1309" s="1297"/>
      <c r="CA1309" s="1297"/>
      <c r="CB1309" s="1298"/>
    </row>
    <row r="1310" spans="1:80" ht="12.75" customHeight="1" x14ac:dyDescent="0.2">
      <c r="A1310" s="227">
        <v>1310</v>
      </c>
      <c r="B1310" s="5988"/>
      <c r="C1310" s="1000"/>
      <c r="D1310" s="58"/>
      <c r="E1310" s="1003" t="s">
        <v>2289</v>
      </c>
      <c r="F1310" s="77">
        <v>0</v>
      </c>
      <c r="G1310" s="77">
        <v>10</v>
      </c>
      <c r="H1310" s="77">
        <f>COUNTIF(HabilidadesEsenciales_Adquiridas,Tablas!E1310)</f>
        <v>0</v>
      </c>
      <c r="I1310" s="1005">
        <v>1</v>
      </c>
      <c r="J1310" s="176"/>
      <c r="K1310" s="996"/>
      <c r="M1310" s="326"/>
      <c r="N1310" s="21"/>
      <c r="O1310" s="134" t="s">
        <v>10313</v>
      </c>
      <c r="P1310" s="993">
        <v>0</v>
      </c>
      <c r="Q1310" s="86">
        <v>0</v>
      </c>
      <c r="R1310" s="1005">
        <f>COUNTIF(PoderesDeCriatura_Adquiridos,Tablas!O1310)</f>
        <v>0</v>
      </c>
      <c r="S1310" s="176"/>
      <c r="T1310" s="996"/>
      <c r="W1310" s="1028" t="s">
        <v>1570</v>
      </c>
      <c r="X1310" s="304"/>
      <c r="Y1310" s="834" t="str">
        <f t="shared" si="286"/>
        <v>PodHab_Rotura</v>
      </c>
      <c r="Z1310" s="1293" t="s">
        <v>6879</v>
      </c>
      <c r="AA1310" s="1299" t="s">
        <v>7488</v>
      </c>
      <c r="AB1310" s="1299" t="s">
        <v>7631</v>
      </c>
      <c r="AC1310" s="1299" t="s">
        <v>2699</v>
      </c>
      <c r="AD1310" s="1299" t="s">
        <v>7632</v>
      </c>
      <c r="AE1310" s="1299"/>
      <c r="AF1310" s="1299"/>
      <c r="AG1310" s="1299"/>
      <c r="AH1310" s="1299"/>
      <c r="AI1310" s="1299"/>
      <c r="AJ1310" s="1299"/>
      <c r="AK1310" s="1299"/>
      <c r="AL1310" s="1299"/>
      <c r="AM1310" s="1299"/>
      <c r="AN1310" s="1299"/>
      <c r="AO1310" s="1299"/>
      <c r="AP1310" s="1299"/>
      <c r="AQ1310" s="1297"/>
      <c r="AR1310" s="1297"/>
      <c r="AS1310" s="1297"/>
      <c r="AT1310" s="1297"/>
      <c r="AU1310" s="1297"/>
      <c r="AV1310" s="1297"/>
      <c r="AW1310" s="1297"/>
      <c r="AX1310" s="1297"/>
      <c r="AY1310" s="1297"/>
      <c r="AZ1310" s="1297"/>
      <c r="BA1310" s="1297"/>
      <c r="BB1310" s="1297"/>
      <c r="BC1310" s="1297"/>
      <c r="BD1310" s="1297"/>
      <c r="BE1310" s="1297"/>
      <c r="BF1310" s="1297"/>
      <c r="BG1310" s="1297"/>
      <c r="BH1310" s="1297"/>
      <c r="BI1310" s="1297"/>
      <c r="BJ1310" s="1297"/>
      <c r="BK1310" s="1297"/>
      <c r="BL1310" s="1297"/>
      <c r="BM1310" s="1297"/>
      <c r="BN1310" s="1297"/>
      <c r="BO1310" s="1297"/>
      <c r="BP1310" s="1297"/>
      <c r="BQ1310" s="1297"/>
      <c r="BR1310" s="1297"/>
      <c r="BS1310" s="1297"/>
      <c r="BT1310" s="1297"/>
      <c r="BU1310" s="1297"/>
      <c r="BV1310" s="1297"/>
      <c r="BW1310" s="1297"/>
      <c r="BX1310" s="1297"/>
      <c r="BY1310" s="1297"/>
      <c r="BZ1310" s="1297"/>
      <c r="CA1310" s="1297"/>
      <c r="CB1310" s="1298"/>
    </row>
    <row r="1311" spans="1:80" ht="12.75" customHeight="1" x14ac:dyDescent="0.2">
      <c r="A1311" s="227">
        <v>1311</v>
      </c>
      <c r="B1311" s="5988"/>
      <c r="C1311" s="1000"/>
      <c r="D1311" s="58"/>
      <c r="E1311" s="1003" t="s">
        <v>2290</v>
      </c>
      <c r="F1311" s="77">
        <v>0</v>
      </c>
      <c r="G1311" s="77">
        <v>10</v>
      </c>
      <c r="H1311" s="77">
        <f>COUNTIF(HabilidadesEsenciales_Adquiridas,Tablas!E1311)</f>
        <v>0</v>
      </c>
      <c r="I1311" s="1005">
        <v>1</v>
      </c>
      <c r="J1311" s="176"/>
      <c r="K1311" s="996"/>
      <c r="M1311" s="326"/>
      <c r="N1311" s="21"/>
      <c r="O1311" s="134" t="s">
        <v>10314</v>
      </c>
      <c r="P1311" s="993">
        <v>0</v>
      </c>
      <c r="Q1311" s="86">
        <v>0</v>
      </c>
      <c r="R1311" s="1005">
        <f>COUNTIF(PoderesDeCriatura_Adquiridos,Tablas!O1311)</f>
        <v>0</v>
      </c>
      <c r="S1311" s="176"/>
      <c r="T1311" s="996"/>
      <c r="W1311" s="1028" t="s">
        <v>18</v>
      </c>
      <c r="X1311" s="758"/>
      <c r="Y1311" s="834" t="str">
        <f t="shared" si="286"/>
        <v/>
      </c>
      <c r="Z1311" s="1293"/>
      <c r="AA1311" s="1299"/>
      <c r="AB1311" s="1299"/>
      <c r="AC1311" s="1299"/>
      <c r="AD1311" s="1299"/>
      <c r="AE1311" s="1299"/>
      <c r="AF1311" s="1299"/>
      <c r="AG1311" s="1299"/>
      <c r="AH1311" s="1299"/>
      <c r="AI1311" s="1299"/>
      <c r="AJ1311" s="1299"/>
      <c r="AK1311" s="1299"/>
      <c r="AL1311" s="1299"/>
      <c r="AM1311" s="1299"/>
      <c r="AN1311" s="1299"/>
      <c r="AO1311" s="1299"/>
      <c r="AP1311" s="1299"/>
      <c r="AQ1311" s="1297"/>
      <c r="AR1311" s="1297"/>
      <c r="AS1311" s="1297"/>
      <c r="AT1311" s="1297"/>
      <c r="AU1311" s="1297"/>
      <c r="AV1311" s="1297"/>
      <c r="AW1311" s="1297"/>
      <c r="AX1311" s="1297"/>
      <c r="AY1311" s="1297"/>
      <c r="AZ1311" s="1297"/>
      <c r="BA1311" s="1297"/>
      <c r="BB1311" s="1297"/>
      <c r="BC1311" s="1297"/>
      <c r="BD1311" s="1297"/>
      <c r="BE1311" s="1297"/>
      <c r="BF1311" s="1297"/>
      <c r="BG1311" s="1297"/>
      <c r="BH1311" s="1297"/>
      <c r="BI1311" s="1297"/>
      <c r="BJ1311" s="1297"/>
      <c r="BK1311" s="1297"/>
      <c r="BL1311" s="1297"/>
      <c r="BM1311" s="1297"/>
      <c r="BN1311" s="1297"/>
      <c r="BO1311" s="1297"/>
      <c r="BP1311" s="1297"/>
      <c r="BQ1311" s="1297"/>
      <c r="BR1311" s="1297"/>
      <c r="BS1311" s="1297"/>
      <c r="BT1311" s="1297"/>
      <c r="BU1311" s="1297"/>
      <c r="BV1311" s="1297"/>
      <c r="BW1311" s="1297"/>
      <c r="BX1311" s="1297"/>
      <c r="BY1311" s="1297"/>
      <c r="BZ1311" s="1297"/>
      <c r="CA1311" s="1297"/>
      <c r="CB1311" s="1298"/>
    </row>
    <row r="1312" spans="1:80" ht="12.75" customHeight="1" x14ac:dyDescent="0.2">
      <c r="A1312" s="227">
        <v>1312</v>
      </c>
      <c r="B1312" s="5988"/>
      <c r="C1312" s="1000"/>
      <c r="D1312" s="58"/>
      <c r="E1312" s="1003" t="s">
        <v>2291</v>
      </c>
      <c r="F1312" s="77">
        <v>0</v>
      </c>
      <c r="G1312" s="77">
        <v>10</v>
      </c>
      <c r="H1312" s="77">
        <f>COUNTIF(HabilidadesEsenciales_Adquiridas,Tablas!E1312)</f>
        <v>0</v>
      </c>
      <c r="I1312" s="1005">
        <v>1</v>
      </c>
      <c r="J1312" s="176"/>
      <c r="K1312" s="996"/>
      <c r="M1312" s="326"/>
      <c r="N1312" s="21"/>
      <c r="O1312" s="134" t="s">
        <v>10315</v>
      </c>
      <c r="P1312" s="993">
        <v>0</v>
      </c>
      <c r="Q1312" s="86">
        <v>0</v>
      </c>
      <c r="R1312" s="1005">
        <f>COUNTIF(PoderesDeCriatura_Adquiridos,Tablas!O1312)</f>
        <v>0</v>
      </c>
      <c r="S1312" s="176"/>
      <c r="T1312" s="996"/>
      <c r="W1312" s="1028" t="s">
        <v>7367</v>
      </c>
      <c r="X1312" s="304"/>
      <c r="Y1312" s="834" t="str">
        <f t="shared" si="286"/>
        <v>PodHab_Efectopermanente</v>
      </c>
      <c r="Z1312" s="1293" t="s">
        <v>7633</v>
      </c>
      <c r="AA1312" s="1299" t="s">
        <v>7634</v>
      </c>
      <c r="AB1312" s="1299"/>
      <c r="AC1312" s="1295"/>
      <c r="AD1312" s="1299"/>
      <c r="AE1312" s="1299"/>
      <c r="AF1312" s="1299"/>
      <c r="AG1312" s="1299"/>
      <c r="AH1312" s="1299"/>
      <c r="AI1312" s="1299"/>
      <c r="AJ1312" s="1299"/>
      <c r="AK1312" s="1299"/>
      <c r="AL1312" s="1299"/>
      <c r="AM1312" s="1299"/>
      <c r="AN1312" s="1299"/>
      <c r="AO1312" s="1299"/>
      <c r="AP1312" s="1299"/>
      <c r="AQ1312" s="1297"/>
      <c r="AR1312" s="1297"/>
      <c r="AS1312" s="1297"/>
      <c r="AT1312" s="1297"/>
      <c r="AU1312" s="1297"/>
      <c r="AV1312" s="1297"/>
      <c r="AW1312" s="1297"/>
      <c r="AX1312" s="1297"/>
      <c r="AY1312" s="1297"/>
      <c r="AZ1312" s="1297"/>
      <c r="BA1312" s="1297"/>
      <c r="BB1312" s="1297"/>
      <c r="BC1312" s="1297"/>
      <c r="BD1312" s="1297"/>
      <c r="BE1312" s="1297"/>
      <c r="BF1312" s="1297"/>
      <c r="BG1312" s="1297"/>
      <c r="BH1312" s="1297"/>
      <c r="BI1312" s="1297"/>
      <c r="BJ1312" s="1297"/>
      <c r="BK1312" s="1297"/>
      <c r="BL1312" s="1297"/>
      <c r="BM1312" s="1297"/>
      <c r="BN1312" s="1297"/>
      <c r="BO1312" s="1297"/>
      <c r="BP1312" s="1297"/>
      <c r="BQ1312" s="1297"/>
      <c r="BR1312" s="1297"/>
      <c r="BS1312" s="1297"/>
      <c r="BT1312" s="1297"/>
      <c r="BU1312" s="1297"/>
      <c r="BV1312" s="1297"/>
      <c r="BW1312" s="1297"/>
      <c r="BX1312" s="1297"/>
      <c r="BY1312" s="1297"/>
      <c r="BZ1312" s="1297"/>
      <c r="CA1312" s="1297"/>
      <c r="CB1312" s="1298"/>
    </row>
    <row r="1313" spans="1:80" ht="12.75" customHeight="1" x14ac:dyDescent="0.2">
      <c r="A1313" s="227">
        <v>1313</v>
      </c>
      <c r="B1313" s="5988"/>
      <c r="C1313" s="1000"/>
      <c r="D1313" s="58"/>
      <c r="E1313" s="1003" t="s">
        <v>2292</v>
      </c>
      <c r="F1313" s="77">
        <v>0</v>
      </c>
      <c r="G1313" s="77">
        <v>10</v>
      </c>
      <c r="H1313" s="77">
        <f>COUNTIF(HabilidadesEsenciales_Adquiridas,Tablas!E1313)</f>
        <v>0</v>
      </c>
      <c r="I1313" s="1005">
        <v>1</v>
      </c>
      <c r="J1313" s="176"/>
      <c r="K1313" s="996"/>
      <c r="M1313" s="326"/>
      <c r="N1313" s="21"/>
      <c r="O1313" s="134" t="s">
        <v>10316</v>
      </c>
      <c r="P1313" s="993">
        <v>0</v>
      </c>
      <c r="Q1313" s="86">
        <v>0</v>
      </c>
      <c r="R1313" s="1005">
        <f>COUNTIF(PoderesDeCriatura_Adquiridos,Tablas!O1313)</f>
        <v>0</v>
      </c>
      <c r="S1313" s="176"/>
      <c r="T1313" s="996"/>
      <c r="W1313" s="1028" t="s">
        <v>22</v>
      </c>
      <c r="X1313" s="304"/>
      <c r="Y1313" s="834" t="str">
        <f t="shared" si="286"/>
        <v/>
      </c>
      <c r="Z1313" s="1293"/>
      <c r="AA1313" s="1299"/>
      <c r="AB1313" s="1299"/>
      <c r="AC1313" s="1299"/>
      <c r="AD1313" s="1299"/>
      <c r="AE1313" s="1299"/>
      <c r="AF1313" s="1299"/>
      <c r="AG1313" s="1299"/>
      <c r="AH1313" s="1299"/>
      <c r="AI1313" s="1299"/>
      <c r="AJ1313" s="1299"/>
      <c r="AK1313" s="1299"/>
      <c r="AL1313" s="1299"/>
      <c r="AM1313" s="1299"/>
      <c r="AN1313" s="1299"/>
      <c r="AO1313" s="1299"/>
      <c r="AP1313" s="1299"/>
      <c r="AQ1313" s="1297"/>
      <c r="AR1313" s="1297"/>
      <c r="AS1313" s="1297"/>
      <c r="AT1313" s="1297"/>
      <c r="AU1313" s="1297"/>
      <c r="AV1313" s="1297"/>
      <c r="AW1313" s="1297"/>
      <c r="AX1313" s="1297"/>
      <c r="AY1313" s="1297"/>
      <c r="AZ1313" s="1297"/>
      <c r="BA1313" s="1297"/>
      <c r="BB1313" s="1297"/>
      <c r="BC1313" s="1297"/>
      <c r="BD1313" s="1297"/>
      <c r="BE1313" s="1297"/>
      <c r="BF1313" s="1297"/>
      <c r="BG1313" s="1297"/>
      <c r="BH1313" s="1297"/>
      <c r="BI1313" s="1297"/>
      <c r="BJ1313" s="1297"/>
      <c r="BK1313" s="1297"/>
      <c r="BL1313" s="1297"/>
      <c r="BM1313" s="1297"/>
      <c r="BN1313" s="1297"/>
      <c r="BO1313" s="1297"/>
      <c r="BP1313" s="1297"/>
      <c r="BQ1313" s="1297"/>
      <c r="BR1313" s="1297"/>
      <c r="BS1313" s="1297"/>
      <c r="BT1313" s="1297"/>
      <c r="BU1313" s="1297"/>
      <c r="BV1313" s="1297"/>
      <c r="BW1313" s="1297"/>
      <c r="BX1313" s="1297"/>
      <c r="BY1313" s="1297"/>
      <c r="BZ1313" s="1297"/>
      <c r="CA1313" s="1297"/>
      <c r="CB1313" s="1298"/>
    </row>
    <row r="1314" spans="1:80" ht="12.75" customHeight="1" x14ac:dyDescent="0.2">
      <c r="A1314" s="227">
        <v>1314</v>
      </c>
      <c r="B1314" s="5988"/>
      <c r="C1314" s="1000"/>
      <c r="D1314" s="58"/>
      <c r="E1314" s="1003" t="s">
        <v>2293</v>
      </c>
      <c r="F1314" s="77">
        <v>0</v>
      </c>
      <c r="G1314" s="77">
        <v>10</v>
      </c>
      <c r="H1314" s="77">
        <f>COUNTIF(HabilidadesEsenciales_Adquiridas,Tablas!E1314)</f>
        <v>0</v>
      </c>
      <c r="I1314" s="1005">
        <v>1</v>
      </c>
      <c r="J1314" s="176"/>
      <c r="K1314" s="996"/>
      <c r="M1314" s="326"/>
      <c r="N1314" s="21"/>
      <c r="O1314" s="1" t="s">
        <v>7705</v>
      </c>
      <c r="P1314" s="998">
        <v>0</v>
      </c>
      <c r="Q1314" s="176">
        <v>10</v>
      </c>
      <c r="R1314" s="1005">
        <f>COUNTIF(PoderesDeCriatura_Adquiridos,Tablas!O1314)</f>
        <v>0</v>
      </c>
      <c r="S1314" s="176"/>
      <c r="T1314" s="996"/>
      <c r="W1314" s="1028" t="s">
        <v>7366</v>
      </c>
      <c r="X1314" s="304"/>
      <c r="Y1314" s="834" t="str">
        <f t="shared" si="286"/>
        <v>PodHab_Sentidosespeciales</v>
      </c>
      <c r="Z1314" s="1293" t="s">
        <v>19</v>
      </c>
      <c r="AA1314" s="1299" t="s">
        <v>20</v>
      </c>
      <c r="AB1314" s="1299" t="s">
        <v>21</v>
      </c>
      <c r="AC1314" s="1299"/>
      <c r="AD1314" s="1299"/>
      <c r="AE1314" s="1299"/>
      <c r="AF1314" s="1299"/>
      <c r="AG1314" s="1299"/>
      <c r="AH1314" s="1295"/>
      <c r="AI1314" s="1295"/>
      <c r="AJ1314" s="1295"/>
      <c r="AK1314" s="1295"/>
      <c r="AL1314" s="1295"/>
      <c r="AM1314" s="1295"/>
      <c r="AN1314" s="1295"/>
      <c r="AO1314" s="1299"/>
      <c r="AP1314" s="1299"/>
      <c r="AQ1314" s="1297"/>
      <c r="AR1314" s="1297"/>
      <c r="AS1314" s="1297"/>
      <c r="AT1314" s="1297"/>
      <c r="AU1314" s="1297"/>
      <c r="AV1314" s="1297"/>
      <c r="AW1314" s="1297"/>
      <c r="AX1314" s="1297"/>
      <c r="AY1314" s="1297"/>
      <c r="AZ1314" s="1297"/>
      <c r="BA1314" s="1297"/>
      <c r="BB1314" s="1297"/>
      <c r="BC1314" s="1297"/>
      <c r="BD1314" s="1297"/>
      <c r="BE1314" s="1297"/>
      <c r="BF1314" s="1297"/>
      <c r="BG1314" s="1297"/>
      <c r="BH1314" s="1297"/>
      <c r="BI1314" s="1297"/>
      <c r="BJ1314" s="1297"/>
      <c r="BK1314" s="1297"/>
      <c r="BL1314" s="1297"/>
      <c r="BM1314" s="1297"/>
      <c r="BN1314" s="1297"/>
      <c r="BO1314" s="1297"/>
      <c r="BP1314" s="1297"/>
      <c r="BQ1314" s="1297"/>
      <c r="BR1314" s="1297"/>
      <c r="BS1314" s="1297"/>
      <c r="BT1314" s="1297"/>
      <c r="BU1314" s="1297"/>
      <c r="BV1314" s="1297"/>
      <c r="BW1314" s="1297"/>
      <c r="BX1314" s="1297"/>
      <c r="BY1314" s="1297"/>
      <c r="BZ1314" s="1297"/>
      <c r="CA1314" s="1297"/>
      <c r="CB1314" s="1298"/>
    </row>
    <row r="1315" spans="1:80" ht="12.75" customHeight="1" x14ac:dyDescent="0.2">
      <c r="A1315" s="227">
        <v>1315</v>
      </c>
      <c r="B1315" s="5988"/>
      <c r="C1315" s="1000"/>
      <c r="D1315" s="58"/>
      <c r="E1315" s="1003" t="s">
        <v>2294</v>
      </c>
      <c r="F1315" s="77">
        <v>0</v>
      </c>
      <c r="G1315" s="77">
        <v>10</v>
      </c>
      <c r="H1315" s="77">
        <f>COUNTIF(HabilidadesEsenciales_Adquiridas,Tablas!E1315)</f>
        <v>0</v>
      </c>
      <c r="I1315" s="1005">
        <v>1</v>
      </c>
      <c r="J1315" s="176"/>
      <c r="K1315" s="996"/>
      <c r="M1315" s="326"/>
      <c r="N1315" s="21"/>
      <c r="O1315" s="1" t="s">
        <v>7706</v>
      </c>
      <c r="P1315" s="998">
        <v>0</v>
      </c>
      <c r="Q1315" s="176">
        <v>20</v>
      </c>
      <c r="R1315" s="1005">
        <f>COUNTIF(PoderesDeCriatura_Adquiridos,Tablas!O1315)</f>
        <v>0</v>
      </c>
      <c r="S1315" s="176"/>
      <c r="T1315" s="996"/>
      <c r="W1315" s="1028" t="s">
        <v>1927</v>
      </c>
      <c r="X1315" s="304"/>
      <c r="Y1315" s="834" t="str">
        <f t="shared" si="286"/>
        <v>PodHab_Transformación</v>
      </c>
      <c r="Z1315" s="1293" t="s">
        <v>7635</v>
      </c>
      <c r="AA1315" s="1299" t="s">
        <v>7636</v>
      </c>
      <c r="AB1315" s="1299" t="s">
        <v>7637</v>
      </c>
      <c r="AC1315" s="1299" t="s">
        <v>7638</v>
      </c>
      <c r="AD1315" s="1299" t="s">
        <v>7639</v>
      </c>
      <c r="AE1315" s="1299"/>
      <c r="AF1315" s="1299"/>
      <c r="AG1315" s="1299"/>
      <c r="AH1315" s="1299"/>
      <c r="AI1315" s="1299"/>
      <c r="AJ1315" s="1299"/>
      <c r="AK1315" s="1299"/>
      <c r="AL1315" s="1299"/>
      <c r="AM1315" s="1299" t="s">
        <v>6926</v>
      </c>
      <c r="AN1315" s="1299" t="s">
        <v>6926</v>
      </c>
      <c r="AO1315" s="1299" t="s">
        <v>6926</v>
      </c>
      <c r="AP1315" s="1299" t="s">
        <v>6926</v>
      </c>
      <c r="AQ1315" s="1297"/>
      <c r="AR1315" s="1297"/>
      <c r="AS1315" s="1297"/>
      <c r="AT1315" s="1297"/>
      <c r="AU1315" s="1297"/>
      <c r="AV1315" s="1297"/>
      <c r="AW1315" s="1297"/>
      <c r="AX1315" s="1297"/>
      <c r="AY1315" s="1297"/>
      <c r="AZ1315" s="1297"/>
      <c r="BA1315" s="1297"/>
      <c r="BB1315" s="1297"/>
      <c r="BC1315" s="1297"/>
      <c r="BD1315" s="1297"/>
      <c r="BE1315" s="1297"/>
      <c r="BF1315" s="1297"/>
      <c r="BG1315" s="1297"/>
      <c r="BH1315" s="1297"/>
      <c r="BI1315" s="1297"/>
      <c r="BJ1315" s="1297"/>
      <c r="BK1315" s="1297"/>
      <c r="BL1315" s="1297"/>
      <c r="BM1315" s="1297"/>
      <c r="BN1315" s="1297"/>
      <c r="BO1315" s="1297"/>
      <c r="BP1315" s="1297"/>
      <c r="BQ1315" s="1297"/>
      <c r="BR1315" s="1297"/>
      <c r="BS1315" s="1297"/>
      <c r="BT1315" s="1297"/>
      <c r="BU1315" s="1297"/>
      <c r="BV1315" s="1297"/>
      <c r="BW1315" s="1297"/>
      <c r="BX1315" s="1297"/>
      <c r="BY1315" s="1297"/>
      <c r="BZ1315" s="1297"/>
      <c r="CA1315" s="1297"/>
      <c r="CB1315" s="1298"/>
    </row>
    <row r="1316" spans="1:80" ht="12.75" customHeight="1" x14ac:dyDescent="0.2">
      <c r="A1316" s="227">
        <v>1316</v>
      </c>
      <c r="B1316" s="5988"/>
      <c r="C1316" s="1000"/>
      <c r="D1316" s="58"/>
      <c r="E1316" s="1003" t="s">
        <v>1261</v>
      </c>
      <c r="F1316" s="77">
        <v>0</v>
      </c>
      <c r="G1316" s="77">
        <v>30</v>
      </c>
      <c r="H1316" s="77">
        <f>COUNTIF(HabilidadesEsenciales_Adquiridas,Tablas!E1316)</f>
        <v>0</v>
      </c>
      <c r="I1316" s="1005">
        <v>1</v>
      </c>
      <c r="J1316" s="176"/>
      <c r="K1316" s="996"/>
      <c r="M1316" s="326"/>
      <c r="N1316" s="21"/>
      <c r="O1316" s="1" t="s">
        <v>7707</v>
      </c>
      <c r="P1316" s="998">
        <v>0</v>
      </c>
      <c r="Q1316" s="176">
        <v>30</v>
      </c>
      <c r="R1316" s="1005">
        <f>COUNTIF(PoderesDeCriatura_Adquiridos,Tablas!O1316)</f>
        <v>0</v>
      </c>
      <c r="S1316" s="176"/>
      <c r="T1316" s="996"/>
      <c r="W1316" s="1028" t="s">
        <v>23</v>
      </c>
      <c r="X1316" s="758"/>
      <c r="Y1316" s="834" t="str">
        <f t="shared" si="286"/>
        <v/>
      </c>
      <c r="Z1316" s="1293" t="s">
        <v>6926</v>
      </c>
      <c r="AA1316" s="1299" t="s">
        <v>6926</v>
      </c>
      <c r="AB1316" s="1299" t="s">
        <v>6926</v>
      </c>
      <c r="AC1316" s="1299" t="s">
        <v>6926</v>
      </c>
      <c r="AD1316" s="1299" t="s">
        <v>6926</v>
      </c>
      <c r="AE1316" s="1299" t="s">
        <v>6926</v>
      </c>
      <c r="AF1316" s="1299" t="s">
        <v>6926</v>
      </c>
      <c r="AG1316" s="1299" t="s">
        <v>6926</v>
      </c>
      <c r="AH1316" s="1299" t="s">
        <v>6926</v>
      </c>
      <c r="AI1316" s="1299" t="s">
        <v>6926</v>
      </c>
      <c r="AJ1316" s="1299" t="s">
        <v>6926</v>
      </c>
      <c r="AK1316" s="1299" t="s">
        <v>6926</v>
      </c>
      <c r="AL1316" s="1299" t="s">
        <v>6926</v>
      </c>
      <c r="AM1316" s="1299" t="s">
        <v>6926</v>
      </c>
      <c r="AN1316" s="1299" t="s">
        <v>6926</v>
      </c>
      <c r="AO1316" s="1299" t="s">
        <v>6926</v>
      </c>
      <c r="AP1316" s="1299" t="s">
        <v>6926</v>
      </c>
      <c r="AQ1316" s="1297"/>
      <c r="AR1316" s="1297"/>
      <c r="AS1316" s="1297"/>
      <c r="AT1316" s="1297"/>
      <c r="AU1316" s="1297"/>
      <c r="AV1316" s="1297"/>
      <c r="AW1316" s="1297"/>
      <c r="AX1316" s="1297"/>
      <c r="AY1316" s="1297"/>
      <c r="AZ1316" s="1297"/>
      <c r="BA1316" s="1297"/>
      <c r="BB1316" s="1297"/>
      <c r="BC1316" s="1297"/>
      <c r="BD1316" s="1297"/>
      <c r="BE1316" s="1297"/>
      <c r="BF1316" s="1297"/>
      <c r="BG1316" s="1297"/>
      <c r="BH1316" s="1297"/>
      <c r="BI1316" s="1297"/>
      <c r="BJ1316" s="1297"/>
      <c r="BK1316" s="1297"/>
      <c r="BL1316" s="1297"/>
      <c r="BM1316" s="1297"/>
      <c r="BN1316" s="1297"/>
      <c r="BO1316" s="1297"/>
      <c r="BP1316" s="1297"/>
      <c r="BQ1316" s="1297"/>
      <c r="BR1316" s="1297"/>
      <c r="BS1316" s="1297"/>
      <c r="BT1316" s="1297"/>
      <c r="BU1316" s="1297"/>
      <c r="BV1316" s="1297"/>
      <c r="BW1316" s="1297"/>
      <c r="BX1316" s="1297"/>
      <c r="BY1316" s="1297"/>
      <c r="BZ1316" s="1297"/>
      <c r="CA1316" s="1297"/>
      <c r="CB1316" s="1298"/>
    </row>
    <row r="1317" spans="1:80" ht="12.75" customHeight="1" x14ac:dyDescent="0.2">
      <c r="A1317" s="227">
        <v>1317</v>
      </c>
      <c r="B1317" s="5988"/>
      <c r="C1317" s="1000"/>
      <c r="D1317" s="58"/>
      <c r="E1317" s="1003" t="s">
        <v>1682</v>
      </c>
      <c r="F1317" s="77">
        <v>0</v>
      </c>
      <c r="G1317" s="77">
        <v>10</v>
      </c>
      <c r="H1317" s="77">
        <f>COUNTIF(HabilidadesEsenciales_Adquiridas,Tablas!E1317)</f>
        <v>0</v>
      </c>
      <c r="I1317" s="1005">
        <v>2</v>
      </c>
      <c r="J1317" s="176"/>
      <c r="K1317" s="996"/>
      <c r="M1317" s="326"/>
      <c r="N1317" s="21"/>
      <c r="O1317" s="1" t="s">
        <v>7708</v>
      </c>
      <c r="P1317" s="998">
        <v>0</v>
      </c>
      <c r="Q1317" s="176">
        <v>40</v>
      </c>
      <c r="R1317" s="1005">
        <f>COUNTIF(PoderesDeCriatura_Adquiridos,Tablas!O1317)</f>
        <v>0</v>
      </c>
      <c r="S1317" s="176"/>
      <c r="T1317" s="996"/>
      <c r="U1317">
        <v>2</v>
      </c>
      <c r="W1317" s="1028" t="s">
        <v>7368</v>
      </c>
      <c r="X1317" s="304"/>
      <c r="Y1317" s="834" t="str">
        <f t="shared" si="286"/>
        <v>PodHab_Maestríasobrenatural</v>
      </c>
      <c r="Z1317" s="1293" t="s">
        <v>7640</v>
      </c>
      <c r="AA1317" s="1299" t="s">
        <v>7641</v>
      </c>
      <c r="AB1317" s="1299" t="s">
        <v>7642</v>
      </c>
      <c r="AC1317" s="1299" t="s">
        <v>7643</v>
      </c>
      <c r="AD1317" s="1299" t="s">
        <v>7644</v>
      </c>
      <c r="AE1317" s="1299" t="s">
        <v>7645</v>
      </c>
      <c r="AF1317" s="1299"/>
      <c r="AG1317" s="1299"/>
      <c r="AH1317" s="1299"/>
      <c r="AI1317" s="1299"/>
      <c r="AJ1317" s="1299"/>
      <c r="AK1317" s="1299"/>
      <c r="AL1317" s="1299"/>
      <c r="AM1317" s="1299"/>
      <c r="AN1317" s="1299"/>
      <c r="AO1317" s="1299"/>
      <c r="AP1317" s="1299"/>
      <c r="AQ1317" s="1297"/>
      <c r="AR1317" s="1297"/>
      <c r="AS1317" s="1297"/>
      <c r="AT1317" s="1297"/>
      <c r="AU1317" s="1297"/>
      <c r="AV1317" s="1297"/>
      <c r="AW1317" s="1297"/>
      <c r="AX1317" s="1297"/>
      <c r="AY1317" s="1297"/>
      <c r="AZ1317" s="1297"/>
      <c r="BA1317" s="1297"/>
      <c r="BB1317" s="1297"/>
      <c r="BC1317" s="1297"/>
      <c r="BD1317" s="1297"/>
      <c r="BE1317" s="1297"/>
      <c r="BF1317" s="1297"/>
      <c r="BG1317" s="1297"/>
      <c r="BH1317" s="1297"/>
      <c r="BI1317" s="1297"/>
      <c r="BJ1317" s="1297"/>
      <c r="BK1317" s="1297"/>
      <c r="BL1317" s="1297"/>
      <c r="BM1317" s="1297"/>
      <c r="BN1317" s="1297"/>
      <c r="BO1317" s="1297"/>
      <c r="BP1317" s="1297"/>
      <c r="BQ1317" s="1297"/>
      <c r="BR1317" s="1297"/>
      <c r="BS1317" s="1297"/>
      <c r="BT1317" s="1297"/>
      <c r="BU1317" s="1297"/>
      <c r="BV1317" s="1297"/>
      <c r="BW1317" s="1297"/>
      <c r="BX1317" s="1297"/>
      <c r="BY1317" s="1297"/>
      <c r="BZ1317" s="1297"/>
      <c r="CA1317" s="1297"/>
      <c r="CB1317" s="1298"/>
    </row>
    <row r="1318" spans="1:80" ht="12.75" customHeight="1" x14ac:dyDescent="0.2">
      <c r="A1318" s="227">
        <v>1318</v>
      </c>
      <c r="B1318" s="5988"/>
      <c r="C1318" s="1000"/>
      <c r="D1318" s="58"/>
      <c r="E1318" s="1003" t="s">
        <v>1683</v>
      </c>
      <c r="F1318" s="77">
        <v>25</v>
      </c>
      <c r="G1318" s="77">
        <v>20</v>
      </c>
      <c r="H1318" s="77">
        <f>COUNTIF(HabilidadesEsenciales_Adquiridas,Tablas!E1318)</f>
        <v>0</v>
      </c>
      <c r="I1318" s="1005">
        <v>2</v>
      </c>
      <c r="J1318" s="176"/>
      <c r="K1318" s="996"/>
      <c r="M1318" s="326"/>
      <c r="N1318" s="21"/>
      <c r="O1318" s="1" t="s">
        <v>7709</v>
      </c>
      <c r="P1318" s="998">
        <v>0</v>
      </c>
      <c r="Q1318" s="176">
        <v>50</v>
      </c>
      <c r="R1318" s="1005">
        <f>COUNTIF(PoderesDeCriatura_Adquiridos,Tablas!O1318)</f>
        <v>0</v>
      </c>
      <c r="S1318" s="176"/>
      <c r="T1318" s="996"/>
      <c r="U1318">
        <v>2</v>
      </c>
      <c r="W1318" s="1028" t="s">
        <v>6895</v>
      </c>
      <c r="X1318" s="304"/>
      <c r="Y1318" s="834" t="str">
        <f t="shared" si="286"/>
        <v>PodHab_Magianatural</v>
      </c>
      <c r="Z1318" s="1293" t="s">
        <v>7646</v>
      </c>
      <c r="AA1318" s="1299" t="s">
        <v>2002</v>
      </c>
      <c r="AB1318" s="1299"/>
      <c r="AC1318" s="1299"/>
      <c r="AD1318" s="1299"/>
      <c r="AE1318" s="1299"/>
      <c r="AF1318" s="1299"/>
      <c r="AG1318" s="1299"/>
      <c r="AH1318" s="1299"/>
      <c r="AI1318" s="1299"/>
      <c r="AJ1318" s="1299"/>
      <c r="AK1318" s="1299"/>
      <c r="AL1318" s="1299"/>
      <c r="AM1318" s="1299"/>
      <c r="AN1318" s="1299"/>
      <c r="AO1318" s="1299"/>
      <c r="AP1318" s="1299" t="s">
        <v>6926</v>
      </c>
      <c r="AQ1318" s="1297"/>
      <c r="AR1318" s="1297"/>
      <c r="AS1318" s="1297"/>
      <c r="AT1318" s="1297"/>
      <c r="AU1318" s="1297"/>
      <c r="AV1318" s="1297"/>
      <c r="AW1318" s="1297"/>
      <c r="AX1318" s="1297"/>
      <c r="AY1318" s="1297"/>
      <c r="AZ1318" s="1297"/>
      <c r="BA1318" s="1297"/>
      <c r="BB1318" s="1297"/>
      <c r="BC1318" s="1297"/>
      <c r="BD1318" s="1297"/>
      <c r="BE1318" s="1297"/>
      <c r="BF1318" s="1297"/>
      <c r="BG1318" s="1297"/>
      <c r="BH1318" s="1297"/>
      <c r="BI1318" s="1297"/>
      <c r="BJ1318" s="1297"/>
      <c r="BK1318" s="1297"/>
      <c r="BL1318" s="1297"/>
      <c r="BM1318" s="1297"/>
      <c r="BN1318" s="1297"/>
      <c r="BO1318" s="1297"/>
      <c r="BP1318" s="1297"/>
      <c r="BQ1318" s="1297"/>
      <c r="BR1318" s="1297"/>
      <c r="BS1318" s="1297"/>
      <c r="BT1318" s="1297"/>
      <c r="BU1318" s="1297"/>
      <c r="BV1318" s="1297"/>
      <c r="BW1318" s="1297"/>
      <c r="BX1318" s="1297"/>
      <c r="BY1318" s="1297"/>
      <c r="BZ1318" s="1297"/>
      <c r="CA1318" s="1297"/>
      <c r="CB1318" s="1298"/>
    </row>
    <row r="1319" spans="1:80" ht="12.75" customHeight="1" x14ac:dyDescent="0.2">
      <c r="A1319" s="227">
        <v>1319</v>
      </c>
      <c r="B1319" s="5988"/>
      <c r="C1319" s="1000"/>
      <c r="D1319" s="58"/>
      <c r="E1319" s="1003" t="s">
        <v>1262</v>
      </c>
      <c r="F1319" s="77">
        <v>0</v>
      </c>
      <c r="G1319" s="77">
        <v>10</v>
      </c>
      <c r="H1319" s="77">
        <f>COUNTIF(HabilidadesEsenciales_Adquiridas,Tablas!E1319)</f>
        <v>0</v>
      </c>
      <c r="I1319" s="1005"/>
      <c r="J1319" s="176"/>
      <c r="K1319" s="996"/>
      <c r="M1319" s="326"/>
      <c r="N1319" s="21"/>
      <c r="O1319" s="1" t="s">
        <v>7710</v>
      </c>
      <c r="P1319" s="998">
        <v>0</v>
      </c>
      <c r="Q1319" s="176">
        <v>60</v>
      </c>
      <c r="R1319" s="1005">
        <f>COUNTIF(PoderesDeCriatura_Adquiridos,Tablas!O1319)</f>
        <v>0</v>
      </c>
      <c r="S1319" s="176"/>
      <c r="T1319" s="996"/>
      <c r="U1319">
        <v>2</v>
      </c>
      <c r="W1319" s="1028" t="s">
        <v>24</v>
      </c>
      <c r="X1319" s="304"/>
      <c r="Y1319" s="834" t="str">
        <f t="shared" si="286"/>
        <v/>
      </c>
      <c r="Z1319" s="1293"/>
      <c r="AA1319" s="1299"/>
      <c r="AB1319" s="1299"/>
      <c r="AC1319" s="1299"/>
      <c r="AD1319" s="1299"/>
      <c r="AE1319" s="1299"/>
      <c r="AF1319" s="1299"/>
      <c r="AG1319" s="1299"/>
      <c r="AH1319" s="1299"/>
      <c r="AI1319" s="1299"/>
      <c r="AJ1319" s="1299"/>
      <c r="AK1319" s="1299"/>
      <c r="AL1319" s="1299"/>
      <c r="AM1319" s="1299" t="s">
        <v>6926</v>
      </c>
      <c r="AN1319" s="1299" t="s">
        <v>6926</v>
      </c>
      <c r="AO1319" s="1299" t="s">
        <v>6926</v>
      </c>
      <c r="AP1319" s="1299" t="s">
        <v>6926</v>
      </c>
      <c r="AQ1319" s="1297"/>
      <c r="AR1319" s="1297"/>
      <c r="AS1319" s="1297"/>
      <c r="AT1319" s="1297"/>
      <c r="AU1319" s="1297"/>
      <c r="AV1319" s="1297"/>
      <c r="AW1319" s="1297"/>
      <c r="AX1319" s="1297"/>
      <c r="AY1319" s="1297"/>
      <c r="AZ1319" s="1297"/>
      <c r="BA1319" s="1297"/>
      <c r="BB1319" s="1297"/>
      <c r="BC1319" s="1297"/>
      <c r="BD1319" s="1297"/>
      <c r="BE1319" s="1297"/>
      <c r="BF1319" s="1297"/>
      <c r="BG1319" s="1297"/>
      <c r="BH1319" s="1297"/>
      <c r="BI1319" s="1297"/>
      <c r="BJ1319" s="1297"/>
      <c r="BK1319" s="1297"/>
      <c r="BL1319" s="1297"/>
      <c r="BM1319" s="1297"/>
      <c r="BN1319" s="1297"/>
      <c r="BO1319" s="1297"/>
      <c r="BP1319" s="1297"/>
      <c r="BQ1319" s="1297"/>
      <c r="BR1319" s="1297"/>
      <c r="BS1319" s="1297"/>
      <c r="BT1319" s="1297"/>
      <c r="BU1319" s="1297"/>
      <c r="BV1319" s="1297"/>
      <c r="BW1319" s="1297"/>
      <c r="BX1319" s="1297"/>
      <c r="BY1319" s="1297"/>
      <c r="BZ1319" s="1297"/>
      <c r="CA1319" s="1297"/>
      <c r="CB1319" s="1298"/>
    </row>
    <row r="1320" spans="1:80" ht="12.75" customHeight="1" x14ac:dyDescent="0.2">
      <c r="A1320" s="227">
        <v>1320</v>
      </c>
      <c r="B1320" s="5988"/>
      <c r="C1320" s="1000"/>
      <c r="D1320" s="58"/>
      <c r="E1320" s="1003" t="s">
        <v>1263</v>
      </c>
      <c r="F1320" s="77">
        <v>5</v>
      </c>
      <c r="G1320" s="77">
        <v>10</v>
      </c>
      <c r="H1320" s="77">
        <f>COUNTIF(HabilidadesEsenciales_Adquiridas,Tablas!E1320)</f>
        <v>0</v>
      </c>
      <c r="I1320" s="1005"/>
      <c r="J1320" s="176"/>
      <c r="K1320" s="996"/>
      <c r="M1320" s="326"/>
      <c r="N1320" s="21"/>
      <c r="O1320" s="1" t="s">
        <v>7711</v>
      </c>
      <c r="P1320" s="998">
        <v>0</v>
      </c>
      <c r="Q1320" s="176">
        <v>80</v>
      </c>
      <c r="R1320" s="1005">
        <f>COUNTIF(PoderesDeCriatura_Adquiridos,Tablas!O1320)</f>
        <v>0</v>
      </c>
      <c r="S1320" s="176"/>
      <c r="T1320" s="996"/>
      <c r="U1320">
        <v>2</v>
      </c>
      <c r="W1320" s="1028" t="s">
        <v>25</v>
      </c>
      <c r="X1320" s="758"/>
      <c r="Y1320" s="834" t="str">
        <f t="shared" si="286"/>
        <v/>
      </c>
      <c r="Z1320" s="1293"/>
      <c r="AA1320" s="1299"/>
      <c r="AB1320" s="1299"/>
      <c r="AC1320" s="1299"/>
      <c r="AD1320" s="1299"/>
      <c r="AE1320" s="1299"/>
      <c r="AF1320" s="1299"/>
      <c r="AG1320" s="1299"/>
      <c r="AH1320" s="1299"/>
      <c r="AI1320" s="1299"/>
      <c r="AJ1320" s="1299"/>
      <c r="AK1320" s="1299"/>
      <c r="AL1320" s="1299"/>
      <c r="AM1320" s="1299" t="s">
        <v>6926</v>
      </c>
      <c r="AN1320" s="1299" t="s">
        <v>6926</v>
      </c>
      <c r="AO1320" s="1299" t="s">
        <v>6926</v>
      </c>
      <c r="AP1320" s="1299" t="s">
        <v>6926</v>
      </c>
      <c r="AQ1320" s="1297"/>
      <c r="AR1320" s="1297"/>
      <c r="AS1320" s="1297"/>
      <c r="AT1320" s="1297"/>
      <c r="AU1320" s="1297"/>
      <c r="AV1320" s="1297"/>
      <c r="AW1320" s="1297"/>
      <c r="AX1320" s="1297"/>
      <c r="AY1320" s="1297"/>
      <c r="AZ1320" s="1297"/>
      <c r="BA1320" s="1297"/>
      <c r="BB1320" s="1297"/>
      <c r="BC1320" s="1297"/>
      <c r="BD1320" s="1297"/>
      <c r="BE1320" s="1297"/>
      <c r="BF1320" s="1297"/>
      <c r="BG1320" s="1297"/>
      <c r="BH1320" s="1297"/>
      <c r="BI1320" s="1297"/>
      <c r="BJ1320" s="1297"/>
      <c r="BK1320" s="1297"/>
      <c r="BL1320" s="1297"/>
      <c r="BM1320" s="1297"/>
      <c r="BN1320" s="1297"/>
      <c r="BO1320" s="1297"/>
      <c r="BP1320" s="1297"/>
      <c r="BQ1320" s="1297"/>
      <c r="BR1320" s="1297"/>
      <c r="BS1320" s="1297"/>
      <c r="BT1320" s="1297"/>
      <c r="BU1320" s="1297"/>
      <c r="BV1320" s="1297"/>
      <c r="BW1320" s="1297"/>
      <c r="BX1320" s="1297"/>
      <c r="BY1320" s="1297"/>
      <c r="BZ1320" s="1297"/>
      <c r="CA1320" s="1297"/>
      <c r="CB1320" s="1298"/>
    </row>
    <row r="1321" spans="1:80" ht="12.75" customHeight="1" x14ac:dyDescent="0.2">
      <c r="A1321" s="227">
        <v>1321</v>
      </c>
      <c r="B1321" s="5988"/>
      <c r="C1321" s="1000"/>
      <c r="D1321" s="58"/>
      <c r="E1321" s="1003" t="s">
        <v>1264</v>
      </c>
      <c r="F1321" s="77">
        <v>15</v>
      </c>
      <c r="G1321" s="77">
        <v>20</v>
      </c>
      <c r="H1321" s="77">
        <f>COUNTIF(HabilidadesEsenciales_Adquiridas,Tablas!E1321)</f>
        <v>0</v>
      </c>
      <c r="I1321" s="1005">
        <v>1</v>
      </c>
      <c r="J1321" s="176"/>
      <c r="K1321" s="996"/>
      <c r="M1321" s="326"/>
      <c r="N1321" s="21"/>
      <c r="O1321" s="1" t="s">
        <v>7712</v>
      </c>
      <c r="P1321" s="998">
        <v>10</v>
      </c>
      <c r="Q1321" s="176">
        <v>100</v>
      </c>
      <c r="R1321" s="1005">
        <f>COUNTIF(PoderesDeCriatura_Adquiridos,Tablas!O1321)</f>
        <v>0</v>
      </c>
      <c r="S1321" s="176"/>
      <c r="T1321" s="996"/>
      <c r="U1321">
        <v>2</v>
      </c>
      <c r="W1321" s="1028" t="s">
        <v>27</v>
      </c>
      <c r="X1321" s="1024"/>
      <c r="Y1321" s="834" t="str">
        <f t="shared" si="286"/>
        <v/>
      </c>
      <c r="Z1321" s="1293"/>
      <c r="AA1321" s="1299"/>
      <c r="AB1321" s="1299" t="s">
        <v>6926</v>
      </c>
      <c r="AC1321" s="1299" t="s">
        <v>6926</v>
      </c>
      <c r="AD1321" s="1299"/>
      <c r="AE1321" s="1295"/>
      <c r="AF1321" s="1295"/>
      <c r="AG1321" s="1295"/>
      <c r="AH1321" s="1295"/>
      <c r="AI1321" s="1295"/>
      <c r="AJ1321" s="1295"/>
      <c r="AK1321" s="1295"/>
      <c r="AL1321" s="1299" t="s">
        <v>6926</v>
      </c>
      <c r="AM1321" s="1299" t="s">
        <v>6926</v>
      </c>
      <c r="AN1321" s="1299" t="s">
        <v>6926</v>
      </c>
      <c r="AO1321" s="1299" t="s">
        <v>6926</v>
      </c>
      <c r="AP1321" s="1299" t="s">
        <v>6926</v>
      </c>
      <c r="AQ1321" s="1297"/>
      <c r="AR1321" s="1297"/>
      <c r="AS1321" s="1297"/>
      <c r="AT1321" s="1297"/>
      <c r="AU1321" s="1297"/>
      <c r="AV1321" s="1297"/>
      <c r="AW1321" s="1297"/>
      <c r="AX1321" s="1297"/>
      <c r="AY1321" s="1297"/>
      <c r="AZ1321" s="1297"/>
      <c r="BA1321" s="1297"/>
      <c r="BB1321" s="1297"/>
      <c r="BC1321" s="1297"/>
      <c r="BD1321" s="1297"/>
      <c r="BE1321" s="1297"/>
      <c r="BF1321" s="1297"/>
      <c r="BG1321" s="1297"/>
      <c r="BH1321" s="1297"/>
      <c r="BI1321" s="1297"/>
      <c r="BJ1321" s="1297"/>
      <c r="BK1321" s="1297"/>
      <c r="BL1321" s="1297"/>
      <c r="BM1321" s="1297"/>
      <c r="BN1321" s="1297"/>
      <c r="BO1321" s="1297"/>
      <c r="BP1321" s="1297"/>
      <c r="BQ1321" s="1297"/>
      <c r="BR1321" s="1297"/>
      <c r="BS1321" s="1297"/>
      <c r="BT1321" s="1297"/>
      <c r="BU1321" s="1297"/>
      <c r="BV1321" s="1297"/>
      <c r="BW1321" s="1297"/>
      <c r="BX1321" s="1297"/>
      <c r="BY1321" s="1297"/>
      <c r="BZ1321" s="1297"/>
      <c r="CA1321" s="1297"/>
      <c r="CB1321" s="1298"/>
    </row>
    <row r="1322" spans="1:80" ht="12.75" customHeight="1" x14ac:dyDescent="0.2">
      <c r="A1322" s="227">
        <v>1322</v>
      </c>
      <c r="B1322" s="5988"/>
      <c r="C1322" s="1000"/>
      <c r="D1322" s="58"/>
      <c r="E1322" s="1003" t="s">
        <v>1265</v>
      </c>
      <c r="F1322" s="77">
        <v>15</v>
      </c>
      <c r="G1322" s="77">
        <v>10</v>
      </c>
      <c r="H1322" s="77">
        <f>COUNTIF(HabilidadesEsenciales_Adquiridas,Tablas!E1322)</f>
        <v>0</v>
      </c>
      <c r="I1322" s="1005"/>
      <c r="J1322" s="176"/>
      <c r="K1322" s="996"/>
      <c r="M1322" s="326"/>
      <c r="N1322" s="21"/>
      <c r="O1322" s="1" t="s">
        <v>7713</v>
      </c>
      <c r="P1322" s="998">
        <v>20</v>
      </c>
      <c r="Q1322" s="176">
        <v>140</v>
      </c>
      <c r="R1322" s="1005">
        <f>COUNTIF(PoderesDeCriatura_Adquiridos,Tablas!O1322)</f>
        <v>0</v>
      </c>
      <c r="S1322" s="176"/>
      <c r="T1322" s="996"/>
      <c r="U1322">
        <v>2</v>
      </c>
      <c r="W1322" s="1028" t="s">
        <v>28</v>
      </c>
      <c r="X1322" s="1024"/>
      <c r="Y1322" s="834" t="str">
        <f t="shared" si="286"/>
        <v/>
      </c>
      <c r="Z1322" s="1293"/>
      <c r="AA1322" s="1299"/>
      <c r="AB1322" s="1299"/>
      <c r="AC1322" s="1299"/>
      <c r="AD1322" s="1299"/>
      <c r="AE1322" s="1295"/>
      <c r="AF1322" s="1295"/>
      <c r="AG1322" s="1295"/>
      <c r="AH1322" s="1295"/>
      <c r="AI1322" s="1295"/>
      <c r="AJ1322" s="1295"/>
      <c r="AK1322" s="1295"/>
      <c r="AL1322" s="1299"/>
      <c r="AM1322" s="1299"/>
      <c r="AN1322" s="1299"/>
      <c r="AO1322" s="1299"/>
      <c r="AP1322" s="1299"/>
      <c r="AQ1322" s="1297"/>
      <c r="AR1322" s="1297"/>
      <c r="AS1322" s="1297"/>
      <c r="AT1322" s="1297"/>
      <c r="AU1322" s="1297"/>
      <c r="AV1322" s="1297"/>
      <c r="AW1322" s="1297"/>
      <c r="AX1322" s="1297"/>
      <c r="AY1322" s="1297"/>
      <c r="AZ1322" s="1297"/>
      <c r="BA1322" s="1297"/>
      <c r="BB1322" s="1297"/>
      <c r="BC1322" s="1297"/>
      <c r="BD1322" s="1297"/>
      <c r="BE1322" s="1297"/>
      <c r="BF1322" s="1297"/>
      <c r="BG1322" s="1297"/>
      <c r="BH1322" s="1297"/>
      <c r="BI1322" s="1297"/>
      <c r="BJ1322" s="1297"/>
      <c r="BK1322" s="1297"/>
      <c r="BL1322" s="1297"/>
      <c r="BM1322" s="1297"/>
      <c r="BN1322" s="1297"/>
      <c r="BO1322" s="1297"/>
      <c r="BP1322" s="1297"/>
      <c r="BQ1322" s="1297"/>
      <c r="BR1322" s="1297"/>
      <c r="BS1322" s="1297"/>
      <c r="BT1322" s="1297"/>
      <c r="BU1322" s="1297"/>
      <c r="BV1322" s="1297"/>
      <c r="BW1322" s="1297"/>
      <c r="BX1322" s="1297"/>
      <c r="BY1322" s="1297"/>
      <c r="BZ1322" s="1297"/>
      <c r="CA1322" s="1297"/>
      <c r="CB1322" s="1298"/>
    </row>
    <row r="1323" spans="1:80" ht="12.75" customHeight="1" x14ac:dyDescent="0.2">
      <c r="A1323" s="227">
        <v>1323</v>
      </c>
      <c r="B1323" s="5988"/>
      <c r="C1323" s="1000"/>
      <c r="D1323" s="58"/>
      <c r="E1323" s="1003" t="s">
        <v>1266</v>
      </c>
      <c r="F1323" s="77">
        <v>15</v>
      </c>
      <c r="G1323" s="77">
        <v>10</v>
      </c>
      <c r="H1323" s="77">
        <f>COUNTIF(HabilidadesEsenciales_Adquiridas,Tablas!E1323)</f>
        <v>0</v>
      </c>
      <c r="I1323" s="1005"/>
      <c r="J1323" s="176"/>
      <c r="K1323" s="996"/>
      <c r="M1323" s="326"/>
      <c r="N1323" s="21"/>
      <c r="O1323" s="1" t="s">
        <v>7714</v>
      </c>
      <c r="P1323" s="998">
        <v>30</v>
      </c>
      <c r="Q1323" s="176">
        <v>180</v>
      </c>
      <c r="R1323" s="1005">
        <f>COUNTIF(PoderesDeCriatura_Adquiridos,Tablas!O1323)</f>
        <v>0</v>
      </c>
      <c r="S1323" s="176"/>
      <c r="T1323" s="996"/>
      <c r="U1323">
        <v>2</v>
      </c>
      <c r="W1323" s="1028" t="s">
        <v>7370</v>
      </c>
      <c r="X1323" s="304"/>
      <c r="Y1323" s="834" t="str">
        <f t="shared" si="286"/>
        <v>PodHab_Espaciocerrado</v>
      </c>
      <c r="Z1323" s="1293" t="s">
        <v>7647</v>
      </c>
      <c r="AA1323" s="1299" t="s">
        <v>7648</v>
      </c>
      <c r="AB1323" s="1299" t="s">
        <v>7649</v>
      </c>
      <c r="AC1323" s="1299"/>
      <c r="AD1323" s="1299"/>
      <c r="AE1323" s="1295"/>
      <c r="AF1323" s="1295"/>
      <c r="AG1323" s="1295"/>
      <c r="AH1323" s="1295"/>
      <c r="AI1323" s="1295"/>
      <c r="AJ1323" s="1295"/>
      <c r="AK1323" s="1295"/>
      <c r="AL1323" s="1299"/>
      <c r="AM1323" s="1299"/>
      <c r="AN1323" s="1299"/>
      <c r="AO1323" s="1299"/>
      <c r="AP1323" s="1299"/>
      <c r="AQ1323" s="1297"/>
      <c r="AR1323" s="1297"/>
      <c r="AS1323" s="1297"/>
      <c r="AT1323" s="1297"/>
      <c r="AU1323" s="1297"/>
      <c r="AV1323" s="1297"/>
      <c r="AW1323" s="1297"/>
      <c r="AX1323" s="1297"/>
      <c r="AY1323" s="1297"/>
      <c r="AZ1323" s="1297"/>
      <c r="BA1323" s="1297"/>
      <c r="BB1323" s="1297"/>
      <c r="BC1323" s="1297"/>
      <c r="BD1323" s="1297"/>
      <c r="BE1323" s="1297"/>
      <c r="BF1323" s="1297"/>
      <c r="BG1323" s="1297"/>
      <c r="BH1323" s="1297"/>
      <c r="BI1323" s="1297"/>
      <c r="BJ1323" s="1297"/>
      <c r="BK1323" s="1297"/>
      <c r="BL1323" s="1297"/>
      <c r="BM1323" s="1297"/>
      <c r="BN1323" s="1297"/>
      <c r="BO1323" s="1297"/>
      <c r="BP1323" s="1297"/>
      <c r="BQ1323" s="1297"/>
      <c r="BR1323" s="1297"/>
      <c r="BS1323" s="1297"/>
      <c r="BT1323" s="1297"/>
      <c r="BU1323" s="1297"/>
      <c r="BV1323" s="1297"/>
      <c r="BW1323" s="1297"/>
      <c r="BX1323" s="1297"/>
      <c r="BY1323" s="1297"/>
      <c r="BZ1323" s="1297"/>
      <c r="CA1323" s="1297"/>
      <c r="CB1323" s="1298"/>
    </row>
    <row r="1324" spans="1:80" ht="12.75" customHeight="1" x14ac:dyDescent="0.2">
      <c r="A1324" s="227">
        <v>1324</v>
      </c>
      <c r="B1324" s="5988"/>
      <c r="C1324" s="1000"/>
      <c r="D1324" s="58"/>
      <c r="E1324" s="1003" t="s">
        <v>1267</v>
      </c>
      <c r="F1324" s="77">
        <v>15</v>
      </c>
      <c r="G1324" s="77">
        <v>10</v>
      </c>
      <c r="H1324" s="77">
        <f>COUNTIF(HabilidadesEsenciales_Adquiridas,Tablas!E1324)</f>
        <v>0</v>
      </c>
      <c r="I1324" s="1005"/>
      <c r="J1324" s="176"/>
      <c r="K1324" s="996"/>
      <c r="M1324" s="326"/>
      <c r="N1324" s="21"/>
      <c r="O1324" s="134" t="s">
        <v>7715</v>
      </c>
      <c r="P1324" s="998">
        <v>5</v>
      </c>
      <c r="Q1324" s="176">
        <v>20</v>
      </c>
      <c r="R1324" s="1005">
        <f>COUNTIF(PoderesDeCriatura_Adquiridos,Tablas!O1324)</f>
        <v>0</v>
      </c>
      <c r="S1324" s="176"/>
      <c r="T1324" s="996"/>
      <c r="U1324">
        <v>2</v>
      </c>
      <c r="W1324" s="1028" t="s">
        <v>7369</v>
      </c>
      <c r="X1324" s="304"/>
      <c r="Y1324" s="834" t="str">
        <f t="shared" si="286"/>
        <v>PodHab_Existenciacompacta</v>
      </c>
      <c r="Z1324" s="1293" t="s">
        <v>1969</v>
      </c>
      <c r="AA1324" s="1299" t="s">
        <v>1970</v>
      </c>
      <c r="AB1324" s="1299"/>
      <c r="AC1324" s="1299"/>
      <c r="AD1324" s="1299"/>
      <c r="AE1324" s="1295"/>
      <c r="AF1324" s="1295"/>
      <c r="AG1324" s="1295"/>
      <c r="AH1324" s="1295"/>
      <c r="AI1324" s="1295"/>
      <c r="AJ1324" s="1295"/>
      <c r="AK1324" s="1295"/>
      <c r="AL1324" s="1299"/>
      <c r="AM1324" s="1299"/>
      <c r="AN1324" s="1299"/>
      <c r="AO1324" s="1299"/>
      <c r="AP1324" s="1299"/>
      <c r="AQ1324" s="1297"/>
      <c r="AR1324" s="1297"/>
      <c r="AS1324" s="1297"/>
      <c r="AT1324" s="1297"/>
      <c r="AU1324" s="1297"/>
      <c r="AV1324" s="1297"/>
      <c r="AW1324" s="1297"/>
      <c r="AX1324" s="1297"/>
      <c r="AY1324" s="1297"/>
      <c r="AZ1324" s="1297"/>
      <c r="BA1324" s="1297"/>
      <c r="BB1324" s="1297"/>
      <c r="BC1324" s="1297"/>
      <c r="BD1324" s="1297"/>
      <c r="BE1324" s="1297"/>
      <c r="BF1324" s="1297"/>
      <c r="BG1324" s="1297"/>
      <c r="BH1324" s="1297"/>
      <c r="BI1324" s="1297"/>
      <c r="BJ1324" s="1297"/>
      <c r="BK1324" s="1297"/>
      <c r="BL1324" s="1297"/>
      <c r="BM1324" s="1297"/>
      <c r="BN1324" s="1297"/>
      <c r="BO1324" s="1297"/>
      <c r="BP1324" s="1297"/>
      <c r="BQ1324" s="1297"/>
      <c r="BR1324" s="1297"/>
      <c r="BS1324" s="1297"/>
      <c r="BT1324" s="1297"/>
      <c r="BU1324" s="1297"/>
      <c r="BV1324" s="1297"/>
      <c r="BW1324" s="1297"/>
      <c r="BX1324" s="1297"/>
      <c r="BY1324" s="1297"/>
      <c r="BZ1324" s="1297"/>
      <c r="CA1324" s="1297"/>
      <c r="CB1324" s="1298"/>
    </row>
    <row r="1325" spans="1:80" ht="12.75" customHeight="1" x14ac:dyDescent="0.2">
      <c r="A1325" s="227">
        <v>1325</v>
      </c>
      <c r="B1325" s="5988"/>
      <c r="C1325" s="1000"/>
      <c r="D1325" s="58"/>
      <c r="E1325" s="1003" t="s">
        <v>1268</v>
      </c>
      <c r="F1325" s="77">
        <v>20</v>
      </c>
      <c r="G1325" s="77">
        <v>20</v>
      </c>
      <c r="H1325" s="77">
        <f>COUNTIF(HabilidadesEsenciales_Adquiridas,Tablas!E1325)</f>
        <v>0</v>
      </c>
      <c r="I1325" s="1005"/>
      <c r="J1325" s="176"/>
      <c r="K1325" s="996"/>
      <c r="M1325" s="326"/>
      <c r="N1325" s="21"/>
      <c r="O1325" s="134" t="s">
        <v>7716</v>
      </c>
      <c r="P1325" s="998">
        <v>10</v>
      </c>
      <c r="Q1325" s="176">
        <v>30</v>
      </c>
      <c r="R1325" s="1005">
        <f>COUNTIF(PoderesDeCriatura_Adquiridos,Tablas!O1325)</f>
        <v>0</v>
      </c>
      <c r="S1325" s="176"/>
      <c r="T1325" s="996"/>
      <c r="U1325">
        <v>2</v>
      </c>
      <c r="W1325" s="1028" t="s">
        <v>26</v>
      </c>
      <c r="X1325" s="1024"/>
      <c r="Y1325" s="834" t="str">
        <f t="shared" si="286"/>
        <v/>
      </c>
      <c r="Z1325" s="1293"/>
      <c r="AA1325" s="1299"/>
      <c r="AB1325" s="1299"/>
      <c r="AC1325" s="1299"/>
      <c r="AD1325" s="1299"/>
      <c r="AE1325" s="1295"/>
      <c r="AF1325" s="1295"/>
      <c r="AG1325" s="1295"/>
      <c r="AH1325" s="1295"/>
      <c r="AI1325" s="1295"/>
      <c r="AJ1325" s="1295"/>
      <c r="AK1325" s="1295"/>
      <c r="AL1325" s="1299"/>
      <c r="AM1325" s="1299"/>
      <c r="AN1325" s="1299"/>
      <c r="AO1325" s="1299"/>
      <c r="AP1325" s="1299"/>
      <c r="AQ1325" s="1297"/>
      <c r="AR1325" s="1297"/>
      <c r="AS1325" s="1297"/>
      <c r="AT1325" s="1297"/>
      <c r="AU1325" s="1297"/>
      <c r="AV1325" s="1297"/>
      <c r="AW1325" s="1297"/>
      <c r="AX1325" s="1297"/>
      <c r="AY1325" s="1297"/>
      <c r="AZ1325" s="1297"/>
      <c r="BA1325" s="1297"/>
      <c r="BB1325" s="1297"/>
      <c r="BC1325" s="1297"/>
      <c r="BD1325" s="1297"/>
      <c r="BE1325" s="1297"/>
      <c r="BF1325" s="1297"/>
      <c r="BG1325" s="1297"/>
      <c r="BH1325" s="1297"/>
      <c r="BI1325" s="1297"/>
      <c r="BJ1325" s="1297"/>
      <c r="BK1325" s="1297"/>
      <c r="BL1325" s="1297"/>
      <c r="BM1325" s="1297"/>
      <c r="BN1325" s="1297"/>
      <c r="BO1325" s="1297"/>
      <c r="BP1325" s="1297"/>
      <c r="BQ1325" s="1297"/>
      <c r="BR1325" s="1297"/>
      <c r="BS1325" s="1297"/>
      <c r="BT1325" s="1297"/>
      <c r="BU1325" s="1297"/>
      <c r="BV1325" s="1297"/>
      <c r="BW1325" s="1297"/>
      <c r="BX1325" s="1297"/>
      <c r="BY1325" s="1297"/>
      <c r="BZ1325" s="1297"/>
      <c r="CA1325" s="1297"/>
      <c r="CB1325" s="1298"/>
    </row>
    <row r="1326" spans="1:80" ht="12.75" customHeight="1" x14ac:dyDescent="0.2">
      <c r="A1326" s="227">
        <v>1326</v>
      </c>
      <c r="B1326" s="5988"/>
      <c r="C1326" s="1000"/>
      <c r="D1326" s="58"/>
      <c r="E1326" s="1003" t="s">
        <v>1269</v>
      </c>
      <c r="F1326" s="77">
        <v>20</v>
      </c>
      <c r="G1326" s="77">
        <v>10</v>
      </c>
      <c r="H1326" s="77">
        <f>COUNTIF(HabilidadesEsenciales_Adquiridas,Tablas!E1326)</f>
        <v>0</v>
      </c>
      <c r="I1326" s="1005"/>
      <c r="J1326" s="176"/>
      <c r="K1326" s="996"/>
      <c r="M1326" s="326"/>
      <c r="N1326" s="21"/>
      <c r="O1326" s="134" t="s">
        <v>7717</v>
      </c>
      <c r="P1326" s="998">
        <v>15</v>
      </c>
      <c r="Q1326" s="176">
        <v>40</v>
      </c>
      <c r="R1326" s="1005">
        <f>COUNTIF(PoderesDeCriatura_Adquiridos,Tablas!O1326)</f>
        <v>0</v>
      </c>
      <c r="S1326" s="176"/>
      <c r="T1326" s="996"/>
      <c r="U1326">
        <v>2</v>
      </c>
      <c r="W1326" s="1028" t="s">
        <v>29</v>
      </c>
      <c r="X1326" s="758"/>
      <c r="Y1326" s="1019"/>
      <c r="Z1326" s="1293"/>
      <c r="AA1326" s="1299"/>
      <c r="AB1326" s="1299"/>
      <c r="AC1326" s="1299"/>
      <c r="AD1326" s="1299"/>
      <c r="AE1326" s="1299"/>
      <c r="AF1326" s="1299"/>
      <c r="AG1326" s="1299"/>
      <c r="AH1326" s="1299"/>
      <c r="AI1326" s="1299"/>
      <c r="AJ1326" s="1299"/>
      <c r="AK1326" s="1299"/>
      <c r="AL1326" s="1299"/>
      <c r="AM1326" s="1299"/>
      <c r="AN1326" s="1299"/>
      <c r="AO1326" s="1299"/>
      <c r="AP1326" s="1299"/>
      <c r="AQ1326" s="1297"/>
      <c r="AR1326" s="1297"/>
      <c r="AS1326" s="1297"/>
      <c r="AT1326" s="1297"/>
      <c r="AU1326" s="1297"/>
      <c r="AV1326" s="1297"/>
      <c r="AW1326" s="1297"/>
      <c r="AX1326" s="1297"/>
      <c r="AY1326" s="1297"/>
      <c r="AZ1326" s="1297"/>
      <c r="BA1326" s="1297"/>
      <c r="BB1326" s="1297"/>
      <c r="BC1326" s="1297"/>
      <c r="BD1326" s="1297"/>
      <c r="BE1326" s="1297"/>
      <c r="BF1326" s="1297"/>
      <c r="BG1326" s="1297"/>
      <c r="BH1326" s="1297"/>
      <c r="BI1326" s="1297"/>
      <c r="BJ1326" s="1297"/>
      <c r="BK1326" s="1297"/>
      <c r="BL1326" s="1297"/>
      <c r="BM1326" s="1297"/>
      <c r="BN1326" s="1297"/>
      <c r="BO1326" s="1297"/>
      <c r="BP1326" s="1297"/>
      <c r="BQ1326" s="1297"/>
      <c r="BR1326" s="1297"/>
      <c r="BS1326" s="1297"/>
      <c r="BT1326" s="1297"/>
      <c r="BU1326" s="1297"/>
      <c r="BV1326" s="1297"/>
      <c r="BW1326" s="1297"/>
      <c r="BX1326" s="1297"/>
      <c r="BY1326" s="1297"/>
      <c r="BZ1326" s="1297"/>
      <c r="CA1326" s="1297"/>
      <c r="CB1326" s="1298"/>
    </row>
    <row r="1327" spans="1:80" ht="12.75" customHeight="1" x14ac:dyDescent="0.2">
      <c r="A1327" s="227">
        <v>1327</v>
      </c>
      <c r="B1327" s="5988"/>
      <c r="C1327" s="1000"/>
      <c r="D1327" s="58"/>
      <c r="E1327" s="1003" t="s">
        <v>1270</v>
      </c>
      <c r="F1327" s="77">
        <v>15</v>
      </c>
      <c r="G1327" s="77">
        <v>10</v>
      </c>
      <c r="H1327" s="77">
        <f>COUNTIF(HabilidadesEsenciales_Adquiridas,Tablas!E1327)</f>
        <v>0</v>
      </c>
      <c r="I1327" s="1005"/>
      <c r="J1327" s="176"/>
      <c r="K1327" s="996"/>
      <c r="M1327" s="326"/>
      <c r="N1327" s="21"/>
      <c r="O1327" s="134" t="s">
        <v>7718</v>
      </c>
      <c r="P1327" s="998">
        <v>15</v>
      </c>
      <c r="Q1327" s="176">
        <v>50</v>
      </c>
      <c r="R1327" s="1005">
        <f>COUNTIF(PoderesDeCriatura_Adquiridos,Tablas!O1327)</f>
        <v>0</v>
      </c>
      <c r="S1327" s="176"/>
      <c r="T1327" s="996"/>
      <c r="U1327">
        <v>2</v>
      </c>
      <c r="W1327" s="1028" t="str">
        <f t="shared" ref="W1327:W1336" si="287">O1753</f>
        <v>Poder #1</v>
      </c>
      <c r="X1327" s="304"/>
      <c r="Y1327" s="1019"/>
      <c r="Z1327" s="1293"/>
      <c r="AA1327" s="1299"/>
      <c r="AB1327" s="1299"/>
      <c r="AC1327" s="1299"/>
      <c r="AD1327" s="1299"/>
      <c r="AE1327" s="1299"/>
      <c r="AF1327" s="1299"/>
      <c r="AG1327" s="1299"/>
      <c r="AH1327" s="1299"/>
      <c r="AI1327" s="1299"/>
      <c r="AJ1327" s="1299"/>
      <c r="AK1327" s="1299"/>
      <c r="AL1327" s="1299"/>
      <c r="AM1327" s="1299"/>
      <c r="AN1327" s="1299"/>
      <c r="AO1327" s="1299"/>
      <c r="AP1327" s="1299"/>
      <c r="AQ1327" s="1297"/>
      <c r="AR1327" s="1297"/>
      <c r="AS1327" s="1297"/>
      <c r="AT1327" s="1297"/>
      <c r="AU1327" s="1297"/>
      <c r="AV1327" s="1297"/>
      <c r="AW1327" s="1297"/>
      <c r="AX1327" s="1297"/>
      <c r="AY1327" s="1297"/>
      <c r="AZ1327" s="1297"/>
      <c r="BA1327" s="1297"/>
      <c r="BB1327" s="1297"/>
      <c r="BC1327" s="1297"/>
      <c r="BD1327" s="1297"/>
      <c r="BE1327" s="1297"/>
      <c r="BF1327" s="1297"/>
      <c r="BG1327" s="1297"/>
      <c r="BH1327" s="1297"/>
      <c r="BI1327" s="1297"/>
      <c r="BJ1327" s="1297"/>
      <c r="BK1327" s="1297"/>
      <c r="BL1327" s="1297"/>
      <c r="BM1327" s="1297"/>
      <c r="BN1327" s="1297"/>
      <c r="BO1327" s="1297"/>
      <c r="BP1327" s="1297"/>
      <c r="BQ1327" s="1297"/>
      <c r="BR1327" s="1297"/>
      <c r="BS1327" s="1297"/>
      <c r="BT1327" s="1297"/>
      <c r="BU1327" s="1297"/>
      <c r="BV1327" s="1297"/>
      <c r="BW1327" s="1297"/>
      <c r="BX1327" s="1297"/>
      <c r="BY1327" s="1297"/>
      <c r="BZ1327" s="1297"/>
      <c r="CA1327" s="1297"/>
      <c r="CB1327" s="1298"/>
    </row>
    <row r="1328" spans="1:80" ht="12.75" customHeight="1" x14ac:dyDescent="0.2">
      <c r="A1328" s="227">
        <v>1328</v>
      </c>
      <c r="B1328" s="5988"/>
      <c r="C1328" s="1000"/>
      <c r="D1328" s="58"/>
      <c r="E1328" s="1003" t="s">
        <v>1271</v>
      </c>
      <c r="F1328" s="77">
        <v>20</v>
      </c>
      <c r="G1328" s="77">
        <v>50</v>
      </c>
      <c r="H1328" s="77">
        <f>COUNTIF(HabilidadesEsenciales_Adquiridas,Tablas!E1328)</f>
        <v>0</v>
      </c>
      <c r="I1328" s="1005">
        <v>2</v>
      </c>
      <c r="J1328" s="176"/>
      <c r="K1328" s="996"/>
      <c r="M1328" s="326"/>
      <c r="N1328" s="21"/>
      <c r="O1328" s="134" t="s">
        <v>7719</v>
      </c>
      <c r="P1328" s="998">
        <v>20</v>
      </c>
      <c r="Q1328" s="176">
        <v>60</v>
      </c>
      <c r="R1328" s="1005">
        <f>COUNTIF(PoderesDeCriatura_Adquiridos,Tablas!O1328)</f>
        <v>0</v>
      </c>
      <c r="S1328" s="176"/>
      <c r="T1328" s="996"/>
      <c r="U1328">
        <v>2</v>
      </c>
      <c r="W1328" s="1028" t="str">
        <f t="shared" si="287"/>
        <v>Poder #2</v>
      </c>
      <c r="X1328" s="304"/>
      <c r="Y1328" s="1019"/>
      <c r="Z1328" s="1293"/>
      <c r="AA1328" s="1299"/>
      <c r="AB1328" s="1299"/>
      <c r="AC1328" s="1299"/>
      <c r="AD1328" s="1299"/>
      <c r="AE1328" s="1299"/>
      <c r="AF1328" s="1299"/>
      <c r="AG1328" s="1299"/>
      <c r="AH1328" s="1299"/>
      <c r="AI1328" s="1299"/>
      <c r="AJ1328" s="1299"/>
      <c r="AK1328" s="1299"/>
      <c r="AL1328" s="1299"/>
      <c r="AM1328" s="1299"/>
      <c r="AN1328" s="1299"/>
      <c r="AO1328" s="1299"/>
      <c r="AP1328" s="1299"/>
      <c r="AQ1328" s="1297"/>
      <c r="AR1328" s="1297"/>
      <c r="AS1328" s="1297"/>
      <c r="AT1328" s="1297"/>
      <c r="AU1328" s="1297"/>
      <c r="AV1328" s="1297"/>
      <c r="AW1328" s="1297"/>
      <c r="AX1328" s="1297"/>
      <c r="AY1328" s="1297"/>
      <c r="AZ1328" s="1297"/>
      <c r="BA1328" s="1297"/>
      <c r="BB1328" s="1297"/>
      <c r="BC1328" s="1297"/>
      <c r="BD1328" s="1297"/>
      <c r="BE1328" s="1297"/>
      <c r="BF1328" s="1297"/>
      <c r="BG1328" s="1297"/>
      <c r="BH1328" s="1297"/>
      <c r="BI1328" s="1297"/>
      <c r="BJ1328" s="1297"/>
      <c r="BK1328" s="1297"/>
      <c r="BL1328" s="1297"/>
      <c r="BM1328" s="1297"/>
      <c r="BN1328" s="1297"/>
      <c r="BO1328" s="1297"/>
      <c r="BP1328" s="1297"/>
      <c r="BQ1328" s="1297"/>
      <c r="BR1328" s="1297"/>
      <c r="BS1328" s="1297"/>
      <c r="BT1328" s="1297"/>
      <c r="BU1328" s="1297"/>
      <c r="BV1328" s="1297"/>
      <c r="BW1328" s="1297"/>
      <c r="BX1328" s="1297"/>
      <c r="BY1328" s="1297"/>
      <c r="BZ1328" s="1297"/>
      <c r="CA1328" s="1297"/>
      <c r="CB1328" s="1298"/>
    </row>
    <row r="1329" spans="1:80" ht="12.75" customHeight="1" x14ac:dyDescent="0.2">
      <c r="A1329" s="227">
        <v>1329</v>
      </c>
      <c r="B1329" s="5988"/>
      <c r="C1329" s="1000"/>
      <c r="D1329" s="58"/>
      <c r="E1329" s="1003" t="s">
        <v>1272</v>
      </c>
      <c r="F1329" s="77">
        <v>20</v>
      </c>
      <c r="G1329" s="77">
        <v>10</v>
      </c>
      <c r="H1329" s="77">
        <f>COUNTIF(HabilidadesEsenciales_Adquiridas,Tablas!E1329)</f>
        <v>0</v>
      </c>
      <c r="I1329" s="1005"/>
      <c r="J1329" s="176"/>
      <c r="K1329" s="996"/>
      <c r="M1329" s="326"/>
      <c r="N1329" s="21"/>
      <c r="O1329" s="134" t="s">
        <v>7720</v>
      </c>
      <c r="P1329" s="998">
        <v>25</v>
      </c>
      <c r="Q1329" s="176">
        <v>80</v>
      </c>
      <c r="R1329" s="1005">
        <f>COUNTIF(PoderesDeCriatura_Adquiridos,Tablas!O1329)</f>
        <v>0</v>
      </c>
      <c r="S1329" s="176"/>
      <c r="T1329" s="996"/>
      <c r="U1329">
        <v>2</v>
      </c>
      <c r="W1329" s="1028" t="str">
        <f t="shared" si="287"/>
        <v>Poder #3</v>
      </c>
      <c r="X1329" s="304"/>
      <c r="Y1329" s="1019"/>
      <c r="Z1329" s="1293"/>
      <c r="AA1329" s="1299"/>
      <c r="AB1329" s="1299"/>
      <c r="AC1329" s="1299"/>
      <c r="AD1329" s="1299"/>
      <c r="AE1329" s="1299"/>
      <c r="AF1329" s="1299"/>
      <c r="AG1329" s="1299"/>
      <c r="AH1329" s="1299"/>
      <c r="AI1329" s="1299"/>
      <c r="AJ1329" s="1299"/>
      <c r="AK1329" s="1299"/>
      <c r="AL1329" s="1299"/>
      <c r="AM1329" s="1299"/>
      <c r="AN1329" s="1299"/>
      <c r="AO1329" s="1299"/>
      <c r="AP1329" s="1299"/>
      <c r="AQ1329" s="1297"/>
      <c r="AR1329" s="1297"/>
      <c r="AS1329" s="1297"/>
      <c r="AT1329" s="1297"/>
      <c r="AU1329" s="1297"/>
      <c r="AV1329" s="1297"/>
      <c r="AW1329" s="1297"/>
      <c r="AX1329" s="1297"/>
      <c r="AY1329" s="1297"/>
      <c r="AZ1329" s="1297"/>
      <c r="BA1329" s="1297"/>
      <c r="BB1329" s="1297"/>
      <c r="BC1329" s="1297"/>
      <c r="BD1329" s="1297"/>
      <c r="BE1329" s="1297"/>
      <c r="BF1329" s="1297"/>
      <c r="BG1329" s="1297"/>
      <c r="BH1329" s="1297"/>
      <c r="BI1329" s="1297"/>
      <c r="BJ1329" s="1297"/>
      <c r="BK1329" s="1297"/>
      <c r="BL1329" s="1297"/>
      <c r="BM1329" s="1297"/>
      <c r="BN1329" s="1297"/>
      <c r="BO1329" s="1297"/>
      <c r="BP1329" s="1297"/>
      <c r="BQ1329" s="1297"/>
      <c r="BR1329" s="1297"/>
      <c r="BS1329" s="1297"/>
      <c r="BT1329" s="1297"/>
      <c r="BU1329" s="1297"/>
      <c r="BV1329" s="1297"/>
      <c r="BW1329" s="1297"/>
      <c r="BX1329" s="1297"/>
      <c r="BY1329" s="1297"/>
      <c r="BZ1329" s="1297"/>
      <c r="CA1329" s="1297"/>
      <c r="CB1329" s="1298"/>
    </row>
    <row r="1330" spans="1:80" ht="12.75" customHeight="1" x14ac:dyDescent="0.2">
      <c r="A1330" s="227">
        <v>1330</v>
      </c>
      <c r="B1330" s="5988"/>
      <c r="C1330" s="1000"/>
      <c r="D1330" s="58"/>
      <c r="E1330" s="1003" t="s">
        <v>1273</v>
      </c>
      <c r="F1330" s="77">
        <v>25</v>
      </c>
      <c r="G1330" s="77">
        <v>30</v>
      </c>
      <c r="H1330" s="77">
        <f>COUNTIF(HabilidadesEsenciales_Adquiridas,Tablas!E1330)</f>
        <v>0</v>
      </c>
      <c r="I1330" s="1005"/>
      <c r="J1330" s="176"/>
      <c r="K1330" s="996"/>
      <c r="M1330" s="326"/>
      <c r="N1330" s="21"/>
      <c r="O1330" s="134" t="s">
        <v>7721</v>
      </c>
      <c r="P1330" s="998">
        <v>30</v>
      </c>
      <c r="Q1330" s="176">
        <v>100</v>
      </c>
      <c r="R1330" s="1005">
        <f>COUNTIF(PoderesDeCriatura_Adquiridos,Tablas!O1330)</f>
        <v>0</v>
      </c>
      <c r="S1330" s="176"/>
      <c r="T1330" s="996"/>
      <c r="U1330">
        <v>2</v>
      </c>
      <c r="W1330" s="1028" t="str">
        <f t="shared" si="287"/>
        <v>Poder #4</v>
      </c>
      <c r="X1330" s="304"/>
      <c r="Y1330" s="1019"/>
      <c r="Z1330" s="1293"/>
      <c r="AA1330" s="1299"/>
      <c r="AB1330" s="1299"/>
      <c r="AC1330" s="1299"/>
      <c r="AD1330" s="1299"/>
      <c r="AE1330" s="1299"/>
      <c r="AF1330" s="1299"/>
      <c r="AG1330" s="1299"/>
      <c r="AH1330" s="1299"/>
      <c r="AI1330" s="1299"/>
      <c r="AJ1330" s="1299"/>
      <c r="AK1330" s="1299"/>
      <c r="AL1330" s="1299"/>
      <c r="AM1330" s="1299"/>
      <c r="AN1330" s="1299"/>
      <c r="AO1330" s="1299"/>
      <c r="AP1330" s="1299"/>
      <c r="AQ1330" s="1297"/>
      <c r="AR1330" s="1297"/>
      <c r="AS1330" s="1297"/>
      <c r="AT1330" s="1297"/>
      <c r="AU1330" s="1297"/>
      <c r="AV1330" s="1297"/>
      <c r="AW1330" s="1297"/>
      <c r="AX1330" s="1297"/>
      <c r="AY1330" s="1297"/>
      <c r="AZ1330" s="1297"/>
      <c r="BA1330" s="1297"/>
      <c r="BB1330" s="1297"/>
      <c r="BC1330" s="1297"/>
      <c r="BD1330" s="1297"/>
      <c r="BE1330" s="1297"/>
      <c r="BF1330" s="1297"/>
      <c r="BG1330" s="1297"/>
      <c r="BH1330" s="1297"/>
      <c r="BI1330" s="1297"/>
      <c r="BJ1330" s="1297"/>
      <c r="BK1330" s="1297"/>
      <c r="BL1330" s="1297"/>
      <c r="BM1330" s="1297"/>
      <c r="BN1330" s="1297"/>
      <c r="BO1330" s="1297"/>
      <c r="BP1330" s="1297"/>
      <c r="BQ1330" s="1297"/>
      <c r="BR1330" s="1297"/>
      <c r="BS1330" s="1297"/>
      <c r="BT1330" s="1297"/>
      <c r="BU1330" s="1297"/>
      <c r="BV1330" s="1297"/>
      <c r="BW1330" s="1297"/>
      <c r="BX1330" s="1297"/>
      <c r="BY1330" s="1297"/>
      <c r="BZ1330" s="1297"/>
      <c r="CA1330" s="1297"/>
      <c r="CB1330" s="1298"/>
    </row>
    <row r="1331" spans="1:80" ht="12.75" customHeight="1" x14ac:dyDescent="0.2">
      <c r="A1331" s="227">
        <v>1331</v>
      </c>
      <c r="B1331" s="5988"/>
      <c r="C1331" s="1000"/>
      <c r="D1331" s="58"/>
      <c r="E1331" s="1003" t="s">
        <v>1274</v>
      </c>
      <c r="F1331" s="77">
        <v>10</v>
      </c>
      <c r="G1331" s="77">
        <v>20</v>
      </c>
      <c r="H1331" s="77">
        <f>COUNTIF(HabilidadesEsenciales_Adquiridas,Tablas!E1331)</f>
        <v>0</v>
      </c>
      <c r="I1331" s="1005"/>
      <c r="J1331" s="176"/>
      <c r="K1331" s="996"/>
      <c r="M1331" s="326"/>
      <c r="N1331" s="21"/>
      <c r="O1331" s="134" t="s">
        <v>7722</v>
      </c>
      <c r="P1331" s="998">
        <v>35</v>
      </c>
      <c r="Q1331" s="176">
        <v>120</v>
      </c>
      <c r="R1331" s="1005">
        <f>COUNTIF(PoderesDeCriatura_Adquiridos,Tablas!O1331)</f>
        <v>0</v>
      </c>
      <c r="S1331" s="176"/>
      <c r="T1331" s="996"/>
      <c r="U1331">
        <v>2</v>
      </c>
      <c r="W1331" s="1028" t="str">
        <f t="shared" si="287"/>
        <v>Poder #5</v>
      </c>
      <c r="X1331" s="304"/>
      <c r="Y1331" s="1019"/>
      <c r="Z1331" s="1293"/>
      <c r="AA1331" s="1299"/>
      <c r="AB1331" s="1299"/>
      <c r="AC1331" s="1299"/>
      <c r="AD1331" s="1299"/>
      <c r="AE1331" s="1299"/>
      <c r="AF1331" s="1299"/>
      <c r="AG1331" s="1299"/>
      <c r="AH1331" s="1299"/>
      <c r="AI1331" s="1299"/>
      <c r="AJ1331" s="1299"/>
      <c r="AK1331" s="1299"/>
      <c r="AL1331" s="1299"/>
      <c r="AM1331" s="1299"/>
      <c r="AN1331" s="1299"/>
      <c r="AO1331" s="1299"/>
      <c r="AP1331" s="1299"/>
      <c r="AQ1331" s="1297"/>
      <c r="AR1331" s="1297"/>
      <c r="AS1331" s="1297"/>
      <c r="AT1331" s="1297"/>
      <c r="AU1331" s="1297"/>
      <c r="AV1331" s="1297"/>
      <c r="AW1331" s="1297"/>
      <c r="AX1331" s="1297"/>
      <c r="AY1331" s="1297"/>
      <c r="AZ1331" s="1297"/>
      <c r="BA1331" s="1297"/>
      <c r="BB1331" s="1297"/>
      <c r="BC1331" s="1297"/>
      <c r="BD1331" s="1297"/>
      <c r="BE1331" s="1297"/>
      <c r="BF1331" s="1297"/>
      <c r="BG1331" s="1297"/>
      <c r="BH1331" s="1297"/>
      <c r="BI1331" s="1297"/>
      <c r="BJ1331" s="1297"/>
      <c r="BK1331" s="1297"/>
      <c r="BL1331" s="1297"/>
      <c r="BM1331" s="1297"/>
      <c r="BN1331" s="1297"/>
      <c r="BO1331" s="1297"/>
      <c r="BP1331" s="1297"/>
      <c r="BQ1331" s="1297"/>
      <c r="BR1331" s="1297"/>
      <c r="BS1331" s="1297"/>
      <c r="BT1331" s="1297"/>
      <c r="BU1331" s="1297"/>
      <c r="BV1331" s="1297"/>
      <c r="BW1331" s="1297"/>
      <c r="BX1331" s="1297"/>
      <c r="BY1331" s="1297"/>
      <c r="BZ1331" s="1297"/>
      <c r="CA1331" s="1297"/>
      <c r="CB1331" s="1298"/>
    </row>
    <row r="1332" spans="1:80" ht="12.75" customHeight="1" x14ac:dyDescent="0.2">
      <c r="A1332" s="227">
        <v>1332</v>
      </c>
      <c r="B1332" s="5988"/>
      <c r="C1332" s="1000"/>
      <c r="D1332" s="58"/>
      <c r="E1332" s="1003" t="s">
        <v>1275</v>
      </c>
      <c r="F1332" s="77">
        <v>0</v>
      </c>
      <c r="G1332" s="77">
        <v>0</v>
      </c>
      <c r="H1332" s="77"/>
      <c r="I1332" s="1005"/>
      <c r="J1332" s="176"/>
      <c r="K1332" s="996"/>
      <c r="M1332" s="326"/>
      <c r="N1332" s="21"/>
      <c r="O1332" s="134" t="s">
        <v>7723</v>
      </c>
      <c r="P1332" s="998">
        <v>40</v>
      </c>
      <c r="Q1332" s="176">
        <v>140</v>
      </c>
      <c r="R1332" s="1005">
        <f>COUNTIF(PoderesDeCriatura_Adquiridos,Tablas!O1332)</f>
        <v>0</v>
      </c>
      <c r="S1332" s="176"/>
      <c r="T1332" s="996"/>
      <c r="U1332">
        <v>2</v>
      </c>
      <c r="W1332" s="1028" t="str">
        <f t="shared" si="287"/>
        <v>Poder #6</v>
      </c>
      <c r="X1332" s="304"/>
      <c r="Y1332" s="1019"/>
      <c r="Z1332" s="1293"/>
      <c r="AA1332" s="1299"/>
      <c r="AB1332" s="1299"/>
      <c r="AC1332" s="1299"/>
      <c r="AD1332" s="1299"/>
      <c r="AE1332" s="1299"/>
      <c r="AF1332" s="1299"/>
      <c r="AG1332" s="1299"/>
      <c r="AH1332" s="1299"/>
      <c r="AI1332" s="1299"/>
      <c r="AJ1332" s="1299"/>
      <c r="AK1332" s="1299"/>
      <c r="AL1332" s="1299"/>
      <c r="AM1332" s="1299"/>
      <c r="AN1332" s="1299"/>
      <c r="AO1332" s="1299"/>
      <c r="AP1332" s="1299"/>
      <c r="AQ1332" s="1297"/>
      <c r="AR1332" s="1297"/>
      <c r="AS1332" s="1297"/>
      <c r="AT1332" s="1297"/>
      <c r="AU1332" s="1297"/>
      <c r="AV1332" s="1297"/>
      <c r="AW1332" s="1297"/>
      <c r="AX1332" s="1297"/>
      <c r="AY1332" s="1297"/>
      <c r="AZ1332" s="1297"/>
      <c r="BA1332" s="1297"/>
      <c r="BB1332" s="1297"/>
      <c r="BC1332" s="1297"/>
      <c r="BD1332" s="1297"/>
      <c r="BE1332" s="1297"/>
      <c r="BF1332" s="1297"/>
      <c r="BG1332" s="1297"/>
      <c r="BH1332" s="1297"/>
      <c r="BI1332" s="1297"/>
      <c r="BJ1332" s="1297"/>
      <c r="BK1332" s="1297"/>
      <c r="BL1332" s="1297"/>
      <c r="BM1332" s="1297"/>
      <c r="BN1332" s="1297"/>
      <c r="BO1332" s="1297"/>
      <c r="BP1332" s="1297"/>
      <c r="BQ1332" s="1297"/>
      <c r="BR1332" s="1297"/>
      <c r="BS1332" s="1297"/>
      <c r="BT1332" s="1297"/>
      <c r="BU1332" s="1297"/>
      <c r="BV1332" s="1297"/>
      <c r="BW1332" s="1297"/>
      <c r="BX1332" s="1297"/>
      <c r="BY1332" s="1297"/>
      <c r="BZ1332" s="1297"/>
      <c r="CA1332" s="1297"/>
      <c r="CB1332" s="1298"/>
    </row>
    <row r="1333" spans="1:80" ht="12.75" customHeight="1" x14ac:dyDescent="0.2">
      <c r="A1333" s="227">
        <v>1333</v>
      </c>
      <c r="B1333" s="5988"/>
      <c r="C1333" s="1000"/>
      <c r="D1333" s="58"/>
      <c r="E1333" s="1003" t="s">
        <v>1276</v>
      </c>
      <c r="F1333" s="77">
        <v>5</v>
      </c>
      <c r="G1333" s="77">
        <v>30</v>
      </c>
      <c r="H1333" s="77">
        <f>COUNTIF(HabilidadesEsenciales_Adquiridas,Tablas!E1333)</f>
        <v>0</v>
      </c>
      <c r="I1333" s="1005">
        <v>1</v>
      </c>
      <c r="J1333" s="176"/>
      <c r="K1333" s="996"/>
      <c r="M1333" s="326"/>
      <c r="N1333" s="21"/>
      <c r="O1333" s="134" t="s">
        <v>7724</v>
      </c>
      <c r="P1333" s="998">
        <v>10</v>
      </c>
      <c r="Q1333" s="176">
        <f>20+IF(OR(TipoDeCriatura="Entre mundos, Elemental",TipoDeCriatura="Ánima, Elemental"),10,0)</f>
        <v>20</v>
      </c>
      <c r="R1333" s="1005">
        <f>COUNTIF(PoderesDeCriatura_Adquiridos,Tablas!O1333)</f>
        <v>0</v>
      </c>
      <c r="S1333" s="176"/>
      <c r="T1333" s="996"/>
      <c r="U1333">
        <v>2</v>
      </c>
      <c r="W1333" s="1028" t="str">
        <f t="shared" si="287"/>
        <v>Poder #7</v>
      </c>
      <c r="X1333" s="304"/>
      <c r="Y1333" s="1019"/>
      <c r="Z1333" s="1293"/>
      <c r="AA1333" s="1299"/>
      <c r="AB1333" s="1299"/>
      <c r="AC1333" s="1299"/>
      <c r="AD1333" s="1299"/>
      <c r="AE1333" s="1299"/>
      <c r="AF1333" s="1299"/>
      <c r="AG1333" s="1299"/>
      <c r="AH1333" s="1299"/>
      <c r="AI1333" s="1299"/>
      <c r="AJ1333" s="1299"/>
      <c r="AK1333" s="1299"/>
      <c r="AL1333" s="1299"/>
      <c r="AM1333" s="1299"/>
      <c r="AN1333" s="1299"/>
      <c r="AO1333" s="1299"/>
      <c r="AP1333" s="1299"/>
      <c r="AQ1333" s="1297"/>
      <c r="AR1333" s="1297"/>
      <c r="AS1333" s="1297"/>
      <c r="AT1333" s="1297"/>
      <c r="AU1333" s="1297"/>
      <c r="AV1333" s="1297"/>
      <c r="AW1333" s="1297"/>
      <c r="AX1333" s="1297"/>
      <c r="AY1333" s="1297"/>
      <c r="AZ1333" s="1297"/>
      <c r="BA1333" s="1297"/>
      <c r="BB1333" s="1297"/>
      <c r="BC1333" s="1297"/>
      <c r="BD1333" s="1297"/>
      <c r="BE1333" s="1297"/>
      <c r="BF1333" s="1297"/>
      <c r="BG1333" s="1297"/>
      <c r="BH1333" s="1297"/>
      <c r="BI1333" s="1297"/>
      <c r="BJ1333" s="1297"/>
      <c r="BK1333" s="1297"/>
      <c r="BL1333" s="1297"/>
      <c r="BM1333" s="1297"/>
      <c r="BN1333" s="1297"/>
      <c r="BO1333" s="1297"/>
      <c r="BP1333" s="1297"/>
      <c r="BQ1333" s="1297"/>
      <c r="BR1333" s="1297"/>
      <c r="BS1333" s="1297"/>
      <c r="BT1333" s="1297"/>
      <c r="BU1333" s="1297"/>
      <c r="BV1333" s="1297"/>
      <c r="BW1333" s="1297"/>
      <c r="BX1333" s="1297"/>
      <c r="BY1333" s="1297"/>
      <c r="BZ1333" s="1297"/>
      <c r="CA1333" s="1297"/>
      <c r="CB1333" s="1298"/>
    </row>
    <row r="1334" spans="1:80" ht="12.75" customHeight="1" x14ac:dyDescent="0.2">
      <c r="A1334" s="227">
        <v>1334</v>
      </c>
      <c r="B1334" s="5988"/>
      <c r="C1334" s="1000"/>
      <c r="D1334" s="58"/>
      <c r="E1334" s="1003" t="s">
        <v>8110</v>
      </c>
      <c r="F1334" s="77">
        <v>10</v>
      </c>
      <c r="G1334" s="77">
        <v>10</v>
      </c>
      <c r="H1334" s="77">
        <f>COUNTIF(HabilidadesEsenciales_Adquiridas,Tablas!E1334)</f>
        <v>0</v>
      </c>
      <c r="I1334" s="1005">
        <v>1</v>
      </c>
      <c r="J1334" s="176">
        <f t="array" ref="J1334">MAX($H$1334:$H$1388*IF(ISNUMBER(SEARCH(K1334,$E$1334:$E$1388)),VALUE(RIGHT($E$1334:$E$1388,2)),0))</f>
        <v>0</v>
      </c>
      <c r="K1334" s="996" t="str">
        <f t="array" ref="K1334:K1344">Lista_Vías</f>
        <v>Luz</v>
      </c>
      <c r="M1334" s="326"/>
      <c r="N1334" s="21"/>
      <c r="O1334" s="134" t="s">
        <v>7725</v>
      </c>
      <c r="P1334" s="998">
        <v>20</v>
      </c>
      <c r="Q1334" s="176">
        <f>20+IF(OR(TipoDeCriatura="Entre mundos, Elemental",TipoDeCriatura="Ánima, Elemental"),10,0)</f>
        <v>20</v>
      </c>
      <c r="R1334" s="1005">
        <f>COUNTIF(PoderesDeCriatura_Adquiridos,Tablas!O1334)</f>
        <v>0</v>
      </c>
      <c r="S1334" s="176"/>
      <c r="T1334" s="996"/>
      <c r="U1334">
        <v>2</v>
      </c>
      <c r="W1334" s="1028" t="str">
        <f t="shared" si="287"/>
        <v>Poder #8</v>
      </c>
      <c r="X1334" s="304"/>
      <c r="Y1334" s="1019"/>
      <c r="Z1334" s="1293"/>
      <c r="AA1334" s="1299"/>
      <c r="AB1334" s="1299"/>
      <c r="AC1334" s="1299"/>
      <c r="AD1334" s="1299"/>
      <c r="AE1334" s="1299"/>
      <c r="AF1334" s="1299"/>
      <c r="AG1334" s="1299"/>
      <c r="AH1334" s="1299"/>
      <c r="AI1334" s="1299"/>
      <c r="AJ1334" s="1299"/>
      <c r="AK1334" s="1299"/>
      <c r="AL1334" s="1299"/>
      <c r="AM1334" s="1299"/>
      <c r="AN1334" s="1299"/>
      <c r="AO1334" s="1299"/>
      <c r="AP1334" s="1299"/>
      <c r="AQ1334" s="1297"/>
      <c r="AR1334" s="1297"/>
      <c r="AS1334" s="1297"/>
      <c r="AT1334" s="1297"/>
      <c r="AU1334" s="1297"/>
      <c r="AV1334" s="1297"/>
      <c r="AW1334" s="1297"/>
      <c r="AX1334" s="1297"/>
      <c r="AY1334" s="1297"/>
      <c r="AZ1334" s="1297"/>
      <c r="BA1334" s="1297"/>
      <c r="BB1334" s="1297"/>
      <c r="BC1334" s="1297"/>
      <c r="BD1334" s="1297"/>
      <c r="BE1334" s="1297"/>
      <c r="BF1334" s="1297"/>
      <c r="BG1334" s="1297"/>
      <c r="BH1334" s="1297"/>
      <c r="BI1334" s="1297"/>
      <c r="BJ1334" s="1297"/>
      <c r="BK1334" s="1297"/>
      <c r="BL1334" s="1297"/>
      <c r="BM1334" s="1297"/>
      <c r="BN1334" s="1297"/>
      <c r="BO1334" s="1297"/>
      <c r="BP1334" s="1297"/>
      <c r="BQ1334" s="1297"/>
      <c r="BR1334" s="1297"/>
      <c r="BS1334" s="1297"/>
      <c r="BT1334" s="1297"/>
      <c r="BU1334" s="1297"/>
      <c r="BV1334" s="1297"/>
      <c r="BW1334" s="1297"/>
      <c r="BX1334" s="1297"/>
      <c r="BY1334" s="1297"/>
      <c r="BZ1334" s="1297"/>
      <c r="CA1334" s="1297"/>
      <c r="CB1334" s="1298"/>
    </row>
    <row r="1335" spans="1:80" ht="12.75" customHeight="1" x14ac:dyDescent="0.2">
      <c r="A1335" s="227">
        <v>1335</v>
      </c>
      <c r="B1335" s="5988"/>
      <c r="C1335" s="1000"/>
      <c r="D1335" s="58"/>
      <c r="E1335" s="1003" t="s">
        <v>8111</v>
      </c>
      <c r="F1335" s="77">
        <v>15</v>
      </c>
      <c r="G1335" s="77">
        <v>20</v>
      </c>
      <c r="H1335" s="77">
        <f>COUNTIF(HabilidadesEsenciales_Adquiridas,Tablas!E1335)</f>
        <v>0</v>
      </c>
      <c r="I1335" s="1005">
        <v>1</v>
      </c>
      <c r="J1335" s="176">
        <f t="array" ref="J1335">MAX($H$1334:$H$1388*IF(ISNUMBER(SEARCH(K1335,$E$1334:$E$1388)),VALUE(RIGHT($E$1334:$E$1388,2)),0))</f>
        <v>0</v>
      </c>
      <c r="K1335" s="996" t="str">
        <v>Oscuridad</v>
      </c>
      <c r="M1335" s="326"/>
      <c r="N1335" s="21"/>
      <c r="O1335" s="134" t="s">
        <v>7726</v>
      </c>
      <c r="P1335" s="998">
        <v>10</v>
      </c>
      <c r="Q1335" s="176">
        <f>20+IF(OR(TipoDeCriatura="Entre mundos, Elemental",TipoDeCriatura="Ánima, Elemental"),10,0)</f>
        <v>20</v>
      </c>
      <c r="R1335" s="1005">
        <f>COUNTIF(PoderesDeCriatura_Adquiridos,Tablas!O1335)</f>
        <v>0</v>
      </c>
      <c r="S1335" s="176"/>
      <c r="T1335" s="996"/>
      <c r="U1335">
        <v>2</v>
      </c>
      <c r="W1335" s="1028" t="str">
        <f t="shared" si="287"/>
        <v>Poder #9</v>
      </c>
      <c r="X1335" s="304"/>
      <c r="Y1335" s="1019"/>
      <c r="Z1335" s="1293"/>
      <c r="AA1335" s="1299"/>
      <c r="AB1335" s="1299"/>
      <c r="AC1335" s="1299"/>
      <c r="AD1335" s="1299"/>
      <c r="AE1335" s="1299"/>
      <c r="AF1335" s="1299"/>
      <c r="AG1335" s="1299"/>
      <c r="AH1335" s="1299"/>
      <c r="AI1335" s="1299"/>
      <c r="AJ1335" s="1299"/>
      <c r="AK1335" s="1299"/>
      <c r="AL1335" s="1299"/>
      <c r="AM1335" s="1299"/>
      <c r="AN1335" s="1299"/>
      <c r="AO1335" s="1299"/>
      <c r="AP1335" s="1299"/>
      <c r="AQ1335" s="1297"/>
      <c r="AR1335" s="1297"/>
      <c r="AS1335" s="1297"/>
      <c r="AT1335" s="1297"/>
      <c r="AU1335" s="1297"/>
      <c r="AV1335" s="1297"/>
      <c r="AW1335" s="1297"/>
      <c r="AX1335" s="1297"/>
      <c r="AY1335" s="1297"/>
      <c r="AZ1335" s="1297"/>
      <c r="BA1335" s="1297"/>
      <c r="BB1335" s="1297"/>
      <c r="BC1335" s="1297"/>
      <c r="BD1335" s="1297"/>
      <c r="BE1335" s="1297"/>
      <c r="BF1335" s="1297"/>
      <c r="BG1335" s="1297"/>
      <c r="BH1335" s="1297"/>
      <c r="BI1335" s="1297"/>
      <c r="BJ1335" s="1297"/>
      <c r="BK1335" s="1297"/>
      <c r="BL1335" s="1297"/>
      <c r="BM1335" s="1297"/>
      <c r="BN1335" s="1297"/>
      <c r="BO1335" s="1297"/>
      <c r="BP1335" s="1297"/>
      <c r="BQ1335" s="1297"/>
      <c r="BR1335" s="1297"/>
      <c r="BS1335" s="1297"/>
      <c r="BT1335" s="1297"/>
      <c r="BU1335" s="1297"/>
      <c r="BV1335" s="1297"/>
      <c r="BW1335" s="1297"/>
      <c r="BX1335" s="1297"/>
      <c r="BY1335" s="1297"/>
      <c r="BZ1335" s="1297"/>
      <c r="CA1335" s="1297"/>
      <c r="CB1335" s="1298"/>
    </row>
    <row r="1336" spans="1:80" ht="12.75" customHeight="1" x14ac:dyDescent="0.2">
      <c r="A1336" s="227">
        <v>1336</v>
      </c>
      <c r="B1336" s="5988"/>
      <c r="C1336" s="1000"/>
      <c r="D1336" s="58"/>
      <c r="E1336" s="1003" t="s">
        <v>8112</v>
      </c>
      <c r="F1336" s="77">
        <v>20</v>
      </c>
      <c r="G1336" s="77">
        <v>30</v>
      </c>
      <c r="H1336" s="77">
        <f>COUNTIF(HabilidadesEsenciales_Adquiridas,Tablas!E1336)</f>
        <v>0</v>
      </c>
      <c r="I1336" s="1005">
        <v>1</v>
      </c>
      <c r="J1336" s="176">
        <f t="array" ref="J1336">MAX($H$1334:$H$1388*IF(ISNUMBER(SEARCH(K1336,$E$1334:$E$1388)),VALUE(RIGHT($E$1334:$E$1388,2)),0))</f>
        <v>0</v>
      </c>
      <c r="K1336" s="996" t="str">
        <v>Fuego</v>
      </c>
      <c r="M1336" s="326"/>
      <c r="N1336" s="21"/>
      <c r="O1336" s="134" t="s">
        <v>7727</v>
      </c>
      <c r="P1336" s="998">
        <v>20</v>
      </c>
      <c r="Q1336" s="176">
        <f>40+IF(OR(TipoDeCriatura="Entre mundos, Elemental",TipoDeCriatura="Ánima, Elemental"),10,0)</f>
        <v>40</v>
      </c>
      <c r="R1336" s="1005">
        <f>COUNTIF(PoderesDeCriatura_Adquiridos,Tablas!O1336)</f>
        <v>0</v>
      </c>
      <c r="S1336" s="176"/>
      <c r="T1336" s="996"/>
      <c r="U1336">
        <v>2</v>
      </c>
      <c r="W1336" s="1028" t="str">
        <f t="shared" si="287"/>
        <v>Poder #10</v>
      </c>
      <c r="X1336" s="304"/>
      <c r="Y1336" s="1019"/>
      <c r="Z1336" s="1293"/>
      <c r="AA1336" s="1299"/>
      <c r="AB1336" s="1299"/>
      <c r="AC1336" s="1299"/>
      <c r="AD1336" s="1299"/>
      <c r="AE1336" s="1299"/>
      <c r="AF1336" s="1299"/>
      <c r="AG1336" s="1299"/>
      <c r="AH1336" s="1299"/>
      <c r="AI1336" s="1299"/>
      <c r="AJ1336" s="1299"/>
      <c r="AK1336" s="1299"/>
      <c r="AL1336" s="1299"/>
      <c r="AM1336" s="1299"/>
      <c r="AN1336" s="1299"/>
      <c r="AO1336" s="1299"/>
      <c r="AP1336" s="1299"/>
      <c r="AQ1336" s="1297"/>
      <c r="AR1336" s="1297"/>
      <c r="AS1336" s="1297"/>
      <c r="AT1336" s="1297"/>
      <c r="AU1336" s="1297"/>
      <c r="AV1336" s="1297"/>
      <c r="AW1336" s="1297"/>
      <c r="AX1336" s="1297"/>
      <c r="AY1336" s="1297"/>
      <c r="AZ1336" s="1297"/>
      <c r="BA1336" s="1297"/>
      <c r="BB1336" s="1297"/>
      <c r="BC1336" s="1297"/>
      <c r="BD1336" s="1297"/>
      <c r="BE1336" s="1297"/>
      <c r="BF1336" s="1297"/>
      <c r="BG1336" s="1297"/>
      <c r="BH1336" s="1297"/>
      <c r="BI1336" s="1297"/>
      <c r="BJ1336" s="1297"/>
      <c r="BK1336" s="1297"/>
      <c r="BL1336" s="1297"/>
      <c r="BM1336" s="1297"/>
      <c r="BN1336" s="1297"/>
      <c r="BO1336" s="1297"/>
      <c r="BP1336" s="1297"/>
      <c r="BQ1336" s="1297"/>
      <c r="BR1336" s="1297"/>
      <c r="BS1336" s="1297"/>
      <c r="BT1336" s="1297"/>
      <c r="BU1336" s="1297"/>
      <c r="BV1336" s="1297"/>
      <c r="BW1336" s="1297"/>
      <c r="BX1336" s="1297"/>
      <c r="BY1336" s="1297"/>
      <c r="BZ1336" s="1297"/>
      <c r="CA1336" s="1297"/>
      <c r="CB1336" s="1298"/>
    </row>
    <row r="1337" spans="1:80" ht="12.75" customHeight="1" x14ac:dyDescent="0.2">
      <c r="A1337" s="227">
        <v>1337</v>
      </c>
      <c r="B1337" s="5988"/>
      <c r="C1337" s="1000"/>
      <c r="D1337" s="58"/>
      <c r="E1337" s="1003" t="s">
        <v>8113</v>
      </c>
      <c r="F1337" s="77">
        <v>25</v>
      </c>
      <c r="G1337" s="77">
        <v>40</v>
      </c>
      <c r="H1337" s="77">
        <f>COUNTIF(HabilidadesEsenciales_Adquiridas,Tablas!E1337)</f>
        <v>0</v>
      </c>
      <c r="I1337" s="1005">
        <v>1</v>
      </c>
      <c r="J1337" s="176">
        <f t="array" ref="J1337">MAX($H$1334:$H$1388*IF(ISNUMBER(SEARCH(K1337,$E$1334:$E$1388)),VALUE(RIGHT($E$1334:$E$1388,2)),0))</f>
        <v>0</v>
      </c>
      <c r="K1337" s="996" t="str">
        <v>Agua</v>
      </c>
      <c r="M1337" s="326"/>
      <c r="N1337" s="21"/>
      <c r="O1337" s="134" t="s">
        <v>7728</v>
      </c>
      <c r="P1337" s="998">
        <v>10</v>
      </c>
      <c r="Q1337" s="176">
        <f>50+IF(OR(TipoDeCriatura="Entre mundos, Elemental",TipoDeCriatura="Ánima, Elemental"),10,0)</f>
        <v>50</v>
      </c>
      <c r="R1337" s="1005">
        <f>COUNTIF(PoderesDeCriatura_Adquiridos,Tablas!O1337)</f>
        <v>0</v>
      </c>
      <c r="S1337" s="176"/>
      <c r="T1337" s="996"/>
      <c r="U1337">
        <v>2</v>
      </c>
      <c r="W1337" s="1356" t="s">
        <v>7371</v>
      </c>
      <c r="X1337" s="1020"/>
      <c r="Y1337" s="1020"/>
      <c r="Z1337" s="1278"/>
      <c r="AA1337" s="1278"/>
      <c r="AB1337" s="1278"/>
      <c r="AC1337" s="1278"/>
      <c r="AD1337" s="1278"/>
      <c r="AE1337" s="1278"/>
      <c r="AF1337" s="1278"/>
      <c r="AG1337" s="1278"/>
      <c r="AH1337" s="1278"/>
      <c r="AI1337" s="1278"/>
      <c r="AJ1337" s="1278"/>
      <c r="AK1337" s="1278"/>
      <c r="AL1337" s="1278"/>
      <c r="AM1337" s="1278"/>
      <c r="AN1337" s="1278"/>
      <c r="AO1337" s="1278"/>
      <c r="AP1337" s="1278"/>
      <c r="AQ1337" s="1020"/>
      <c r="AR1337" s="1020"/>
      <c r="AS1337" s="1020"/>
      <c r="AT1337" s="1020"/>
      <c r="AU1337" s="1020"/>
      <c r="AV1337" s="1020"/>
      <c r="AW1337" s="1020"/>
      <c r="AX1337" s="1020"/>
      <c r="AY1337" s="1020"/>
      <c r="AZ1337" s="1020"/>
      <c r="BA1337" s="1020"/>
      <c r="BB1337" s="1020"/>
      <c r="BC1337" s="1020"/>
      <c r="BD1337" s="1020"/>
      <c r="BE1337" s="1020"/>
      <c r="BF1337" s="1020"/>
      <c r="BG1337" s="1020"/>
      <c r="BH1337" s="1020"/>
      <c r="BI1337" s="1020"/>
      <c r="BJ1337" s="1020"/>
      <c r="BK1337" s="6045"/>
      <c r="BL1337" s="6045"/>
      <c r="BM1337" s="6045"/>
      <c r="BN1337" s="6045"/>
      <c r="BO1337" s="6045"/>
      <c r="BP1337" s="6045"/>
      <c r="BQ1337" s="6045"/>
      <c r="BR1337" s="6045"/>
      <c r="BS1337" s="6045"/>
      <c r="BT1337" s="6045"/>
      <c r="BU1337" s="6045"/>
      <c r="BV1337" s="6045"/>
      <c r="BW1337" s="6045"/>
      <c r="BX1337" s="6045"/>
      <c r="BY1337" s="6045"/>
      <c r="BZ1337" s="6045"/>
      <c r="CA1337" s="6045"/>
      <c r="CB1337" s="6260"/>
    </row>
    <row r="1338" spans="1:80" ht="12.75" customHeight="1" x14ac:dyDescent="0.2">
      <c r="A1338" s="227">
        <v>1338</v>
      </c>
      <c r="B1338" s="5988"/>
      <c r="C1338" s="1000"/>
      <c r="D1338" s="58"/>
      <c r="E1338" s="1003" t="s">
        <v>8114</v>
      </c>
      <c r="F1338" s="77">
        <v>30</v>
      </c>
      <c r="G1338" s="77">
        <v>50</v>
      </c>
      <c r="H1338" s="77">
        <f>COUNTIF(HabilidadesEsenciales_Adquiridas,Tablas!E1338)</f>
        <v>0</v>
      </c>
      <c r="I1338" s="1005">
        <v>1</v>
      </c>
      <c r="J1338" s="176">
        <f t="array" ref="J1338">MAX($H$1334:$H$1388*IF(ISNUMBER(SEARCH(K1338,$E$1334:$E$1388)),VALUE(RIGHT($E$1334:$E$1388,2)),0))</f>
        <v>0</v>
      </c>
      <c r="K1338" s="996" t="str">
        <v>Aire</v>
      </c>
      <c r="M1338" s="326"/>
      <c r="N1338" s="21"/>
      <c r="O1338" s="134" t="s">
        <v>7729</v>
      </c>
      <c r="P1338" s="998">
        <v>20</v>
      </c>
      <c r="Q1338" s="176">
        <f>40+IF(OR(TipoDeCriatura="Entre mundos, Elemental",TipoDeCriatura="Ánima, Elemental"),10,0)</f>
        <v>40</v>
      </c>
      <c r="R1338" s="1005">
        <f>COUNTIF(PoderesDeCriatura_Adquiridos,Tablas!O1338)</f>
        <v>0</v>
      </c>
      <c r="S1338" s="176"/>
      <c r="T1338" s="996"/>
      <c r="U1338">
        <v>2</v>
      </c>
      <c r="W1338" s="1029" t="s">
        <v>1249</v>
      </c>
      <c r="X1338" s="1018"/>
      <c r="Y1338" s="834"/>
      <c r="Z1338" s="1023" t="s">
        <v>6926</v>
      </c>
      <c r="AA1338" s="1023"/>
      <c r="AB1338" s="1023"/>
      <c r="AC1338" s="1023"/>
      <c r="AD1338" s="1023"/>
      <c r="AE1338" s="1023"/>
      <c r="AF1338" s="1023"/>
      <c r="AG1338" s="1023"/>
      <c r="AH1338" s="1023"/>
      <c r="AI1338" s="1023"/>
      <c r="AJ1338" s="1023"/>
      <c r="AK1338" s="1023"/>
      <c r="AL1338" s="1023"/>
      <c r="AM1338" s="1023"/>
      <c r="AN1338" s="1023"/>
      <c r="AO1338" s="1023"/>
      <c r="AP1338" s="1023"/>
      <c r="AQ1338" s="1022"/>
      <c r="AR1338" s="1022"/>
      <c r="AS1338" s="1022"/>
      <c r="AT1338" s="1022"/>
      <c r="AU1338" s="1022"/>
      <c r="AV1338" s="1022"/>
      <c r="AW1338" s="1022"/>
      <c r="AX1338" s="1022"/>
      <c r="AY1338" s="1022"/>
      <c r="AZ1338" s="1022"/>
      <c r="BA1338" s="1022"/>
      <c r="BB1338" s="1022"/>
      <c r="BC1338" s="1022"/>
      <c r="BD1338" s="1022"/>
      <c r="BE1338" s="1022"/>
      <c r="BF1338" s="1022"/>
      <c r="BG1338" s="1022"/>
      <c r="BH1338" s="1022"/>
      <c r="BI1338" s="1022"/>
      <c r="BJ1338" s="1022"/>
      <c r="BK1338" s="1022"/>
      <c r="BL1338" s="1022"/>
      <c r="BM1338" s="1022"/>
      <c r="BN1338" s="1018"/>
      <c r="BO1338" s="323"/>
      <c r="BP1338" s="323"/>
      <c r="BQ1338" s="323"/>
      <c r="BR1338" s="323"/>
      <c r="BS1338" s="323"/>
      <c r="BT1338" s="323"/>
      <c r="BU1338" s="323"/>
      <c r="BV1338" s="323"/>
      <c r="BW1338" s="323"/>
      <c r="BX1338" s="323"/>
      <c r="BY1338" s="323"/>
      <c r="BZ1338" s="323"/>
      <c r="CA1338" s="323"/>
      <c r="CB1338" s="621"/>
    </row>
    <row r="1339" spans="1:80" ht="12.75" customHeight="1" x14ac:dyDescent="0.2">
      <c r="A1339" s="227">
        <v>1339</v>
      </c>
      <c r="B1339" s="5988"/>
      <c r="C1339" s="1000"/>
      <c r="D1339" s="58"/>
      <c r="E1339" s="1003" t="s">
        <v>8115</v>
      </c>
      <c r="F1339" s="77">
        <v>10</v>
      </c>
      <c r="G1339" s="77">
        <v>10</v>
      </c>
      <c r="H1339" s="77">
        <f>COUNTIF(HabilidadesEsenciales_Adquiridas,Tablas!E1339)</f>
        <v>0</v>
      </c>
      <c r="I1339" s="1005">
        <v>1</v>
      </c>
      <c r="J1339" s="176">
        <f t="array" ref="J1339">MAX($H$1334:$H$1388*IF(ISNUMBER(SEARCH(K1339,$E$1334:$E$1388)),VALUE(RIGHT($E$1334:$E$1388,2)),0))</f>
        <v>0</v>
      </c>
      <c r="K1339" s="996" t="str">
        <v>Tierra</v>
      </c>
      <c r="M1339" s="326"/>
      <c r="N1339" s="21"/>
      <c r="O1339" s="134" t="s">
        <v>7730</v>
      </c>
      <c r="P1339" s="998">
        <v>20</v>
      </c>
      <c r="Q1339" s="176">
        <f>80+IF(OR(TipoDeCriatura="Entre mundos, Elemental",TipoDeCriatura="Ánima, Elemental"),10,0)</f>
        <v>80</v>
      </c>
      <c r="R1339" s="1005">
        <f>COUNTIF(PoderesDeCriatura_Adquiridos,Tablas!O1339)</f>
        <v>0</v>
      </c>
      <c r="S1339" s="176"/>
      <c r="T1339" s="996"/>
      <c r="U1339">
        <v>2</v>
      </c>
      <c r="W1339" s="1029" t="s">
        <v>1251</v>
      </c>
      <c r="X1339" s="1019"/>
      <c r="Y1339" s="834" t="str">
        <f t="shared" ref="Y1339:Y1349" si="288">IF(Z1339="","",SUBSTITUTE("PodHab_"&amp;W1339," ",""))</f>
        <v/>
      </c>
      <c r="Z1339" s="834" t="s">
        <v>6926</v>
      </c>
      <c r="AA1339" s="1023"/>
      <c r="AB1339" s="1023"/>
      <c r="AC1339" s="1023"/>
      <c r="AD1339" s="1023"/>
      <c r="AE1339" s="1023"/>
      <c r="AF1339" s="1023"/>
      <c r="AG1339" s="1023"/>
      <c r="AH1339" s="1023"/>
      <c r="AI1339" s="1023"/>
      <c r="AJ1339" s="1023"/>
      <c r="AK1339" s="1023"/>
      <c r="AL1339" s="1023"/>
      <c r="AM1339" s="1023"/>
      <c r="AN1339" s="1023"/>
      <c r="AO1339" s="1023"/>
      <c r="AP1339" s="1023"/>
      <c r="AQ1339" s="1022"/>
      <c r="AR1339" s="1022"/>
      <c r="AS1339" s="1022"/>
      <c r="AT1339" s="1022"/>
      <c r="AU1339" s="1022"/>
      <c r="AV1339" s="1022"/>
      <c r="AW1339" s="1022"/>
      <c r="AX1339" s="1022"/>
      <c r="AY1339" s="1022"/>
      <c r="AZ1339" s="1022"/>
      <c r="BA1339" s="1022"/>
      <c r="BB1339" s="1022"/>
      <c r="BC1339" s="1022"/>
      <c r="BD1339" s="1022"/>
      <c r="BE1339" s="1022"/>
      <c r="BF1339" s="1022"/>
      <c r="BG1339" s="1022"/>
      <c r="BH1339" s="1022"/>
      <c r="BI1339" s="1022"/>
      <c r="BJ1339" s="1022"/>
      <c r="BK1339" s="1022"/>
      <c r="BL1339" s="1022"/>
      <c r="BM1339" s="1022"/>
      <c r="BN1339" s="1018"/>
      <c r="BO1339" s="323"/>
      <c r="BP1339" s="323"/>
      <c r="BQ1339" s="323"/>
      <c r="BR1339" s="323"/>
      <c r="BS1339" s="323"/>
      <c r="BT1339" s="323"/>
      <c r="BU1339" s="323"/>
      <c r="BV1339" s="323"/>
      <c r="BW1339" s="323"/>
      <c r="BX1339" s="323"/>
      <c r="BY1339" s="323"/>
      <c r="BZ1339" s="323"/>
      <c r="CA1339" s="323"/>
      <c r="CB1339" s="621"/>
    </row>
    <row r="1340" spans="1:80" ht="12.75" customHeight="1" x14ac:dyDescent="0.2">
      <c r="A1340" s="227">
        <v>1340</v>
      </c>
      <c r="B1340" s="5988"/>
      <c r="C1340" s="1000"/>
      <c r="D1340" s="58"/>
      <c r="E1340" s="1003" t="s">
        <v>8116</v>
      </c>
      <c r="F1340" s="77">
        <v>15</v>
      </c>
      <c r="G1340" s="77">
        <v>20</v>
      </c>
      <c r="H1340" s="77">
        <f>COUNTIF(HabilidadesEsenciales_Adquiridas,Tablas!E1340)</f>
        <v>0</v>
      </c>
      <c r="I1340" s="1005">
        <v>1</v>
      </c>
      <c r="J1340" s="176">
        <f t="array" ref="J1340">MAX($H$1334:$H$1388*IF(ISNUMBER(SEARCH(K1340,$E$1334:$E$1388)),VALUE(RIGHT($E$1334:$E$1388,2)),0))</f>
        <v>0</v>
      </c>
      <c r="K1340" s="996" t="str">
        <v>Creación</v>
      </c>
      <c r="M1340" s="326"/>
      <c r="N1340" s="21"/>
      <c r="O1340" s="134" t="s">
        <v>7731</v>
      </c>
      <c r="P1340" s="998">
        <v>20</v>
      </c>
      <c r="Q1340" s="176">
        <f>20+IF(OR(TipoDeCriatura="Entre mundos, Elemental",TipoDeCriatura="Ánima, Elemental"),10,0)</f>
        <v>20</v>
      </c>
      <c r="R1340" s="1005">
        <f>COUNTIF(PoderesDeCriatura_Adquiridos,Tablas!O1340)</f>
        <v>0</v>
      </c>
      <c r="S1340" s="176"/>
      <c r="T1340" s="996"/>
      <c r="U1340">
        <v>2</v>
      </c>
      <c r="W1340" s="1029" t="s">
        <v>1252</v>
      </c>
      <c r="X1340" s="1019"/>
      <c r="Y1340" s="834" t="str">
        <f t="shared" si="288"/>
        <v/>
      </c>
      <c r="Z1340" s="834" t="s">
        <v>6926</v>
      </c>
      <c r="AA1340" s="1023"/>
      <c r="AB1340" s="1023"/>
      <c r="AC1340" s="1023"/>
      <c r="AD1340" s="1023"/>
      <c r="AE1340" s="1023"/>
      <c r="AF1340" s="1023"/>
      <c r="AG1340" s="1023"/>
      <c r="AH1340" s="1023"/>
      <c r="AI1340" s="1023"/>
      <c r="AJ1340" s="1023"/>
      <c r="AK1340" s="1023"/>
      <c r="AL1340" s="1023"/>
      <c r="AM1340" s="1023"/>
      <c r="AN1340" s="1023"/>
      <c r="AO1340" s="1023"/>
      <c r="AP1340" s="1023"/>
      <c r="AQ1340" s="1022"/>
      <c r="AR1340" s="1022"/>
      <c r="AS1340" s="1022"/>
      <c r="AT1340" s="1022"/>
      <c r="AU1340" s="1022"/>
      <c r="AV1340" s="1022"/>
      <c r="AW1340" s="1022"/>
      <c r="AX1340" s="1022"/>
      <c r="AY1340" s="1022"/>
      <c r="AZ1340" s="1022"/>
      <c r="BA1340" s="1022"/>
      <c r="BB1340" s="1022"/>
      <c r="BC1340" s="1022"/>
      <c r="BD1340" s="1022"/>
      <c r="BE1340" s="1022"/>
      <c r="BF1340" s="1022"/>
      <c r="BG1340" s="1022"/>
      <c r="BH1340" s="1022"/>
      <c r="BI1340" s="1022"/>
      <c r="BJ1340" s="1022"/>
      <c r="BK1340" s="1022"/>
      <c r="BL1340" s="1022"/>
      <c r="BM1340" s="1022"/>
      <c r="BN1340" s="1018"/>
      <c r="BO1340" s="323"/>
      <c r="BP1340" s="323"/>
      <c r="BQ1340" s="323"/>
      <c r="BR1340" s="323"/>
      <c r="BS1340" s="323"/>
      <c r="BT1340" s="323"/>
      <c r="BU1340" s="323"/>
      <c r="BV1340" s="323"/>
      <c r="BW1340" s="323"/>
      <c r="BX1340" s="323"/>
      <c r="BY1340" s="323"/>
      <c r="BZ1340" s="323"/>
      <c r="CA1340" s="323"/>
      <c r="CB1340" s="621"/>
    </row>
    <row r="1341" spans="1:80" ht="12.75" customHeight="1" x14ac:dyDescent="0.2">
      <c r="A1341" s="227">
        <v>1341</v>
      </c>
      <c r="B1341" s="5988"/>
      <c r="C1341" s="1000"/>
      <c r="D1341" s="58"/>
      <c r="E1341" s="1003" t="s">
        <v>8117</v>
      </c>
      <c r="F1341" s="77">
        <v>20</v>
      </c>
      <c r="G1341" s="77">
        <v>30</v>
      </c>
      <c r="H1341" s="77">
        <f>COUNTIF(HabilidadesEsenciales_Adquiridas,Tablas!E1341)</f>
        <v>0</v>
      </c>
      <c r="I1341" s="1005">
        <v>1</v>
      </c>
      <c r="J1341" s="176">
        <f t="array" ref="J1341">MAX($H$1334:$H$1388*IF(ISNUMBER(SEARCH(K1341,$E$1334:$E$1388)),VALUE(RIGHT($E$1334:$E$1388,2)),0))</f>
        <v>0</v>
      </c>
      <c r="K1341" s="996" t="str">
        <v>Destrucción</v>
      </c>
      <c r="M1341" s="326"/>
      <c r="N1341" s="21"/>
      <c r="O1341" s="134" t="s">
        <v>7732</v>
      </c>
      <c r="P1341" s="998">
        <v>10</v>
      </c>
      <c r="Q1341" s="176">
        <f>50+IF(OR(TipoDeCriatura="Entre mundos, Elemental",TipoDeCriatura="Ánima, Elemental"),10,0)</f>
        <v>50</v>
      </c>
      <c r="R1341" s="1005">
        <f>COUNTIF(PoderesDeCriatura_Adquiridos,Tablas!O1341)</f>
        <v>0</v>
      </c>
      <c r="S1341" s="176"/>
      <c r="T1341" s="996"/>
      <c r="U1341">
        <v>2</v>
      </c>
      <c r="W1341" s="1029" t="s">
        <v>1254</v>
      </c>
      <c r="X1341" s="1019"/>
      <c r="Y1341" s="834" t="str">
        <f t="shared" si="288"/>
        <v/>
      </c>
      <c r="Z1341" s="834" t="s">
        <v>6926</v>
      </c>
      <c r="AA1341" s="1023"/>
      <c r="AB1341" s="1023"/>
      <c r="AC1341" s="1023"/>
      <c r="AD1341" s="1023"/>
      <c r="AE1341" s="1023"/>
      <c r="AF1341" s="1023"/>
      <c r="AG1341" s="1023"/>
      <c r="AH1341" s="1023"/>
      <c r="AI1341" s="1023"/>
      <c r="AJ1341" s="1023"/>
      <c r="AK1341" s="1023"/>
      <c r="AL1341" s="1023"/>
      <c r="AM1341" s="1023"/>
      <c r="AN1341" s="1023"/>
      <c r="AO1341" s="1023"/>
      <c r="AP1341" s="1023"/>
      <c r="AQ1341" s="1022"/>
      <c r="AR1341" s="1022"/>
      <c r="AS1341" s="1022"/>
      <c r="AT1341" s="1022"/>
      <c r="AU1341" s="1022"/>
      <c r="AV1341" s="1022"/>
      <c r="AW1341" s="1022"/>
      <c r="AX1341" s="1022"/>
      <c r="AY1341" s="1022"/>
      <c r="AZ1341" s="1022"/>
      <c r="BA1341" s="1022"/>
      <c r="BB1341" s="1022"/>
      <c r="BC1341" s="1022"/>
      <c r="BD1341" s="1022"/>
      <c r="BE1341" s="1022"/>
      <c r="BF1341" s="1022"/>
      <c r="BG1341" s="1022"/>
      <c r="BH1341" s="1022"/>
      <c r="BI1341" s="1022"/>
      <c r="BJ1341" s="1022"/>
      <c r="BK1341" s="1022"/>
      <c r="BL1341" s="1022"/>
      <c r="BM1341" s="1022"/>
      <c r="BN1341" s="1018"/>
      <c r="BO1341" s="323"/>
      <c r="BP1341" s="323"/>
      <c r="BQ1341" s="323"/>
      <c r="BR1341" s="323"/>
      <c r="BS1341" s="323"/>
      <c r="BT1341" s="323"/>
      <c r="BU1341" s="323"/>
      <c r="BV1341" s="323"/>
      <c r="BW1341" s="323"/>
      <c r="BX1341" s="323"/>
      <c r="BY1341" s="323"/>
      <c r="BZ1341" s="323"/>
      <c r="CA1341" s="323"/>
      <c r="CB1341" s="621"/>
    </row>
    <row r="1342" spans="1:80" ht="12.75" customHeight="1" x14ac:dyDescent="0.2">
      <c r="A1342" s="227">
        <v>1342</v>
      </c>
      <c r="B1342" s="5988"/>
      <c r="C1342" s="1000"/>
      <c r="D1342" s="58"/>
      <c r="E1342" s="1003" t="s">
        <v>8118</v>
      </c>
      <c r="F1342" s="77">
        <v>25</v>
      </c>
      <c r="G1342" s="77">
        <v>40</v>
      </c>
      <c r="H1342" s="77">
        <f>COUNTIF(HabilidadesEsenciales_Adquiridas,Tablas!E1342)</f>
        <v>0</v>
      </c>
      <c r="I1342" s="1005">
        <v>1</v>
      </c>
      <c r="J1342" s="176">
        <f t="array" ref="J1342">MAX($H$1334:$H$1388*IF(ISNUMBER(SEARCH(K1342,$E$1334:$E$1388)),VALUE(RIGHT($E$1334:$E$1388,2)),0))</f>
        <v>0</v>
      </c>
      <c r="K1342" s="996" t="str">
        <v>Esencia</v>
      </c>
      <c r="M1342" s="326"/>
      <c r="N1342" s="21"/>
      <c r="O1342" s="134" t="s">
        <v>7733</v>
      </c>
      <c r="P1342" s="998">
        <v>10</v>
      </c>
      <c r="Q1342" s="176">
        <f>10+IF(OR(TipoDeCriatura="Entre mundos, Elemental",TipoDeCriatura="Ánima, Elemental"),10,0)</f>
        <v>10</v>
      </c>
      <c r="R1342" s="1005">
        <f>COUNTIF(PoderesDeCriatura_Adquiridos,Tablas!O1342)</f>
        <v>0</v>
      </c>
      <c r="S1342" s="176"/>
      <c r="T1342" s="996"/>
      <c r="U1342">
        <v>2</v>
      </c>
      <c r="W1342" s="1029" t="s">
        <v>1261</v>
      </c>
      <c r="X1342" s="1019"/>
      <c r="Y1342" s="834" t="str">
        <f t="shared" si="288"/>
        <v/>
      </c>
      <c r="Z1342" s="834" t="s">
        <v>6926</v>
      </c>
      <c r="AA1342" s="1023"/>
      <c r="AB1342" s="1023"/>
      <c r="AC1342" s="1023"/>
      <c r="AD1342" s="1023"/>
      <c r="AE1342" s="1023"/>
      <c r="AF1342" s="1023"/>
      <c r="AG1342" s="1023"/>
      <c r="AH1342" s="1023"/>
      <c r="AI1342" s="1023"/>
      <c r="AJ1342" s="1023"/>
      <c r="AK1342" s="1023"/>
      <c r="AL1342" s="1023"/>
      <c r="AM1342" s="1023"/>
      <c r="AN1342" s="1023"/>
      <c r="AO1342" s="1023"/>
      <c r="AP1342" s="1023"/>
      <c r="AQ1342" s="1022"/>
      <c r="AR1342" s="1022"/>
      <c r="AS1342" s="1022"/>
      <c r="AT1342" s="1022"/>
      <c r="AU1342" s="1022"/>
      <c r="AV1342" s="1022"/>
      <c r="AW1342" s="1022"/>
      <c r="AX1342" s="1022"/>
      <c r="AY1342" s="1022"/>
      <c r="AZ1342" s="1022"/>
      <c r="BA1342" s="1022"/>
      <c r="BB1342" s="1022"/>
      <c r="BC1342" s="1022"/>
      <c r="BD1342" s="1022"/>
      <c r="BE1342" s="1022"/>
      <c r="BF1342" s="1022"/>
      <c r="BG1342" s="1022"/>
      <c r="BH1342" s="1022"/>
      <c r="BI1342" s="1022"/>
      <c r="BJ1342" s="1022"/>
      <c r="BK1342" s="1022"/>
      <c r="BL1342" s="1022"/>
      <c r="BM1342" s="1022"/>
      <c r="BN1342" s="1018"/>
      <c r="BO1342" s="323"/>
      <c r="BP1342" s="323"/>
      <c r="BQ1342" s="323"/>
      <c r="BR1342" s="323"/>
      <c r="BS1342" s="323"/>
      <c r="BT1342" s="323"/>
      <c r="BU1342" s="323"/>
      <c r="BV1342" s="323"/>
      <c r="BW1342" s="323"/>
      <c r="BX1342" s="323"/>
      <c r="BY1342" s="323"/>
      <c r="BZ1342" s="323"/>
      <c r="CA1342" s="323"/>
      <c r="CB1342" s="621"/>
    </row>
    <row r="1343" spans="1:80" ht="12.75" customHeight="1" x14ac:dyDescent="0.2">
      <c r="A1343" s="227">
        <v>1343</v>
      </c>
      <c r="B1343" s="5988"/>
      <c r="C1343" s="1000"/>
      <c r="D1343" s="58"/>
      <c r="E1343" s="1003" t="s">
        <v>8119</v>
      </c>
      <c r="F1343" s="77">
        <v>30</v>
      </c>
      <c r="G1343" s="77">
        <v>50</v>
      </c>
      <c r="H1343" s="77">
        <f>COUNTIF(HabilidadesEsenciales_Adquiridas,Tablas!E1343)</f>
        <v>0</v>
      </c>
      <c r="I1343" s="1005">
        <v>1</v>
      </c>
      <c r="J1343" s="176">
        <f t="array" ref="J1343">MAX($H$1334:$H$1388*IF(ISNUMBER(SEARCH(K1343,$E$1334:$E$1388)),VALUE(RIGHT($E$1334:$E$1388,2)),0))</f>
        <v>0</v>
      </c>
      <c r="K1343" s="996" t="str">
        <v>Ilusión</v>
      </c>
      <c r="M1343" s="326"/>
      <c r="N1343" s="21"/>
      <c r="O1343" s="134" t="s">
        <v>7734</v>
      </c>
      <c r="P1343" s="998">
        <v>10</v>
      </c>
      <c r="Q1343" s="176">
        <f>10+IF(OR(TipoDeCriatura="Entre mundos, Elemental",TipoDeCriatura="Ánima, Elemental"),10,0)</f>
        <v>10</v>
      </c>
      <c r="R1343" s="1005">
        <f>COUNTIF(PoderesDeCriatura_Adquiridos,Tablas!O1343)</f>
        <v>0</v>
      </c>
      <c r="S1343" s="176"/>
      <c r="T1343" s="996"/>
      <c r="U1343">
        <v>2</v>
      </c>
      <c r="W1343" s="1029" t="s">
        <v>1260</v>
      </c>
      <c r="X1343" s="1019"/>
      <c r="Y1343" s="834" t="str">
        <f t="shared" si="288"/>
        <v/>
      </c>
      <c r="Z1343" s="834" t="s">
        <v>6926</v>
      </c>
      <c r="AA1343" s="1023"/>
      <c r="AB1343" s="1023"/>
      <c r="AC1343" s="1023"/>
      <c r="AD1343" s="1023"/>
      <c r="AE1343" s="1023"/>
      <c r="AF1343" s="1023"/>
      <c r="AG1343" s="1023"/>
      <c r="AH1343" s="1023"/>
      <c r="AI1343" s="1023"/>
      <c r="AJ1343" s="1023"/>
      <c r="AK1343" s="1023"/>
      <c r="AL1343" s="1023"/>
      <c r="AM1343" s="1023"/>
      <c r="AN1343" s="1023"/>
      <c r="AO1343" s="1023"/>
      <c r="AP1343" s="1023"/>
      <c r="AQ1343" s="1022"/>
      <c r="AR1343" s="1022"/>
      <c r="AS1343" s="1022"/>
      <c r="AT1343" s="1022"/>
      <c r="AU1343" s="1022"/>
      <c r="AV1343" s="1022"/>
      <c r="AW1343" s="1022"/>
      <c r="AX1343" s="1022"/>
      <c r="AY1343" s="1022"/>
      <c r="AZ1343" s="1022"/>
      <c r="BA1343" s="1022"/>
      <c r="BB1343" s="1022"/>
      <c r="BC1343" s="1022"/>
      <c r="BD1343" s="1022"/>
      <c r="BE1343" s="1022"/>
      <c r="BF1343" s="1022"/>
      <c r="BG1343" s="1022"/>
      <c r="BH1343" s="1022"/>
      <c r="BI1343" s="1022"/>
      <c r="BJ1343" s="1022"/>
      <c r="BK1343" s="1022"/>
      <c r="BL1343" s="1022"/>
      <c r="BM1343" s="1022"/>
      <c r="BN1343" s="1018"/>
      <c r="BO1343" s="323"/>
      <c r="BP1343" s="323"/>
      <c r="BQ1343" s="323"/>
      <c r="BR1343" s="323"/>
      <c r="BS1343" s="323"/>
      <c r="BT1343" s="323"/>
      <c r="BU1343" s="323"/>
      <c r="BV1343" s="323"/>
      <c r="BW1343" s="323"/>
      <c r="BX1343" s="323"/>
      <c r="BY1343" s="323"/>
      <c r="BZ1343" s="323"/>
      <c r="CA1343" s="323"/>
      <c r="CB1343" s="621"/>
    </row>
    <row r="1344" spans="1:80" ht="12.75" customHeight="1" x14ac:dyDescent="0.2">
      <c r="A1344" s="227">
        <v>1344</v>
      </c>
      <c r="B1344" s="5988"/>
      <c r="C1344" s="1000"/>
      <c r="D1344" s="58"/>
      <c r="E1344" s="1003" t="s">
        <v>8120</v>
      </c>
      <c r="F1344" s="77">
        <v>10</v>
      </c>
      <c r="G1344" s="77">
        <v>10</v>
      </c>
      <c r="H1344" s="77">
        <f>COUNTIF(HabilidadesEsenciales_Adquiridas,Tablas!E1344)</f>
        <v>0</v>
      </c>
      <c r="I1344" s="1005">
        <v>1</v>
      </c>
      <c r="J1344" s="176">
        <f t="array" ref="J1344">MAX($H$1334:$H$1388*IF(ISNUMBER(SEARCH(K1344,$E$1334:$E$1388)),VALUE(RIGHT($E$1334:$E$1388,2)),0))</f>
        <v>0</v>
      </c>
      <c r="K1344" s="996" t="str">
        <v>Nigromancia</v>
      </c>
      <c r="M1344" s="326"/>
      <c r="N1344" s="21"/>
      <c r="O1344" s="134" t="s">
        <v>7735</v>
      </c>
      <c r="P1344" s="998">
        <v>20</v>
      </c>
      <c r="Q1344" s="176">
        <f>20+IF(OR(TipoDeCriatura="Entre mundos, Elemental",TipoDeCriatura="Ánima, Elemental"),10,0)</f>
        <v>20</v>
      </c>
      <c r="R1344" s="1005">
        <f>COUNTIF(PoderesDeCriatura_Adquiridos,Tablas!O1344)</f>
        <v>0</v>
      </c>
      <c r="S1344" s="176"/>
      <c r="T1344" s="996"/>
      <c r="U1344">
        <v>2</v>
      </c>
      <c r="W1344" s="1029" t="s">
        <v>1256</v>
      </c>
      <c r="X1344" s="1019"/>
      <c r="Y1344" s="834" t="str">
        <f t="shared" si="288"/>
        <v/>
      </c>
      <c r="Z1344" s="834" t="s">
        <v>6926</v>
      </c>
      <c r="AA1344" s="1023"/>
      <c r="AB1344" s="1023"/>
      <c r="AC1344" s="1023"/>
      <c r="AD1344" s="1023"/>
      <c r="AE1344" s="1023"/>
      <c r="AF1344" s="1023"/>
      <c r="AG1344" s="1023"/>
      <c r="AH1344" s="1023"/>
      <c r="AI1344" s="1023"/>
      <c r="AJ1344" s="1023"/>
      <c r="AK1344" s="1023"/>
      <c r="AL1344" s="1023"/>
      <c r="AM1344" s="1023"/>
      <c r="AN1344" s="1023"/>
      <c r="AO1344" s="1023"/>
      <c r="AP1344" s="1023"/>
      <c r="AQ1344" s="1022"/>
      <c r="AR1344" s="1022"/>
      <c r="AS1344" s="1022"/>
      <c r="AT1344" s="1022"/>
      <c r="AU1344" s="1022"/>
      <c r="AV1344" s="1022"/>
      <c r="AW1344" s="1022"/>
      <c r="AX1344" s="1022"/>
      <c r="AY1344" s="1022"/>
      <c r="AZ1344" s="1022"/>
      <c r="BA1344" s="1022"/>
      <c r="BB1344" s="1022"/>
      <c r="BC1344" s="1022"/>
      <c r="BD1344" s="1022"/>
      <c r="BE1344" s="1022"/>
      <c r="BF1344" s="1022"/>
      <c r="BG1344" s="1022"/>
      <c r="BH1344" s="1022"/>
      <c r="BI1344" s="1022"/>
      <c r="BJ1344" s="1022"/>
      <c r="BK1344" s="1022"/>
      <c r="BL1344" s="1022"/>
      <c r="BM1344" s="1022"/>
      <c r="BN1344" s="1018"/>
      <c r="BO1344" s="323"/>
      <c r="BP1344" s="323"/>
      <c r="BQ1344" s="323"/>
      <c r="BR1344" s="323"/>
      <c r="BS1344" s="323"/>
      <c r="BT1344" s="323"/>
      <c r="BU1344" s="323"/>
      <c r="BV1344" s="323"/>
      <c r="BW1344" s="323"/>
      <c r="BX1344" s="323"/>
      <c r="BY1344" s="323"/>
      <c r="BZ1344" s="323"/>
      <c r="CA1344" s="323"/>
      <c r="CB1344" s="621"/>
    </row>
    <row r="1345" spans="1:80" ht="12.75" customHeight="1" x14ac:dyDescent="0.2">
      <c r="A1345" s="227">
        <v>1345</v>
      </c>
      <c r="B1345" s="5988"/>
      <c r="C1345" s="1000"/>
      <c r="D1345" s="58"/>
      <c r="E1345" s="1003" t="s">
        <v>8121</v>
      </c>
      <c r="F1345" s="77">
        <v>15</v>
      </c>
      <c r="G1345" s="77">
        <v>20</v>
      </c>
      <c r="H1345" s="77">
        <f>COUNTIF(HabilidadesEsenciales_Adquiridas,Tablas!E1345)</f>
        <v>0</v>
      </c>
      <c r="I1345" s="1005">
        <v>1</v>
      </c>
      <c r="J1345" s="176"/>
      <c r="K1345" s="996"/>
      <c r="M1345" s="326"/>
      <c r="N1345" s="21"/>
      <c r="O1345" s="134" t="s">
        <v>7736</v>
      </c>
      <c r="P1345" s="998">
        <v>10</v>
      </c>
      <c r="Q1345" s="176">
        <f>30+IF(OR(TipoDeCriatura="Entre mundos, Elemental",TipoDeCriatura="Ánima, Elemental"),10,0)</f>
        <v>30</v>
      </c>
      <c r="R1345" s="1005">
        <f>COUNTIF(PoderesDeCriatura_Adquiridos,Tablas!O1345)</f>
        <v>0</v>
      </c>
      <c r="S1345" s="176"/>
      <c r="T1345" s="996"/>
      <c r="U1345">
        <v>2</v>
      </c>
      <c r="W1345" s="1029" t="s">
        <v>1258</v>
      </c>
      <c r="X1345" s="1019"/>
      <c r="Y1345" s="834" t="str">
        <f t="shared" si="288"/>
        <v/>
      </c>
      <c r="Z1345" s="834" t="s">
        <v>6926</v>
      </c>
      <c r="AA1345" s="1023"/>
      <c r="AB1345" s="1023"/>
      <c r="AC1345" s="1023"/>
      <c r="AD1345" s="1023"/>
      <c r="AE1345" s="1023"/>
      <c r="AF1345" s="1023"/>
      <c r="AG1345" s="1023"/>
      <c r="AH1345" s="1023"/>
      <c r="AI1345" s="1023"/>
      <c r="AJ1345" s="1023"/>
      <c r="AK1345" s="1023"/>
      <c r="AL1345" s="1023"/>
      <c r="AM1345" s="1023"/>
      <c r="AN1345" s="1023"/>
      <c r="AO1345" s="1023"/>
      <c r="AP1345" s="1023"/>
      <c r="AQ1345" s="1022"/>
      <c r="AR1345" s="1022"/>
      <c r="AS1345" s="1022"/>
      <c r="AT1345" s="1022"/>
      <c r="AU1345" s="1022"/>
      <c r="AV1345" s="1022"/>
      <c r="AW1345" s="1022"/>
      <c r="AX1345" s="1022"/>
      <c r="AY1345" s="1022"/>
      <c r="AZ1345" s="1022"/>
      <c r="BA1345" s="1022"/>
      <c r="BB1345" s="1022"/>
      <c r="BC1345" s="1022"/>
      <c r="BD1345" s="1022"/>
      <c r="BE1345" s="1022"/>
      <c r="BF1345" s="1022"/>
      <c r="BG1345" s="1022"/>
      <c r="BH1345" s="1022"/>
      <c r="BI1345" s="1022"/>
      <c r="BJ1345" s="1022"/>
      <c r="BK1345" s="1022"/>
      <c r="BL1345" s="1022"/>
      <c r="BM1345" s="1022"/>
      <c r="BN1345" s="1018"/>
      <c r="BO1345" s="323"/>
      <c r="BP1345" s="323"/>
      <c r="BQ1345" s="323"/>
      <c r="BR1345" s="323"/>
      <c r="BS1345" s="323"/>
      <c r="BT1345" s="323"/>
      <c r="BU1345" s="323"/>
      <c r="BV1345" s="323"/>
      <c r="BW1345" s="323"/>
      <c r="BX1345" s="323"/>
      <c r="BY1345" s="323"/>
      <c r="BZ1345" s="323"/>
      <c r="CA1345" s="323"/>
      <c r="CB1345" s="621"/>
    </row>
    <row r="1346" spans="1:80" ht="12.75" customHeight="1" x14ac:dyDescent="0.2">
      <c r="A1346" s="227">
        <v>1346</v>
      </c>
      <c r="B1346" s="5988"/>
      <c r="C1346" s="1000"/>
      <c r="D1346" s="58"/>
      <c r="E1346" s="1003" t="s">
        <v>8122</v>
      </c>
      <c r="F1346" s="77">
        <v>20</v>
      </c>
      <c r="G1346" s="77">
        <v>30</v>
      </c>
      <c r="H1346" s="77">
        <f>COUNTIF(HabilidadesEsenciales_Adquiridas,Tablas!E1346)</f>
        <v>0</v>
      </c>
      <c r="I1346" s="1005">
        <v>1</v>
      </c>
      <c r="J1346" s="176"/>
      <c r="K1346" s="996"/>
      <c r="M1346" s="326"/>
      <c r="N1346" s="21"/>
      <c r="O1346" s="134" t="s">
        <v>7737</v>
      </c>
      <c r="P1346" s="998">
        <v>20</v>
      </c>
      <c r="Q1346" s="176">
        <f>60+IF(OR(TipoDeCriatura="Entre mundos, Elemental",TipoDeCriatura="Ánima, Elemental"),10,0)</f>
        <v>60</v>
      </c>
      <c r="R1346" s="1005">
        <f>COUNTIF(PoderesDeCriatura_Adquiridos,Tablas!O1346)</f>
        <v>0</v>
      </c>
      <c r="S1346" s="176"/>
      <c r="T1346" s="996"/>
      <c r="U1346">
        <v>2</v>
      </c>
      <c r="W1346" s="1029" t="s">
        <v>1259</v>
      </c>
      <c r="X1346" s="1019"/>
      <c r="Y1346" s="834" t="str">
        <f t="shared" si="288"/>
        <v/>
      </c>
      <c r="Z1346" s="834" t="s">
        <v>6926</v>
      </c>
      <c r="AA1346" s="1023"/>
      <c r="AB1346" s="1023"/>
      <c r="AC1346" s="1023"/>
      <c r="AD1346" s="1023"/>
      <c r="AE1346" s="1023"/>
      <c r="AF1346" s="1023"/>
      <c r="AG1346" s="1023"/>
      <c r="AH1346" s="1023"/>
      <c r="AI1346" s="1023"/>
      <c r="AJ1346" s="1023"/>
      <c r="AK1346" s="1023"/>
      <c r="AL1346" s="1023"/>
      <c r="AM1346" s="1023"/>
      <c r="AN1346" s="1023"/>
      <c r="AO1346" s="1023"/>
      <c r="AP1346" s="1023"/>
      <c r="AQ1346" s="1022"/>
      <c r="AR1346" s="1022"/>
      <c r="AS1346" s="1022"/>
      <c r="AT1346" s="1022"/>
      <c r="AU1346" s="1022"/>
      <c r="AV1346" s="1022"/>
      <c r="AW1346" s="1022"/>
      <c r="AX1346" s="1022"/>
      <c r="AY1346" s="1022"/>
      <c r="AZ1346" s="1022"/>
      <c r="BA1346" s="1022"/>
      <c r="BB1346" s="1022"/>
      <c r="BC1346" s="1022"/>
      <c r="BD1346" s="1022"/>
      <c r="BE1346" s="1022"/>
      <c r="BF1346" s="1022"/>
      <c r="BG1346" s="1022"/>
      <c r="BH1346" s="1022"/>
      <c r="BI1346" s="1022"/>
      <c r="BJ1346" s="1022"/>
      <c r="BK1346" s="1022"/>
      <c r="BL1346" s="1022"/>
      <c r="BM1346" s="1022"/>
      <c r="BN1346" s="1018"/>
      <c r="BO1346" s="323"/>
      <c r="BP1346" s="323"/>
      <c r="BQ1346" s="323"/>
      <c r="BR1346" s="323"/>
      <c r="BS1346" s="323"/>
      <c r="BT1346" s="323"/>
      <c r="BU1346" s="323"/>
      <c r="BV1346" s="323"/>
      <c r="BW1346" s="323"/>
      <c r="BX1346" s="323"/>
      <c r="BY1346" s="323"/>
      <c r="BZ1346" s="323"/>
      <c r="CA1346" s="323"/>
      <c r="CB1346" s="621"/>
    </row>
    <row r="1347" spans="1:80" ht="12.75" customHeight="1" x14ac:dyDescent="0.2">
      <c r="A1347" s="227">
        <v>1347</v>
      </c>
      <c r="B1347" s="5988"/>
      <c r="C1347" s="1000"/>
      <c r="D1347" s="58"/>
      <c r="E1347" s="1003" t="s">
        <v>8123</v>
      </c>
      <c r="F1347" s="77">
        <v>25</v>
      </c>
      <c r="G1347" s="77">
        <v>40</v>
      </c>
      <c r="H1347" s="77">
        <f>COUNTIF(HabilidadesEsenciales_Adquiridas,Tablas!E1347)</f>
        <v>0</v>
      </c>
      <c r="I1347" s="1005">
        <v>1</v>
      </c>
      <c r="J1347" s="176"/>
      <c r="K1347" s="996"/>
      <c r="M1347" s="326"/>
      <c r="N1347" s="21"/>
      <c r="O1347" s="134" t="s">
        <v>7738</v>
      </c>
      <c r="P1347" s="998">
        <v>20</v>
      </c>
      <c r="Q1347" s="176">
        <f>100+IF(OR(TipoDeCriatura="Entre mundos, Elemental",TipoDeCriatura="Ánima, Elemental"),10,0)</f>
        <v>100</v>
      </c>
      <c r="R1347" s="1005">
        <f>COUNTIF(PoderesDeCriatura_Adquiridos,Tablas!O1347)</f>
        <v>0</v>
      </c>
      <c r="S1347" s="176"/>
      <c r="T1347" s="996"/>
      <c r="U1347">
        <v>2</v>
      </c>
      <c r="W1347" s="1029" t="s">
        <v>1255</v>
      </c>
      <c r="X1347" s="1019"/>
      <c r="Y1347" s="834" t="str">
        <f t="shared" si="288"/>
        <v/>
      </c>
      <c r="Z1347" s="834" t="s">
        <v>6926</v>
      </c>
      <c r="AA1347" s="1023"/>
      <c r="AB1347" s="1023"/>
      <c r="AC1347" s="1023"/>
      <c r="AD1347" s="1023"/>
      <c r="AE1347" s="1023"/>
      <c r="AF1347" s="1023"/>
      <c r="AG1347" s="1023"/>
      <c r="AH1347" s="1023"/>
      <c r="AI1347" s="1023"/>
      <c r="AJ1347" s="1023"/>
      <c r="AK1347" s="1023"/>
      <c r="AL1347" s="1023"/>
      <c r="AM1347" s="1023"/>
      <c r="AN1347" s="1023"/>
      <c r="AO1347" s="1023"/>
      <c r="AP1347" s="1023"/>
      <c r="AQ1347" s="1022"/>
      <c r="AR1347" s="1022"/>
      <c r="AS1347" s="1022"/>
      <c r="AT1347" s="1022"/>
      <c r="AU1347" s="1022"/>
      <c r="AV1347" s="1022"/>
      <c r="AW1347" s="1022"/>
      <c r="AX1347" s="1022"/>
      <c r="AY1347" s="1022"/>
      <c r="AZ1347" s="1022"/>
      <c r="BA1347" s="1022"/>
      <c r="BB1347" s="1022"/>
      <c r="BC1347" s="1022"/>
      <c r="BD1347" s="1022"/>
      <c r="BE1347" s="1022"/>
      <c r="BF1347" s="1022"/>
      <c r="BG1347" s="1022"/>
      <c r="BH1347" s="1022"/>
      <c r="BI1347" s="1022"/>
      <c r="BJ1347" s="1022"/>
      <c r="BK1347" s="1022"/>
      <c r="BL1347" s="1022"/>
      <c r="BM1347" s="1022"/>
      <c r="BN1347" s="1018"/>
      <c r="BO1347" s="323"/>
      <c r="BP1347" s="323"/>
      <c r="BQ1347" s="323"/>
      <c r="BR1347" s="323"/>
      <c r="BS1347" s="323"/>
      <c r="BT1347" s="323"/>
      <c r="BU1347" s="323"/>
      <c r="BV1347" s="323"/>
      <c r="BW1347" s="323"/>
      <c r="BX1347" s="323"/>
      <c r="BY1347" s="323"/>
      <c r="BZ1347" s="323"/>
      <c r="CA1347" s="323"/>
      <c r="CB1347" s="621"/>
    </row>
    <row r="1348" spans="1:80" ht="12.75" customHeight="1" x14ac:dyDescent="0.2">
      <c r="A1348" s="227">
        <v>1348</v>
      </c>
      <c r="B1348" s="5988"/>
      <c r="C1348" s="1000"/>
      <c r="D1348" s="58"/>
      <c r="E1348" s="1003" t="s">
        <v>8124</v>
      </c>
      <c r="F1348" s="77">
        <v>30</v>
      </c>
      <c r="G1348" s="77">
        <v>50</v>
      </c>
      <c r="H1348" s="77">
        <f>COUNTIF(HabilidadesEsenciales_Adquiridas,Tablas!E1348)</f>
        <v>0</v>
      </c>
      <c r="I1348" s="1005">
        <v>1</v>
      </c>
      <c r="J1348" s="176"/>
      <c r="K1348" s="996"/>
      <c r="M1348" s="326"/>
      <c r="N1348" s="21"/>
      <c r="O1348" s="134" t="s">
        <v>7739</v>
      </c>
      <c r="P1348" s="998">
        <v>25</v>
      </c>
      <c r="Q1348" s="176">
        <f>120+IF(OR(TipoDeCriatura="Entre mundos, Elemental",TipoDeCriatura="Ánima, Elemental"),10,0)</f>
        <v>120</v>
      </c>
      <c r="R1348" s="1005">
        <f>COUNTIF(PoderesDeCriatura_Adquiridos,Tablas!O1348)</f>
        <v>0</v>
      </c>
      <c r="S1348" s="176"/>
      <c r="T1348" s="996"/>
      <c r="U1348">
        <v>2</v>
      </c>
      <c r="W1348" s="1029" t="s">
        <v>1257</v>
      </c>
      <c r="X1348" s="1019"/>
      <c r="Y1348" s="834" t="str">
        <f t="shared" si="288"/>
        <v/>
      </c>
      <c r="Z1348" s="834" t="s">
        <v>6926</v>
      </c>
      <c r="AA1348" s="1023"/>
      <c r="AB1348" s="1023"/>
      <c r="AC1348" s="1023"/>
      <c r="AD1348" s="1023"/>
      <c r="AE1348" s="1023"/>
      <c r="AF1348" s="1023"/>
      <c r="AG1348" s="1023"/>
      <c r="AH1348" s="1023"/>
      <c r="AI1348" s="1023"/>
      <c r="AJ1348" s="1023"/>
      <c r="AK1348" s="1023"/>
      <c r="AL1348" s="1023"/>
      <c r="AM1348" s="1023"/>
      <c r="AN1348" s="1023"/>
      <c r="AO1348" s="1023"/>
      <c r="AP1348" s="1023"/>
      <c r="AQ1348" s="1022"/>
      <c r="AR1348" s="1022"/>
      <c r="AS1348" s="1022"/>
      <c r="AT1348" s="1022"/>
      <c r="AU1348" s="1022"/>
      <c r="AV1348" s="1022"/>
      <c r="AW1348" s="1022"/>
      <c r="AX1348" s="1022"/>
      <c r="AY1348" s="1022"/>
      <c r="AZ1348" s="1022"/>
      <c r="BA1348" s="1022"/>
      <c r="BB1348" s="1022"/>
      <c r="BC1348" s="1022"/>
      <c r="BD1348" s="1022"/>
      <c r="BE1348" s="1022"/>
      <c r="BF1348" s="1022"/>
      <c r="BG1348" s="1022"/>
      <c r="BH1348" s="1022"/>
      <c r="BI1348" s="1022"/>
      <c r="BJ1348" s="1022"/>
      <c r="BK1348" s="1022"/>
      <c r="BL1348" s="1022"/>
      <c r="BM1348" s="1022"/>
      <c r="BN1348" s="1018"/>
      <c r="BO1348" s="323"/>
      <c r="BP1348" s="323"/>
      <c r="BQ1348" s="323"/>
      <c r="BR1348" s="323"/>
      <c r="BS1348" s="323"/>
      <c r="BT1348" s="323"/>
      <c r="BU1348" s="323"/>
      <c r="BV1348" s="323"/>
      <c r="BW1348" s="323"/>
      <c r="BX1348" s="323"/>
      <c r="BY1348" s="323"/>
      <c r="BZ1348" s="323"/>
      <c r="CA1348" s="323"/>
      <c r="CB1348" s="621"/>
    </row>
    <row r="1349" spans="1:80" ht="12.75" customHeight="1" x14ac:dyDescent="0.2">
      <c r="A1349" s="227">
        <v>1349</v>
      </c>
      <c r="B1349" s="5988"/>
      <c r="C1349" s="1000"/>
      <c r="D1349" s="58"/>
      <c r="E1349" s="1003" t="s">
        <v>8125</v>
      </c>
      <c r="F1349" s="77">
        <v>10</v>
      </c>
      <c r="G1349" s="77">
        <v>10</v>
      </c>
      <c r="H1349" s="77">
        <f>COUNTIF(HabilidadesEsenciales_Adquiridas,Tablas!E1349)</f>
        <v>0</v>
      </c>
      <c r="I1349" s="1005">
        <v>1</v>
      </c>
      <c r="J1349" s="176"/>
      <c r="K1349" s="996"/>
      <c r="M1349" s="326"/>
      <c r="N1349" s="21"/>
      <c r="O1349" s="134" t="s">
        <v>7740</v>
      </c>
      <c r="P1349" s="998">
        <v>25</v>
      </c>
      <c r="Q1349" s="176">
        <f>140+IF(OR(TipoDeCriatura="Entre mundos, Elemental",TipoDeCriatura="Ánima, Elemental"),10,0)</f>
        <v>140</v>
      </c>
      <c r="R1349" s="1005">
        <f>COUNTIF(PoderesDeCriatura_Adquiridos,Tablas!O1349)</f>
        <v>0</v>
      </c>
      <c r="S1349" s="176"/>
      <c r="T1349" s="996"/>
      <c r="U1349">
        <v>2</v>
      </c>
      <c r="W1349" s="1029" t="s">
        <v>8067</v>
      </c>
      <c r="X1349" s="1019"/>
      <c r="Y1349" s="834" t="str">
        <f t="shared" si="288"/>
        <v>PodHab_CaracterísticaIncrementada</v>
      </c>
      <c r="Z1349" s="834" t="s">
        <v>8178</v>
      </c>
      <c r="AA1349" s="834" t="s">
        <v>8179</v>
      </c>
      <c r="AB1349" s="834" t="s">
        <v>8180</v>
      </c>
      <c r="AC1349" s="834" t="s">
        <v>8181</v>
      </c>
      <c r="AD1349" s="834" t="s">
        <v>8182</v>
      </c>
      <c r="AE1349" s="834" t="s">
        <v>8183</v>
      </c>
      <c r="AF1349" s="834" t="s">
        <v>8184</v>
      </c>
      <c r="AG1349" s="834" t="s">
        <v>8185</v>
      </c>
      <c r="AH1349" s="834" t="s">
        <v>8186</v>
      </c>
      <c r="AI1349" s="834" t="s">
        <v>8187</v>
      </c>
      <c r="AJ1349" s="834" t="s">
        <v>8188</v>
      </c>
      <c r="AK1349" s="834" t="s">
        <v>8189</v>
      </c>
      <c r="AL1349" s="834" t="s">
        <v>8190</v>
      </c>
      <c r="AM1349" s="834" t="s">
        <v>8191</v>
      </c>
      <c r="AN1349" s="834" t="s">
        <v>8192</v>
      </c>
      <c r="AO1349" s="834" t="s">
        <v>8193</v>
      </c>
      <c r="AP1349" s="834" t="s">
        <v>8194</v>
      </c>
      <c r="AQ1349" s="1024" t="s">
        <v>8195</v>
      </c>
      <c r="AR1349" s="1024" t="s">
        <v>8196</v>
      </c>
      <c r="AS1349" s="1024" t="s">
        <v>8197</v>
      </c>
      <c r="AT1349" s="1024" t="s">
        <v>8198</v>
      </c>
      <c r="AU1349" s="1024" t="s">
        <v>8199</v>
      </c>
      <c r="AV1349" s="1024" t="s">
        <v>8200</v>
      </c>
      <c r="AW1349" s="1024" t="s">
        <v>8201</v>
      </c>
      <c r="AX1349" s="1024" t="s">
        <v>8202</v>
      </c>
      <c r="AY1349" s="1024" t="s">
        <v>8203</v>
      </c>
      <c r="AZ1349" s="1024" t="s">
        <v>8204</v>
      </c>
      <c r="BA1349" s="1024" t="s">
        <v>8205</v>
      </c>
      <c r="BB1349" s="1024" t="s">
        <v>8206</v>
      </c>
      <c r="BC1349" s="1024" t="s">
        <v>8207</v>
      </c>
      <c r="BD1349" s="1024" t="s">
        <v>8208</v>
      </c>
      <c r="BE1349" s="1024" t="s">
        <v>8209</v>
      </c>
      <c r="BF1349" s="1024" t="s">
        <v>8210</v>
      </c>
      <c r="BG1349" s="1024" t="s">
        <v>8211</v>
      </c>
      <c r="BH1349" s="1024" t="s">
        <v>8212</v>
      </c>
      <c r="BI1349" s="1024" t="s">
        <v>8213</v>
      </c>
      <c r="BJ1349" s="1024" t="s">
        <v>8214</v>
      </c>
      <c r="BK1349" s="1024" t="s">
        <v>8215</v>
      </c>
      <c r="BL1349" s="1024" t="s">
        <v>8216</v>
      </c>
      <c r="BM1349" s="1024" t="s">
        <v>8217</v>
      </c>
      <c r="BN1349" s="1024"/>
      <c r="BO1349" s="323"/>
      <c r="BP1349" s="323"/>
      <c r="BQ1349" s="323"/>
      <c r="BR1349" s="323"/>
      <c r="BS1349" s="323"/>
      <c r="BT1349" s="323"/>
      <c r="BU1349" s="323"/>
      <c r="BV1349" s="323"/>
      <c r="BW1349" s="323"/>
      <c r="BX1349" s="323"/>
      <c r="BY1349" s="323"/>
      <c r="BZ1349" s="323"/>
      <c r="CA1349" s="323"/>
      <c r="CB1349" s="621"/>
    </row>
    <row r="1350" spans="1:80" ht="12.75" customHeight="1" x14ac:dyDescent="0.2">
      <c r="A1350" s="227">
        <v>1350</v>
      </c>
      <c r="B1350" s="5988"/>
      <c r="C1350" s="1000"/>
      <c r="D1350" s="58"/>
      <c r="E1350" s="1003" t="s">
        <v>8126</v>
      </c>
      <c r="F1350" s="77">
        <v>15</v>
      </c>
      <c r="G1350" s="77">
        <v>20</v>
      </c>
      <c r="H1350" s="77">
        <f>COUNTIF(HabilidadesEsenciales_Adquiridas,Tablas!E1350)</f>
        <v>0</v>
      </c>
      <c r="I1350" s="1005">
        <v>1</v>
      </c>
      <c r="J1350" s="176"/>
      <c r="K1350" s="996"/>
      <c r="M1350" s="326"/>
      <c r="N1350" s="21"/>
      <c r="O1350" s="134" t="s">
        <v>7741</v>
      </c>
      <c r="P1350" s="998">
        <v>20</v>
      </c>
      <c r="Q1350" s="176">
        <f>20+IF(OR(TipoDeCriatura="Entre mundos, Elemental",TipoDeCriatura="Ánima, Elemental"),10,0)</f>
        <v>20</v>
      </c>
      <c r="R1350" s="1005">
        <f>COUNTIF(PoderesDeCriatura_Adquiridos,Tablas!O1350)</f>
        <v>0</v>
      </c>
      <c r="S1350" s="176"/>
      <c r="T1350" s="996"/>
      <c r="U1350">
        <v>2</v>
      </c>
      <c r="W1350" s="1029" t="s">
        <v>2268</v>
      </c>
      <c r="X1350" s="1019"/>
      <c r="Y1350" s="834"/>
      <c r="Z1350" s="834"/>
      <c r="AA1350" s="834"/>
      <c r="AB1350" s="834"/>
      <c r="AC1350" s="834"/>
      <c r="AD1350" s="834"/>
      <c r="AE1350" s="834"/>
      <c r="AF1350" s="834"/>
      <c r="AG1350" s="834"/>
      <c r="AH1350" s="834"/>
      <c r="AI1350" s="834"/>
      <c r="AJ1350" s="834"/>
      <c r="AK1350" s="834"/>
      <c r="AL1350" s="834"/>
      <c r="AM1350" s="834"/>
      <c r="AN1350" s="834"/>
      <c r="AO1350" s="834"/>
      <c r="AP1350" s="834"/>
      <c r="AQ1350" s="1024"/>
      <c r="AR1350" s="1024"/>
      <c r="AS1350" s="1024"/>
      <c r="AT1350" s="1024"/>
      <c r="AU1350" s="1024"/>
      <c r="AV1350" s="1024"/>
      <c r="AW1350" s="1024"/>
      <c r="AX1350" s="1024"/>
      <c r="AY1350" s="1024"/>
      <c r="AZ1350" s="1024"/>
      <c r="BA1350" s="1024"/>
      <c r="BB1350" s="1024"/>
      <c r="BC1350" s="1024"/>
      <c r="BD1350" s="1024"/>
      <c r="BE1350" s="1024"/>
      <c r="BF1350" s="1024"/>
      <c r="BG1350" s="1024"/>
      <c r="BH1350" s="1024"/>
      <c r="BI1350" s="1024"/>
      <c r="BJ1350" s="1024"/>
      <c r="BK1350" s="1024"/>
      <c r="BL1350" s="1024"/>
      <c r="BM1350" s="1024"/>
      <c r="BN1350" s="1018"/>
      <c r="BO1350" s="323"/>
      <c r="BP1350" s="323"/>
      <c r="BQ1350" s="323"/>
      <c r="BR1350" s="323"/>
      <c r="BS1350" s="323"/>
      <c r="BT1350" s="323"/>
      <c r="BU1350" s="323"/>
      <c r="BV1350" s="323"/>
      <c r="BW1350" s="323"/>
      <c r="BX1350" s="323"/>
      <c r="BY1350" s="323"/>
      <c r="BZ1350" s="323"/>
      <c r="CA1350" s="323"/>
      <c r="CB1350" s="621"/>
    </row>
    <row r="1351" spans="1:80" ht="12.75" customHeight="1" x14ac:dyDescent="0.2">
      <c r="A1351" s="227">
        <v>1351</v>
      </c>
      <c r="B1351" s="5988"/>
      <c r="C1351" s="1000"/>
      <c r="D1351" s="58"/>
      <c r="E1351" s="1003" t="s">
        <v>8127</v>
      </c>
      <c r="F1351" s="77">
        <v>20</v>
      </c>
      <c r="G1351" s="77">
        <v>30</v>
      </c>
      <c r="H1351" s="77">
        <f>COUNTIF(HabilidadesEsenciales_Adquiridas,Tablas!E1351)</f>
        <v>0</v>
      </c>
      <c r="I1351" s="1005">
        <v>1</v>
      </c>
      <c r="J1351" s="176"/>
      <c r="K1351" s="996"/>
      <c r="M1351" s="326"/>
      <c r="N1351" s="21"/>
      <c r="O1351" s="134" t="s">
        <v>7742</v>
      </c>
      <c r="P1351" s="998">
        <v>20</v>
      </c>
      <c r="Q1351" s="176">
        <f>60+IF(OR(TipoDeCriatura="Entre mundos, Elemental",TipoDeCriatura="Ánima, Elemental"),10,0)</f>
        <v>60</v>
      </c>
      <c r="R1351" s="1005">
        <f>COUNTIF(PoderesDeCriatura_Adquiridos,Tablas!O1351)</f>
        <v>0</v>
      </c>
      <c r="S1351" s="176"/>
      <c r="T1351" s="996"/>
      <c r="U1351">
        <v>2</v>
      </c>
      <c r="W1351" s="1029" t="s">
        <v>1271</v>
      </c>
      <c r="X1351" s="1018"/>
      <c r="Y1351" s="834" t="str">
        <f t="shared" ref="Y1351:Y1367" si="289">IF(Z1351="","",SUBSTITUTE("PodHab_"&amp;W1351," ",""))</f>
        <v/>
      </c>
      <c r="Z1351" s="834" t="s">
        <v>6926</v>
      </c>
      <c r="AA1351" s="1023"/>
      <c r="AB1351" s="1023"/>
      <c r="AC1351" s="1023"/>
      <c r="AD1351" s="1023"/>
      <c r="AE1351" s="1023"/>
      <c r="AF1351" s="1023"/>
      <c r="AG1351" s="1023"/>
      <c r="AH1351" s="1023"/>
      <c r="AI1351" s="1023"/>
      <c r="AJ1351" s="1023"/>
      <c r="AK1351" s="1023"/>
      <c r="AL1351" s="1023"/>
      <c r="AM1351" s="1023"/>
      <c r="AN1351" s="1023"/>
      <c r="AO1351" s="1023"/>
      <c r="AP1351" s="1023"/>
      <c r="AQ1351" s="1022"/>
      <c r="AR1351" s="1022"/>
      <c r="AS1351" s="1022"/>
      <c r="AT1351" s="1022"/>
      <c r="AU1351" s="1022"/>
      <c r="AV1351" s="1022"/>
      <c r="AW1351" s="1022"/>
      <c r="AX1351" s="1022"/>
      <c r="AY1351" s="1022"/>
      <c r="AZ1351" s="1022"/>
      <c r="BA1351" s="1022"/>
      <c r="BB1351" s="1022"/>
      <c r="BC1351" s="1022"/>
      <c r="BD1351" s="1022"/>
      <c r="BE1351" s="1022"/>
      <c r="BF1351" s="1022"/>
      <c r="BG1351" s="1022"/>
      <c r="BH1351" s="1022"/>
      <c r="BI1351" s="1022"/>
      <c r="BJ1351" s="1022"/>
      <c r="BK1351" s="1022"/>
      <c r="BL1351" s="1022"/>
      <c r="BM1351" s="1022"/>
      <c r="BN1351" s="1018"/>
      <c r="BO1351" s="323"/>
      <c r="BP1351" s="323"/>
      <c r="BQ1351" s="323"/>
      <c r="BR1351" s="323"/>
      <c r="BS1351" s="323"/>
      <c r="BT1351" s="323"/>
      <c r="BU1351" s="323"/>
      <c r="BV1351" s="323"/>
      <c r="BW1351" s="323"/>
      <c r="BX1351" s="323"/>
      <c r="BY1351" s="323"/>
      <c r="BZ1351" s="323"/>
      <c r="CA1351" s="323"/>
      <c r="CB1351" s="621"/>
    </row>
    <row r="1352" spans="1:80" ht="12.75" customHeight="1" x14ac:dyDescent="0.2">
      <c r="A1352" s="227">
        <v>1352</v>
      </c>
      <c r="B1352" s="5988"/>
      <c r="C1352" s="1000"/>
      <c r="D1352" s="58"/>
      <c r="E1352" s="1003" t="s">
        <v>8128</v>
      </c>
      <c r="F1352" s="77">
        <v>25</v>
      </c>
      <c r="G1352" s="77">
        <v>40</v>
      </c>
      <c r="H1352" s="77">
        <f>COUNTIF(HabilidadesEsenciales_Adquiridas,Tablas!E1352)</f>
        <v>0</v>
      </c>
      <c r="I1352" s="1005">
        <v>1</v>
      </c>
      <c r="J1352" s="176"/>
      <c r="K1352" s="996"/>
      <c r="M1352" s="326"/>
      <c r="N1352" s="21"/>
      <c r="O1352" s="134" t="s">
        <v>7743</v>
      </c>
      <c r="P1352" s="998">
        <v>20</v>
      </c>
      <c r="Q1352" s="176">
        <f>120+IF(OR(TipoDeCriatura="Entre mundos, Elemental",TipoDeCriatura="Ánima, Elemental"),10,0)</f>
        <v>120</v>
      </c>
      <c r="R1352" s="1005">
        <f>COUNTIF(PoderesDeCriatura_Adquiridos,Tablas!O1352)</f>
        <v>0</v>
      </c>
      <c r="S1352" s="176"/>
      <c r="T1352" s="996"/>
      <c r="U1352">
        <v>2</v>
      </c>
      <c r="W1352" s="1030" t="s">
        <v>1264</v>
      </c>
      <c r="X1352" s="1018"/>
      <c r="Y1352" s="834" t="str">
        <f t="shared" si="289"/>
        <v/>
      </c>
      <c r="Z1352" s="834" t="s">
        <v>6926</v>
      </c>
      <c r="AA1352" s="834"/>
      <c r="AB1352" s="834"/>
      <c r="AC1352" s="834"/>
      <c r="AD1352" s="834"/>
      <c r="AE1352" s="834"/>
      <c r="AF1352" s="834"/>
      <c r="AG1352" s="834"/>
      <c r="AH1352" s="834"/>
      <c r="AI1352" s="834"/>
      <c r="AJ1352" s="834"/>
      <c r="AK1352" s="834"/>
      <c r="AL1352" s="834"/>
      <c r="AM1352" s="834"/>
      <c r="AN1352" s="834"/>
      <c r="AO1352" s="834"/>
      <c r="AP1352" s="834"/>
      <c r="AQ1352" s="1024"/>
      <c r="AR1352" s="1024"/>
      <c r="AS1352" s="1024"/>
      <c r="AT1352" s="1024"/>
      <c r="AU1352" s="1024"/>
      <c r="AV1352" s="1024"/>
      <c r="AW1352" s="1024"/>
      <c r="AX1352" s="1024"/>
      <c r="AY1352" s="1024"/>
      <c r="AZ1352" s="1024"/>
      <c r="BA1352" s="1024"/>
      <c r="BB1352" s="1024"/>
      <c r="BC1352" s="1024"/>
      <c r="BD1352" s="1024"/>
      <c r="BE1352" s="1024"/>
      <c r="BF1352" s="1024"/>
      <c r="BG1352" s="1024"/>
      <c r="BH1352" s="1024"/>
      <c r="BI1352" s="1024"/>
      <c r="BJ1352" s="1024"/>
      <c r="BK1352" s="1024"/>
      <c r="BL1352" s="1024"/>
      <c r="BM1352" s="1024"/>
      <c r="BN1352" s="323"/>
      <c r="BO1352" s="323"/>
      <c r="BP1352" s="323"/>
      <c r="BQ1352" s="323"/>
      <c r="BR1352" s="323"/>
      <c r="BS1352" s="323"/>
      <c r="BT1352" s="323"/>
      <c r="BU1352" s="323"/>
      <c r="BV1352" s="323"/>
      <c r="BW1352" s="323"/>
      <c r="BX1352" s="323"/>
      <c r="BY1352" s="323"/>
      <c r="BZ1352" s="323"/>
      <c r="CA1352" s="323"/>
      <c r="CB1352" s="621"/>
    </row>
    <row r="1353" spans="1:80" ht="12.75" customHeight="1" x14ac:dyDescent="0.2">
      <c r="A1353" s="227">
        <v>1353</v>
      </c>
      <c r="B1353" s="5988"/>
      <c r="C1353" s="1000"/>
      <c r="D1353" s="58"/>
      <c r="E1353" s="1003" t="s">
        <v>8129</v>
      </c>
      <c r="F1353" s="77">
        <v>30</v>
      </c>
      <c r="G1353" s="77">
        <v>50</v>
      </c>
      <c r="H1353" s="77">
        <f>COUNTIF(HabilidadesEsenciales_Adquiridas,Tablas!E1353)</f>
        <v>0</v>
      </c>
      <c r="I1353" s="1005">
        <v>1</v>
      </c>
      <c r="J1353" s="176"/>
      <c r="K1353" s="996"/>
      <c r="M1353" s="326"/>
      <c r="N1353" s="21"/>
      <c r="O1353" s="134" t="s">
        <v>9983</v>
      </c>
      <c r="P1353" s="998">
        <v>20</v>
      </c>
      <c r="Q1353" s="176">
        <f>60+IF(OR(TipoDeCriatura="Entre mundos, Elemental",TipoDeCriatura="Ánima, Elemental"),10,0)</f>
        <v>60</v>
      </c>
      <c r="R1353" s="1005">
        <f>COUNTIF(PoderesDeCriatura_Adquiridos,Tablas!O1353)</f>
        <v>0</v>
      </c>
      <c r="S1353" s="176"/>
      <c r="T1353" s="996"/>
      <c r="U1353">
        <v>2</v>
      </c>
      <c r="W1353" s="1028" t="s">
        <v>1682</v>
      </c>
      <c r="X1353" s="1019"/>
      <c r="Y1353" s="834" t="str">
        <f t="shared" si="289"/>
        <v/>
      </c>
      <c r="Z1353" s="834" t="s">
        <v>6926</v>
      </c>
      <c r="AA1353" s="834"/>
      <c r="AB1353" s="834"/>
      <c r="AC1353" s="834"/>
      <c r="AD1353" s="834"/>
      <c r="AE1353" s="834"/>
      <c r="AF1353" s="834"/>
      <c r="AG1353" s="834"/>
      <c r="AH1353" s="834"/>
      <c r="AI1353" s="834"/>
      <c r="AJ1353" s="834"/>
      <c r="AK1353" s="834"/>
      <c r="AL1353" s="834"/>
      <c r="AM1353" s="834"/>
      <c r="AN1353" s="834"/>
      <c r="AO1353" s="834"/>
      <c r="AP1353" s="834"/>
      <c r="AQ1353" s="1024"/>
      <c r="AR1353" s="1024"/>
      <c r="AS1353" s="1024"/>
      <c r="AT1353" s="1024"/>
      <c r="AU1353" s="1024"/>
      <c r="AV1353" s="1024"/>
      <c r="AW1353" s="1024"/>
      <c r="AX1353" s="1024"/>
      <c r="AY1353" s="1024"/>
      <c r="AZ1353" s="1024"/>
      <c r="BA1353" s="1024"/>
      <c r="BB1353" s="1024"/>
      <c r="BC1353" s="1024"/>
      <c r="BD1353" s="1024"/>
      <c r="BE1353" s="1024"/>
      <c r="BF1353" s="1024"/>
      <c r="BG1353" s="1024"/>
      <c r="BH1353" s="1024"/>
      <c r="BI1353" s="1024"/>
      <c r="BJ1353" s="1024"/>
      <c r="BK1353" s="1024"/>
      <c r="BL1353" s="1024"/>
      <c r="BM1353" s="1024"/>
      <c r="BN1353" s="323"/>
      <c r="BO1353" s="323"/>
      <c r="BP1353" s="323"/>
      <c r="BQ1353" s="323"/>
      <c r="BR1353" s="323"/>
      <c r="BS1353" s="323"/>
      <c r="BT1353" s="323"/>
      <c r="BU1353" s="323"/>
      <c r="BV1353" s="323"/>
      <c r="BW1353" s="323"/>
      <c r="BX1353" s="323"/>
      <c r="BY1353" s="323"/>
      <c r="BZ1353" s="323"/>
      <c r="CA1353" s="323"/>
      <c r="CB1353" s="621"/>
    </row>
    <row r="1354" spans="1:80" ht="12.75" customHeight="1" x14ac:dyDescent="0.2">
      <c r="A1354" s="227">
        <v>1354</v>
      </c>
      <c r="B1354" s="5988"/>
      <c r="C1354" s="1000"/>
      <c r="D1354" s="58"/>
      <c r="E1354" s="1003" t="s">
        <v>8130</v>
      </c>
      <c r="F1354" s="77">
        <v>10</v>
      </c>
      <c r="G1354" s="77">
        <v>10</v>
      </c>
      <c r="H1354" s="77">
        <f>COUNTIF(HabilidadesEsenciales_Adquiridas,Tablas!E1354)</f>
        <v>0</v>
      </c>
      <c r="I1354" s="1005">
        <v>1</v>
      </c>
      <c r="J1354" s="176"/>
      <c r="K1354" s="996"/>
      <c r="M1354" s="326"/>
      <c r="N1354" s="21"/>
      <c r="O1354" s="134" t="s">
        <v>9984</v>
      </c>
      <c r="P1354" s="998">
        <v>20</v>
      </c>
      <c r="Q1354" s="176">
        <f>120+IF(OR(TipoDeCriatura="Entre mundos, Elemental",TipoDeCriatura="Ánima, Elemental"),10,0)</f>
        <v>120</v>
      </c>
      <c r="R1354" s="1005">
        <f>COUNTIF(PoderesDeCriatura_Adquiridos,Tablas!O1354)</f>
        <v>0</v>
      </c>
      <c r="S1354" s="176"/>
      <c r="T1354" s="996"/>
      <c r="W1354" s="1028" t="s">
        <v>1273</v>
      </c>
      <c r="X1354" s="1019"/>
      <c r="Y1354" s="834" t="str">
        <f t="shared" si="289"/>
        <v/>
      </c>
      <c r="Z1354" s="834" t="s">
        <v>6926</v>
      </c>
      <c r="AA1354" s="834"/>
      <c r="AB1354" s="834"/>
      <c r="AC1354" s="834"/>
      <c r="AD1354" s="834"/>
      <c r="AE1354" s="834"/>
      <c r="AF1354" s="834"/>
      <c r="AG1354" s="834"/>
      <c r="AH1354" s="834"/>
      <c r="AI1354" s="834"/>
      <c r="AJ1354" s="834"/>
      <c r="AK1354" s="834"/>
      <c r="AL1354" s="834"/>
      <c r="AM1354" s="834"/>
      <c r="AN1354" s="834"/>
      <c r="AO1354" s="834"/>
      <c r="AP1354" s="834"/>
      <c r="AQ1354" s="1024"/>
      <c r="AR1354" s="1024"/>
      <c r="AS1354" s="1024"/>
      <c r="AT1354" s="1024"/>
      <c r="AU1354" s="1024"/>
      <c r="AV1354" s="1024"/>
      <c r="AW1354" s="1024"/>
      <c r="AX1354" s="1024"/>
      <c r="AY1354" s="1024"/>
      <c r="AZ1354" s="1024"/>
      <c r="BA1354" s="1024"/>
      <c r="BB1354" s="1024"/>
      <c r="BC1354" s="1024"/>
      <c r="BD1354" s="1024"/>
      <c r="BE1354" s="1024"/>
      <c r="BF1354" s="1024"/>
      <c r="BG1354" s="1024"/>
      <c r="BH1354" s="1024"/>
      <c r="BI1354" s="1024"/>
      <c r="BJ1354" s="1024"/>
      <c r="BK1354" s="1024"/>
      <c r="BL1354" s="1024"/>
      <c r="BM1354" s="1024"/>
      <c r="BN1354" s="323"/>
      <c r="BO1354" s="323"/>
      <c r="BP1354" s="323"/>
      <c r="BQ1354" s="323"/>
      <c r="BR1354" s="323"/>
      <c r="BS1354" s="323"/>
      <c r="BT1354" s="323"/>
      <c r="BU1354" s="323"/>
      <c r="BV1354" s="323"/>
      <c r="BW1354" s="323"/>
      <c r="BX1354" s="323"/>
      <c r="BY1354" s="323"/>
      <c r="BZ1354" s="323"/>
      <c r="CA1354" s="323"/>
      <c r="CB1354" s="621"/>
    </row>
    <row r="1355" spans="1:80" ht="12.75" customHeight="1" x14ac:dyDescent="0.2">
      <c r="A1355" s="227">
        <v>1355</v>
      </c>
      <c r="B1355" s="5988"/>
      <c r="C1355" s="1000"/>
      <c r="D1355" s="58"/>
      <c r="E1355" s="1003" t="s">
        <v>8131</v>
      </c>
      <c r="F1355" s="77">
        <v>15</v>
      </c>
      <c r="G1355" s="77">
        <v>20</v>
      </c>
      <c r="H1355" s="77">
        <f>COUNTIF(HabilidadesEsenciales_Adquiridas,Tablas!E1355)</f>
        <v>0</v>
      </c>
      <c r="I1355" s="1005">
        <v>1</v>
      </c>
      <c r="J1355" s="176"/>
      <c r="K1355" s="996"/>
      <c r="M1355" s="326"/>
      <c r="N1355" s="21"/>
      <c r="O1355" s="134" t="s">
        <v>7744</v>
      </c>
      <c r="P1355" s="998">
        <v>25</v>
      </c>
      <c r="Q1355" s="176">
        <f>120+IF(OR(TipoDeCriatura="Entre mundos, Elemental",TipoDeCriatura="Ánima, Elemental"),10,0)</f>
        <v>120</v>
      </c>
      <c r="R1355" s="1005">
        <f>COUNTIF(PoderesDeCriatura_Adquiridos,Tablas!O1355)</f>
        <v>0</v>
      </c>
      <c r="S1355" s="176"/>
      <c r="T1355" s="996"/>
      <c r="W1355" s="1028" t="s">
        <v>1272</v>
      </c>
      <c r="X1355" s="1019"/>
      <c r="Y1355" s="834" t="str">
        <f t="shared" si="289"/>
        <v/>
      </c>
      <c r="Z1355" s="834" t="s">
        <v>6926</v>
      </c>
      <c r="AA1355" s="834"/>
      <c r="AB1355" s="834"/>
      <c r="AC1355" s="834"/>
      <c r="AD1355" s="834"/>
      <c r="AE1355" s="834"/>
      <c r="AF1355" s="834"/>
      <c r="AG1355" s="834"/>
      <c r="AH1355" s="834"/>
      <c r="AI1355" s="834"/>
      <c r="AJ1355" s="834"/>
      <c r="AK1355" s="834"/>
      <c r="AL1355" s="834"/>
      <c r="AM1355" s="834"/>
      <c r="AN1355" s="834"/>
      <c r="AO1355" s="834"/>
      <c r="AP1355" s="834"/>
      <c r="AQ1355" s="1024"/>
      <c r="AR1355" s="1024"/>
      <c r="AS1355" s="1024"/>
      <c r="AT1355" s="1024"/>
      <c r="AU1355" s="1024"/>
      <c r="AV1355" s="1024"/>
      <c r="AW1355" s="1024"/>
      <c r="AX1355" s="1024"/>
      <c r="AY1355" s="1024"/>
      <c r="AZ1355" s="1024"/>
      <c r="BA1355" s="1024"/>
      <c r="BB1355" s="1024"/>
      <c r="BC1355" s="1024"/>
      <c r="BD1355" s="1024"/>
      <c r="BE1355" s="1024"/>
      <c r="BF1355" s="1024"/>
      <c r="BG1355" s="1024"/>
      <c r="BH1355" s="1024"/>
      <c r="BI1355" s="1024"/>
      <c r="BJ1355" s="1024"/>
      <c r="BK1355" s="1024"/>
      <c r="BL1355" s="1024"/>
      <c r="BM1355" s="1024"/>
      <c r="BN1355" s="323"/>
      <c r="BO1355" s="323"/>
      <c r="BP1355" s="323"/>
      <c r="BQ1355" s="323"/>
      <c r="BR1355" s="323"/>
      <c r="BS1355" s="323"/>
      <c r="BT1355" s="323"/>
      <c r="BU1355" s="323"/>
      <c r="BV1355" s="323"/>
      <c r="BW1355" s="323"/>
      <c r="BX1355" s="323"/>
      <c r="BY1355" s="323"/>
      <c r="BZ1355" s="323"/>
      <c r="CA1355" s="323"/>
      <c r="CB1355" s="621"/>
    </row>
    <row r="1356" spans="1:80" ht="12.75" customHeight="1" x14ac:dyDescent="0.2">
      <c r="A1356" s="227">
        <v>1356</v>
      </c>
      <c r="B1356" s="5988"/>
      <c r="C1356" s="1000"/>
      <c r="D1356" s="58"/>
      <c r="E1356" s="1003" t="s">
        <v>8132</v>
      </c>
      <c r="F1356" s="77">
        <v>20</v>
      </c>
      <c r="G1356" s="77">
        <v>30</v>
      </c>
      <c r="H1356" s="77">
        <f>COUNTIF(HabilidadesEsenciales_Adquiridas,Tablas!E1356)</f>
        <v>0</v>
      </c>
      <c r="I1356" s="1005">
        <v>1</v>
      </c>
      <c r="J1356" s="176"/>
      <c r="K1356" s="996"/>
      <c r="M1356" s="326"/>
      <c r="N1356" s="21"/>
      <c r="O1356" s="134" t="s">
        <v>7745</v>
      </c>
      <c r="P1356" s="998">
        <v>10</v>
      </c>
      <c r="Q1356" s="176">
        <f>20+IF(OR(TipoDeCriatura="Entre mundos, Elemental",TipoDeCriatura="Ánima, Elemental"),10,0)</f>
        <v>20</v>
      </c>
      <c r="R1356" s="1005">
        <f>COUNTIF(PoderesDeCriatura_Adquiridos,Tablas!O1356)</f>
        <v>0</v>
      </c>
      <c r="S1356" s="176"/>
      <c r="T1356" s="996"/>
      <c r="W1356" s="1028" t="s">
        <v>1269</v>
      </c>
      <c r="X1356" s="1019"/>
      <c r="Y1356" s="834" t="str">
        <f t="shared" si="289"/>
        <v/>
      </c>
      <c r="Z1356" s="834" t="s">
        <v>6926</v>
      </c>
      <c r="AA1356" s="834"/>
      <c r="AB1356" s="834"/>
      <c r="AC1356" s="834"/>
      <c r="AD1356" s="834"/>
      <c r="AE1356" s="834"/>
      <c r="AF1356" s="834"/>
      <c r="AG1356" s="834"/>
      <c r="AH1356" s="834"/>
      <c r="AI1356" s="834"/>
      <c r="AJ1356" s="834"/>
      <c r="AK1356" s="834"/>
      <c r="AL1356" s="834"/>
      <c r="AM1356" s="834"/>
      <c r="AN1356" s="834"/>
      <c r="AO1356" s="834"/>
      <c r="AP1356" s="834"/>
      <c r="AQ1356" s="1024"/>
      <c r="AR1356" s="1024"/>
      <c r="AS1356" s="1024"/>
      <c r="AT1356" s="1024"/>
      <c r="AU1356" s="1024"/>
      <c r="AV1356" s="1024"/>
      <c r="AW1356" s="1024"/>
      <c r="AX1356" s="1024"/>
      <c r="AY1356" s="1024"/>
      <c r="AZ1356" s="1024"/>
      <c r="BA1356" s="1024"/>
      <c r="BB1356" s="1024"/>
      <c r="BC1356" s="1024"/>
      <c r="BD1356" s="1024"/>
      <c r="BE1356" s="1024"/>
      <c r="BF1356" s="1024"/>
      <c r="BG1356" s="1024"/>
      <c r="BH1356" s="1024"/>
      <c r="BI1356" s="1024"/>
      <c r="BJ1356" s="1024"/>
      <c r="BK1356" s="1024"/>
      <c r="BL1356" s="1024"/>
      <c r="BM1356" s="1024"/>
      <c r="BN1356" s="323"/>
      <c r="BO1356" s="323"/>
      <c r="BP1356" s="323"/>
      <c r="BQ1356" s="323"/>
      <c r="BR1356" s="323"/>
      <c r="BS1356" s="323"/>
      <c r="BT1356" s="323"/>
      <c r="BU1356" s="323"/>
      <c r="BV1356" s="323"/>
      <c r="BW1356" s="323"/>
      <c r="BX1356" s="323"/>
      <c r="BY1356" s="323"/>
      <c r="BZ1356" s="323"/>
      <c r="CA1356" s="323"/>
      <c r="CB1356" s="621"/>
    </row>
    <row r="1357" spans="1:80" ht="12.75" customHeight="1" x14ac:dyDescent="0.2">
      <c r="A1357" s="227">
        <v>1357</v>
      </c>
      <c r="B1357" s="5988"/>
      <c r="C1357" s="1000"/>
      <c r="D1357" s="58"/>
      <c r="E1357" s="1003" t="s">
        <v>8133</v>
      </c>
      <c r="F1357" s="77">
        <v>25</v>
      </c>
      <c r="G1357" s="77">
        <v>40</v>
      </c>
      <c r="H1357" s="77">
        <f>COUNTIF(HabilidadesEsenciales_Adquiridas,Tablas!E1357)</f>
        <v>0</v>
      </c>
      <c r="I1357" s="1005">
        <v>1</v>
      </c>
      <c r="J1357" s="176"/>
      <c r="K1357" s="996"/>
      <c r="M1357" s="326"/>
      <c r="N1357" s="21"/>
      <c r="O1357" s="134" t="s">
        <v>7746</v>
      </c>
      <c r="P1357" s="998">
        <v>15</v>
      </c>
      <c r="Q1357" s="176">
        <f>50+IF(OR(TipoDeCriatura="Entre mundos, Elemental",TipoDeCriatura="Ánima, Elemental"),10,0)</f>
        <v>50</v>
      </c>
      <c r="R1357" s="1005">
        <f>COUNTIF(PoderesDeCriatura_Adquiridos,Tablas!O1357)</f>
        <v>0</v>
      </c>
      <c r="S1357" s="176"/>
      <c r="T1357" s="996"/>
      <c r="W1357" s="1028" t="s">
        <v>1270</v>
      </c>
      <c r="X1357" s="1019"/>
      <c r="Y1357" s="834" t="str">
        <f t="shared" si="289"/>
        <v/>
      </c>
      <c r="Z1357" s="834" t="s">
        <v>6926</v>
      </c>
      <c r="AA1357" s="834"/>
      <c r="AB1357" s="834"/>
      <c r="AC1357" s="834"/>
      <c r="AD1357" s="834"/>
      <c r="AE1357" s="834"/>
      <c r="AF1357" s="834"/>
      <c r="AG1357" s="834"/>
      <c r="AH1357" s="834"/>
      <c r="AI1357" s="834"/>
      <c r="AJ1357" s="834"/>
      <c r="AK1357" s="834"/>
      <c r="AL1357" s="834"/>
      <c r="AM1357" s="834"/>
      <c r="AN1357" s="834"/>
      <c r="AO1357" s="834"/>
      <c r="AP1357" s="834"/>
      <c r="AQ1357" s="1024"/>
      <c r="AR1357" s="1024"/>
      <c r="AS1357" s="1024"/>
      <c r="AT1357" s="1024"/>
      <c r="AU1357" s="1024"/>
      <c r="AV1357" s="1024"/>
      <c r="AW1357" s="1024"/>
      <c r="AX1357" s="1024"/>
      <c r="AY1357" s="1024"/>
      <c r="AZ1357" s="1024"/>
      <c r="BA1357" s="1024"/>
      <c r="BB1357" s="1024"/>
      <c r="BC1357" s="1024"/>
      <c r="BD1357" s="1024"/>
      <c r="BE1357" s="1024"/>
      <c r="BF1357" s="1024"/>
      <c r="BG1357" s="1024"/>
      <c r="BH1357" s="1024"/>
      <c r="BI1357" s="1024"/>
      <c r="BJ1357" s="1024"/>
      <c r="BK1357" s="1024"/>
      <c r="BL1357" s="1024"/>
      <c r="BM1357" s="1024"/>
      <c r="BN1357" s="323"/>
      <c r="BO1357" s="323"/>
      <c r="BP1357" s="323"/>
      <c r="BQ1357" s="323"/>
      <c r="BR1357" s="323"/>
      <c r="BS1357" s="323"/>
      <c r="BT1357" s="323"/>
      <c r="BU1357" s="323"/>
      <c r="BV1357" s="323"/>
      <c r="BW1357" s="323"/>
      <c r="BX1357" s="323"/>
      <c r="BY1357" s="323"/>
      <c r="BZ1357" s="323"/>
      <c r="CA1357" s="323"/>
      <c r="CB1357" s="621"/>
    </row>
    <row r="1358" spans="1:80" ht="12.75" customHeight="1" x14ac:dyDescent="0.2">
      <c r="A1358" s="227">
        <v>1358</v>
      </c>
      <c r="B1358" s="5988"/>
      <c r="C1358" s="1000"/>
      <c r="D1358" s="58"/>
      <c r="E1358" s="1003" t="s">
        <v>8134</v>
      </c>
      <c r="F1358" s="77">
        <v>30</v>
      </c>
      <c r="G1358" s="77">
        <v>50</v>
      </c>
      <c r="H1358" s="77">
        <f>COUNTIF(HabilidadesEsenciales_Adquiridas,Tablas!E1358)</f>
        <v>0</v>
      </c>
      <c r="I1358" s="1005">
        <v>1</v>
      </c>
      <c r="J1358" s="176"/>
      <c r="K1358" s="996"/>
      <c r="M1358" s="326"/>
      <c r="N1358" s="21"/>
      <c r="O1358" s="134" t="s">
        <v>7747</v>
      </c>
      <c r="P1358" s="998">
        <v>20</v>
      </c>
      <c r="Q1358" s="176">
        <f>100+IF(OR(TipoDeCriatura="Entre mundos, Elemental",TipoDeCriatura="Ánima, Elemental"),10,0)</f>
        <v>100</v>
      </c>
      <c r="R1358" s="1005">
        <f>COUNTIF(PoderesDeCriatura_Adquiridos,Tablas!O1358)</f>
        <v>0</v>
      </c>
      <c r="S1358" s="176"/>
      <c r="T1358" s="996"/>
      <c r="W1358" s="1028" t="s">
        <v>1268</v>
      </c>
      <c r="X1358" s="1019"/>
      <c r="Y1358" s="834" t="str">
        <f t="shared" si="289"/>
        <v/>
      </c>
      <c r="Z1358" s="834" t="s">
        <v>6926</v>
      </c>
      <c r="AA1358" s="834"/>
      <c r="AB1358" s="834"/>
      <c r="AC1358" s="834"/>
      <c r="AD1358" s="834"/>
      <c r="AE1358" s="834"/>
      <c r="AF1358" s="834"/>
      <c r="AG1358" s="834"/>
      <c r="AH1358" s="834"/>
      <c r="AI1358" s="834"/>
      <c r="AJ1358" s="834"/>
      <c r="AK1358" s="834"/>
      <c r="AL1358" s="834"/>
      <c r="AM1358" s="834"/>
      <c r="AN1358" s="834"/>
      <c r="AO1358" s="834"/>
      <c r="AP1358" s="834"/>
      <c r="AQ1358" s="1024"/>
      <c r="AR1358" s="1024"/>
      <c r="AS1358" s="1024"/>
      <c r="AT1358" s="1024"/>
      <c r="AU1358" s="1024"/>
      <c r="AV1358" s="1024"/>
      <c r="AW1358" s="1024"/>
      <c r="AX1358" s="1024"/>
      <c r="AY1358" s="1024"/>
      <c r="AZ1358" s="1024"/>
      <c r="BA1358" s="1024"/>
      <c r="BB1358" s="1024"/>
      <c r="BC1358" s="1024"/>
      <c r="BD1358" s="1024"/>
      <c r="BE1358" s="1024"/>
      <c r="BF1358" s="1024"/>
      <c r="BG1358" s="1024"/>
      <c r="BH1358" s="1024"/>
      <c r="BI1358" s="1024"/>
      <c r="BJ1358" s="1024"/>
      <c r="BK1358" s="1024"/>
      <c r="BL1358" s="1024"/>
      <c r="BM1358" s="1024"/>
      <c r="BN1358" s="323"/>
      <c r="BO1358" s="323"/>
      <c r="BP1358" s="323"/>
      <c r="BQ1358" s="323"/>
      <c r="BR1358" s="323"/>
      <c r="BS1358" s="323"/>
      <c r="BT1358" s="323"/>
      <c r="BU1358" s="323"/>
      <c r="BV1358" s="323"/>
      <c r="BW1358" s="323"/>
      <c r="BX1358" s="323"/>
      <c r="BY1358" s="323"/>
      <c r="BZ1358" s="323"/>
      <c r="CA1358" s="323"/>
      <c r="CB1358" s="621"/>
    </row>
    <row r="1359" spans="1:80" ht="12.75" customHeight="1" x14ac:dyDescent="0.2">
      <c r="A1359" s="227">
        <v>1359</v>
      </c>
      <c r="B1359" s="5988"/>
      <c r="C1359" s="1000"/>
      <c r="D1359" s="58"/>
      <c r="E1359" s="1003" t="s">
        <v>8135</v>
      </c>
      <c r="F1359" s="77">
        <v>10</v>
      </c>
      <c r="G1359" s="77">
        <v>10</v>
      </c>
      <c r="H1359" s="77">
        <f>COUNTIF(HabilidadesEsenciales_Adquiridas,Tablas!E1359)</f>
        <v>0</v>
      </c>
      <c r="I1359" s="1005">
        <v>1</v>
      </c>
      <c r="J1359" s="176"/>
      <c r="K1359" s="996"/>
      <c r="M1359" s="326"/>
      <c r="N1359" s="21"/>
      <c r="O1359" s="134" t="s">
        <v>7748</v>
      </c>
      <c r="P1359" s="998">
        <v>10</v>
      </c>
      <c r="Q1359" s="176">
        <f>10+IF(OR(TipoDeCriatura="Entre mundos, Elemental",TipoDeCriatura="Ánima, Elemental"),10,0)</f>
        <v>10</v>
      </c>
      <c r="R1359" s="1005">
        <f>COUNTIF(PoderesDeCriatura_Adquiridos,Tablas!O1359)</f>
        <v>0</v>
      </c>
      <c r="S1359" s="176"/>
      <c r="T1359" s="996"/>
      <c r="W1359" s="1028" t="s">
        <v>1274</v>
      </c>
      <c r="X1359" s="1019"/>
      <c r="Y1359" s="834" t="str">
        <f t="shared" si="289"/>
        <v/>
      </c>
      <c r="Z1359" s="834" t="s">
        <v>6926</v>
      </c>
      <c r="AA1359" s="834"/>
      <c r="AB1359" s="834"/>
      <c r="AC1359" s="834"/>
      <c r="AD1359" s="834"/>
      <c r="AE1359" s="834"/>
      <c r="AF1359" s="834"/>
      <c r="AG1359" s="834"/>
      <c r="AH1359" s="834"/>
      <c r="AI1359" s="834"/>
      <c r="AJ1359" s="834"/>
      <c r="AK1359" s="834"/>
      <c r="AL1359" s="834"/>
      <c r="AM1359" s="834"/>
      <c r="AN1359" s="834"/>
      <c r="AO1359" s="834"/>
      <c r="AP1359" s="834"/>
      <c r="AQ1359" s="1024"/>
      <c r="AR1359" s="1024"/>
      <c r="AS1359" s="1024"/>
      <c r="AT1359" s="1024"/>
      <c r="AU1359" s="1024"/>
      <c r="AV1359" s="1024"/>
      <c r="AW1359" s="1024"/>
      <c r="AX1359" s="1024"/>
      <c r="AY1359" s="1024"/>
      <c r="AZ1359" s="1024"/>
      <c r="BA1359" s="1024"/>
      <c r="BB1359" s="1024"/>
      <c r="BC1359" s="1024"/>
      <c r="BD1359" s="1024"/>
      <c r="BE1359" s="1024"/>
      <c r="BF1359" s="1024"/>
      <c r="BG1359" s="1024"/>
      <c r="BH1359" s="1024"/>
      <c r="BI1359" s="1024"/>
      <c r="BJ1359" s="1024"/>
      <c r="BK1359" s="1024"/>
      <c r="BL1359" s="1024"/>
      <c r="BM1359" s="1024"/>
      <c r="BN1359" s="323"/>
      <c r="BO1359" s="323"/>
      <c r="BP1359" s="323"/>
      <c r="BQ1359" s="323"/>
      <c r="BR1359" s="323"/>
      <c r="BS1359" s="323"/>
      <c r="BT1359" s="323"/>
      <c r="BU1359" s="323"/>
      <c r="BV1359" s="323"/>
      <c r="BW1359" s="323"/>
      <c r="BX1359" s="323"/>
      <c r="BY1359" s="323"/>
      <c r="BZ1359" s="323"/>
      <c r="CA1359" s="323"/>
      <c r="CB1359" s="621"/>
    </row>
    <row r="1360" spans="1:80" ht="12.75" customHeight="1" x14ac:dyDescent="0.2">
      <c r="A1360" s="227">
        <v>1360</v>
      </c>
      <c r="B1360" s="5988"/>
      <c r="C1360" s="1000"/>
      <c r="D1360" s="58"/>
      <c r="E1360" s="1003" t="s">
        <v>8136</v>
      </c>
      <c r="F1360" s="77">
        <v>15</v>
      </c>
      <c r="G1360" s="77">
        <v>20</v>
      </c>
      <c r="H1360" s="77">
        <f>COUNTIF(HabilidadesEsenciales_Adquiridas,Tablas!E1360)</f>
        <v>0</v>
      </c>
      <c r="I1360" s="1005">
        <v>1</v>
      </c>
      <c r="J1360" s="176"/>
      <c r="K1360" s="996"/>
      <c r="M1360" s="326"/>
      <c r="N1360" s="21"/>
      <c r="O1360" s="134" t="s">
        <v>7749</v>
      </c>
      <c r="P1360" s="998">
        <v>10</v>
      </c>
      <c r="Q1360" s="176">
        <v>-20</v>
      </c>
      <c r="R1360" s="1005">
        <f>COUNTIF(PoderesDeCriatura_Adquiridos,Tablas!O1360)</f>
        <v>0</v>
      </c>
      <c r="S1360" s="176"/>
      <c r="T1360" s="996"/>
      <c r="W1360" s="1028" t="s">
        <v>1267</v>
      </c>
      <c r="X1360" s="1019"/>
      <c r="Y1360" s="834" t="str">
        <f t="shared" si="289"/>
        <v/>
      </c>
      <c r="Z1360" s="834" t="s">
        <v>6926</v>
      </c>
      <c r="AA1360" s="834"/>
      <c r="AB1360" s="834"/>
      <c r="AC1360" s="834"/>
      <c r="AD1360" s="834"/>
      <c r="AE1360" s="834"/>
      <c r="AF1360" s="834"/>
      <c r="AG1360" s="834"/>
      <c r="AH1360" s="834"/>
      <c r="AI1360" s="834"/>
      <c r="AJ1360" s="834"/>
      <c r="AK1360" s="834"/>
      <c r="AL1360" s="834"/>
      <c r="AM1360" s="834"/>
      <c r="AN1360" s="834"/>
      <c r="AO1360" s="834"/>
      <c r="AP1360" s="834"/>
      <c r="AQ1360" s="1024"/>
      <c r="AR1360" s="1024"/>
      <c r="AS1360" s="1024"/>
      <c r="AT1360" s="1024"/>
      <c r="AU1360" s="1024"/>
      <c r="AV1360" s="1024"/>
      <c r="AW1360" s="1024"/>
      <c r="AX1360" s="1024"/>
      <c r="AY1360" s="1024"/>
      <c r="AZ1360" s="1024"/>
      <c r="BA1360" s="1024"/>
      <c r="BB1360" s="1024"/>
      <c r="BC1360" s="1024"/>
      <c r="BD1360" s="1024"/>
      <c r="BE1360" s="1024"/>
      <c r="BF1360" s="1024"/>
      <c r="BG1360" s="1024"/>
      <c r="BH1360" s="1024"/>
      <c r="BI1360" s="1024"/>
      <c r="BJ1360" s="1024"/>
      <c r="BK1360" s="1024"/>
      <c r="BL1360" s="1024"/>
      <c r="BM1360" s="1024"/>
      <c r="BN1360" s="323"/>
      <c r="BO1360" s="323"/>
      <c r="BP1360" s="323"/>
      <c r="BQ1360" s="323"/>
      <c r="BR1360" s="323"/>
      <c r="BS1360" s="323"/>
      <c r="BT1360" s="323"/>
      <c r="BU1360" s="323"/>
      <c r="BV1360" s="323"/>
      <c r="BW1360" s="323"/>
      <c r="BX1360" s="323"/>
      <c r="BY1360" s="323"/>
      <c r="BZ1360" s="323"/>
      <c r="CA1360" s="323"/>
      <c r="CB1360" s="621"/>
    </row>
    <row r="1361" spans="1:80" ht="12.75" customHeight="1" x14ac:dyDescent="0.2">
      <c r="A1361" s="227">
        <v>1361</v>
      </c>
      <c r="B1361" s="5988"/>
      <c r="C1361" s="1000"/>
      <c r="D1361" s="58"/>
      <c r="E1361" s="1003" t="s">
        <v>8137</v>
      </c>
      <c r="F1361" s="77">
        <v>20</v>
      </c>
      <c r="G1361" s="77">
        <v>30</v>
      </c>
      <c r="H1361" s="77">
        <f>COUNTIF(HabilidadesEsenciales_Adquiridas,Tablas!E1361)</f>
        <v>0</v>
      </c>
      <c r="I1361" s="1005">
        <v>1</v>
      </c>
      <c r="J1361" s="176"/>
      <c r="K1361" s="996"/>
      <c r="M1361" s="326"/>
      <c r="N1361" s="21"/>
      <c r="O1361" s="1" t="s">
        <v>7750</v>
      </c>
      <c r="P1361" s="998">
        <v>0</v>
      </c>
      <c r="Q1361" s="176">
        <v>10</v>
      </c>
      <c r="R1361" s="1005">
        <f>COUNTIF(PoderesDeCriatura_Adquiridos,Tablas!O1361)</f>
        <v>0</v>
      </c>
      <c r="S1361" s="176"/>
      <c r="T1361" s="996"/>
      <c r="W1361" s="1028" t="s">
        <v>1265</v>
      </c>
      <c r="X1361" s="1019"/>
      <c r="Y1361" s="834" t="str">
        <f t="shared" si="289"/>
        <v/>
      </c>
      <c r="Z1361" s="834" t="s">
        <v>6926</v>
      </c>
      <c r="AA1361" s="834"/>
      <c r="AB1361" s="834"/>
      <c r="AC1361" s="834"/>
      <c r="AD1361" s="834"/>
      <c r="AE1361" s="834"/>
      <c r="AF1361" s="834"/>
      <c r="AG1361" s="834"/>
      <c r="AH1361" s="834"/>
      <c r="AI1361" s="834"/>
      <c r="AJ1361" s="834"/>
      <c r="AK1361" s="834"/>
      <c r="AL1361" s="834"/>
      <c r="AM1361" s="834"/>
      <c r="AN1361" s="834"/>
      <c r="AO1361" s="834"/>
      <c r="AP1361" s="834"/>
      <c r="AQ1361" s="1024"/>
      <c r="AR1361" s="1024"/>
      <c r="AS1361" s="1024"/>
      <c r="AT1361" s="1024"/>
      <c r="AU1361" s="1024"/>
      <c r="AV1361" s="1024"/>
      <c r="AW1361" s="1024"/>
      <c r="AX1361" s="1024"/>
      <c r="AY1361" s="1024"/>
      <c r="AZ1361" s="1024"/>
      <c r="BA1361" s="1024"/>
      <c r="BB1361" s="1024"/>
      <c r="BC1361" s="1024"/>
      <c r="BD1361" s="1024"/>
      <c r="BE1361" s="1024"/>
      <c r="BF1361" s="1024"/>
      <c r="BG1361" s="1024"/>
      <c r="BH1361" s="1024"/>
      <c r="BI1361" s="1024"/>
      <c r="BJ1361" s="1024"/>
      <c r="BK1361" s="1024"/>
      <c r="BL1361" s="1024"/>
      <c r="BM1361" s="1024"/>
      <c r="BN1361" s="323"/>
      <c r="BO1361" s="323"/>
      <c r="BP1361" s="323"/>
      <c r="BQ1361" s="323"/>
      <c r="BR1361" s="323"/>
      <c r="BS1361" s="323"/>
      <c r="BT1361" s="323"/>
      <c r="BU1361" s="323"/>
      <c r="BV1361" s="323"/>
      <c r="BW1361" s="323"/>
      <c r="BX1361" s="323"/>
      <c r="BY1361" s="323"/>
      <c r="BZ1361" s="323"/>
      <c r="CA1361" s="323"/>
      <c r="CB1361" s="621"/>
    </row>
    <row r="1362" spans="1:80" ht="12.75" customHeight="1" x14ac:dyDescent="0.2">
      <c r="A1362" s="227">
        <v>1362</v>
      </c>
      <c r="B1362" s="5988"/>
      <c r="C1362" s="1000"/>
      <c r="D1362" s="58"/>
      <c r="E1362" s="1003" t="s">
        <v>8138</v>
      </c>
      <c r="F1362" s="77">
        <v>25</v>
      </c>
      <c r="G1362" s="77">
        <v>40</v>
      </c>
      <c r="H1362" s="77">
        <f>COUNTIF(HabilidadesEsenciales_Adquiridas,Tablas!E1362)</f>
        <v>0</v>
      </c>
      <c r="I1362" s="1005">
        <v>1</v>
      </c>
      <c r="J1362" s="176"/>
      <c r="K1362" s="996"/>
      <c r="M1362" s="326"/>
      <c r="N1362" s="21"/>
      <c r="O1362" s="134" t="s">
        <v>7751</v>
      </c>
      <c r="P1362" s="998">
        <v>0</v>
      </c>
      <c r="Q1362" s="176">
        <v>20</v>
      </c>
      <c r="R1362" s="1005">
        <f>COUNTIF(PoderesDeCriatura_Adquiridos,Tablas!O1362)</f>
        <v>0</v>
      </c>
      <c r="S1362" s="176"/>
      <c r="T1362" s="996"/>
      <c r="W1362" s="1028" t="s">
        <v>1266</v>
      </c>
      <c r="X1362" s="1019"/>
      <c r="Y1362" s="834" t="str">
        <f t="shared" si="289"/>
        <v/>
      </c>
      <c r="Z1362" s="834" t="s">
        <v>6926</v>
      </c>
      <c r="AA1362" s="834"/>
      <c r="AB1362" s="834"/>
      <c r="AC1362" s="834"/>
      <c r="AD1362" s="834"/>
      <c r="AE1362" s="834"/>
      <c r="AF1362" s="834"/>
      <c r="AG1362" s="834"/>
      <c r="AH1362" s="834"/>
      <c r="AI1362" s="834"/>
      <c r="AJ1362" s="834"/>
      <c r="AK1362" s="834"/>
      <c r="AL1362" s="834"/>
      <c r="AM1362" s="834"/>
      <c r="AN1362" s="834"/>
      <c r="AO1362" s="834"/>
      <c r="AP1362" s="834"/>
      <c r="AQ1362" s="1024"/>
      <c r="AR1362" s="1024"/>
      <c r="AS1362" s="1024"/>
      <c r="AT1362" s="1024"/>
      <c r="AU1362" s="1024"/>
      <c r="AV1362" s="1024"/>
      <c r="AW1362" s="1024"/>
      <c r="AX1362" s="1024"/>
      <c r="AY1362" s="1024"/>
      <c r="AZ1362" s="1024"/>
      <c r="BA1362" s="1024"/>
      <c r="BB1362" s="1024"/>
      <c r="BC1362" s="1024"/>
      <c r="BD1362" s="1024"/>
      <c r="BE1362" s="1024"/>
      <c r="BF1362" s="1024"/>
      <c r="BG1362" s="1024"/>
      <c r="BH1362" s="1024"/>
      <c r="BI1362" s="1024"/>
      <c r="BJ1362" s="1024"/>
      <c r="BK1362" s="1024"/>
      <c r="BL1362" s="1024"/>
      <c r="BM1362" s="1024"/>
      <c r="BN1362" s="323"/>
      <c r="BO1362" s="323"/>
      <c r="BP1362" s="323"/>
      <c r="BQ1362" s="323"/>
      <c r="BR1362" s="323"/>
      <c r="BS1362" s="323"/>
      <c r="BT1362" s="323"/>
      <c r="BU1362" s="323"/>
      <c r="BV1362" s="323"/>
      <c r="BW1362" s="323"/>
      <c r="BX1362" s="323"/>
      <c r="BY1362" s="323"/>
      <c r="BZ1362" s="323"/>
      <c r="CA1362" s="323"/>
      <c r="CB1362" s="621"/>
    </row>
    <row r="1363" spans="1:80" ht="12.75" customHeight="1" x14ac:dyDescent="0.2">
      <c r="A1363" s="227">
        <v>1363</v>
      </c>
      <c r="B1363" s="5988"/>
      <c r="C1363" s="1000"/>
      <c r="D1363" s="58"/>
      <c r="E1363" s="1003" t="s">
        <v>8139</v>
      </c>
      <c r="F1363" s="77">
        <v>30</v>
      </c>
      <c r="G1363" s="77">
        <v>50</v>
      </c>
      <c r="H1363" s="77">
        <f>COUNTIF(HabilidadesEsenciales_Adquiridas,Tablas!E1363)</f>
        <v>0</v>
      </c>
      <c r="I1363" s="1005">
        <v>1</v>
      </c>
      <c r="J1363" s="176"/>
      <c r="K1363" s="996"/>
      <c r="M1363" s="326"/>
      <c r="N1363" s="21"/>
      <c r="O1363" s="134" t="s">
        <v>7752</v>
      </c>
      <c r="P1363" s="998">
        <v>0</v>
      </c>
      <c r="Q1363" s="176">
        <v>30</v>
      </c>
      <c r="R1363" s="1005">
        <f>COUNTIF(PoderesDeCriatura_Adquiridos,Tablas!O1363)</f>
        <v>0</v>
      </c>
      <c r="S1363" s="176"/>
      <c r="T1363" s="996"/>
      <c r="W1363" s="1028" t="s">
        <v>1250</v>
      </c>
      <c r="X1363" s="1019"/>
      <c r="Y1363" s="834" t="str">
        <f t="shared" si="289"/>
        <v/>
      </c>
      <c r="Z1363" s="834" t="s">
        <v>6926</v>
      </c>
      <c r="AA1363" s="834"/>
      <c r="AB1363" s="834"/>
      <c r="AC1363" s="834"/>
      <c r="AD1363" s="834"/>
      <c r="AE1363" s="834"/>
      <c r="AF1363" s="834"/>
      <c r="AG1363" s="834"/>
      <c r="AH1363" s="834"/>
      <c r="AI1363" s="834"/>
      <c r="AJ1363" s="834"/>
      <c r="AK1363" s="834"/>
      <c r="AL1363" s="834"/>
      <c r="AM1363" s="834"/>
      <c r="AN1363" s="834"/>
      <c r="AO1363" s="834"/>
      <c r="AP1363" s="834"/>
      <c r="AQ1363" s="1024"/>
      <c r="AR1363" s="1024"/>
      <c r="AS1363" s="1024"/>
      <c r="AT1363" s="1024"/>
      <c r="AU1363" s="1024"/>
      <c r="AV1363" s="1024"/>
      <c r="AW1363" s="1024"/>
      <c r="AX1363" s="1024"/>
      <c r="AY1363" s="1024"/>
      <c r="AZ1363" s="1024"/>
      <c r="BA1363" s="1024"/>
      <c r="BB1363" s="1024"/>
      <c r="BC1363" s="1024"/>
      <c r="BD1363" s="1024"/>
      <c r="BE1363" s="1024"/>
      <c r="BF1363" s="1024"/>
      <c r="BG1363" s="1024"/>
      <c r="BH1363" s="1024"/>
      <c r="BI1363" s="1024"/>
      <c r="BJ1363" s="1024"/>
      <c r="BK1363" s="1024"/>
      <c r="BL1363" s="1024"/>
      <c r="BM1363" s="1024"/>
      <c r="BN1363" s="323"/>
      <c r="BO1363" s="323"/>
      <c r="BP1363" s="323"/>
      <c r="BQ1363" s="323"/>
      <c r="BR1363" s="323"/>
      <c r="BS1363" s="323"/>
      <c r="BT1363" s="323"/>
      <c r="BU1363" s="323"/>
      <c r="BV1363" s="323"/>
      <c r="BW1363" s="323"/>
      <c r="BX1363" s="323"/>
      <c r="BY1363" s="323"/>
      <c r="BZ1363" s="323"/>
      <c r="CA1363" s="323"/>
      <c r="CB1363" s="621"/>
    </row>
    <row r="1364" spans="1:80" ht="12.75" customHeight="1" x14ac:dyDescent="0.2">
      <c r="A1364" s="227">
        <v>1364</v>
      </c>
      <c r="B1364" s="5988"/>
      <c r="C1364" s="1000"/>
      <c r="D1364" s="58"/>
      <c r="E1364" s="1003" t="s">
        <v>8140</v>
      </c>
      <c r="F1364" s="77">
        <v>10</v>
      </c>
      <c r="G1364" s="77">
        <v>10</v>
      </c>
      <c r="H1364" s="77">
        <f>COUNTIF(HabilidadesEsenciales_Adquiridas,Tablas!E1364)</f>
        <v>0</v>
      </c>
      <c r="I1364" s="1005">
        <v>1</v>
      </c>
      <c r="J1364" s="176"/>
      <c r="K1364" s="996"/>
      <c r="M1364" s="326"/>
      <c r="N1364" s="21"/>
      <c r="O1364" s="134" t="s">
        <v>7753</v>
      </c>
      <c r="P1364" s="998">
        <v>5</v>
      </c>
      <c r="Q1364" s="176">
        <v>40</v>
      </c>
      <c r="R1364" s="1005">
        <f>COUNTIF(PoderesDeCriatura_Adquiridos,Tablas!O1364)</f>
        <v>0</v>
      </c>
      <c r="S1364" s="176"/>
      <c r="T1364" s="996"/>
      <c r="W1364" s="1028" t="s">
        <v>1262</v>
      </c>
      <c r="X1364" s="1019"/>
      <c r="Y1364" s="834" t="str">
        <f t="shared" si="289"/>
        <v/>
      </c>
      <c r="Z1364" s="834" t="s">
        <v>6926</v>
      </c>
      <c r="AA1364" s="834"/>
      <c r="AB1364" s="834"/>
      <c r="AC1364" s="834"/>
      <c r="AD1364" s="834"/>
      <c r="AE1364" s="834"/>
      <c r="AF1364" s="834"/>
      <c r="AG1364" s="834"/>
      <c r="AH1364" s="834"/>
      <c r="AI1364" s="834"/>
      <c r="AJ1364" s="834"/>
      <c r="AK1364" s="834"/>
      <c r="AL1364" s="834"/>
      <c r="AM1364" s="834"/>
      <c r="AN1364" s="834"/>
      <c r="AO1364" s="834"/>
      <c r="AP1364" s="834"/>
      <c r="AQ1364" s="1024"/>
      <c r="AR1364" s="1024"/>
      <c r="AS1364" s="1024"/>
      <c r="AT1364" s="1024"/>
      <c r="AU1364" s="1024"/>
      <c r="AV1364" s="1024"/>
      <c r="AW1364" s="1024"/>
      <c r="AX1364" s="1024"/>
      <c r="AY1364" s="1024"/>
      <c r="AZ1364" s="1024"/>
      <c r="BA1364" s="1024"/>
      <c r="BB1364" s="1024"/>
      <c r="BC1364" s="1024"/>
      <c r="BD1364" s="1024"/>
      <c r="BE1364" s="1024"/>
      <c r="BF1364" s="1024"/>
      <c r="BG1364" s="1024"/>
      <c r="BH1364" s="1024"/>
      <c r="BI1364" s="1024"/>
      <c r="BJ1364" s="1024"/>
      <c r="BK1364" s="1024"/>
      <c r="BL1364" s="1024"/>
      <c r="BM1364" s="1024"/>
      <c r="BN1364" s="323"/>
      <c r="BO1364" s="323"/>
      <c r="BP1364" s="323"/>
      <c r="BQ1364" s="323"/>
      <c r="BR1364" s="323"/>
      <c r="BS1364" s="323"/>
      <c r="BT1364" s="323"/>
      <c r="BU1364" s="323"/>
      <c r="BV1364" s="323"/>
      <c r="BW1364" s="323"/>
      <c r="BX1364" s="323"/>
      <c r="BY1364" s="323"/>
      <c r="BZ1364" s="323"/>
      <c r="CA1364" s="323"/>
      <c r="CB1364" s="621"/>
    </row>
    <row r="1365" spans="1:80" ht="12.75" customHeight="1" x14ac:dyDescent="0.2">
      <c r="A1365" s="227">
        <v>1365</v>
      </c>
      <c r="B1365" s="5988"/>
      <c r="C1365" s="1000"/>
      <c r="D1365" s="58"/>
      <c r="E1365" s="1003" t="s">
        <v>8141</v>
      </c>
      <c r="F1365" s="77">
        <v>15</v>
      </c>
      <c r="G1365" s="77">
        <v>20</v>
      </c>
      <c r="H1365" s="77">
        <f>COUNTIF(HabilidadesEsenciales_Adquiridas,Tablas!E1365)</f>
        <v>0</v>
      </c>
      <c r="I1365" s="1005">
        <v>1</v>
      </c>
      <c r="J1365" s="176"/>
      <c r="K1365" s="996"/>
      <c r="M1365" s="326"/>
      <c r="N1365" s="21"/>
      <c r="O1365" s="134" t="s">
        <v>7754</v>
      </c>
      <c r="P1365" s="998">
        <v>5</v>
      </c>
      <c r="Q1365" s="176">
        <v>50</v>
      </c>
      <c r="R1365" s="1005">
        <f>COUNTIF(PoderesDeCriatura_Adquiridos,Tablas!O1365)</f>
        <v>0</v>
      </c>
      <c r="S1365" s="176"/>
      <c r="T1365" s="996"/>
      <c r="W1365" s="1028" t="s">
        <v>1253</v>
      </c>
      <c r="X1365" s="1019"/>
      <c r="Y1365" s="834" t="str">
        <f t="shared" si="289"/>
        <v>PodHab_Sentidoagudizado</v>
      </c>
      <c r="Z1365" s="834" t="s">
        <v>10285</v>
      </c>
      <c r="AA1365" s="834" t="s">
        <v>10286</v>
      </c>
      <c r="AB1365" s="834" t="s">
        <v>10287</v>
      </c>
      <c r="AC1365" s="834" t="s">
        <v>10288</v>
      </c>
      <c r="AD1365" s="834" t="s">
        <v>10289</v>
      </c>
      <c r="AE1365" s="834"/>
      <c r="AF1365" s="834"/>
      <c r="AG1365" s="834"/>
      <c r="AH1365" s="834"/>
      <c r="AI1365" s="834"/>
      <c r="AJ1365" s="834"/>
      <c r="AK1365" s="834"/>
      <c r="AL1365" s="834"/>
      <c r="AM1365" s="834"/>
      <c r="AN1365" s="834"/>
      <c r="AO1365" s="834"/>
      <c r="AP1365" s="834"/>
      <c r="AQ1365" s="1024"/>
      <c r="AR1365" s="1024"/>
      <c r="AS1365" s="1024"/>
      <c r="AT1365" s="1024"/>
      <c r="AU1365" s="1024"/>
      <c r="AV1365" s="1024"/>
      <c r="AW1365" s="1024"/>
      <c r="AX1365" s="1024"/>
      <c r="AY1365" s="1024"/>
      <c r="AZ1365" s="1024"/>
      <c r="BA1365" s="1024"/>
      <c r="BB1365" s="1024"/>
      <c r="BC1365" s="1024"/>
      <c r="BD1365" s="1024"/>
      <c r="BE1365" s="1024"/>
      <c r="BF1365" s="1024"/>
      <c r="BG1365" s="1024"/>
      <c r="BH1365" s="1024"/>
      <c r="BI1365" s="1024"/>
      <c r="BJ1365" s="1024"/>
      <c r="BK1365" s="1024"/>
      <c r="BL1365" s="1024"/>
      <c r="BM1365" s="1024"/>
      <c r="BN1365" s="323"/>
      <c r="BO1365" s="323"/>
      <c r="BP1365" s="323"/>
      <c r="BQ1365" s="323"/>
      <c r="BR1365" s="323"/>
      <c r="BS1365" s="323"/>
      <c r="BT1365" s="323"/>
      <c r="BU1365" s="323"/>
      <c r="BV1365" s="323"/>
      <c r="BW1365" s="323"/>
      <c r="BX1365" s="323"/>
      <c r="BY1365" s="323"/>
      <c r="BZ1365" s="323"/>
      <c r="CA1365" s="323"/>
      <c r="CB1365" s="621"/>
    </row>
    <row r="1366" spans="1:80" ht="12.75" customHeight="1" x14ac:dyDescent="0.2">
      <c r="A1366" s="227">
        <v>1366</v>
      </c>
      <c r="B1366" s="5988"/>
      <c r="C1366" s="1000"/>
      <c r="D1366" s="58"/>
      <c r="E1366" s="1003" t="s">
        <v>8142</v>
      </c>
      <c r="F1366" s="77">
        <v>20</v>
      </c>
      <c r="G1366" s="77">
        <v>30</v>
      </c>
      <c r="H1366" s="77">
        <f>COUNTIF(HabilidadesEsenciales_Adquiridas,Tablas!E1366)</f>
        <v>0</v>
      </c>
      <c r="I1366" s="1005">
        <v>1</v>
      </c>
      <c r="J1366" s="176"/>
      <c r="K1366" s="996"/>
      <c r="M1366" s="326"/>
      <c r="N1366" s="21"/>
      <c r="O1366" s="134" t="s">
        <v>7755</v>
      </c>
      <c r="P1366" s="998">
        <v>10</v>
      </c>
      <c r="Q1366" s="176">
        <v>60</v>
      </c>
      <c r="R1366" s="1005">
        <f>COUNTIF(PoderesDeCriatura_Adquiridos,Tablas!O1366)</f>
        <v>0</v>
      </c>
      <c r="S1366" s="176"/>
      <c r="T1366" s="996"/>
      <c r="W1366" s="1028" t="s">
        <v>1263</v>
      </c>
      <c r="X1366" s="1019"/>
      <c r="Y1366" s="834" t="str">
        <f t="shared" si="289"/>
        <v/>
      </c>
      <c r="Z1366" s="834" t="s">
        <v>6926</v>
      </c>
      <c r="AA1366" s="834"/>
      <c r="AB1366" s="834"/>
      <c r="AC1366" s="834"/>
      <c r="AD1366" s="834"/>
      <c r="AE1366" s="834"/>
      <c r="AF1366" s="834"/>
      <c r="AG1366" s="834"/>
      <c r="AH1366" s="834"/>
      <c r="AI1366" s="834"/>
      <c r="AJ1366" s="834"/>
      <c r="AK1366" s="834"/>
      <c r="AL1366" s="834"/>
      <c r="AM1366" s="834"/>
      <c r="AN1366" s="834"/>
      <c r="AO1366" s="834"/>
      <c r="AP1366" s="834"/>
      <c r="AQ1366" s="1024"/>
      <c r="AR1366" s="1024"/>
      <c r="AS1366" s="1024"/>
      <c r="AT1366" s="1024"/>
      <c r="AU1366" s="1024"/>
      <c r="AV1366" s="1024"/>
      <c r="AW1366" s="1024"/>
      <c r="AX1366" s="1024"/>
      <c r="AY1366" s="1024"/>
      <c r="AZ1366" s="1024"/>
      <c r="BA1366" s="1024"/>
      <c r="BB1366" s="1024"/>
      <c r="BC1366" s="1024"/>
      <c r="BD1366" s="1024"/>
      <c r="BE1366" s="1024"/>
      <c r="BF1366" s="1024"/>
      <c r="BG1366" s="1024"/>
      <c r="BH1366" s="1024"/>
      <c r="BI1366" s="1024"/>
      <c r="BJ1366" s="1024"/>
      <c r="BK1366" s="1024"/>
      <c r="BL1366" s="1024"/>
      <c r="BM1366" s="1024"/>
      <c r="BN1366" s="323"/>
      <c r="BO1366" s="323"/>
      <c r="BP1366" s="323"/>
      <c r="BQ1366" s="323"/>
      <c r="BR1366" s="323"/>
      <c r="BS1366" s="323"/>
      <c r="BT1366" s="323"/>
      <c r="BU1366" s="323"/>
      <c r="BV1366" s="323"/>
      <c r="BW1366" s="323"/>
      <c r="BX1366" s="323"/>
      <c r="BY1366" s="323"/>
      <c r="BZ1366" s="323"/>
      <c r="CA1366" s="323"/>
      <c r="CB1366" s="621"/>
    </row>
    <row r="1367" spans="1:80" ht="12.75" customHeight="1" x14ac:dyDescent="0.2">
      <c r="A1367" s="227">
        <v>1367</v>
      </c>
      <c r="B1367" s="5988"/>
      <c r="C1367" s="1000"/>
      <c r="D1367" s="58"/>
      <c r="E1367" s="1003" t="s">
        <v>8143</v>
      </c>
      <c r="F1367" s="77">
        <v>25</v>
      </c>
      <c r="G1367" s="77">
        <v>40</v>
      </c>
      <c r="H1367" s="77">
        <f>COUNTIF(HabilidadesEsenciales_Adquiridas,Tablas!E1367)</f>
        <v>0</v>
      </c>
      <c r="I1367" s="1005">
        <v>1</v>
      </c>
      <c r="J1367" s="176"/>
      <c r="K1367" s="996"/>
      <c r="M1367" s="326"/>
      <c r="N1367" s="21"/>
      <c r="O1367" s="134" t="s">
        <v>7756</v>
      </c>
      <c r="P1367" s="998">
        <v>20</v>
      </c>
      <c r="Q1367" s="176">
        <v>70</v>
      </c>
      <c r="R1367" s="1005">
        <f>COUNTIF(PoderesDeCriatura_Adquiridos,Tablas!O1367)</f>
        <v>0</v>
      </c>
      <c r="S1367" s="176"/>
      <c r="T1367" s="996"/>
      <c r="W1367" s="1028" t="s">
        <v>7324</v>
      </c>
      <c r="X1367" s="1019"/>
      <c r="Y1367" s="834" t="str">
        <f t="shared" si="289"/>
        <v>PodHab_Tamañononatural</v>
      </c>
      <c r="Z1367" s="834" t="s">
        <v>2870</v>
      </c>
      <c r="AA1367" s="834" t="s">
        <v>2831</v>
      </c>
      <c r="AB1367" s="834" t="s">
        <v>2832</v>
      </c>
      <c r="AC1367" s="834" t="s">
        <v>3136</v>
      </c>
      <c r="AD1367" s="834" t="s">
        <v>6879</v>
      </c>
      <c r="AE1367" s="834" t="s">
        <v>8218</v>
      </c>
      <c r="AF1367" s="834" t="s">
        <v>8219</v>
      </c>
      <c r="AG1367" s="834" t="s">
        <v>8220</v>
      </c>
      <c r="AH1367" s="834" t="s">
        <v>8221</v>
      </c>
      <c r="AI1367" s="834" t="s">
        <v>8222</v>
      </c>
      <c r="AJ1367" s="834"/>
      <c r="AK1367" s="834"/>
      <c r="AL1367" s="834"/>
      <c r="AM1367" s="834"/>
      <c r="AN1367" s="834"/>
      <c r="AO1367" s="834"/>
      <c r="AP1367" s="834"/>
      <c r="AQ1367" s="1024"/>
      <c r="AR1367" s="1024"/>
      <c r="AS1367" s="1024"/>
      <c r="AT1367" s="1024"/>
      <c r="AU1367" s="1024"/>
      <c r="AV1367" s="1024"/>
      <c r="AW1367" s="1024"/>
      <c r="AX1367" s="1024"/>
      <c r="AY1367" s="1024"/>
      <c r="AZ1367" s="1024"/>
      <c r="BA1367" s="1024"/>
      <c r="BB1367" s="1024"/>
      <c r="BC1367" s="1024"/>
      <c r="BD1367" s="1024"/>
      <c r="BE1367" s="1024"/>
      <c r="BF1367" s="1024"/>
      <c r="BG1367" s="1024"/>
      <c r="BH1367" s="1024"/>
      <c r="BI1367" s="1024"/>
      <c r="BJ1367" s="1024"/>
      <c r="BK1367" s="1024"/>
      <c r="BL1367" s="1024"/>
      <c r="BM1367" s="1024"/>
      <c r="BN1367" s="323"/>
      <c r="BO1367" s="323"/>
      <c r="BP1367" s="323"/>
      <c r="BQ1367" s="323"/>
      <c r="BR1367" s="323"/>
      <c r="BS1367" s="323"/>
      <c r="BT1367" s="323"/>
      <c r="BU1367" s="323"/>
      <c r="BV1367" s="323"/>
      <c r="BW1367" s="323"/>
      <c r="BX1367" s="323"/>
      <c r="BY1367" s="323"/>
      <c r="BZ1367" s="323"/>
      <c r="CA1367" s="323"/>
      <c r="CB1367" s="621"/>
    </row>
    <row r="1368" spans="1:80" ht="12.75" customHeight="1" x14ac:dyDescent="0.2">
      <c r="A1368" s="227">
        <v>1368</v>
      </c>
      <c r="B1368" s="5988"/>
      <c r="C1368" s="1000"/>
      <c r="D1368" s="58"/>
      <c r="E1368" s="1003" t="s">
        <v>8144</v>
      </c>
      <c r="F1368" s="77">
        <v>30</v>
      </c>
      <c r="G1368" s="77">
        <v>50</v>
      </c>
      <c r="H1368" s="77">
        <f>COUNTIF(HabilidadesEsenciales_Adquiridas,Tablas!E1368)</f>
        <v>0</v>
      </c>
      <c r="I1368" s="1005">
        <v>1</v>
      </c>
      <c r="J1368" s="176"/>
      <c r="K1368" s="996"/>
      <c r="M1368" s="326"/>
      <c r="N1368" s="21"/>
      <c r="O1368" s="134" t="s">
        <v>7757</v>
      </c>
      <c r="P1368" s="998">
        <v>30</v>
      </c>
      <c r="Q1368" s="176">
        <v>80</v>
      </c>
      <c r="R1368" s="1005">
        <f>COUNTIF(PoderesDeCriatura_Adquiridos,Tablas!O1368)</f>
        <v>0</v>
      </c>
      <c r="S1368" s="176"/>
      <c r="T1368" s="996"/>
      <c r="W1368" s="1028" t="s">
        <v>1683</v>
      </c>
      <c r="X1368" s="1019"/>
      <c r="Y1368" s="834"/>
      <c r="Z1368" s="834"/>
      <c r="AA1368" s="834"/>
      <c r="AB1368" s="834"/>
      <c r="AC1368" s="834"/>
      <c r="AD1368" s="834"/>
      <c r="AE1368" s="834"/>
      <c r="AF1368" s="834"/>
      <c r="AG1368" s="834"/>
      <c r="AH1368" s="834"/>
      <c r="AI1368" s="834"/>
      <c r="AJ1368" s="834"/>
      <c r="AK1368" s="834"/>
      <c r="AL1368" s="834"/>
      <c r="AM1368" s="834"/>
      <c r="AN1368" s="834"/>
      <c r="AO1368" s="834"/>
      <c r="AP1368" s="834"/>
      <c r="AQ1368" s="1024"/>
      <c r="AR1368" s="1024"/>
      <c r="AS1368" s="1024"/>
      <c r="AT1368" s="1024"/>
      <c r="AU1368" s="1024"/>
      <c r="AV1368" s="1024"/>
      <c r="AW1368" s="1024"/>
      <c r="AX1368" s="1024"/>
      <c r="AY1368" s="1024"/>
      <c r="AZ1368" s="1024"/>
      <c r="BA1368" s="1024"/>
      <c r="BB1368" s="1024"/>
      <c r="BC1368" s="1024"/>
      <c r="BD1368" s="1024"/>
      <c r="BE1368" s="1024"/>
      <c r="BF1368" s="1024"/>
      <c r="BG1368" s="1024"/>
      <c r="BH1368" s="1024"/>
      <c r="BI1368" s="1024"/>
      <c r="BJ1368" s="1024"/>
      <c r="BK1368" s="1024"/>
      <c r="BL1368" s="1024"/>
      <c r="BM1368" s="1024"/>
      <c r="BN1368" s="323"/>
      <c r="BO1368" s="323"/>
      <c r="BP1368" s="323"/>
      <c r="BQ1368" s="323"/>
      <c r="BR1368" s="323"/>
      <c r="BS1368" s="323"/>
      <c r="BT1368" s="323"/>
      <c r="BU1368" s="323"/>
      <c r="BV1368" s="323"/>
      <c r="BW1368" s="323"/>
      <c r="BX1368" s="323"/>
      <c r="BY1368" s="323"/>
      <c r="BZ1368" s="323"/>
      <c r="CA1368" s="323"/>
      <c r="CB1368" s="621"/>
    </row>
    <row r="1369" spans="1:80" ht="12.75" customHeight="1" x14ac:dyDescent="0.2">
      <c r="A1369" s="227">
        <v>1369</v>
      </c>
      <c r="B1369" s="5988"/>
      <c r="C1369" s="1000"/>
      <c r="D1369" s="58"/>
      <c r="E1369" s="1003" t="s">
        <v>8145</v>
      </c>
      <c r="F1369" s="77">
        <v>10</v>
      </c>
      <c r="G1369" s="77">
        <v>10</v>
      </c>
      <c r="H1369" s="77">
        <f>COUNTIF(HabilidadesEsenciales_Adquiridas,Tablas!E1369)</f>
        <v>0</v>
      </c>
      <c r="I1369" s="1005">
        <v>1</v>
      </c>
      <c r="J1369" s="176"/>
      <c r="K1369" s="996"/>
      <c r="M1369" s="326"/>
      <c r="N1369" s="21"/>
      <c r="O1369" s="134" t="s">
        <v>7758</v>
      </c>
      <c r="P1369" s="998">
        <v>30</v>
      </c>
      <c r="Q1369" s="176">
        <v>90</v>
      </c>
      <c r="R1369" s="1005">
        <f>COUNTIF(PoderesDeCriatura_Adquiridos,Tablas!O1369)</f>
        <v>0</v>
      </c>
      <c r="S1369" s="176"/>
      <c r="T1369" s="996"/>
      <c r="W1369" s="1028" t="s">
        <v>1275</v>
      </c>
      <c r="X1369" s="1019"/>
      <c r="Y1369" s="834" t="str">
        <f>IF(Z1369="","",SUBSTITUTE("PodHab_"&amp;W1369," ",""))</f>
        <v/>
      </c>
      <c r="Z1369" s="834" t="s">
        <v>6926</v>
      </c>
      <c r="AA1369" s="834"/>
      <c r="AB1369" s="834"/>
      <c r="AC1369" s="834"/>
      <c r="AD1369" s="834"/>
      <c r="AE1369" s="834"/>
      <c r="AF1369" s="834"/>
      <c r="AG1369" s="834"/>
      <c r="AH1369" s="834"/>
      <c r="AI1369" s="834"/>
      <c r="AJ1369" s="834"/>
      <c r="AK1369" s="834"/>
      <c r="AL1369" s="834"/>
      <c r="AM1369" s="834"/>
      <c r="AN1369" s="834"/>
      <c r="AO1369" s="834"/>
      <c r="AP1369" s="834"/>
      <c r="AQ1369" s="1024"/>
      <c r="AR1369" s="1024"/>
      <c r="AS1369" s="1024"/>
      <c r="AT1369" s="1024"/>
      <c r="AU1369" s="1024"/>
      <c r="AV1369" s="1024"/>
      <c r="AW1369" s="1024"/>
      <c r="AX1369" s="1024"/>
      <c r="AY1369" s="1024"/>
      <c r="AZ1369" s="1024"/>
      <c r="BA1369" s="1024"/>
      <c r="BB1369" s="1024"/>
      <c r="BC1369" s="1024"/>
      <c r="BD1369" s="1024"/>
      <c r="BE1369" s="1024"/>
      <c r="BF1369" s="1024"/>
      <c r="BG1369" s="1024"/>
      <c r="BH1369" s="1024"/>
      <c r="BI1369" s="1024"/>
      <c r="BJ1369" s="1024"/>
      <c r="BK1369" s="1024"/>
      <c r="BL1369" s="1024"/>
      <c r="BM1369" s="1024"/>
      <c r="BN1369" s="323"/>
      <c r="BO1369" s="323"/>
      <c r="BP1369" s="323"/>
      <c r="BQ1369" s="323"/>
      <c r="BR1369" s="323"/>
      <c r="BS1369" s="323"/>
      <c r="BT1369" s="323"/>
      <c r="BU1369" s="323"/>
      <c r="BV1369" s="323"/>
      <c r="BW1369" s="323"/>
      <c r="BX1369" s="323"/>
      <c r="BY1369" s="323"/>
      <c r="BZ1369" s="323"/>
      <c r="CA1369" s="323"/>
      <c r="CB1369" s="621"/>
    </row>
    <row r="1370" spans="1:80" ht="12.75" customHeight="1" x14ac:dyDescent="0.2">
      <c r="A1370" s="227">
        <v>1370</v>
      </c>
      <c r="B1370" s="5988"/>
      <c r="C1370" s="1000"/>
      <c r="D1370" s="58"/>
      <c r="E1370" s="1003" t="s">
        <v>8146</v>
      </c>
      <c r="F1370" s="77">
        <v>15</v>
      </c>
      <c r="G1370" s="77">
        <v>20</v>
      </c>
      <c r="H1370" s="77">
        <f>COUNTIF(HabilidadesEsenciales_Adquiridas,Tablas!E1370)</f>
        <v>0</v>
      </c>
      <c r="I1370" s="1005">
        <v>1</v>
      </c>
      <c r="J1370" s="176"/>
      <c r="K1370" s="996"/>
      <c r="M1370" s="326"/>
      <c r="N1370" s="21"/>
      <c r="O1370" s="134" t="s">
        <v>7759</v>
      </c>
      <c r="P1370" s="998">
        <v>40</v>
      </c>
      <c r="Q1370" s="176">
        <v>100</v>
      </c>
      <c r="R1370" s="1005">
        <f>COUNTIF(PoderesDeCriatura_Adquiridos,Tablas!O1370)</f>
        <v>0</v>
      </c>
      <c r="S1370" s="176"/>
      <c r="T1370" s="996"/>
      <c r="W1370" s="1028" t="s">
        <v>7381</v>
      </c>
      <c r="X1370" s="1019"/>
      <c r="Y1370" s="834" t="str">
        <f>IF(Z1370="","",SUBSTITUTE("PodHab_"&amp;W1370," ",""))</f>
        <v>PodHab_Con.Naturaldevía</v>
      </c>
      <c r="Z1370" s="834" t="s">
        <v>8223</v>
      </c>
      <c r="AA1370" s="834" t="s">
        <v>8224</v>
      </c>
      <c r="AB1370" s="834" t="s">
        <v>8225</v>
      </c>
      <c r="AC1370" s="834" t="s">
        <v>8226</v>
      </c>
      <c r="AD1370" s="834" t="s">
        <v>8227</v>
      </c>
      <c r="AE1370" s="834" t="s">
        <v>8228</v>
      </c>
      <c r="AF1370" s="834" t="s">
        <v>8229</v>
      </c>
      <c r="AG1370" s="834" t="s">
        <v>8230</v>
      </c>
      <c r="AH1370" s="834" t="s">
        <v>8231</v>
      </c>
      <c r="AI1370" s="834" t="s">
        <v>8232</v>
      </c>
      <c r="AJ1370" s="834" t="s">
        <v>8233</v>
      </c>
      <c r="AK1370" s="834" t="s">
        <v>8234</v>
      </c>
      <c r="AL1370" s="834" t="s">
        <v>8235</v>
      </c>
      <c r="AM1370" s="834" t="s">
        <v>8236</v>
      </c>
      <c r="AN1370" s="834" t="s">
        <v>8237</v>
      </c>
      <c r="AO1370" s="834" t="s">
        <v>8238</v>
      </c>
      <c r="AP1370" s="834" t="s">
        <v>8239</v>
      </c>
      <c r="AQ1370" s="1024" t="s">
        <v>8240</v>
      </c>
      <c r="AR1370" s="1024" t="s">
        <v>8241</v>
      </c>
      <c r="AS1370" s="1024" t="s">
        <v>8242</v>
      </c>
      <c r="AT1370" s="1024" t="s">
        <v>8243</v>
      </c>
      <c r="AU1370" s="1024" t="s">
        <v>8244</v>
      </c>
      <c r="AV1370" s="1024" t="s">
        <v>8245</v>
      </c>
      <c r="AW1370" s="1024" t="s">
        <v>8246</v>
      </c>
      <c r="AX1370" s="1024" t="s">
        <v>8247</v>
      </c>
      <c r="AY1370" s="1024" t="s">
        <v>8248</v>
      </c>
      <c r="AZ1370" s="1024" t="s">
        <v>8249</v>
      </c>
      <c r="BA1370" s="1024" t="s">
        <v>8250</v>
      </c>
      <c r="BB1370" s="1024" t="s">
        <v>8251</v>
      </c>
      <c r="BC1370" s="1024" t="s">
        <v>8252</v>
      </c>
      <c r="BD1370" s="1024" t="s">
        <v>8253</v>
      </c>
      <c r="BE1370" s="1024" t="s">
        <v>8254</v>
      </c>
      <c r="BF1370" s="1024" t="s">
        <v>8255</v>
      </c>
      <c r="BG1370" s="1024" t="s">
        <v>8256</v>
      </c>
      <c r="BH1370" s="1024" t="s">
        <v>8257</v>
      </c>
      <c r="BI1370" s="1024" t="s">
        <v>8258</v>
      </c>
      <c r="BJ1370" s="1024" t="s">
        <v>8259</v>
      </c>
      <c r="BK1370" s="1024" t="s">
        <v>8260</v>
      </c>
      <c r="BL1370" s="1024" t="s">
        <v>8261</v>
      </c>
      <c r="BM1370" s="1024" t="s">
        <v>8262</v>
      </c>
      <c r="BN1370" s="1024" t="s">
        <v>8263</v>
      </c>
      <c r="BO1370" s="1024" t="s">
        <v>8264</v>
      </c>
      <c r="BP1370" s="1024" t="s">
        <v>8265</v>
      </c>
      <c r="BQ1370" s="1024" t="s">
        <v>8266</v>
      </c>
      <c r="BR1370" s="1024" t="s">
        <v>8267</v>
      </c>
      <c r="BS1370" s="1024" t="s">
        <v>8268</v>
      </c>
      <c r="BT1370" s="1024" t="s">
        <v>8269</v>
      </c>
      <c r="BU1370" s="1024" t="s">
        <v>8270</v>
      </c>
      <c r="BV1370" s="1024" t="s">
        <v>8271</v>
      </c>
      <c r="BW1370" s="1024" t="s">
        <v>8272</v>
      </c>
      <c r="BX1370" s="1024" t="s">
        <v>8273</v>
      </c>
      <c r="BY1370" s="1024" t="s">
        <v>8274</v>
      </c>
      <c r="BZ1370" s="1024" t="s">
        <v>8275</v>
      </c>
      <c r="CA1370" s="1024" t="s">
        <v>8276</v>
      </c>
      <c r="CB1370" s="1031" t="s">
        <v>8277</v>
      </c>
    </row>
    <row r="1371" spans="1:80" ht="12.75" customHeight="1" x14ac:dyDescent="0.2">
      <c r="A1371" s="227">
        <v>1371</v>
      </c>
      <c r="B1371" s="5988"/>
      <c r="C1371" s="1000"/>
      <c r="D1371" s="58"/>
      <c r="E1371" s="1003" t="s">
        <v>8147</v>
      </c>
      <c r="F1371" s="77">
        <v>20</v>
      </c>
      <c r="G1371" s="77">
        <v>30</v>
      </c>
      <c r="H1371" s="77">
        <f>COUNTIF(HabilidadesEsenciales_Adquiridas,Tablas!E1371)</f>
        <v>0</v>
      </c>
      <c r="I1371" s="1005">
        <v>1</v>
      </c>
      <c r="J1371" s="176"/>
      <c r="K1371" s="996"/>
      <c r="M1371" s="326"/>
      <c r="N1371" s="21"/>
      <c r="O1371" s="134" t="s">
        <v>7760</v>
      </c>
      <c r="P1371" s="998">
        <v>0</v>
      </c>
      <c r="Q1371" s="176">
        <v>10</v>
      </c>
      <c r="R1371" s="1005">
        <f>COUNTIF(PoderesDeCriatura_Adquiridos,Tablas!O1371)</f>
        <v>0</v>
      </c>
      <c r="S1371" s="176"/>
      <c r="T1371" s="996"/>
      <c r="W1371" s="1028" t="s">
        <v>2338</v>
      </c>
      <c r="X1371" s="1018"/>
      <c r="Y1371" s="834"/>
      <c r="Z1371" s="834"/>
      <c r="AA1371" s="834"/>
      <c r="AB1371" s="834"/>
      <c r="AC1371" s="834"/>
      <c r="AD1371" s="834"/>
      <c r="AE1371" s="834"/>
      <c r="AF1371" s="834"/>
      <c r="AG1371" s="834"/>
      <c r="AH1371" s="834"/>
      <c r="AI1371" s="834"/>
      <c r="AJ1371" s="834"/>
      <c r="AK1371" s="834"/>
      <c r="AL1371" s="834"/>
      <c r="AM1371" s="834"/>
      <c r="AN1371" s="834"/>
      <c r="AO1371" s="834"/>
      <c r="AP1371" s="834"/>
      <c r="AQ1371" s="1024"/>
      <c r="AR1371" s="1024"/>
      <c r="AS1371" s="1024"/>
      <c r="AT1371" s="1024"/>
      <c r="AU1371" s="1024"/>
      <c r="AV1371" s="1024"/>
      <c r="AW1371" s="1024"/>
      <c r="AX1371" s="1024"/>
      <c r="AY1371" s="1024"/>
      <c r="AZ1371" s="1024"/>
      <c r="BA1371" s="1024"/>
      <c r="BB1371" s="1024"/>
      <c r="BC1371" s="1024"/>
      <c r="BD1371" s="1024"/>
      <c r="BE1371" s="1024"/>
      <c r="BF1371" s="1024"/>
      <c r="BG1371" s="1024"/>
      <c r="BH1371" s="1024"/>
      <c r="BI1371" s="1024"/>
      <c r="BJ1371" s="1024"/>
      <c r="BK1371" s="1024"/>
      <c r="BL1371" s="1024"/>
      <c r="BM1371" s="1024"/>
      <c r="BN1371" s="1024"/>
      <c r="BO1371" s="1024"/>
      <c r="BP1371" s="1024"/>
      <c r="BQ1371" s="1024"/>
      <c r="BR1371" s="1024"/>
      <c r="BS1371" s="1024"/>
      <c r="BT1371" s="1024"/>
      <c r="BU1371" s="1024"/>
      <c r="BV1371" s="1024"/>
      <c r="BW1371" s="1024"/>
      <c r="BX1371" s="1024"/>
      <c r="BY1371" s="1024"/>
      <c r="BZ1371" s="1024"/>
      <c r="CA1371" s="1024"/>
      <c r="CB1371" s="1024"/>
    </row>
    <row r="1372" spans="1:80" ht="12.75" customHeight="1" x14ac:dyDescent="0.2">
      <c r="A1372" s="227">
        <v>1372</v>
      </c>
      <c r="B1372" s="5988"/>
      <c r="C1372" s="1000"/>
      <c r="D1372" s="58"/>
      <c r="E1372" s="1003" t="s">
        <v>8148</v>
      </c>
      <c r="F1372" s="77">
        <v>25</v>
      </c>
      <c r="G1372" s="77">
        <v>40</v>
      </c>
      <c r="H1372" s="77">
        <f>COUNTIF(HabilidadesEsenciales_Adquiridas,Tablas!E1372)</f>
        <v>0</v>
      </c>
      <c r="I1372" s="1005">
        <v>1</v>
      </c>
      <c r="J1372" s="176"/>
      <c r="K1372" s="996"/>
      <c r="M1372" s="326"/>
      <c r="N1372" s="21"/>
      <c r="O1372" s="134" t="s">
        <v>7761</v>
      </c>
      <c r="P1372" s="998">
        <v>0</v>
      </c>
      <c r="Q1372" s="176">
        <v>20</v>
      </c>
      <c r="R1372" s="1005">
        <f>COUNTIF(PoderesDeCriatura_Adquiridos,Tablas!O1372)</f>
        <v>0</v>
      </c>
      <c r="S1372" s="176"/>
      <c r="T1372" s="996"/>
      <c r="W1372" s="1028" t="s">
        <v>2337</v>
      </c>
      <c r="X1372" s="1019"/>
      <c r="Y1372" s="834"/>
      <c r="Z1372" s="834"/>
      <c r="AA1372" s="834"/>
      <c r="AB1372" s="834"/>
      <c r="AC1372" s="834"/>
      <c r="AD1372" s="834"/>
      <c r="AE1372" s="834"/>
      <c r="AF1372" s="834"/>
      <c r="AG1372" s="834"/>
      <c r="AH1372" s="834"/>
      <c r="AI1372" s="834"/>
      <c r="AJ1372" s="834"/>
      <c r="AK1372" s="834"/>
      <c r="AL1372" s="834"/>
      <c r="AM1372" s="834"/>
      <c r="AN1372" s="834"/>
      <c r="AO1372" s="834"/>
      <c r="AP1372" s="834"/>
      <c r="AQ1372" s="1024"/>
      <c r="AR1372" s="1024"/>
      <c r="AS1372" s="1024"/>
      <c r="AT1372" s="1024"/>
      <c r="AU1372" s="1024"/>
      <c r="AV1372" s="1024"/>
      <c r="AW1372" s="1024"/>
      <c r="AX1372" s="1024"/>
      <c r="AY1372" s="1024"/>
      <c r="AZ1372" s="1024"/>
      <c r="BA1372" s="1024"/>
      <c r="BB1372" s="1024"/>
      <c r="BC1372" s="1024"/>
      <c r="BD1372" s="1024"/>
      <c r="BE1372" s="1024"/>
      <c r="BF1372" s="1024"/>
      <c r="BG1372" s="1024"/>
      <c r="BH1372" s="1024"/>
      <c r="BI1372" s="1024"/>
      <c r="BJ1372" s="1024"/>
      <c r="BK1372" s="1024"/>
      <c r="BL1372" s="1024"/>
      <c r="BM1372" s="1024"/>
      <c r="BN1372" s="323"/>
      <c r="BO1372" s="323"/>
      <c r="BP1372" s="323"/>
      <c r="BQ1372" s="323"/>
      <c r="BR1372" s="323"/>
      <c r="BS1372" s="323"/>
      <c r="BT1372" s="323"/>
      <c r="BU1372" s="323"/>
      <c r="BV1372" s="323"/>
      <c r="BW1372" s="323"/>
      <c r="BX1372" s="323"/>
      <c r="BY1372" s="323"/>
      <c r="BZ1372" s="323"/>
      <c r="CA1372" s="323"/>
      <c r="CB1372" s="621"/>
    </row>
    <row r="1373" spans="1:80" ht="12.75" customHeight="1" x14ac:dyDescent="0.2">
      <c r="A1373" s="227">
        <v>1373</v>
      </c>
      <c r="B1373" s="5988"/>
      <c r="C1373" s="1000"/>
      <c r="D1373" s="58"/>
      <c r="E1373" s="1003" t="s">
        <v>8149</v>
      </c>
      <c r="F1373" s="77">
        <v>30</v>
      </c>
      <c r="G1373" s="77">
        <v>50</v>
      </c>
      <c r="H1373" s="77">
        <f>COUNTIF(HabilidadesEsenciales_Adquiridas,Tablas!E1373)</f>
        <v>0</v>
      </c>
      <c r="I1373" s="1005">
        <v>1</v>
      </c>
      <c r="J1373" s="176"/>
      <c r="K1373" s="996"/>
      <c r="M1373" s="326"/>
      <c r="N1373" s="21"/>
      <c r="O1373" s="134" t="s">
        <v>7762</v>
      </c>
      <c r="P1373" s="998">
        <v>0</v>
      </c>
      <c r="Q1373" s="176">
        <v>30</v>
      </c>
      <c r="R1373" s="1005">
        <f>COUNTIF(PoderesDeCriatura_Adquiridos,Tablas!O1373)</f>
        <v>0</v>
      </c>
      <c r="S1373" s="176"/>
      <c r="T1373" s="996"/>
      <c r="W1373" s="1028" t="s">
        <v>1277</v>
      </c>
      <c r="X1373" s="1019"/>
      <c r="Y1373" s="834" t="str">
        <f t="shared" ref="Y1373:Y1378" si="290">IF(Z1373="","",SUBSTITUTE("PodHab_"&amp;W1373," ",""))</f>
        <v/>
      </c>
      <c r="Z1373" s="834" t="s">
        <v>6926</v>
      </c>
      <c r="AA1373" s="834"/>
      <c r="AB1373" s="834"/>
      <c r="AC1373" s="834"/>
      <c r="AD1373" s="834"/>
      <c r="AE1373" s="834"/>
      <c r="AF1373" s="834"/>
      <c r="AG1373" s="834"/>
      <c r="AH1373" s="834"/>
      <c r="AI1373" s="834"/>
      <c r="AJ1373" s="834"/>
      <c r="AK1373" s="834"/>
      <c r="AL1373" s="834"/>
      <c r="AM1373" s="834"/>
      <c r="AN1373" s="834"/>
      <c r="AO1373" s="834"/>
      <c r="AP1373" s="834"/>
      <c r="AQ1373" s="1024"/>
      <c r="AR1373" s="1024"/>
      <c r="AS1373" s="1024"/>
      <c r="AT1373" s="1024"/>
      <c r="AU1373" s="1024"/>
      <c r="AV1373" s="1024"/>
      <c r="AW1373" s="1024"/>
      <c r="AX1373" s="1024"/>
      <c r="AY1373" s="1024"/>
      <c r="AZ1373" s="1024"/>
      <c r="BA1373" s="1024"/>
      <c r="BB1373" s="1024"/>
      <c r="BC1373" s="1024"/>
      <c r="BD1373" s="1024"/>
      <c r="BE1373" s="1024"/>
      <c r="BF1373" s="1024"/>
      <c r="BG1373" s="1024"/>
      <c r="BH1373" s="1024"/>
      <c r="BI1373" s="1024"/>
      <c r="BJ1373" s="1024"/>
      <c r="BK1373" s="1024"/>
      <c r="BL1373" s="1024"/>
      <c r="BM1373" s="1024"/>
      <c r="BN1373" s="323"/>
      <c r="BO1373" s="323"/>
      <c r="BP1373" s="323"/>
      <c r="BQ1373" s="323"/>
      <c r="BR1373" s="323"/>
      <c r="BS1373" s="323"/>
      <c r="BT1373" s="323"/>
      <c r="BU1373" s="323"/>
      <c r="BV1373" s="323"/>
      <c r="BW1373" s="323"/>
      <c r="BX1373" s="323"/>
      <c r="BY1373" s="323"/>
      <c r="BZ1373" s="323"/>
      <c r="CA1373" s="323"/>
      <c r="CB1373" s="621"/>
    </row>
    <row r="1374" spans="1:80" ht="12.75" customHeight="1" x14ac:dyDescent="0.2">
      <c r="A1374" s="227">
        <v>1374</v>
      </c>
      <c r="B1374" s="5988"/>
      <c r="C1374" s="1000"/>
      <c r="D1374" s="58"/>
      <c r="E1374" s="1003" t="s">
        <v>8150</v>
      </c>
      <c r="F1374" s="77">
        <v>10</v>
      </c>
      <c r="G1374" s="77">
        <v>10</v>
      </c>
      <c r="H1374" s="77">
        <f>COUNTIF(HabilidadesEsenciales_Adquiridas,Tablas!E1374)</f>
        <v>0</v>
      </c>
      <c r="I1374" s="1005">
        <v>1</v>
      </c>
      <c r="J1374" s="176"/>
      <c r="K1374" s="996"/>
      <c r="M1374" s="326"/>
      <c r="N1374" s="21"/>
      <c r="O1374" s="134" t="s">
        <v>7763</v>
      </c>
      <c r="P1374" s="998">
        <v>10</v>
      </c>
      <c r="Q1374" s="176">
        <v>40</v>
      </c>
      <c r="R1374" s="1005">
        <f>COUNTIF(PoderesDeCriatura_Adquiridos,Tablas!O1374)</f>
        <v>0</v>
      </c>
      <c r="S1374" s="176"/>
      <c r="T1374" s="996"/>
      <c r="W1374" s="1028" t="s">
        <v>1276</v>
      </c>
      <c r="X1374" s="1019"/>
      <c r="Y1374" s="834" t="str">
        <f t="shared" si="290"/>
        <v/>
      </c>
      <c r="Z1374" s="834" t="s">
        <v>6926</v>
      </c>
      <c r="AA1374" s="834"/>
      <c r="AB1374" s="834"/>
      <c r="AC1374" s="834"/>
      <c r="AD1374" s="834"/>
      <c r="AE1374" s="834"/>
      <c r="AF1374" s="834"/>
      <c r="AG1374" s="834"/>
      <c r="AH1374" s="834"/>
      <c r="AI1374" s="834"/>
      <c r="AJ1374" s="834"/>
      <c r="AK1374" s="834"/>
      <c r="AL1374" s="834"/>
      <c r="AM1374" s="834"/>
      <c r="AN1374" s="834"/>
      <c r="AO1374" s="834"/>
      <c r="AP1374" s="834"/>
      <c r="AQ1374" s="1024"/>
      <c r="AR1374" s="1024"/>
      <c r="AS1374" s="1024"/>
      <c r="AT1374" s="1024"/>
      <c r="AU1374" s="1024"/>
      <c r="AV1374" s="1024"/>
      <c r="AW1374" s="1024"/>
      <c r="AX1374" s="1024"/>
      <c r="AY1374" s="1024"/>
      <c r="AZ1374" s="1024"/>
      <c r="BA1374" s="1024"/>
      <c r="BB1374" s="1024"/>
      <c r="BC1374" s="1024"/>
      <c r="BD1374" s="1024"/>
      <c r="BE1374" s="1024"/>
      <c r="BF1374" s="1024"/>
      <c r="BG1374" s="1024"/>
      <c r="BH1374" s="1024"/>
      <c r="BI1374" s="1024"/>
      <c r="BJ1374" s="1024"/>
      <c r="BK1374" s="1024"/>
      <c r="BL1374" s="1024"/>
      <c r="BM1374" s="1024"/>
      <c r="BN1374" s="323"/>
      <c r="BO1374" s="323"/>
      <c r="BP1374" s="323"/>
      <c r="BQ1374" s="323"/>
      <c r="BR1374" s="323"/>
      <c r="BS1374" s="323"/>
      <c r="BT1374" s="323"/>
      <c r="BU1374" s="323"/>
      <c r="BV1374" s="323"/>
      <c r="BW1374" s="323"/>
      <c r="BX1374" s="323"/>
      <c r="BY1374" s="323"/>
      <c r="BZ1374" s="323"/>
      <c r="CA1374" s="323"/>
      <c r="CB1374" s="621"/>
    </row>
    <row r="1375" spans="1:80" ht="12.75" customHeight="1" x14ac:dyDescent="0.2">
      <c r="A1375" s="227">
        <v>1375</v>
      </c>
      <c r="B1375" s="5988"/>
      <c r="C1375" s="1000"/>
      <c r="D1375" s="58"/>
      <c r="E1375" s="1003" t="s">
        <v>8151</v>
      </c>
      <c r="F1375" s="77">
        <v>15</v>
      </c>
      <c r="G1375" s="77">
        <v>20</v>
      </c>
      <c r="H1375" s="77">
        <f>COUNTIF(HabilidadesEsenciales_Adquiridas,Tablas!E1375)</f>
        <v>0</v>
      </c>
      <c r="I1375" s="1005">
        <v>1</v>
      </c>
      <c r="J1375" s="176"/>
      <c r="K1375" s="996"/>
      <c r="M1375" s="326"/>
      <c r="N1375" s="21"/>
      <c r="O1375" s="134" t="s">
        <v>7764</v>
      </c>
      <c r="P1375" s="998">
        <v>20</v>
      </c>
      <c r="Q1375" s="176">
        <v>60</v>
      </c>
      <c r="R1375" s="1005">
        <f>COUNTIF(PoderesDeCriatura_Adquiridos,Tablas!O1375)</f>
        <v>0</v>
      </c>
      <c r="S1375" s="176"/>
      <c r="T1375" s="996"/>
      <c r="W1375" s="1028" t="s">
        <v>1278</v>
      </c>
      <c r="X1375" s="1019"/>
      <c r="Y1375" s="834" t="str">
        <f t="shared" si="290"/>
        <v/>
      </c>
      <c r="Z1375" s="834" t="s">
        <v>6926</v>
      </c>
      <c r="AA1375" s="834"/>
      <c r="AB1375" s="834"/>
      <c r="AC1375" s="834"/>
      <c r="AD1375" s="834"/>
      <c r="AE1375" s="834"/>
      <c r="AF1375" s="834"/>
      <c r="AG1375" s="834"/>
      <c r="AH1375" s="834"/>
      <c r="AI1375" s="834"/>
      <c r="AJ1375" s="834"/>
      <c r="AK1375" s="834"/>
      <c r="AL1375" s="834"/>
      <c r="AM1375" s="834"/>
      <c r="AN1375" s="834"/>
      <c r="AO1375" s="834"/>
      <c r="AP1375" s="834"/>
      <c r="AQ1375" s="1024"/>
      <c r="AR1375" s="1024"/>
      <c r="AS1375" s="1024"/>
      <c r="AT1375" s="1024"/>
      <c r="AU1375" s="1024"/>
      <c r="AV1375" s="1024"/>
      <c r="AW1375" s="1024"/>
      <c r="AX1375" s="1024"/>
      <c r="AY1375" s="1024"/>
      <c r="AZ1375" s="1024"/>
      <c r="BA1375" s="1024"/>
      <c r="BB1375" s="1024"/>
      <c r="BC1375" s="1024"/>
      <c r="BD1375" s="1024"/>
      <c r="BE1375" s="1024"/>
      <c r="BF1375" s="1024"/>
      <c r="BG1375" s="1024"/>
      <c r="BH1375" s="1024"/>
      <c r="BI1375" s="1024"/>
      <c r="BJ1375" s="1024"/>
      <c r="BK1375" s="1024"/>
      <c r="BL1375" s="1024"/>
      <c r="BM1375" s="1024"/>
      <c r="BN1375" s="323"/>
      <c r="BO1375" s="323"/>
      <c r="BP1375" s="323"/>
      <c r="BQ1375" s="323"/>
      <c r="BR1375" s="323"/>
      <c r="BS1375" s="323"/>
      <c r="BT1375" s="323"/>
      <c r="BU1375" s="323"/>
      <c r="BV1375" s="323"/>
      <c r="BW1375" s="323"/>
      <c r="BX1375" s="323"/>
      <c r="BY1375" s="323"/>
      <c r="BZ1375" s="323"/>
      <c r="CA1375" s="323"/>
      <c r="CB1375" s="621"/>
    </row>
    <row r="1376" spans="1:80" ht="12.75" customHeight="1" x14ac:dyDescent="0.2">
      <c r="A1376" s="227">
        <v>1376</v>
      </c>
      <c r="B1376" s="5988"/>
      <c r="C1376" s="1000"/>
      <c r="D1376" s="58"/>
      <c r="E1376" s="1003" t="s">
        <v>8152</v>
      </c>
      <c r="F1376" s="77">
        <v>20</v>
      </c>
      <c r="G1376" s="77">
        <v>30</v>
      </c>
      <c r="H1376" s="77">
        <f>COUNTIF(HabilidadesEsenciales_Adquiridas,Tablas!E1376)</f>
        <v>0</v>
      </c>
      <c r="I1376" s="1005">
        <v>1</v>
      </c>
      <c r="J1376" s="176"/>
      <c r="K1376" s="996"/>
      <c r="M1376" s="326"/>
      <c r="N1376" s="21"/>
      <c r="O1376" s="134" t="s">
        <v>7765</v>
      </c>
      <c r="P1376" s="998">
        <v>25</v>
      </c>
      <c r="Q1376" s="176">
        <v>80</v>
      </c>
      <c r="R1376" s="1005">
        <f>COUNTIF(PoderesDeCriatura_Adquiridos,Tablas!O1376)</f>
        <v>0</v>
      </c>
      <c r="S1376" s="176"/>
      <c r="T1376" s="996"/>
      <c r="W1376" s="1028" t="s">
        <v>2352</v>
      </c>
      <c r="X1376" s="1019"/>
      <c r="Y1376" s="834" t="str">
        <f t="shared" si="290"/>
        <v/>
      </c>
      <c r="Z1376" s="834" t="s">
        <v>6926</v>
      </c>
      <c r="AA1376" s="834"/>
      <c r="AB1376" s="834"/>
      <c r="AC1376" s="834"/>
      <c r="AD1376" s="834"/>
      <c r="AE1376" s="834"/>
      <c r="AF1376" s="834"/>
      <c r="AG1376" s="834"/>
      <c r="AH1376" s="834"/>
      <c r="AI1376" s="834"/>
      <c r="AJ1376" s="834"/>
      <c r="AK1376" s="834"/>
      <c r="AL1376" s="834"/>
      <c r="AM1376" s="834"/>
      <c r="AN1376" s="834"/>
      <c r="AO1376" s="834"/>
      <c r="AP1376" s="834"/>
      <c r="AQ1376" s="1024"/>
      <c r="AR1376" s="1024"/>
      <c r="AS1376" s="1024"/>
      <c r="AT1376" s="1024"/>
      <c r="AU1376" s="1024"/>
      <c r="AV1376" s="1024"/>
      <c r="AW1376" s="1024"/>
      <c r="AX1376" s="1024"/>
      <c r="AY1376" s="1024"/>
      <c r="AZ1376" s="1024"/>
      <c r="BA1376" s="1024"/>
      <c r="BB1376" s="1024"/>
      <c r="BC1376" s="1024"/>
      <c r="BD1376" s="1024"/>
      <c r="BE1376" s="1024"/>
      <c r="BF1376" s="1024"/>
      <c r="BG1376" s="1024"/>
      <c r="BH1376" s="1024"/>
      <c r="BI1376" s="1024"/>
      <c r="BJ1376" s="1024"/>
      <c r="BK1376" s="1024"/>
      <c r="BL1376" s="1024"/>
      <c r="BM1376" s="1024"/>
      <c r="BN1376" s="323"/>
      <c r="BO1376" s="323"/>
      <c r="BP1376" s="323"/>
      <c r="BQ1376" s="323"/>
      <c r="BR1376" s="323"/>
      <c r="BS1376" s="323"/>
      <c r="BT1376" s="323"/>
      <c r="BU1376" s="323"/>
      <c r="BV1376" s="323"/>
      <c r="BW1376" s="323"/>
      <c r="BX1376" s="323"/>
      <c r="BY1376" s="323"/>
      <c r="BZ1376" s="323"/>
      <c r="CA1376" s="323"/>
      <c r="CB1376" s="621"/>
    </row>
    <row r="1377" spans="1:80" ht="12.75" customHeight="1" x14ac:dyDescent="0.2">
      <c r="A1377" s="227">
        <v>1377</v>
      </c>
      <c r="B1377" s="5988"/>
      <c r="C1377" s="1000"/>
      <c r="D1377" s="58"/>
      <c r="E1377" s="1003" t="s">
        <v>8153</v>
      </c>
      <c r="F1377" s="77">
        <v>25</v>
      </c>
      <c r="G1377" s="77">
        <v>40</v>
      </c>
      <c r="H1377" s="77">
        <f>COUNTIF(HabilidadesEsenciales_Adquiridas,Tablas!E1377)</f>
        <v>0</v>
      </c>
      <c r="I1377" s="1005">
        <v>1</v>
      </c>
      <c r="J1377" s="176"/>
      <c r="K1377" s="996"/>
      <c r="M1377" s="326"/>
      <c r="N1377" s="21"/>
      <c r="O1377" s="134" t="s">
        <v>1308</v>
      </c>
      <c r="P1377" s="998">
        <v>20</v>
      </c>
      <c r="Q1377" s="176">
        <v>60</v>
      </c>
      <c r="R1377" s="1005">
        <f>COUNTIF(PoderesDeCriatura_Adquiridos,Tablas!O1377)</f>
        <v>0</v>
      </c>
      <c r="S1377" s="176"/>
      <c r="T1377" s="996"/>
      <c r="W1377" s="1028" t="s">
        <v>2351</v>
      </c>
      <c r="X1377" s="1019"/>
      <c r="Y1377" s="834" t="str">
        <f t="shared" si="290"/>
        <v/>
      </c>
      <c r="Z1377" s="834" t="s">
        <v>6926</v>
      </c>
      <c r="AA1377" s="834"/>
      <c r="AB1377" s="834"/>
      <c r="AC1377" s="834"/>
      <c r="AD1377" s="834"/>
      <c r="AE1377" s="834"/>
      <c r="AF1377" s="834"/>
      <c r="AG1377" s="834"/>
      <c r="AH1377" s="834"/>
      <c r="AI1377" s="834"/>
      <c r="AJ1377" s="834"/>
      <c r="AK1377" s="834"/>
      <c r="AL1377" s="834"/>
      <c r="AM1377" s="834"/>
      <c r="AN1377" s="834"/>
      <c r="AO1377" s="834"/>
      <c r="AP1377" s="834"/>
      <c r="AQ1377" s="1024"/>
      <c r="AR1377" s="1024"/>
      <c r="AS1377" s="1024"/>
      <c r="AT1377" s="1024"/>
      <c r="AU1377" s="1024"/>
      <c r="AV1377" s="1024"/>
      <c r="AW1377" s="1024"/>
      <c r="AX1377" s="1024"/>
      <c r="AY1377" s="1024"/>
      <c r="AZ1377" s="1024"/>
      <c r="BA1377" s="1024"/>
      <c r="BB1377" s="1024"/>
      <c r="BC1377" s="1024"/>
      <c r="BD1377" s="1024"/>
      <c r="BE1377" s="1024"/>
      <c r="BF1377" s="1024"/>
      <c r="BG1377" s="1024"/>
      <c r="BH1377" s="1024"/>
      <c r="BI1377" s="1024"/>
      <c r="BJ1377" s="1024"/>
      <c r="BK1377" s="1024"/>
      <c r="BL1377" s="1024"/>
      <c r="BM1377" s="1024"/>
      <c r="BN1377" s="323"/>
      <c r="BO1377" s="323"/>
      <c r="BP1377" s="323"/>
      <c r="BQ1377" s="323"/>
      <c r="BR1377" s="323"/>
      <c r="BS1377" s="323"/>
      <c r="BT1377" s="323"/>
      <c r="BU1377" s="323"/>
      <c r="BV1377" s="323"/>
      <c r="BW1377" s="323"/>
      <c r="BX1377" s="323"/>
      <c r="BY1377" s="323"/>
      <c r="BZ1377" s="323"/>
      <c r="CA1377" s="323"/>
      <c r="CB1377" s="621"/>
    </row>
    <row r="1378" spans="1:80" ht="12.75" customHeight="1" x14ac:dyDescent="0.2">
      <c r="A1378" s="227">
        <v>1378</v>
      </c>
      <c r="B1378" s="5988"/>
      <c r="C1378" s="1000"/>
      <c r="D1378" s="58"/>
      <c r="E1378" s="1003" t="s">
        <v>8154</v>
      </c>
      <c r="F1378" s="77">
        <v>30</v>
      </c>
      <c r="G1378" s="77">
        <v>50</v>
      </c>
      <c r="H1378" s="77">
        <f>COUNTIF(HabilidadesEsenciales_Adquiridas,Tablas!E1378)</f>
        <v>0</v>
      </c>
      <c r="I1378" s="1005">
        <v>1</v>
      </c>
      <c r="J1378" s="176"/>
      <c r="K1378" s="996"/>
      <c r="M1378" s="326"/>
      <c r="N1378" s="21"/>
      <c r="O1378" s="134" t="s">
        <v>8654</v>
      </c>
      <c r="P1378" s="998">
        <v>10</v>
      </c>
      <c r="Q1378" s="176">
        <v>10</v>
      </c>
      <c r="R1378" s="1005">
        <f>COUNTIF(PoderesDeCriatura_Adquiridos,Tablas!O1378)</f>
        <v>0</v>
      </c>
      <c r="S1378" s="176"/>
      <c r="T1378" s="996"/>
      <c r="W1378" s="1028" t="s">
        <v>2370</v>
      </c>
      <c r="X1378" s="1019"/>
      <c r="Y1378" s="834" t="str">
        <f t="shared" si="290"/>
        <v/>
      </c>
      <c r="Z1378" s="834" t="s">
        <v>6926</v>
      </c>
      <c r="AA1378" s="834"/>
      <c r="AB1378" s="834"/>
      <c r="AC1378" s="834"/>
      <c r="AD1378" s="834"/>
      <c r="AE1378" s="834"/>
      <c r="AF1378" s="834"/>
      <c r="AG1378" s="834"/>
      <c r="AH1378" s="834"/>
      <c r="AI1378" s="834"/>
      <c r="AJ1378" s="834"/>
      <c r="AK1378" s="834"/>
      <c r="AL1378" s="834"/>
      <c r="AM1378" s="834"/>
      <c r="AN1378" s="834"/>
      <c r="AO1378" s="834"/>
      <c r="AP1378" s="834"/>
      <c r="AQ1378" s="1024"/>
      <c r="AR1378" s="1024"/>
      <c r="AS1378" s="1024"/>
      <c r="AT1378" s="1024"/>
      <c r="AU1378" s="1024"/>
      <c r="AV1378" s="1024"/>
      <c r="AW1378" s="1024"/>
      <c r="AX1378" s="1024"/>
      <c r="AY1378" s="1024"/>
      <c r="AZ1378" s="1024"/>
      <c r="BA1378" s="1024"/>
      <c r="BB1378" s="1024"/>
      <c r="BC1378" s="1024"/>
      <c r="BD1378" s="1024"/>
      <c r="BE1378" s="1024"/>
      <c r="BF1378" s="1024"/>
      <c r="BG1378" s="1024"/>
      <c r="BH1378" s="1024"/>
      <c r="BI1378" s="1024"/>
      <c r="BJ1378" s="1024"/>
      <c r="BK1378" s="1024"/>
      <c r="BL1378" s="1024"/>
      <c r="BM1378" s="1024"/>
      <c r="BN1378" s="323"/>
      <c r="BO1378" s="323"/>
      <c r="BP1378" s="323"/>
      <c r="BQ1378" s="323"/>
      <c r="BR1378" s="323"/>
      <c r="BS1378" s="323"/>
      <c r="BT1378" s="323"/>
      <c r="BU1378" s="323"/>
      <c r="BV1378" s="323"/>
      <c r="BW1378" s="323"/>
      <c r="BX1378" s="323"/>
      <c r="BY1378" s="323"/>
      <c r="BZ1378" s="323"/>
      <c r="CA1378" s="323"/>
      <c r="CB1378" s="621"/>
    </row>
    <row r="1379" spans="1:80" ht="12.75" customHeight="1" x14ac:dyDescent="0.2">
      <c r="A1379" s="227">
        <v>1379</v>
      </c>
      <c r="B1379" s="5988"/>
      <c r="C1379" s="1000"/>
      <c r="D1379" s="58"/>
      <c r="E1379" s="1003" t="s">
        <v>8155</v>
      </c>
      <c r="F1379" s="77">
        <v>10</v>
      </c>
      <c r="G1379" s="77">
        <v>10</v>
      </c>
      <c r="H1379" s="77">
        <f>COUNTIF(HabilidadesEsenciales_Adquiridas,Tablas!E1379)</f>
        <v>0</v>
      </c>
      <c r="I1379" s="1005">
        <v>1</v>
      </c>
      <c r="J1379" s="176"/>
      <c r="K1379" s="996"/>
      <c r="M1379" s="326"/>
      <c r="N1379" s="21"/>
      <c r="O1379" s="134" t="s">
        <v>8655</v>
      </c>
      <c r="P1379" s="998">
        <v>10</v>
      </c>
      <c r="Q1379" s="176">
        <v>10</v>
      </c>
      <c r="R1379" s="1005">
        <f>COUNTIF(PoderesDeCriatura_Adquiridos,Tablas!O1379)</f>
        <v>0</v>
      </c>
      <c r="S1379" s="176"/>
      <c r="T1379" s="996"/>
      <c r="W1379" s="1028" t="s">
        <v>7326</v>
      </c>
      <c r="X1379" s="1019"/>
      <c r="Y1379" s="834" t="s">
        <v>7329</v>
      </c>
      <c r="Z1379" s="834" t="s">
        <v>103</v>
      </c>
      <c r="AA1379" s="834" t="s">
        <v>105</v>
      </c>
      <c r="AB1379" s="834" t="s">
        <v>101</v>
      </c>
      <c r="AC1379" s="834" t="s">
        <v>99</v>
      </c>
      <c r="AD1379" s="834" t="s">
        <v>108</v>
      </c>
      <c r="AE1379" s="834" t="s">
        <v>107</v>
      </c>
      <c r="AF1379" s="834" t="s">
        <v>111</v>
      </c>
      <c r="AG1379" s="834" t="s">
        <v>109</v>
      </c>
      <c r="AH1379" s="834" t="s">
        <v>112</v>
      </c>
      <c r="AI1379" s="834" t="s">
        <v>113</v>
      </c>
      <c r="AJ1379" s="834" t="s">
        <v>115</v>
      </c>
      <c r="AK1379" s="834" t="s">
        <v>1699</v>
      </c>
      <c r="AL1379" s="834" t="s">
        <v>116</v>
      </c>
      <c r="AM1379" s="834"/>
      <c r="AN1379" s="834"/>
      <c r="AO1379" s="834"/>
      <c r="AP1379" s="834"/>
      <c r="AQ1379" s="1024"/>
      <c r="AR1379" s="1024"/>
      <c r="AS1379" s="1024"/>
      <c r="AT1379" s="1024"/>
      <c r="AU1379" s="1024"/>
      <c r="AV1379" s="1024"/>
      <c r="AW1379" s="1024"/>
      <c r="AX1379" s="1024"/>
      <c r="AY1379" s="1024"/>
      <c r="AZ1379" s="1024"/>
      <c r="BA1379" s="1024"/>
      <c r="BB1379" s="1024"/>
      <c r="BC1379" s="1024"/>
      <c r="BD1379" s="1024"/>
      <c r="BE1379" s="1024"/>
      <c r="BF1379" s="1024"/>
      <c r="BG1379" s="1024"/>
      <c r="BH1379" s="1024"/>
      <c r="BI1379" s="1024"/>
      <c r="BJ1379" s="1024"/>
      <c r="BK1379" s="1024"/>
      <c r="BL1379" s="1024"/>
      <c r="BM1379" s="1024"/>
      <c r="BN1379" s="323"/>
      <c r="BO1379" s="323"/>
      <c r="BP1379" s="323"/>
      <c r="BQ1379" s="323"/>
      <c r="BR1379" s="323"/>
      <c r="BS1379" s="323"/>
      <c r="BT1379" s="323"/>
      <c r="BU1379" s="323"/>
      <c r="BV1379" s="323"/>
      <c r="BW1379" s="323"/>
      <c r="BX1379" s="323"/>
      <c r="BY1379" s="323"/>
      <c r="BZ1379" s="323"/>
      <c r="CA1379" s="323"/>
      <c r="CB1379" s="621"/>
    </row>
    <row r="1380" spans="1:80" ht="12.75" customHeight="1" x14ac:dyDescent="0.2">
      <c r="A1380" s="227">
        <v>1380</v>
      </c>
      <c r="B1380" s="5988"/>
      <c r="C1380" s="1000"/>
      <c r="D1380" s="58"/>
      <c r="E1380" s="1003" t="s">
        <v>8156</v>
      </c>
      <c r="F1380" s="77">
        <v>15</v>
      </c>
      <c r="G1380" s="77">
        <v>20</v>
      </c>
      <c r="H1380" s="77">
        <f>COUNTIF(HabilidadesEsenciales_Adquiridas,Tablas!E1380)</f>
        <v>0</v>
      </c>
      <c r="I1380" s="1005">
        <v>1</v>
      </c>
      <c r="J1380" s="176"/>
      <c r="K1380" s="996"/>
      <c r="M1380" s="326"/>
      <c r="N1380" s="21"/>
      <c r="O1380" s="134" t="s">
        <v>8656</v>
      </c>
      <c r="P1380" s="998">
        <v>10</v>
      </c>
      <c r="Q1380" s="176">
        <v>10</v>
      </c>
      <c r="R1380" s="1005">
        <f>COUNTIF(PoderesDeCriatura_Adquiridos,Tablas!O1380)</f>
        <v>0</v>
      </c>
      <c r="S1380" s="176"/>
      <c r="T1380" s="996"/>
      <c r="W1380" s="1028" t="s">
        <v>1765</v>
      </c>
      <c r="X1380" s="1019"/>
      <c r="Y1380" s="834"/>
      <c r="Z1380" s="834"/>
      <c r="AA1380" s="834"/>
      <c r="AB1380" s="834"/>
      <c r="AC1380" s="834"/>
      <c r="AD1380" s="834"/>
      <c r="AE1380" s="834"/>
      <c r="AF1380" s="834"/>
      <c r="AG1380" s="834"/>
      <c r="AH1380" s="834"/>
      <c r="AI1380" s="834"/>
      <c r="AJ1380" s="834"/>
      <c r="AK1380" s="834"/>
      <c r="AL1380" s="834"/>
      <c r="AM1380" s="834"/>
      <c r="AN1380" s="834"/>
      <c r="AO1380" s="834"/>
      <c r="AP1380" s="834"/>
      <c r="AQ1380" s="1024"/>
      <c r="AR1380" s="1024"/>
      <c r="AS1380" s="1024"/>
      <c r="AT1380" s="1024"/>
      <c r="AU1380" s="1024"/>
      <c r="AV1380" s="1024"/>
      <c r="AW1380" s="1024"/>
      <c r="AX1380" s="1024"/>
      <c r="AY1380" s="1024"/>
      <c r="AZ1380" s="1024"/>
      <c r="BA1380" s="1024"/>
      <c r="BB1380" s="1024"/>
      <c r="BC1380" s="1024"/>
      <c r="BD1380" s="1024"/>
      <c r="BE1380" s="1024"/>
      <c r="BF1380" s="1024"/>
      <c r="BG1380" s="1024"/>
      <c r="BH1380" s="1024"/>
      <c r="BI1380" s="1024"/>
      <c r="BJ1380" s="1024"/>
      <c r="BK1380" s="1024"/>
      <c r="BL1380" s="1024"/>
      <c r="BM1380" s="1024"/>
      <c r="BN1380" s="323"/>
      <c r="BO1380" s="323"/>
      <c r="BP1380" s="323"/>
      <c r="BQ1380" s="323"/>
      <c r="BR1380" s="323"/>
      <c r="BS1380" s="323"/>
      <c r="BT1380" s="323"/>
      <c r="BU1380" s="323"/>
      <c r="BV1380" s="323"/>
      <c r="BW1380" s="323"/>
      <c r="BX1380" s="323"/>
      <c r="BY1380" s="323"/>
      <c r="BZ1380" s="323"/>
      <c r="CA1380" s="323"/>
      <c r="CB1380" s="621"/>
    </row>
    <row r="1381" spans="1:80" ht="12.75" customHeight="1" x14ac:dyDescent="0.2">
      <c r="A1381" s="227">
        <v>1381</v>
      </c>
      <c r="B1381" s="5988"/>
      <c r="C1381" s="1000"/>
      <c r="D1381" s="58"/>
      <c r="E1381" s="1003" t="s">
        <v>8157</v>
      </c>
      <c r="F1381" s="77">
        <v>20</v>
      </c>
      <c r="G1381" s="77">
        <v>30</v>
      </c>
      <c r="H1381" s="77">
        <f>COUNTIF(HabilidadesEsenciales_Adquiridas,Tablas!E1381)</f>
        <v>0</v>
      </c>
      <c r="I1381" s="1005">
        <v>1</v>
      </c>
      <c r="J1381" s="176"/>
      <c r="K1381" s="996"/>
      <c r="M1381" s="326"/>
      <c r="N1381" s="21"/>
      <c r="O1381" s="134" t="s">
        <v>8657</v>
      </c>
      <c r="P1381" s="998">
        <v>10</v>
      </c>
      <c r="Q1381" s="176">
        <v>10</v>
      </c>
      <c r="R1381" s="1005">
        <f>COUNTIF(PoderesDeCriatura_Adquiridos,Tablas!O1381)</f>
        <v>0</v>
      </c>
      <c r="S1381" s="176"/>
      <c r="T1381" s="996"/>
      <c r="W1381" s="1028" t="s">
        <v>1280</v>
      </c>
      <c r="X1381" s="1018" t="s">
        <v>7329</v>
      </c>
      <c r="Y1381" s="834"/>
      <c r="Z1381" s="834"/>
      <c r="AA1381" s="834"/>
      <c r="AB1381" s="834"/>
      <c r="AC1381" s="834"/>
      <c r="AD1381" s="834"/>
      <c r="AE1381" s="834"/>
      <c r="AF1381" s="834"/>
      <c r="AG1381" s="834"/>
      <c r="AH1381" s="834"/>
      <c r="AI1381" s="834"/>
      <c r="AJ1381" s="834"/>
      <c r="AK1381" s="834"/>
      <c r="AL1381" s="834"/>
      <c r="AM1381" s="834"/>
      <c r="AN1381" s="834"/>
      <c r="AO1381" s="834"/>
      <c r="AP1381" s="834"/>
      <c r="AQ1381" s="1024"/>
      <c r="AR1381" s="1024"/>
      <c r="AS1381" s="1024"/>
      <c r="AT1381" s="1024"/>
      <c r="AU1381" s="1024"/>
      <c r="AV1381" s="1024"/>
      <c r="AW1381" s="1024"/>
      <c r="AX1381" s="1024"/>
      <c r="AY1381" s="1024"/>
      <c r="AZ1381" s="1024"/>
      <c r="BA1381" s="1024"/>
      <c r="BB1381" s="1024"/>
      <c r="BC1381" s="1024"/>
      <c r="BD1381" s="1024"/>
      <c r="BE1381" s="1024"/>
      <c r="BF1381" s="1024"/>
      <c r="BG1381" s="1024"/>
      <c r="BH1381" s="1024"/>
      <c r="BI1381" s="1024"/>
      <c r="BJ1381" s="1024"/>
      <c r="BK1381" s="1024"/>
      <c r="BL1381" s="1024"/>
      <c r="BM1381" s="1024"/>
      <c r="BN1381" s="323"/>
      <c r="BO1381" s="323"/>
      <c r="BP1381" s="323"/>
      <c r="BQ1381" s="323"/>
      <c r="BR1381" s="323"/>
      <c r="BS1381" s="323"/>
      <c r="BT1381" s="323"/>
      <c r="BU1381" s="323"/>
      <c r="BV1381" s="323"/>
      <c r="BW1381" s="323"/>
      <c r="BX1381" s="323"/>
      <c r="BY1381" s="323"/>
      <c r="BZ1381" s="323"/>
      <c r="CA1381" s="323"/>
      <c r="CB1381" s="621"/>
    </row>
    <row r="1382" spans="1:80" ht="12.75" customHeight="1" x14ac:dyDescent="0.2">
      <c r="A1382" s="227">
        <v>1382</v>
      </c>
      <c r="B1382" s="5988"/>
      <c r="C1382" s="1000"/>
      <c r="D1382" s="58"/>
      <c r="E1382" s="1003" t="s">
        <v>8158</v>
      </c>
      <c r="F1382" s="77">
        <v>25</v>
      </c>
      <c r="G1382" s="77">
        <v>40</v>
      </c>
      <c r="H1382" s="77">
        <f>COUNTIF(HabilidadesEsenciales_Adquiridas,Tablas!E1382)</f>
        <v>0</v>
      </c>
      <c r="I1382" s="1005">
        <v>1</v>
      </c>
      <c r="J1382" s="176"/>
      <c r="K1382" s="996"/>
      <c r="M1382" s="326"/>
      <c r="N1382" s="21"/>
      <c r="O1382" s="134" t="s">
        <v>8658</v>
      </c>
      <c r="P1382" s="998">
        <v>10</v>
      </c>
      <c r="Q1382" s="176">
        <v>10</v>
      </c>
      <c r="R1382" s="1005">
        <f>COUNTIF(PoderesDeCriatura_Adquiridos,Tablas!O1382)</f>
        <v>0</v>
      </c>
      <c r="S1382" s="176"/>
      <c r="T1382" s="996"/>
      <c r="W1382" s="1028" t="s">
        <v>1279</v>
      </c>
      <c r="X1382" s="1019"/>
      <c r="Y1382" s="834" t="str">
        <f t="shared" ref="Y1382:Y1419" si="291">IF(Z1382="","",SUBSTITUTE("PodHab_"&amp;W1382," ",""))</f>
        <v/>
      </c>
      <c r="Z1382" s="834" t="s">
        <v>6926</v>
      </c>
      <c r="AA1382" s="834"/>
      <c r="AB1382" s="834"/>
      <c r="AC1382" s="834"/>
      <c r="AD1382" s="834"/>
      <c r="AE1382" s="834"/>
      <c r="AF1382" s="834"/>
      <c r="AG1382" s="834"/>
      <c r="AH1382" s="834"/>
      <c r="AI1382" s="834"/>
      <c r="AJ1382" s="834"/>
      <c r="AK1382" s="834"/>
      <c r="AL1382" s="834"/>
      <c r="AM1382" s="834"/>
      <c r="AN1382" s="834"/>
      <c r="AO1382" s="834"/>
      <c r="AP1382" s="834"/>
      <c r="AQ1382" s="1024"/>
      <c r="AR1382" s="1024"/>
      <c r="AS1382" s="1024"/>
      <c r="AT1382" s="1024"/>
      <c r="AU1382" s="1024"/>
      <c r="AV1382" s="1024"/>
      <c r="AW1382" s="1024"/>
      <c r="AX1382" s="1024"/>
      <c r="AY1382" s="1024"/>
      <c r="AZ1382" s="1024"/>
      <c r="BA1382" s="1024"/>
      <c r="BB1382" s="1024"/>
      <c r="BC1382" s="1024"/>
      <c r="BD1382" s="1024"/>
      <c r="BE1382" s="1024"/>
      <c r="BF1382" s="1024"/>
      <c r="BG1382" s="1024"/>
      <c r="BH1382" s="1024"/>
      <c r="BI1382" s="1024"/>
      <c r="BJ1382" s="1024"/>
      <c r="BK1382" s="1024"/>
      <c r="BL1382" s="1024"/>
      <c r="BM1382" s="1024"/>
      <c r="BN1382" s="323"/>
      <c r="BO1382" s="323"/>
      <c r="BP1382" s="323"/>
      <c r="BQ1382" s="323"/>
      <c r="BR1382" s="323"/>
      <c r="BS1382" s="323"/>
      <c r="BT1382" s="323"/>
      <c r="BU1382" s="323"/>
      <c r="BV1382" s="323"/>
      <c r="BW1382" s="323"/>
      <c r="BX1382" s="323"/>
      <c r="BY1382" s="323"/>
      <c r="BZ1382" s="323"/>
      <c r="CA1382" s="323"/>
      <c r="CB1382" s="621"/>
    </row>
    <row r="1383" spans="1:80" ht="12.75" customHeight="1" x14ac:dyDescent="0.2">
      <c r="A1383" s="227">
        <v>1383</v>
      </c>
      <c r="B1383" s="5988"/>
      <c r="C1383" s="1000"/>
      <c r="D1383" s="58"/>
      <c r="E1383" s="1003" t="s">
        <v>8159</v>
      </c>
      <c r="F1383" s="77">
        <v>30</v>
      </c>
      <c r="G1383" s="77">
        <v>50</v>
      </c>
      <c r="H1383" s="77">
        <f>COUNTIF(HabilidadesEsenciales_Adquiridas,Tablas!E1383)</f>
        <v>0</v>
      </c>
      <c r="I1383" s="1005">
        <v>1</v>
      </c>
      <c r="J1383" s="176"/>
      <c r="K1383" s="996"/>
      <c r="M1383" s="326"/>
      <c r="N1383" s="21"/>
      <c r="O1383" s="134" t="s">
        <v>8659</v>
      </c>
      <c r="P1383" s="998">
        <v>10</v>
      </c>
      <c r="Q1383" s="176">
        <v>10</v>
      </c>
      <c r="R1383" s="1005">
        <f>COUNTIF(PoderesDeCriatura_Adquiridos,Tablas!O1383)</f>
        <v>0</v>
      </c>
      <c r="S1383" s="176"/>
      <c r="T1383" s="996"/>
      <c r="W1383" s="1028" t="s">
        <v>1281</v>
      </c>
      <c r="X1383" s="1019"/>
      <c r="Y1383" s="834" t="str">
        <f t="shared" si="291"/>
        <v/>
      </c>
      <c r="Z1383" s="834" t="s">
        <v>6926</v>
      </c>
      <c r="AA1383" s="834"/>
      <c r="AB1383" s="834"/>
      <c r="AC1383" s="834"/>
      <c r="AD1383" s="834"/>
      <c r="AE1383" s="834"/>
      <c r="AF1383" s="834"/>
      <c r="AG1383" s="834"/>
      <c r="AH1383" s="834"/>
      <c r="AI1383" s="834"/>
      <c r="AJ1383" s="834"/>
      <c r="AK1383" s="834"/>
      <c r="AL1383" s="834"/>
      <c r="AM1383" s="834"/>
      <c r="AN1383" s="834"/>
      <c r="AO1383" s="834"/>
      <c r="AP1383" s="834"/>
      <c r="AQ1383" s="1024"/>
      <c r="AR1383" s="1024"/>
      <c r="AS1383" s="1024"/>
      <c r="AT1383" s="1024"/>
      <c r="AU1383" s="1024"/>
      <c r="AV1383" s="1024"/>
      <c r="AW1383" s="1024"/>
      <c r="AX1383" s="1024"/>
      <c r="AY1383" s="1024"/>
      <c r="AZ1383" s="1024"/>
      <c r="BA1383" s="1024"/>
      <c r="BB1383" s="1024"/>
      <c r="BC1383" s="1024"/>
      <c r="BD1383" s="1024"/>
      <c r="BE1383" s="1024"/>
      <c r="BF1383" s="1024"/>
      <c r="BG1383" s="1024"/>
      <c r="BH1383" s="1024"/>
      <c r="BI1383" s="1024"/>
      <c r="BJ1383" s="1024"/>
      <c r="BK1383" s="1024"/>
      <c r="BL1383" s="1024"/>
      <c r="BM1383" s="1024"/>
      <c r="BN1383" s="323"/>
      <c r="BO1383" s="323"/>
      <c r="BP1383" s="323"/>
      <c r="BQ1383" s="323"/>
      <c r="BR1383" s="323"/>
      <c r="BS1383" s="323"/>
      <c r="BT1383" s="323"/>
      <c r="BU1383" s="323"/>
      <c r="BV1383" s="323"/>
      <c r="BW1383" s="323"/>
      <c r="BX1383" s="323"/>
      <c r="BY1383" s="323"/>
      <c r="BZ1383" s="323"/>
      <c r="CA1383" s="323"/>
      <c r="CB1383" s="621"/>
    </row>
    <row r="1384" spans="1:80" ht="12.75" customHeight="1" x14ac:dyDescent="0.2">
      <c r="A1384" s="227">
        <v>1384</v>
      </c>
      <c r="B1384" s="5988"/>
      <c r="C1384" s="1000"/>
      <c r="D1384" s="58"/>
      <c r="E1384" s="1003" t="s">
        <v>8160</v>
      </c>
      <c r="F1384" s="77">
        <v>10</v>
      </c>
      <c r="G1384" s="77">
        <v>10</v>
      </c>
      <c r="H1384" s="77">
        <f>COUNTIF(HabilidadesEsenciales_Adquiridas,Tablas!E1384)</f>
        <v>0</v>
      </c>
      <c r="I1384" s="1005">
        <v>1</v>
      </c>
      <c r="J1384" s="176"/>
      <c r="K1384" s="996"/>
      <c r="M1384" s="326"/>
      <c r="N1384" s="21"/>
      <c r="O1384" s="134" t="s">
        <v>1309</v>
      </c>
      <c r="P1384" s="998"/>
      <c r="Q1384" s="176"/>
      <c r="R1384" s="1005"/>
      <c r="S1384" s="176"/>
      <c r="T1384" s="996"/>
      <c r="W1384" s="1028" t="s">
        <v>1286</v>
      </c>
      <c r="X1384" s="1019"/>
      <c r="Y1384" s="834" t="str">
        <f t="shared" si="291"/>
        <v/>
      </c>
      <c r="Z1384" s="834" t="s">
        <v>6926</v>
      </c>
      <c r="AA1384" s="834"/>
      <c r="AB1384" s="834"/>
      <c r="AC1384" s="834"/>
      <c r="AD1384" s="834"/>
      <c r="AE1384" s="834"/>
      <c r="AF1384" s="834"/>
      <c r="AG1384" s="834"/>
      <c r="AH1384" s="834"/>
      <c r="AI1384" s="834"/>
      <c r="AJ1384" s="834"/>
      <c r="AK1384" s="834"/>
      <c r="AL1384" s="834"/>
      <c r="AM1384" s="834"/>
      <c r="AN1384" s="834"/>
      <c r="AO1384" s="834"/>
      <c r="AP1384" s="834"/>
      <c r="AQ1384" s="1024"/>
      <c r="AR1384" s="1024"/>
      <c r="AS1384" s="1024"/>
      <c r="AT1384" s="1024"/>
      <c r="AU1384" s="1024"/>
      <c r="AV1384" s="1024"/>
      <c r="AW1384" s="1024"/>
      <c r="AX1384" s="1024"/>
      <c r="AY1384" s="1024"/>
      <c r="AZ1384" s="1024"/>
      <c r="BA1384" s="1024"/>
      <c r="BB1384" s="1024"/>
      <c r="BC1384" s="1024"/>
      <c r="BD1384" s="1024"/>
      <c r="BE1384" s="1024"/>
      <c r="BF1384" s="1024"/>
      <c r="BG1384" s="1024"/>
      <c r="BH1384" s="1024"/>
      <c r="BI1384" s="1024"/>
      <c r="BJ1384" s="1024"/>
      <c r="BK1384" s="1024"/>
      <c r="BL1384" s="1024"/>
      <c r="BM1384" s="1024"/>
      <c r="BN1384" s="323"/>
      <c r="BO1384" s="323"/>
      <c r="BP1384" s="323"/>
      <c r="BQ1384" s="323"/>
      <c r="BR1384" s="323"/>
      <c r="BS1384" s="323"/>
      <c r="BT1384" s="323"/>
      <c r="BU1384" s="323"/>
      <c r="BV1384" s="323"/>
      <c r="BW1384" s="323"/>
      <c r="BX1384" s="323"/>
      <c r="BY1384" s="323"/>
      <c r="BZ1384" s="323"/>
      <c r="CA1384" s="323"/>
      <c r="CB1384" s="621"/>
    </row>
    <row r="1385" spans="1:80" ht="12.75" customHeight="1" x14ac:dyDescent="0.2">
      <c r="A1385" s="227">
        <v>1385</v>
      </c>
      <c r="B1385" s="5988"/>
      <c r="C1385" s="1000"/>
      <c r="D1385" s="58"/>
      <c r="E1385" s="1003" t="s">
        <v>8161</v>
      </c>
      <c r="F1385" s="77">
        <v>15</v>
      </c>
      <c r="G1385" s="77">
        <v>20</v>
      </c>
      <c r="H1385" s="77">
        <f>COUNTIF(HabilidadesEsenciales_Adquiridas,Tablas!E1385)</f>
        <v>0</v>
      </c>
      <c r="I1385" s="1005">
        <v>1</v>
      </c>
      <c r="J1385" s="176"/>
      <c r="K1385" s="996"/>
      <c r="M1385" s="326"/>
      <c r="N1385" s="21"/>
      <c r="O1385" s="134" t="s">
        <v>7766</v>
      </c>
      <c r="P1385" s="998">
        <v>0</v>
      </c>
      <c r="Q1385" s="176">
        <v>20</v>
      </c>
      <c r="R1385" s="1005">
        <f>COUNTIF(PoderesDeCriatura_Adquiridos,Tablas!O1385)</f>
        <v>0</v>
      </c>
      <c r="S1385" s="176"/>
      <c r="T1385" s="996"/>
      <c r="W1385" s="1028" t="s">
        <v>2387</v>
      </c>
      <c r="X1385" s="1019"/>
      <c r="Y1385" s="834" t="str">
        <f t="shared" si="291"/>
        <v/>
      </c>
      <c r="Z1385" s="834" t="s">
        <v>6926</v>
      </c>
      <c r="AA1385" s="834"/>
      <c r="AB1385" s="834"/>
      <c r="AC1385" s="834"/>
      <c r="AD1385" s="834"/>
      <c r="AE1385" s="834"/>
      <c r="AF1385" s="834"/>
      <c r="AG1385" s="834"/>
      <c r="AH1385" s="834"/>
      <c r="AI1385" s="834"/>
      <c r="AJ1385" s="834"/>
      <c r="AK1385" s="834"/>
      <c r="AL1385" s="834"/>
      <c r="AM1385" s="834"/>
      <c r="AN1385" s="834"/>
      <c r="AO1385" s="834"/>
      <c r="AP1385" s="834"/>
      <c r="AQ1385" s="1024"/>
      <c r="AR1385" s="1024"/>
      <c r="AS1385" s="1024"/>
      <c r="AT1385" s="1024"/>
      <c r="AU1385" s="1024"/>
      <c r="AV1385" s="1024"/>
      <c r="AW1385" s="1024"/>
      <c r="AX1385" s="1024"/>
      <c r="AY1385" s="1024"/>
      <c r="AZ1385" s="1024"/>
      <c r="BA1385" s="1024"/>
      <c r="BB1385" s="1024"/>
      <c r="BC1385" s="1024"/>
      <c r="BD1385" s="1024"/>
      <c r="BE1385" s="1024"/>
      <c r="BF1385" s="1024"/>
      <c r="BG1385" s="1024"/>
      <c r="BH1385" s="1024"/>
      <c r="BI1385" s="1024"/>
      <c r="BJ1385" s="1024"/>
      <c r="BK1385" s="1024"/>
      <c r="BL1385" s="1024"/>
      <c r="BM1385" s="1024"/>
      <c r="BN1385" s="323"/>
      <c r="BO1385" s="323"/>
      <c r="BP1385" s="323"/>
      <c r="BQ1385" s="323"/>
      <c r="BR1385" s="323"/>
      <c r="BS1385" s="323"/>
      <c r="BT1385" s="323"/>
      <c r="BU1385" s="323"/>
      <c r="BV1385" s="323"/>
      <c r="BW1385" s="323"/>
      <c r="BX1385" s="323"/>
      <c r="BY1385" s="323"/>
      <c r="BZ1385" s="323"/>
      <c r="CA1385" s="323"/>
      <c r="CB1385" s="621"/>
    </row>
    <row r="1386" spans="1:80" ht="12.75" customHeight="1" x14ac:dyDescent="0.2">
      <c r="A1386" s="227">
        <v>1386</v>
      </c>
      <c r="B1386" s="5988"/>
      <c r="C1386" s="1000"/>
      <c r="D1386" s="58"/>
      <c r="E1386" s="1003" t="s">
        <v>8162</v>
      </c>
      <c r="F1386" s="77">
        <v>20</v>
      </c>
      <c r="G1386" s="77">
        <v>30</v>
      </c>
      <c r="H1386" s="77">
        <f>COUNTIF(HabilidadesEsenciales_Adquiridas,Tablas!E1386)</f>
        <v>0</v>
      </c>
      <c r="I1386" s="1005">
        <v>1</v>
      </c>
      <c r="J1386" s="176"/>
      <c r="K1386" s="996"/>
      <c r="M1386" s="326"/>
      <c r="N1386" s="21"/>
      <c r="O1386" s="134" t="s">
        <v>7767</v>
      </c>
      <c r="P1386" s="998">
        <v>5</v>
      </c>
      <c r="Q1386" s="176">
        <v>20</v>
      </c>
      <c r="R1386" s="1005">
        <f>COUNTIF(PoderesDeCriatura_Adquiridos,Tablas!O1386)</f>
        <v>0</v>
      </c>
      <c r="S1386" s="176"/>
      <c r="T1386" s="996"/>
      <c r="W1386" s="1028" t="s">
        <v>1284</v>
      </c>
      <c r="X1386" s="1019"/>
      <c r="Y1386" s="834" t="str">
        <f t="shared" si="291"/>
        <v/>
      </c>
      <c r="Z1386" s="834" t="s">
        <v>6926</v>
      </c>
      <c r="AA1386" s="834"/>
      <c r="AB1386" s="834"/>
      <c r="AC1386" s="834"/>
      <c r="AD1386" s="834"/>
      <c r="AE1386" s="834"/>
      <c r="AF1386" s="834"/>
      <c r="AG1386" s="834"/>
      <c r="AH1386" s="834"/>
      <c r="AI1386" s="834"/>
      <c r="AJ1386" s="834"/>
      <c r="AK1386" s="834"/>
      <c r="AL1386" s="834"/>
      <c r="AM1386" s="834"/>
      <c r="AN1386" s="834"/>
      <c r="AO1386" s="834"/>
      <c r="AP1386" s="834"/>
      <c r="AQ1386" s="1024"/>
      <c r="AR1386" s="1024"/>
      <c r="AS1386" s="1024"/>
      <c r="AT1386" s="1024"/>
      <c r="AU1386" s="1024"/>
      <c r="AV1386" s="1024"/>
      <c r="AW1386" s="1024"/>
      <c r="AX1386" s="1024"/>
      <c r="AY1386" s="1024"/>
      <c r="AZ1386" s="1024"/>
      <c r="BA1386" s="1024"/>
      <c r="BB1386" s="1024"/>
      <c r="BC1386" s="1024"/>
      <c r="BD1386" s="1024"/>
      <c r="BE1386" s="1024"/>
      <c r="BF1386" s="1024"/>
      <c r="BG1386" s="1024"/>
      <c r="BH1386" s="1024"/>
      <c r="BI1386" s="1024"/>
      <c r="BJ1386" s="1024"/>
      <c r="BK1386" s="1024"/>
      <c r="BL1386" s="1024"/>
      <c r="BM1386" s="1024"/>
      <c r="BN1386" s="323"/>
      <c r="BO1386" s="323"/>
      <c r="BP1386" s="323"/>
      <c r="BQ1386" s="323"/>
      <c r="BR1386" s="323"/>
      <c r="BS1386" s="323"/>
      <c r="BT1386" s="323"/>
      <c r="BU1386" s="323"/>
      <c r="BV1386" s="323"/>
      <c r="BW1386" s="323"/>
      <c r="BX1386" s="323"/>
      <c r="BY1386" s="323"/>
      <c r="BZ1386" s="323"/>
      <c r="CA1386" s="323"/>
      <c r="CB1386" s="621"/>
    </row>
    <row r="1387" spans="1:80" ht="12.75" customHeight="1" x14ac:dyDescent="0.2">
      <c r="A1387" s="227">
        <v>1387</v>
      </c>
      <c r="B1387" s="5988"/>
      <c r="C1387" s="1000"/>
      <c r="D1387" s="58"/>
      <c r="E1387" s="1003" t="s">
        <v>8163</v>
      </c>
      <c r="F1387" s="77">
        <v>25</v>
      </c>
      <c r="G1387" s="77">
        <v>40</v>
      </c>
      <c r="H1387" s="77">
        <f>COUNTIF(HabilidadesEsenciales_Adquiridas,Tablas!E1387)</f>
        <v>0</v>
      </c>
      <c r="I1387" s="1005">
        <v>1</v>
      </c>
      <c r="J1387" s="176"/>
      <c r="K1387" s="996"/>
      <c r="M1387" s="326"/>
      <c r="N1387" s="21"/>
      <c r="O1387" s="134" t="s">
        <v>7768</v>
      </c>
      <c r="P1387" s="998">
        <v>15</v>
      </c>
      <c r="Q1387" s="176">
        <v>10</v>
      </c>
      <c r="R1387" s="1005">
        <f>COUNTIF(PoderesDeCriatura_Adquiridos,Tablas!O1387)</f>
        <v>0</v>
      </c>
      <c r="S1387" s="176"/>
      <c r="T1387" s="996"/>
      <c r="W1387" s="1028" t="s">
        <v>1283</v>
      </c>
      <c r="X1387" s="1019"/>
      <c r="Y1387" s="834" t="str">
        <f t="shared" si="291"/>
        <v/>
      </c>
      <c r="Z1387" s="834" t="s">
        <v>6926</v>
      </c>
      <c r="AA1387" s="834"/>
      <c r="AB1387" s="834"/>
      <c r="AC1387" s="834"/>
      <c r="AD1387" s="834"/>
      <c r="AE1387" s="834"/>
      <c r="AF1387" s="834"/>
      <c r="AG1387" s="834"/>
      <c r="AH1387" s="834"/>
      <c r="AI1387" s="834"/>
      <c r="AJ1387" s="834"/>
      <c r="AK1387" s="834"/>
      <c r="AL1387" s="834"/>
      <c r="AM1387" s="834"/>
      <c r="AN1387" s="834"/>
      <c r="AO1387" s="834"/>
      <c r="AP1387" s="834"/>
      <c r="AQ1387" s="1024"/>
      <c r="AR1387" s="1024"/>
      <c r="AS1387" s="1024"/>
      <c r="AT1387" s="1024"/>
      <c r="AU1387" s="1024"/>
      <c r="AV1387" s="1024"/>
      <c r="AW1387" s="1024"/>
      <c r="AX1387" s="1024"/>
      <c r="AY1387" s="1024"/>
      <c r="AZ1387" s="1024"/>
      <c r="BA1387" s="1024"/>
      <c r="BB1387" s="1024"/>
      <c r="BC1387" s="1024"/>
      <c r="BD1387" s="1024"/>
      <c r="BE1387" s="1024"/>
      <c r="BF1387" s="1024"/>
      <c r="BG1387" s="1024"/>
      <c r="BH1387" s="1024"/>
      <c r="BI1387" s="1024"/>
      <c r="BJ1387" s="1024"/>
      <c r="BK1387" s="1024"/>
      <c r="BL1387" s="1024"/>
      <c r="BM1387" s="1024"/>
      <c r="BN1387" s="323"/>
      <c r="BO1387" s="323"/>
      <c r="BP1387" s="323"/>
      <c r="BQ1387" s="323"/>
      <c r="BR1387" s="323"/>
      <c r="BS1387" s="323"/>
      <c r="BT1387" s="323"/>
      <c r="BU1387" s="323"/>
      <c r="BV1387" s="323"/>
      <c r="BW1387" s="323"/>
      <c r="BX1387" s="323"/>
      <c r="BY1387" s="323"/>
      <c r="BZ1387" s="323"/>
      <c r="CA1387" s="323"/>
      <c r="CB1387" s="621"/>
    </row>
    <row r="1388" spans="1:80" ht="12.75" customHeight="1" x14ac:dyDescent="0.2">
      <c r="A1388" s="227">
        <v>1388</v>
      </c>
      <c r="B1388" s="5988"/>
      <c r="C1388" s="1000"/>
      <c r="D1388" s="58"/>
      <c r="E1388" s="1003" t="s">
        <v>8164</v>
      </c>
      <c r="F1388" s="77">
        <v>30</v>
      </c>
      <c r="G1388" s="77">
        <v>50</v>
      </c>
      <c r="H1388" s="77">
        <f>COUNTIF(HabilidadesEsenciales_Adquiridas,Tablas!E1388)</f>
        <v>0</v>
      </c>
      <c r="I1388" s="1005">
        <v>1</v>
      </c>
      <c r="J1388" s="176"/>
      <c r="K1388" s="996"/>
      <c r="M1388" s="326"/>
      <c r="N1388" s="21"/>
      <c r="O1388" s="134" t="s">
        <v>7769</v>
      </c>
      <c r="P1388" s="998">
        <v>0</v>
      </c>
      <c r="Q1388" s="176">
        <v>10</v>
      </c>
      <c r="R1388" s="1005">
        <f>COUNTIF(PoderesDeCriatura_Adquiridos,Tablas!O1388)</f>
        <v>0</v>
      </c>
      <c r="S1388" s="176"/>
      <c r="T1388" s="996"/>
      <c r="W1388" s="1028" t="s">
        <v>1288</v>
      </c>
      <c r="X1388" s="1019"/>
      <c r="Y1388" s="834" t="str">
        <f t="shared" si="291"/>
        <v/>
      </c>
      <c r="Z1388" s="834" t="s">
        <v>6926</v>
      </c>
      <c r="AA1388" s="834"/>
      <c r="AB1388" s="834"/>
      <c r="AC1388" s="834"/>
      <c r="AD1388" s="834"/>
      <c r="AE1388" s="834"/>
      <c r="AF1388" s="834"/>
      <c r="AG1388" s="834"/>
      <c r="AH1388" s="834"/>
      <c r="AI1388" s="834"/>
      <c r="AJ1388" s="834"/>
      <c r="AK1388" s="834"/>
      <c r="AL1388" s="834"/>
      <c r="AM1388" s="834"/>
      <c r="AN1388" s="834"/>
      <c r="AO1388" s="834"/>
      <c r="AP1388" s="834"/>
      <c r="AQ1388" s="1024"/>
      <c r="AR1388" s="1024"/>
      <c r="AS1388" s="1024"/>
      <c r="AT1388" s="1024"/>
      <c r="AU1388" s="1024"/>
      <c r="AV1388" s="1024"/>
      <c r="AW1388" s="1024"/>
      <c r="AX1388" s="1024"/>
      <c r="AY1388" s="1024"/>
      <c r="AZ1388" s="1024"/>
      <c r="BA1388" s="1024"/>
      <c r="BB1388" s="1024"/>
      <c r="BC1388" s="1024"/>
      <c r="BD1388" s="1024"/>
      <c r="BE1388" s="1024"/>
      <c r="BF1388" s="1024"/>
      <c r="BG1388" s="1024"/>
      <c r="BH1388" s="1024"/>
      <c r="BI1388" s="1024"/>
      <c r="BJ1388" s="1024"/>
      <c r="BK1388" s="1024"/>
      <c r="BL1388" s="1024"/>
      <c r="BM1388" s="1024"/>
      <c r="BN1388" s="323"/>
      <c r="BO1388" s="323"/>
      <c r="BP1388" s="323"/>
      <c r="BQ1388" s="323"/>
      <c r="BR1388" s="323"/>
      <c r="BS1388" s="323"/>
      <c r="BT1388" s="323"/>
      <c r="BU1388" s="323"/>
      <c r="BV1388" s="323"/>
      <c r="BW1388" s="323"/>
      <c r="BX1388" s="323"/>
      <c r="BY1388" s="323"/>
      <c r="BZ1388" s="323"/>
      <c r="CA1388" s="323"/>
      <c r="CB1388" s="621"/>
    </row>
    <row r="1389" spans="1:80" ht="12.75" customHeight="1" x14ac:dyDescent="0.2">
      <c r="A1389" s="227">
        <v>1389</v>
      </c>
      <c r="B1389" s="5988"/>
      <c r="C1389" s="1000"/>
      <c r="D1389" s="58"/>
      <c r="E1389" s="1003" t="s">
        <v>2337</v>
      </c>
      <c r="F1389" s="77">
        <v>5</v>
      </c>
      <c r="G1389" s="77">
        <v>20</v>
      </c>
      <c r="H1389" s="77">
        <f>COUNTIF(HabilidadesEsenciales_Adquiridas,Tablas!E1389)</f>
        <v>0</v>
      </c>
      <c r="I1389" s="1005"/>
      <c r="J1389" s="176"/>
      <c r="K1389" s="996"/>
      <c r="M1389" s="326"/>
      <c r="N1389" s="21"/>
      <c r="O1389" s="134" t="s">
        <v>7770</v>
      </c>
      <c r="P1389" s="998">
        <v>20</v>
      </c>
      <c r="Q1389" s="176">
        <v>30</v>
      </c>
      <c r="R1389" s="1005">
        <f>COUNTIF(PoderesDeCriatura_Adquiridos,Tablas!O1389)</f>
        <v>0</v>
      </c>
      <c r="S1389" s="176"/>
      <c r="T1389" s="996"/>
      <c r="W1389" s="1028" t="s">
        <v>1287</v>
      </c>
      <c r="X1389" s="1019"/>
      <c r="Y1389" s="834" t="str">
        <f t="shared" si="291"/>
        <v/>
      </c>
      <c r="Z1389" s="834" t="s">
        <v>6926</v>
      </c>
      <c r="AA1389" s="834"/>
      <c r="AB1389" s="834"/>
      <c r="AC1389" s="834"/>
      <c r="AD1389" s="834"/>
      <c r="AE1389" s="834"/>
      <c r="AF1389" s="834"/>
      <c r="AG1389" s="834"/>
      <c r="AH1389" s="834"/>
      <c r="AI1389" s="834"/>
      <c r="AJ1389" s="834"/>
      <c r="AK1389" s="834"/>
      <c r="AL1389" s="834"/>
      <c r="AM1389" s="834"/>
      <c r="AN1389" s="834"/>
      <c r="AO1389" s="834"/>
      <c r="AP1389" s="834"/>
      <c r="AQ1389" s="1024"/>
      <c r="AR1389" s="1024"/>
      <c r="AS1389" s="1024"/>
      <c r="AT1389" s="1024"/>
      <c r="AU1389" s="1024"/>
      <c r="AV1389" s="1024"/>
      <c r="AW1389" s="1024"/>
      <c r="AX1389" s="1024"/>
      <c r="AY1389" s="1024"/>
      <c r="AZ1389" s="1024"/>
      <c r="BA1389" s="1024"/>
      <c r="BB1389" s="1024"/>
      <c r="BC1389" s="1024"/>
      <c r="BD1389" s="1024"/>
      <c r="BE1389" s="1024"/>
      <c r="BF1389" s="1024"/>
      <c r="BG1389" s="1024"/>
      <c r="BH1389" s="1024"/>
      <c r="BI1389" s="1024"/>
      <c r="BJ1389" s="1024"/>
      <c r="BK1389" s="1024"/>
      <c r="BL1389" s="1024"/>
      <c r="BM1389" s="1024"/>
      <c r="BN1389" s="323"/>
      <c r="BO1389" s="323"/>
      <c r="BP1389" s="323"/>
      <c r="BQ1389" s="323"/>
      <c r="BR1389" s="323"/>
      <c r="BS1389" s="323"/>
      <c r="BT1389" s="323"/>
      <c r="BU1389" s="323"/>
      <c r="BV1389" s="323"/>
      <c r="BW1389" s="323"/>
      <c r="BX1389" s="323"/>
      <c r="BY1389" s="323"/>
      <c r="BZ1389" s="323"/>
      <c r="CA1389" s="323"/>
      <c r="CB1389" s="621"/>
    </row>
    <row r="1390" spans="1:80" ht="12.75" customHeight="1" x14ac:dyDescent="0.2">
      <c r="A1390" s="227">
        <v>1390</v>
      </c>
      <c r="B1390" s="5988"/>
      <c r="C1390" s="1000"/>
      <c r="D1390" s="58"/>
      <c r="E1390" s="1003" t="s">
        <v>2338</v>
      </c>
      <c r="F1390" s="77">
        <v>5</v>
      </c>
      <c r="G1390" s="77">
        <v>20</v>
      </c>
      <c r="H1390" s="77">
        <f>COUNTIF(HabilidadesEsenciales_Adquiridas,Tablas!E1390)</f>
        <v>0</v>
      </c>
      <c r="I1390" s="1005"/>
      <c r="J1390" s="176"/>
      <c r="K1390" s="996"/>
      <c r="M1390" s="326"/>
      <c r="N1390" s="21"/>
      <c r="O1390" s="134" t="s">
        <v>7771</v>
      </c>
      <c r="P1390" s="998">
        <v>10</v>
      </c>
      <c r="Q1390" s="176">
        <v>10</v>
      </c>
      <c r="R1390" s="1005">
        <f>COUNTIF(PoderesDeCriatura_Adquiridos,Tablas!O1390)</f>
        <v>0</v>
      </c>
      <c r="S1390" s="176"/>
      <c r="T1390" s="996"/>
      <c r="W1390" s="1028" t="s">
        <v>1285</v>
      </c>
      <c r="X1390" s="1019"/>
      <c r="Y1390" s="834" t="str">
        <f t="shared" si="291"/>
        <v/>
      </c>
      <c r="Z1390" s="834" t="s">
        <v>6926</v>
      </c>
      <c r="AA1390" s="834"/>
      <c r="AB1390" s="834"/>
      <c r="AC1390" s="834"/>
      <c r="AD1390" s="834"/>
      <c r="AE1390" s="834"/>
      <c r="AF1390" s="834"/>
      <c r="AG1390" s="834"/>
      <c r="AH1390" s="834"/>
      <c r="AI1390" s="834"/>
      <c r="AJ1390" s="834"/>
      <c r="AK1390" s="834"/>
      <c r="AL1390" s="834"/>
      <c r="AM1390" s="834"/>
      <c r="AN1390" s="834"/>
      <c r="AO1390" s="834"/>
      <c r="AP1390" s="834"/>
      <c r="AQ1390" s="1024"/>
      <c r="AR1390" s="1024"/>
      <c r="AS1390" s="1024"/>
      <c r="AT1390" s="1024"/>
      <c r="AU1390" s="1024"/>
      <c r="AV1390" s="1024"/>
      <c r="AW1390" s="1024"/>
      <c r="AX1390" s="1024"/>
      <c r="AY1390" s="1024"/>
      <c r="AZ1390" s="1024"/>
      <c r="BA1390" s="1024"/>
      <c r="BB1390" s="1024"/>
      <c r="BC1390" s="1024"/>
      <c r="BD1390" s="1024"/>
      <c r="BE1390" s="1024"/>
      <c r="BF1390" s="1024"/>
      <c r="BG1390" s="1024"/>
      <c r="BH1390" s="1024"/>
      <c r="BI1390" s="1024"/>
      <c r="BJ1390" s="1024"/>
      <c r="BK1390" s="1024"/>
      <c r="BL1390" s="1024"/>
      <c r="BM1390" s="1024"/>
      <c r="BN1390" s="323"/>
      <c r="BO1390" s="323"/>
      <c r="BP1390" s="323"/>
      <c r="BQ1390" s="323"/>
      <c r="BR1390" s="323"/>
      <c r="BS1390" s="323"/>
      <c r="BT1390" s="323"/>
      <c r="BU1390" s="323"/>
      <c r="BV1390" s="323"/>
      <c r="BW1390" s="323"/>
      <c r="BX1390" s="323"/>
      <c r="BY1390" s="323"/>
      <c r="BZ1390" s="323"/>
      <c r="CA1390" s="323"/>
      <c r="CB1390" s="621"/>
    </row>
    <row r="1391" spans="1:80" ht="12.75" customHeight="1" x14ac:dyDescent="0.2">
      <c r="A1391" s="227">
        <v>1391</v>
      </c>
      <c r="B1391" s="5988"/>
      <c r="C1391" s="1000"/>
      <c r="D1391" s="58"/>
      <c r="E1391" s="1003" t="s">
        <v>1277</v>
      </c>
      <c r="F1391" s="77">
        <v>5</v>
      </c>
      <c r="G1391" s="77">
        <v>20</v>
      </c>
      <c r="H1391" s="77">
        <f>COUNTIF(HabilidadesEsenciales_Adquiridas,Tablas!E1391)</f>
        <v>0</v>
      </c>
      <c r="I1391" s="1005">
        <v>1</v>
      </c>
      <c r="J1391" s="176"/>
      <c r="K1391" s="996"/>
      <c r="M1391" s="326"/>
      <c r="N1391" s="21"/>
      <c r="O1391" s="134" t="s">
        <v>7772</v>
      </c>
      <c r="P1391" s="998">
        <v>10</v>
      </c>
      <c r="Q1391" s="176">
        <v>10</v>
      </c>
      <c r="R1391" s="1005">
        <f>COUNTIF(PoderesDeCriatura_Adquiridos,Tablas!O1391)</f>
        <v>0</v>
      </c>
      <c r="S1391" s="176"/>
      <c r="T1391" s="996"/>
      <c r="W1391" s="1028" t="s">
        <v>1282</v>
      </c>
      <c r="X1391" s="1019"/>
      <c r="Y1391" s="834" t="str">
        <f t="shared" si="291"/>
        <v/>
      </c>
      <c r="Z1391" s="834" t="s">
        <v>6926</v>
      </c>
      <c r="AA1391" s="834"/>
      <c r="AB1391" s="834"/>
      <c r="AC1391" s="834"/>
      <c r="AD1391" s="834"/>
      <c r="AE1391" s="834"/>
      <c r="AF1391" s="834"/>
      <c r="AG1391" s="834"/>
      <c r="AH1391" s="834"/>
      <c r="AI1391" s="834"/>
      <c r="AJ1391" s="834"/>
      <c r="AK1391" s="834"/>
      <c r="AL1391" s="834"/>
      <c r="AM1391" s="834"/>
      <c r="AN1391" s="834"/>
      <c r="AO1391" s="834"/>
      <c r="AP1391" s="834"/>
      <c r="AQ1391" s="1024"/>
      <c r="AR1391" s="1024"/>
      <c r="AS1391" s="1024"/>
      <c r="AT1391" s="1024"/>
      <c r="AU1391" s="1024"/>
      <c r="AV1391" s="1024"/>
      <c r="AW1391" s="1024"/>
      <c r="AX1391" s="1024"/>
      <c r="AY1391" s="1024"/>
      <c r="AZ1391" s="1024"/>
      <c r="BA1391" s="1024"/>
      <c r="BB1391" s="1024"/>
      <c r="BC1391" s="1024"/>
      <c r="BD1391" s="1024"/>
      <c r="BE1391" s="1024"/>
      <c r="BF1391" s="1024"/>
      <c r="BG1391" s="1024"/>
      <c r="BH1391" s="1024"/>
      <c r="BI1391" s="1024"/>
      <c r="BJ1391" s="1024"/>
      <c r="BK1391" s="1024"/>
      <c r="BL1391" s="1024"/>
      <c r="BM1391" s="1024"/>
      <c r="BN1391" s="323"/>
      <c r="BO1391" s="323"/>
      <c r="BP1391" s="323"/>
      <c r="BQ1391" s="323"/>
      <c r="BR1391" s="323"/>
      <c r="BS1391" s="323"/>
      <c r="BT1391" s="323"/>
      <c r="BU1391" s="323"/>
      <c r="BV1391" s="323"/>
      <c r="BW1391" s="323"/>
      <c r="BX1391" s="323"/>
      <c r="BY1391" s="323"/>
      <c r="BZ1391" s="323"/>
      <c r="CA1391" s="323"/>
      <c r="CB1391" s="621"/>
    </row>
    <row r="1392" spans="1:80" ht="12.75" customHeight="1" x14ac:dyDescent="0.2">
      <c r="A1392" s="227">
        <v>1392</v>
      </c>
      <c r="B1392" s="5988"/>
      <c r="C1392" s="1000"/>
      <c r="D1392" s="58"/>
      <c r="E1392" s="1003" t="s">
        <v>1278</v>
      </c>
      <c r="F1392" s="77">
        <v>0</v>
      </c>
      <c r="G1392" s="77">
        <v>0</v>
      </c>
      <c r="H1392" s="77"/>
      <c r="I1392" s="1005"/>
      <c r="J1392" s="176"/>
      <c r="K1392" s="996"/>
      <c r="M1392" s="326"/>
      <c r="N1392" s="21"/>
      <c r="O1392" s="134" t="s">
        <v>7773</v>
      </c>
      <c r="P1392" s="998">
        <v>10</v>
      </c>
      <c r="Q1392" s="176">
        <v>20</v>
      </c>
      <c r="R1392" s="1005">
        <f>COUNTIF(PoderesDeCriatura_Adquiridos,Tablas!O1392)</f>
        <v>0</v>
      </c>
      <c r="S1392" s="176"/>
      <c r="T1392" s="996"/>
      <c r="W1392" s="1028" t="s">
        <v>7372</v>
      </c>
      <c r="X1392" s="1019"/>
      <c r="Y1392" s="834" t="str">
        <f>IF(Z1392="","",SUBSTITUTE(SUBSTITUTE("PodHab_"&amp;W1392," ",""),".",""))</f>
        <v>PodHab_Vulaelemento</v>
      </c>
      <c r="Z1392" s="1279" t="s">
        <v>8278</v>
      </c>
      <c r="AA1392" s="834" t="s">
        <v>1762</v>
      </c>
      <c r="AB1392" s="834"/>
      <c r="AC1392" s="834"/>
      <c r="AD1392" s="834"/>
      <c r="AE1392" s="834"/>
      <c r="AF1392" s="834"/>
      <c r="AG1392" s="834"/>
      <c r="AH1392" s="834"/>
      <c r="AI1392" s="834"/>
      <c r="AJ1392" s="834"/>
      <c r="AK1392" s="834"/>
      <c r="AL1392" s="834"/>
      <c r="AM1392" s="834"/>
      <c r="AN1392" s="834"/>
      <c r="AO1392" s="834"/>
      <c r="AP1392" s="834"/>
      <c r="AQ1392" s="1024"/>
      <c r="AR1392" s="1024"/>
      <c r="AS1392" s="1024"/>
      <c r="AT1392" s="1024"/>
      <c r="AU1392" s="1024"/>
      <c r="AV1392" s="1024"/>
      <c r="AW1392" s="1024"/>
      <c r="AX1392" s="1024"/>
      <c r="AY1392" s="1024"/>
      <c r="AZ1392" s="1024"/>
      <c r="BA1392" s="1024"/>
      <c r="BB1392" s="1024"/>
      <c r="BC1392" s="1024"/>
      <c r="BD1392" s="1024"/>
      <c r="BE1392" s="1024"/>
      <c r="BF1392" s="1024"/>
      <c r="BG1392" s="1024"/>
      <c r="BH1392" s="1024"/>
      <c r="BI1392" s="1024"/>
      <c r="BJ1392" s="1024"/>
      <c r="BK1392" s="1024"/>
      <c r="BL1392" s="1024"/>
      <c r="BM1392" s="1024"/>
      <c r="BN1392" s="323"/>
      <c r="BO1392" s="323"/>
      <c r="BP1392" s="323"/>
      <c r="BQ1392" s="323"/>
      <c r="BR1392" s="323"/>
      <c r="BS1392" s="323"/>
      <c r="BT1392" s="323"/>
      <c r="BU1392" s="323"/>
      <c r="BV1392" s="323"/>
      <c r="BW1392" s="323"/>
      <c r="BX1392" s="323"/>
      <c r="BY1392" s="323"/>
      <c r="BZ1392" s="323"/>
      <c r="CA1392" s="323"/>
      <c r="CB1392" s="621"/>
    </row>
    <row r="1393" spans="1:80" ht="12.75" customHeight="1" x14ac:dyDescent="0.2">
      <c r="A1393" s="227">
        <v>1393</v>
      </c>
      <c r="B1393" s="5988"/>
      <c r="C1393" s="1000"/>
      <c r="D1393" s="58"/>
      <c r="E1393" s="1003" t="s">
        <v>1765</v>
      </c>
      <c r="F1393" s="77">
        <v>5</v>
      </c>
      <c r="G1393" s="77">
        <v>30</v>
      </c>
      <c r="H1393" s="77">
        <f>COUNTIF(HabilidadesEsenciales_Adquiridas,Tablas!E1393)</f>
        <v>0</v>
      </c>
      <c r="I1393" s="1005"/>
      <c r="J1393" s="176"/>
      <c r="K1393" s="996"/>
      <c r="M1393" s="326"/>
      <c r="N1393" s="21"/>
      <c r="O1393" s="134" t="s">
        <v>7774</v>
      </c>
      <c r="P1393" s="998">
        <v>15</v>
      </c>
      <c r="Q1393" s="176">
        <v>40</v>
      </c>
      <c r="R1393" s="1005">
        <f>COUNTIF(PoderesDeCriatura_Adquiridos,Tablas!O1393)</f>
        <v>0</v>
      </c>
      <c r="S1393" s="176"/>
      <c r="T1393" s="996"/>
      <c r="W1393" s="1028" t="s">
        <v>1289</v>
      </c>
      <c r="X1393" s="1019"/>
      <c r="Y1393" s="834" t="str">
        <f t="shared" si="291"/>
        <v/>
      </c>
      <c r="Z1393" s="834"/>
      <c r="AA1393" s="834"/>
      <c r="AB1393" s="834"/>
      <c r="AC1393" s="834"/>
      <c r="AD1393" s="834"/>
      <c r="AE1393" s="834"/>
      <c r="AF1393" s="834"/>
      <c r="AG1393" s="834"/>
      <c r="AH1393" s="834"/>
      <c r="AI1393" s="834"/>
      <c r="AJ1393" s="834"/>
      <c r="AK1393" s="834"/>
      <c r="AL1393" s="834"/>
      <c r="AM1393" s="834"/>
      <c r="AN1393" s="834"/>
      <c r="AO1393" s="834"/>
      <c r="AP1393" s="834"/>
      <c r="AQ1393" s="1024"/>
      <c r="AR1393" s="1024"/>
      <c r="AS1393" s="1024"/>
      <c r="AT1393" s="1024"/>
      <c r="AU1393" s="1024"/>
      <c r="AV1393" s="1024"/>
      <c r="AW1393" s="1024"/>
      <c r="AX1393" s="1024"/>
      <c r="AY1393" s="1024"/>
      <c r="AZ1393" s="1024"/>
      <c r="BA1393" s="1024"/>
      <c r="BB1393" s="1024"/>
      <c r="BC1393" s="1024"/>
      <c r="BD1393" s="1024"/>
      <c r="BE1393" s="1024"/>
      <c r="BF1393" s="1024"/>
      <c r="BG1393" s="1024"/>
      <c r="BH1393" s="1024"/>
      <c r="BI1393" s="1024"/>
      <c r="BJ1393" s="1024"/>
      <c r="BK1393" s="1024"/>
      <c r="BL1393" s="1024"/>
      <c r="BM1393" s="1024"/>
      <c r="BN1393" s="323"/>
      <c r="BO1393" s="323"/>
      <c r="BP1393" s="323"/>
      <c r="BQ1393" s="323"/>
      <c r="BR1393" s="323"/>
      <c r="BS1393" s="323"/>
      <c r="BT1393" s="323"/>
      <c r="BU1393" s="323"/>
      <c r="BV1393" s="323"/>
      <c r="BW1393" s="323"/>
      <c r="BX1393" s="323"/>
      <c r="BY1393" s="323"/>
      <c r="BZ1393" s="323"/>
      <c r="CA1393" s="323"/>
      <c r="CB1393" s="621"/>
    </row>
    <row r="1394" spans="1:80" ht="12.75" customHeight="1" x14ac:dyDescent="0.2">
      <c r="A1394" s="227">
        <v>1394</v>
      </c>
      <c r="B1394" s="5988"/>
      <c r="C1394" s="1000"/>
      <c r="D1394" s="58"/>
      <c r="E1394" s="1003" t="s">
        <v>1279</v>
      </c>
      <c r="F1394" s="77">
        <v>5</v>
      </c>
      <c r="G1394" s="77">
        <v>30</v>
      </c>
      <c r="H1394" s="77">
        <f>COUNTIF(HabilidadesEsenciales_Adquiridas,Tablas!E1394)</f>
        <v>0</v>
      </c>
      <c r="I1394" s="1005"/>
      <c r="J1394" s="176"/>
      <c r="K1394" s="996"/>
      <c r="M1394" s="326"/>
      <c r="N1394" s="21"/>
      <c r="O1394" s="134" t="s">
        <v>7775</v>
      </c>
      <c r="P1394" s="998">
        <v>15</v>
      </c>
      <c r="Q1394" s="176">
        <v>60</v>
      </c>
      <c r="R1394" s="1005">
        <f>COUNTIF(PoderesDeCriatura_Adquiridos,Tablas!O1394)</f>
        <v>0</v>
      </c>
      <c r="S1394" s="176"/>
      <c r="T1394" s="996"/>
      <c r="W1394" s="1028" t="s">
        <v>1290</v>
      </c>
      <c r="X1394" s="1019"/>
      <c r="Y1394" s="834" t="str">
        <f t="shared" si="291"/>
        <v/>
      </c>
      <c r="Z1394" s="834" t="s">
        <v>6926</v>
      </c>
      <c r="AA1394" s="834"/>
      <c r="AB1394" s="834"/>
      <c r="AC1394" s="834"/>
      <c r="AD1394" s="834"/>
      <c r="AE1394" s="834"/>
      <c r="AF1394" s="834"/>
      <c r="AG1394" s="834"/>
      <c r="AH1394" s="834"/>
      <c r="AI1394" s="834"/>
      <c r="AJ1394" s="834"/>
      <c r="AK1394" s="834"/>
      <c r="AL1394" s="834"/>
      <c r="AM1394" s="834"/>
      <c r="AN1394" s="834"/>
      <c r="AO1394" s="834"/>
      <c r="AP1394" s="834"/>
      <c r="AQ1394" s="1024"/>
      <c r="AR1394" s="1024"/>
      <c r="AS1394" s="1024"/>
      <c r="AT1394" s="1024"/>
      <c r="AU1394" s="1024"/>
      <c r="AV1394" s="1024"/>
      <c r="AW1394" s="1024"/>
      <c r="AX1394" s="1024"/>
      <c r="AY1394" s="1024"/>
      <c r="AZ1394" s="1024"/>
      <c r="BA1394" s="1024"/>
      <c r="BB1394" s="1024"/>
      <c r="BC1394" s="1024"/>
      <c r="BD1394" s="1024"/>
      <c r="BE1394" s="1024"/>
      <c r="BF1394" s="1024"/>
      <c r="BG1394" s="1024"/>
      <c r="BH1394" s="1024"/>
      <c r="BI1394" s="1024"/>
      <c r="BJ1394" s="1024"/>
      <c r="BK1394" s="1024"/>
      <c r="BL1394" s="1024"/>
      <c r="BM1394" s="1024"/>
      <c r="BN1394" s="323"/>
      <c r="BO1394" s="323"/>
      <c r="BP1394" s="323"/>
      <c r="BQ1394" s="323"/>
      <c r="BR1394" s="323"/>
      <c r="BS1394" s="323"/>
      <c r="BT1394" s="323"/>
      <c r="BU1394" s="323"/>
      <c r="BV1394" s="323"/>
      <c r="BW1394" s="323"/>
      <c r="BX1394" s="323"/>
      <c r="BY1394" s="323"/>
      <c r="BZ1394" s="323"/>
      <c r="CA1394" s="323"/>
      <c r="CB1394" s="621"/>
    </row>
    <row r="1395" spans="1:80" ht="12.75" customHeight="1" x14ac:dyDescent="0.2">
      <c r="A1395" s="227">
        <v>1395</v>
      </c>
      <c r="B1395" s="5988"/>
      <c r="C1395" s="1000"/>
      <c r="D1395" s="58"/>
      <c r="E1395" s="1003" t="s">
        <v>1280</v>
      </c>
      <c r="F1395" s="77">
        <v>5</v>
      </c>
      <c r="G1395" s="77">
        <v>20</v>
      </c>
      <c r="H1395" s="77">
        <f>COUNTIF(HabilidadesEsenciales_Adquiridas,Tablas!E1395)</f>
        <v>0</v>
      </c>
      <c r="I1395" s="1005"/>
      <c r="J1395" s="176"/>
      <c r="K1395" s="996"/>
      <c r="M1395" s="326"/>
      <c r="N1395" s="21"/>
      <c r="O1395" s="134" t="s">
        <v>7776</v>
      </c>
      <c r="P1395" s="998">
        <v>20</v>
      </c>
      <c r="Q1395" s="176">
        <v>80</v>
      </c>
      <c r="R1395" s="1005">
        <f>COUNTIF(PoderesDeCriatura_Adquiridos,Tablas!O1395)</f>
        <v>0</v>
      </c>
      <c r="S1395" s="176"/>
      <c r="T1395" s="996"/>
      <c r="W1395" s="1028" t="s">
        <v>1292</v>
      </c>
      <c r="X1395" s="1019"/>
      <c r="Y1395" s="834" t="str">
        <f t="shared" si="291"/>
        <v/>
      </c>
      <c r="Z1395" s="834" t="s">
        <v>6926</v>
      </c>
      <c r="AA1395" s="834"/>
      <c r="AB1395" s="834"/>
      <c r="AC1395" s="834"/>
      <c r="AD1395" s="834"/>
      <c r="AE1395" s="834"/>
      <c r="AF1395" s="834"/>
      <c r="AG1395" s="834"/>
      <c r="AH1395" s="834"/>
      <c r="AI1395" s="834"/>
      <c r="AJ1395" s="834"/>
      <c r="AK1395" s="834"/>
      <c r="AL1395" s="834"/>
      <c r="AM1395" s="834"/>
      <c r="AN1395" s="834"/>
      <c r="AO1395" s="834"/>
      <c r="AP1395" s="834"/>
      <c r="AQ1395" s="1024"/>
      <c r="AR1395" s="1024"/>
      <c r="AS1395" s="1024"/>
      <c r="AT1395" s="1024"/>
      <c r="AU1395" s="1024"/>
      <c r="AV1395" s="1024"/>
      <c r="AW1395" s="1024"/>
      <c r="AX1395" s="1024"/>
      <c r="AY1395" s="1024"/>
      <c r="AZ1395" s="1024"/>
      <c r="BA1395" s="1024"/>
      <c r="BB1395" s="1024"/>
      <c r="BC1395" s="1024"/>
      <c r="BD1395" s="1024"/>
      <c r="BE1395" s="1024"/>
      <c r="BF1395" s="1024"/>
      <c r="BG1395" s="1024"/>
      <c r="BH1395" s="1024"/>
      <c r="BI1395" s="1024"/>
      <c r="BJ1395" s="1024"/>
      <c r="BK1395" s="1024"/>
      <c r="BL1395" s="1024"/>
      <c r="BM1395" s="1024"/>
      <c r="BN1395" s="323"/>
      <c r="BO1395" s="323"/>
      <c r="BP1395" s="323"/>
      <c r="BQ1395" s="323"/>
      <c r="BR1395" s="323"/>
      <c r="BS1395" s="323"/>
      <c r="BT1395" s="323"/>
      <c r="BU1395" s="323"/>
      <c r="BV1395" s="323"/>
      <c r="BW1395" s="323"/>
      <c r="BX1395" s="323"/>
      <c r="BY1395" s="323"/>
      <c r="BZ1395" s="323"/>
      <c r="CA1395" s="323"/>
      <c r="CB1395" s="621"/>
    </row>
    <row r="1396" spans="1:80" ht="12.75" customHeight="1" x14ac:dyDescent="0.2">
      <c r="A1396" s="227">
        <v>1396</v>
      </c>
      <c r="B1396" s="5988"/>
      <c r="C1396" s="1000"/>
      <c r="D1396" s="58"/>
      <c r="E1396" s="1003" t="s">
        <v>2351</v>
      </c>
      <c r="F1396" s="77">
        <v>5</v>
      </c>
      <c r="G1396" s="77">
        <v>30</v>
      </c>
      <c r="H1396" s="77">
        <f>COUNTIF(HabilidadesEsenciales_Adquiridas,Tablas!E1396)</f>
        <v>0</v>
      </c>
      <c r="I1396" s="1005">
        <v>1</v>
      </c>
      <c r="J1396" s="176"/>
      <c r="K1396" s="996"/>
      <c r="M1396" s="326"/>
      <c r="N1396" s="21"/>
      <c r="O1396" s="134" t="s">
        <v>7777</v>
      </c>
      <c r="P1396" s="998">
        <v>20</v>
      </c>
      <c r="Q1396" s="176">
        <v>100</v>
      </c>
      <c r="R1396" s="1005">
        <f>COUNTIF(PoderesDeCriatura_Adquiridos,Tablas!O1396)</f>
        <v>0</v>
      </c>
      <c r="S1396" s="176"/>
      <c r="T1396" s="996"/>
      <c r="W1396" s="1028" t="s">
        <v>2399</v>
      </c>
      <c r="X1396" s="1019"/>
      <c r="Y1396" s="834" t="str">
        <f t="shared" si="291"/>
        <v/>
      </c>
      <c r="Z1396" s="834" t="s">
        <v>6926</v>
      </c>
      <c r="AA1396" s="834"/>
      <c r="AB1396" s="834"/>
      <c r="AC1396" s="834"/>
      <c r="AD1396" s="834"/>
      <c r="AE1396" s="834"/>
      <c r="AF1396" s="834"/>
      <c r="AG1396" s="834"/>
      <c r="AH1396" s="834"/>
      <c r="AI1396" s="834"/>
      <c r="AJ1396" s="834"/>
      <c r="AK1396" s="834"/>
      <c r="AL1396" s="834"/>
      <c r="AM1396" s="834"/>
      <c r="AN1396" s="834"/>
      <c r="AO1396" s="834"/>
      <c r="AP1396" s="834"/>
      <c r="AQ1396" s="1024"/>
      <c r="AR1396" s="1024"/>
      <c r="AS1396" s="1024"/>
      <c r="AT1396" s="1024"/>
      <c r="AU1396" s="1024"/>
      <c r="AV1396" s="1024"/>
      <c r="AW1396" s="1024"/>
      <c r="AX1396" s="1024"/>
      <c r="AY1396" s="1024"/>
      <c r="AZ1396" s="1024"/>
      <c r="BA1396" s="1024"/>
      <c r="BB1396" s="1024"/>
      <c r="BC1396" s="1024"/>
      <c r="BD1396" s="1024"/>
      <c r="BE1396" s="1024"/>
      <c r="BF1396" s="1024"/>
      <c r="BG1396" s="1024"/>
      <c r="BH1396" s="1024"/>
      <c r="BI1396" s="1024"/>
      <c r="BJ1396" s="1024"/>
      <c r="BK1396" s="1024"/>
      <c r="BL1396" s="1024"/>
      <c r="BM1396" s="1024"/>
      <c r="BN1396" s="323"/>
      <c r="BO1396" s="323"/>
      <c r="BP1396" s="323"/>
      <c r="BQ1396" s="323"/>
      <c r="BR1396" s="323"/>
      <c r="BS1396" s="323"/>
      <c r="BT1396" s="323"/>
      <c r="BU1396" s="323"/>
      <c r="BV1396" s="323"/>
      <c r="BW1396" s="323"/>
      <c r="BX1396" s="323"/>
      <c r="BY1396" s="323"/>
      <c r="BZ1396" s="323"/>
      <c r="CA1396" s="323"/>
      <c r="CB1396" s="621"/>
    </row>
    <row r="1397" spans="1:80" ht="12.75" customHeight="1" x14ac:dyDescent="0.2">
      <c r="A1397" s="227">
        <v>1397</v>
      </c>
      <c r="B1397" s="5988"/>
      <c r="C1397" s="1000"/>
      <c r="D1397" s="58"/>
      <c r="E1397" s="1003" t="s">
        <v>2352</v>
      </c>
      <c r="F1397" s="77">
        <v>5</v>
      </c>
      <c r="G1397" s="77">
        <v>20</v>
      </c>
      <c r="H1397" s="77">
        <f>COUNTIF(HabilidadesEsenciales_Adquiridas,Tablas!E1397)</f>
        <v>0</v>
      </c>
      <c r="I1397" s="1005">
        <v>1</v>
      </c>
      <c r="J1397" s="176"/>
      <c r="K1397" s="996"/>
      <c r="M1397" s="326"/>
      <c r="N1397" s="21"/>
      <c r="O1397" s="134" t="s">
        <v>7778</v>
      </c>
      <c r="P1397" s="998">
        <v>25</v>
      </c>
      <c r="Q1397" s="176">
        <v>120</v>
      </c>
      <c r="R1397" s="1005">
        <f>COUNTIF(PoderesDeCriatura_Adquiridos,Tablas!O1397)</f>
        <v>0</v>
      </c>
      <c r="S1397" s="176"/>
      <c r="T1397" s="996"/>
      <c r="W1397" s="1028" t="s">
        <v>1291</v>
      </c>
      <c r="X1397" s="1019"/>
      <c r="Y1397" s="834" t="str">
        <f t="shared" si="291"/>
        <v/>
      </c>
      <c r="Z1397" s="834" t="s">
        <v>6926</v>
      </c>
      <c r="AA1397" s="834"/>
      <c r="AB1397" s="834"/>
      <c r="AC1397" s="834"/>
      <c r="AD1397" s="834"/>
      <c r="AE1397" s="834"/>
      <c r="AF1397" s="834"/>
      <c r="AG1397" s="834"/>
      <c r="AH1397" s="834"/>
      <c r="AI1397" s="834"/>
      <c r="AJ1397" s="834"/>
      <c r="AK1397" s="834"/>
      <c r="AL1397" s="834"/>
      <c r="AM1397" s="834"/>
      <c r="AN1397" s="834"/>
      <c r="AO1397" s="834"/>
      <c r="AP1397" s="834"/>
      <c r="AQ1397" s="1024"/>
      <c r="AR1397" s="1024"/>
      <c r="AS1397" s="1024"/>
      <c r="AT1397" s="1024"/>
      <c r="AU1397" s="1024"/>
      <c r="AV1397" s="1024"/>
      <c r="AW1397" s="1024"/>
      <c r="AX1397" s="1024"/>
      <c r="AY1397" s="1024"/>
      <c r="AZ1397" s="1024"/>
      <c r="BA1397" s="1024"/>
      <c r="BB1397" s="1024"/>
      <c r="BC1397" s="1024"/>
      <c r="BD1397" s="1024"/>
      <c r="BE1397" s="1024"/>
      <c r="BF1397" s="1024"/>
      <c r="BG1397" s="1024"/>
      <c r="BH1397" s="1024"/>
      <c r="BI1397" s="1024"/>
      <c r="BJ1397" s="1024"/>
      <c r="BK1397" s="1024"/>
      <c r="BL1397" s="1024"/>
      <c r="BM1397" s="1024"/>
      <c r="BN1397" s="323"/>
      <c r="BO1397" s="323"/>
      <c r="BP1397" s="323"/>
      <c r="BQ1397" s="323"/>
      <c r="BR1397" s="323"/>
      <c r="BS1397" s="323"/>
      <c r="BT1397" s="323"/>
      <c r="BU1397" s="323"/>
      <c r="BV1397" s="323"/>
      <c r="BW1397" s="323"/>
      <c r="BX1397" s="323"/>
      <c r="BY1397" s="323"/>
      <c r="BZ1397" s="323"/>
      <c r="CA1397" s="323"/>
      <c r="CB1397" s="621"/>
    </row>
    <row r="1398" spans="1:80" ht="12.75" customHeight="1" x14ac:dyDescent="0.2">
      <c r="A1398" s="227">
        <v>1398</v>
      </c>
      <c r="B1398" s="5988"/>
      <c r="C1398" s="1000"/>
      <c r="D1398" s="58"/>
      <c r="E1398" s="1003" t="s">
        <v>8165</v>
      </c>
      <c r="F1398" s="77">
        <v>5</v>
      </c>
      <c r="G1398" s="77">
        <v>20</v>
      </c>
      <c r="H1398" s="77">
        <f>COUNTIF(HabilidadesEsenciales_Adquiridas,Tablas!E1398)</f>
        <v>0</v>
      </c>
      <c r="I1398" s="1005">
        <v>1</v>
      </c>
      <c r="J1398" s="176"/>
      <c r="K1398" s="996"/>
      <c r="M1398" s="326"/>
      <c r="N1398" s="21"/>
      <c r="O1398" s="134" t="s">
        <v>7779</v>
      </c>
      <c r="P1398" s="998">
        <v>30</v>
      </c>
      <c r="Q1398" s="176">
        <v>140</v>
      </c>
      <c r="R1398" s="1005">
        <f>COUNTIF(PoderesDeCriatura_Adquiridos,Tablas!O1398)</f>
        <v>0</v>
      </c>
      <c r="S1398" s="176"/>
      <c r="T1398" s="996"/>
      <c r="W1398" s="1028" t="s">
        <v>2402</v>
      </c>
      <c r="X1398" s="1019"/>
      <c r="Y1398" s="834" t="str">
        <f t="shared" si="291"/>
        <v/>
      </c>
      <c r="Z1398" s="834" t="s">
        <v>6926</v>
      </c>
      <c r="AA1398" s="834"/>
      <c r="AB1398" s="834"/>
      <c r="AC1398" s="834"/>
      <c r="AD1398" s="834"/>
      <c r="AE1398" s="834"/>
      <c r="AF1398" s="834"/>
      <c r="AG1398" s="834"/>
      <c r="AH1398" s="834"/>
      <c r="AI1398" s="834"/>
      <c r="AJ1398" s="834"/>
      <c r="AK1398" s="834"/>
      <c r="AL1398" s="834"/>
      <c r="AM1398" s="834"/>
      <c r="AN1398" s="834"/>
      <c r="AO1398" s="834"/>
      <c r="AP1398" s="834"/>
      <c r="AQ1398" s="1024"/>
      <c r="AR1398" s="1024"/>
      <c r="AS1398" s="1024"/>
      <c r="AT1398" s="1024"/>
      <c r="AU1398" s="1024"/>
      <c r="AV1398" s="1024"/>
      <c r="AW1398" s="1024"/>
      <c r="AX1398" s="1024"/>
      <c r="AY1398" s="1024"/>
      <c r="AZ1398" s="1024"/>
      <c r="BA1398" s="1024"/>
      <c r="BB1398" s="1024"/>
      <c r="BC1398" s="1024"/>
      <c r="BD1398" s="1024"/>
      <c r="BE1398" s="1024"/>
      <c r="BF1398" s="1024"/>
      <c r="BG1398" s="1024"/>
      <c r="BH1398" s="1024"/>
      <c r="BI1398" s="1024"/>
      <c r="BJ1398" s="1024"/>
      <c r="BK1398" s="1024"/>
      <c r="BL1398" s="1024"/>
      <c r="BM1398" s="1024"/>
      <c r="BN1398" s="323"/>
      <c r="BO1398" s="323"/>
      <c r="BP1398" s="323"/>
      <c r="BQ1398" s="323"/>
      <c r="BR1398" s="323"/>
      <c r="BS1398" s="323"/>
      <c r="BT1398" s="323"/>
      <c r="BU1398" s="323"/>
      <c r="BV1398" s="323"/>
      <c r="BW1398" s="323"/>
      <c r="BX1398" s="323"/>
      <c r="BY1398" s="323"/>
      <c r="BZ1398" s="323"/>
      <c r="CA1398" s="323"/>
      <c r="CB1398" s="621"/>
    </row>
    <row r="1399" spans="1:80" ht="12.75" customHeight="1" x14ac:dyDescent="0.2">
      <c r="A1399" s="227">
        <v>1399</v>
      </c>
      <c r="B1399" s="5988"/>
      <c r="C1399" s="1000"/>
      <c r="D1399" s="58"/>
      <c r="E1399" s="1003" t="s">
        <v>8166</v>
      </c>
      <c r="F1399" s="77">
        <v>5</v>
      </c>
      <c r="G1399" s="77">
        <v>20</v>
      </c>
      <c r="H1399" s="77">
        <f>COUNTIF(HabilidadesEsenciales_Adquiridas,Tablas!E1399)</f>
        <v>0</v>
      </c>
      <c r="I1399" s="1005">
        <v>1</v>
      </c>
      <c r="J1399" s="176"/>
      <c r="K1399" s="996"/>
      <c r="M1399" s="326"/>
      <c r="N1399" s="21"/>
      <c r="O1399" s="134" t="s">
        <v>7780</v>
      </c>
      <c r="P1399" s="998">
        <v>35</v>
      </c>
      <c r="Q1399" s="176">
        <v>160</v>
      </c>
      <c r="R1399" s="1005">
        <f>COUNTIF(PoderesDeCriatura_Adquiridos,Tablas!O1399)</f>
        <v>0</v>
      </c>
      <c r="S1399" s="176"/>
      <c r="T1399" s="996"/>
      <c r="W1399" s="1028" t="s">
        <v>2397</v>
      </c>
      <c r="X1399" s="1019"/>
      <c r="Y1399" s="834" t="str">
        <f t="shared" si="291"/>
        <v/>
      </c>
      <c r="Z1399" s="834" t="s">
        <v>6926</v>
      </c>
      <c r="AA1399" s="834"/>
      <c r="AB1399" s="834"/>
      <c r="AC1399" s="834"/>
      <c r="AD1399" s="834"/>
      <c r="AE1399" s="834"/>
      <c r="AF1399" s="834"/>
      <c r="AG1399" s="834"/>
      <c r="AH1399" s="834"/>
      <c r="AI1399" s="834"/>
      <c r="AJ1399" s="834"/>
      <c r="AK1399" s="834"/>
      <c r="AL1399" s="834"/>
      <c r="AM1399" s="834"/>
      <c r="AN1399" s="834"/>
      <c r="AO1399" s="834"/>
      <c r="AP1399" s="834"/>
      <c r="AQ1399" s="1024"/>
      <c r="AR1399" s="1024"/>
      <c r="AS1399" s="1024"/>
      <c r="AT1399" s="1024"/>
      <c r="AU1399" s="1024"/>
      <c r="AV1399" s="1024"/>
      <c r="AW1399" s="1024"/>
      <c r="AX1399" s="1024"/>
      <c r="AY1399" s="1024"/>
      <c r="AZ1399" s="1024"/>
      <c r="BA1399" s="1024"/>
      <c r="BB1399" s="1024"/>
      <c r="BC1399" s="1024"/>
      <c r="BD1399" s="1024"/>
      <c r="BE1399" s="1024"/>
      <c r="BF1399" s="1024"/>
      <c r="BG1399" s="1024"/>
      <c r="BH1399" s="1024"/>
      <c r="BI1399" s="1024"/>
      <c r="BJ1399" s="1024"/>
      <c r="BK1399" s="1024"/>
      <c r="BL1399" s="1024"/>
      <c r="BM1399" s="1024"/>
      <c r="BN1399" s="323"/>
      <c r="BO1399" s="323"/>
      <c r="BP1399" s="323"/>
      <c r="BQ1399" s="323"/>
      <c r="BR1399" s="323"/>
      <c r="BS1399" s="323"/>
      <c r="BT1399" s="323"/>
      <c r="BU1399" s="323"/>
      <c r="BV1399" s="323"/>
      <c r="BW1399" s="323"/>
      <c r="BX1399" s="323"/>
      <c r="BY1399" s="323"/>
      <c r="BZ1399" s="323"/>
      <c r="CA1399" s="323"/>
      <c r="CB1399" s="621"/>
    </row>
    <row r="1400" spans="1:80" ht="12.75" customHeight="1" x14ac:dyDescent="0.2">
      <c r="A1400" s="227">
        <v>1400</v>
      </c>
      <c r="B1400" s="5988"/>
      <c r="C1400" s="1000"/>
      <c r="D1400" s="58"/>
      <c r="E1400" s="1003" t="s">
        <v>8167</v>
      </c>
      <c r="F1400" s="77">
        <v>5</v>
      </c>
      <c r="G1400" s="77">
        <v>20</v>
      </c>
      <c r="H1400" s="77">
        <f>COUNTIF(HabilidadesEsenciales_Adquiridas,Tablas!E1400)</f>
        <v>0</v>
      </c>
      <c r="I1400" s="1005">
        <v>1</v>
      </c>
      <c r="J1400" s="176"/>
      <c r="K1400" s="996"/>
      <c r="M1400" s="326"/>
      <c r="N1400" s="21"/>
      <c r="O1400" s="134" t="s">
        <v>7781</v>
      </c>
      <c r="P1400" s="998">
        <v>35</v>
      </c>
      <c r="Q1400" s="176">
        <f>200+IF(OR(TipoDeCriatura="Entre mundos, Elemental",TipoDeCriatura="Ánima, Elemental"),10,0)</f>
        <v>200</v>
      </c>
      <c r="R1400" s="1005">
        <f>COUNTIF(PoderesDeCriatura_Adquiridos,Tablas!O1400)</f>
        <v>0</v>
      </c>
      <c r="S1400" s="176"/>
      <c r="T1400" s="996"/>
      <c r="W1400" s="1028" t="s">
        <v>2398</v>
      </c>
      <c r="X1400" s="1019"/>
      <c r="Y1400" s="834" t="str">
        <f t="shared" si="291"/>
        <v/>
      </c>
      <c r="Z1400" s="834" t="s">
        <v>6926</v>
      </c>
      <c r="AA1400" s="834"/>
      <c r="AB1400" s="834"/>
      <c r="AC1400" s="834"/>
      <c r="AD1400" s="834"/>
      <c r="AE1400" s="834"/>
      <c r="AF1400" s="834"/>
      <c r="AG1400" s="834"/>
      <c r="AH1400" s="834"/>
      <c r="AI1400" s="834"/>
      <c r="AJ1400" s="834"/>
      <c r="AK1400" s="834"/>
      <c r="AL1400" s="834"/>
      <c r="AM1400" s="834"/>
      <c r="AN1400" s="834"/>
      <c r="AO1400" s="834"/>
      <c r="AP1400" s="834"/>
      <c r="AQ1400" s="1024"/>
      <c r="AR1400" s="1024"/>
      <c r="AS1400" s="1024"/>
      <c r="AT1400" s="1024"/>
      <c r="AU1400" s="1024"/>
      <c r="AV1400" s="1024"/>
      <c r="AW1400" s="1024"/>
      <c r="AX1400" s="1024"/>
      <c r="AY1400" s="1024"/>
      <c r="AZ1400" s="1024"/>
      <c r="BA1400" s="1024"/>
      <c r="BB1400" s="1024"/>
      <c r="BC1400" s="1024"/>
      <c r="BD1400" s="1024"/>
      <c r="BE1400" s="1024"/>
      <c r="BF1400" s="1024"/>
      <c r="BG1400" s="1024"/>
      <c r="BH1400" s="1024"/>
      <c r="BI1400" s="1024"/>
      <c r="BJ1400" s="1024"/>
      <c r="BK1400" s="1024"/>
      <c r="BL1400" s="1024"/>
      <c r="BM1400" s="1024"/>
      <c r="BN1400" s="323"/>
      <c r="BO1400" s="323"/>
      <c r="BP1400" s="323"/>
      <c r="BQ1400" s="323"/>
      <c r="BR1400" s="323"/>
      <c r="BS1400" s="323"/>
      <c r="BT1400" s="323"/>
      <c r="BU1400" s="323"/>
      <c r="BV1400" s="323"/>
      <c r="BW1400" s="323"/>
      <c r="BX1400" s="323"/>
      <c r="BY1400" s="323"/>
      <c r="BZ1400" s="323"/>
      <c r="CA1400" s="323"/>
      <c r="CB1400" s="621"/>
    </row>
    <row r="1401" spans="1:80" ht="12.75" customHeight="1" x14ac:dyDescent="0.2">
      <c r="A1401" s="227">
        <v>1401</v>
      </c>
      <c r="B1401" s="5988"/>
      <c r="C1401" s="1000"/>
      <c r="D1401" s="58"/>
      <c r="E1401" s="1003" t="s">
        <v>8168</v>
      </c>
      <c r="F1401" s="77">
        <v>5</v>
      </c>
      <c r="G1401" s="77">
        <v>20</v>
      </c>
      <c r="H1401" s="77">
        <f>COUNTIF(HabilidadesEsenciales_Adquiridas,Tablas!E1401)</f>
        <v>0</v>
      </c>
      <c r="I1401" s="1005">
        <v>1</v>
      </c>
      <c r="J1401" s="176"/>
      <c r="K1401" s="996"/>
      <c r="M1401" s="326"/>
      <c r="N1401" s="21"/>
      <c r="O1401" s="134" t="s">
        <v>7782</v>
      </c>
      <c r="P1401" s="998">
        <v>10</v>
      </c>
      <c r="Q1401" s="176">
        <f>10+IF(OR(TipoDeCriatura="Entre mundos, Elemental",TipoDeCriatura="Ánima, Elemental"),10,0)</f>
        <v>10</v>
      </c>
      <c r="R1401" s="1005">
        <f>COUNTIF(PoderesDeCriatura_Adquiridos,Tablas!O1401)</f>
        <v>0</v>
      </c>
      <c r="S1401" s="176"/>
      <c r="T1401" s="996"/>
      <c r="W1401" s="1028" t="s">
        <v>1293</v>
      </c>
      <c r="X1401" s="1019"/>
      <c r="Y1401" s="834" t="str">
        <f t="shared" si="291"/>
        <v/>
      </c>
      <c r="Z1401" s="834" t="s">
        <v>6926</v>
      </c>
      <c r="AA1401" s="834"/>
      <c r="AB1401" s="834"/>
      <c r="AC1401" s="834"/>
      <c r="AD1401" s="834"/>
      <c r="AE1401" s="834"/>
      <c r="AF1401" s="834"/>
      <c r="AG1401" s="834"/>
      <c r="AH1401" s="834"/>
      <c r="AI1401" s="834"/>
      <c r="AJ1401" s="834"/>
      <c r="AK1401" s="834"/>
      <c r="AL1401" s="834"/>
      <c r="AM1401" s="834"/>
      <c r="AN1401" s="834"/>
      <c r="AO1401" s="834"/>
      <c r="AP1401" s="834"/>
      <c r="AQ1401" s="1024"/>
      <c r="AR1401" s="1024"/>
      <c r="AS1401" s="1024"/>
      <c r="AT1401" s="1024"/>
      <c r="AU1401" s="1024"/>
      <c r="AV1401" s="1024"/>
      <c r="AW1401" s="1024"/>
      <c r="AX1401" s="1024"/>
      <c r="AY1401" s="1024"/>
      <c r="AZ1401" s="1024"/>
      <c r="BA1401" s="1024"/>
      <c r="BB1401" s="1024"/>
      <c r="BC1401" s="1024"/>
      <c r="BD1401" s="1024"/>
      <c r="BE1401" s="1024"/>
      <c r="BF1401" s="1024"/>
      <c r="BG1401" s="1024"/>
      <c r="BH1401" s="1024"/>
      <c r="BI1401" s="1024"/>
      <c r="BJ1401" s="1024"/>
      <c r="BK1401" s="1024"/>
      <c r="BL1401" s="1024"/>
      <c r="BM1401" s="1024"/>
      <c r="BN1401" s="323"/>
      <c r="BO1401" s="323"/>
      <c r="BP1401" s="323"/>
      <c r="BQ1401" s="323"/>
      <c r="BR1401" s="323"/>
      <c r="BS1401" s="323"/>
      <c r="BT1401" s="323"/>
      <c r="BU1401" s="323"/>
      <c r="BV1401" s="323"/>
      <c r="BW1401" s="323"/>
      <c r="BX1401" s="323"/>
      <c r="BY1401" s="323"/>
      <c r="BZ1401" s="323"/>
      <c r="CA1401" s="323"/>
      <c r="CB1401" s="621"/>
    </row>
    <row r="1402" spans="1:80" ht="12.75" customHeight="1" x14ac:dyDescent="0.2">
      <c r="A1402" s="227">
        <v>1402</v>
      </c>
      <c r="B1402" s="5988"/>
      <c r="C1402" s="1000"/>
      <c r="D1402" s="58"/>
      <c r="E1402" s="1003" t="s">
        <v>8169</v>
      </c>
      <c r="F1402" s="77">
        <v>5</v>
      </c>
      <c r="G1402" s="77">
        <v>20</v>
      </c>
      <c r="H1402" s="77">
        <f>COUNTIF(HabilidadesEsenciales_Adquiridas,Tablas!E1402)</f>
        <v>0</v>
      </c>
      <c r="I1402" s="1005">
        <v>1</v>
      </c>
      <c r="J1402" s="176"/>
      <c r="K1402" s="996"/>
      <c r="M1402" s="326"/>
      <c r="N1402" s="21"/>
      <c r="O1402" s="134" t="s">
        <v>7783</v>
      </c>
      <c r="P1402" s="998">
        <v>35</v>
      </c>
      <c r="Q1402" s="176">
        <f>100+IF(OR(TipoDeCriatura="Entre mundos, Elemental",TipoDeCriatura="Ánima, Elemental"),10,0)</f>
        <v>100</v>
      </c>
      <c r="R1402" s="1005">
        <f>COUNTIF(PoderesDeCriatura_Adquiridos,Tablas!O1402)</f>
        <v>0</v>
      </c>
      <c r="S1402" s="176"/>
      <c r="T1402" s="996"/>
      <c r="W1402" s="1028" t="s">
        <v>1294</v>
      </c>
      <c r="X1402" s="1019"/>
      <c r="Y1402" s="834" t="str">
        <f t="shared" si="291"/>
        <v/>
      </c>
      <c r="Z1402" s="834" t="s">
        <v>6926</v>
      </c>
      <c r="AA1402" s="834"/>
      <c r="AB1402" s="834"/>
      <c r="AC1402" s="834"/>
      <c r="AD1402" s="834"/>
      <c r="AE1402" s="834"/>
      <c r="AF1402" s="834"/>
      <c r="AG1402" s="834"/>
      <c r="AH1402" s="834"/>
      <c r="AI1402" s="834"/>
      <c r="AJ1402" s="834"/>
      <c r="AK1402" s="834"/>
      <c r="AL1402" s="834"/>
      <c r="AM1402" s="834"/>
      <c r="AN1402" s="834"/>
      <c r="AO1402" s="834"/>
      <c r="AP1402" s="834"/>
      <c r="AQ1402" s="1024"/>
      <c r="AR1402" s="1024"/>
      <c r="AS1402" s="1024"/>
      <c r="AT1402" s="1024"/>
      <c r="AU1402" s="1024"/>
      <c r="AV1402" s="1024"/>
      <c r="AW1402" s="1024"/>
      <c r="AX1402" s="1024"/>
      <c r="AY1402" s="1024"/>
      <c r="AZ1402" s="1024"/>
      <c r="BA1402" s="1024"/>
      <c r="BB1402" s="1024"/>
      <c r="BC1402" s="1024"/>
      <c r="BD1402" s="1024"/>
      <c r="BE1402" s="1024"/>
      <c r="BF1402" s="1024"/>
      <c r="BG1402" s="1024"/>
      <c r="BH1402" s="1024"/>
      <c r="BI1402" s="1024"/>
      <c r="BJ1402" s="1024"/>
      <c r="BK1402" s="1024"/>
      <c r="BL1402" s="1024"/>
      <c r="BM1402" s="1024"/>
      <c r="BN1402" s="323"/>
      <c r="BO1402" s="323"/>
      <c r="BP1402" s="323"/>
      <c r="BQ1402" s="323"/>
      <c r="BR1402" s="323"/>
      <c r="BS1402" s="323"/>
      <c r="BT1402" s="323"/>
      <c r="BU1402" s="323"/>
      <c r="BV1402" s="323"/>
      <c r="BW1402" s="323"/>
      <c r="BX1402" s="323"/>
      <c r="BY1402" s="323"/>
      <c r="BZ1402" s="323"/>
      <c r="CA1402" s="323"/>
      <c r="CB1402" s="621"/>
    </row>
    <row r="1403" spans="1:80" ht="12.75" customHeight="1" x14ac:dyDescent="0.2">
      <c r="A1403" s="227">
        <v>1403</v>
      </c>
      <c r="B1403" s="5988"/>
      <c r="C1403" s="1000"/>
      <c r="D1403" s="58"/>
      <c r="E1403" s="1003" t="s">
        <v>8170</v>
      </c>
      <c r="F1403" s="77">
        <v>5</v>
      </c>
      <c r="G1403" s="77">
        <v>20</v>
      </c>
      <c r="H1403" s="77">
        <f>COUNTIF(HabilidadesEsenciales_Adquiridas,Tablas!E1403)</f>
        <v>0</v>
      </c>
      <c r="I1403" s="1005">
        <v>1</v>
      </c>
      <c r="J1403" s="176"/>
      <c r="K1403" s="996"/>
      <c r="M1403" s="326"/>
      <c r="N1403" s="21"/>
      <c r="O1403" s="134" t="s">
        <v>7784</v>
      </c>
      <c r="P1403" s="998">
        <v>10</v>
      </c>
      <c r="Q1403" s="176">
        <v>-10</v>
      </c>
      <c r="R1403" s="1005">
        <f>COUNTIF(PoderesDeCriatura_Adquiridos,Tablas!O1403)</f>
        <v>0</v>
      </c>
      <c r="S1403" s="176"/>
      <c r="T1403" s="996"/>
      <c r="W1403" s="1028" t="s">
        <v>2406</v>
      </c>
      <c r="X1403" s="1019"/>
      <c r="Y1403" s="834" t="str">
        <f t="shared" si="291"/>
        <v/>
      </c>
      <c r="Z1403" s="834" t="s">
        <v>6926</v>
      </c>
      <c r="AA1403" s="834"/>
      <c r="AB1403" s="834"/>
      <c r="AC1403" s="834"/>
      <c r="AD1403" s="834"/>
      <c r="AE1403" s="834"/>
      <c r="AF1403" s="834"/>
      <c r="AG1403" s="834"/>
      <c r="AH1403" s="834"/>
      <c r="AI1403" s="834"/>
      <c r="AJ1403" s="834"/>
      <c r="AK1403" s="834"/>
      <c r="AL1403" s="834"/>
      <c r="AM1403" s="834"/>
      <c r="AN1403" s="834"/>
      <c r="AO1403" s="834"/>
      <c r="AP1403" s="834"/>
      <c r="AQ1403" s="1024"/>
      <c r="AR1403" s="1024"/>
      <c r="AS1403" s="1024"/>
      <c r="AT1403" s="1024"/>
      <c r="AU1403" s="1024"/>
      <c r="AV1403" s="1024"/>
      <c r="AW1403" s="1024"/>
      <c r="AX1403" s="1024"/>
      <c r="AY1403" s="1024"/>
      <c r="AZ1403" s="1024"/>
      <c r="BA1403" s="1024"/>
      <c r="BB1403" s="1024"/>
      <c r="BC1403" s="1024"/>
      <c r="BD1403" s="1024"/>
      <c r="BE1403" s="1024"/>
      <c r="BF1403" s="1024"/>
      <c r="BG1403" s="1024"/>
      <c r="BH1403" s="1024"/>
      <c r="BI1403" s="1024"/>
      <c r="BJ1403" s="1024"/>
      <c r="BK1403" s="1024"/>
      <c r="BL1403" s="1024"/>
      <c r="BM1403" s="1024"/>
      <c r="BN1403" s="323"/>
      <c r="BO1403" s="323"/>
      <c r="BP1403" s="323"/>
      <c r="BQ1403" s="323"/>
      <c r="BR1403" s="323"/>
      <c r="BS1403" s="323"/>
      <c r="BT1403" s="323"/>
      <c r="BU1403" s="323"/>
      <c r="BV1403" s="323"/>
      <c r="BW1403" s="323"/>
      <c r="BX1403" s="323"/>
      <c r="BY1403" s="323"/>
      <c r="BZ1403" s="323"/>
      <c r="CA1403" s="323"/>
      <c r="CB1403" s="621"/>
    </row>
    <row r="1404" spans="1:80" ht="12.75" customHeight="1" x14ac:dyDescent="0.2">
      <c r="A1404" s="227">
        <v>1404</v>
      </c>
      <c r="B1404" s="5988"/>
      <c r="C1404" s="1000"/>
      <c r="D1404" s="58"/>
      <c r="E1404" s="1003" t="s">
        <v>8171</v>
      </c>
      <c r="F1404" s="77">
        <v>5</v>
      </c>
      <c r="G1404" s="77">
        <v>20</v>
      </c>
      <c r="H1404" s="77">
        <f>COUNTIF(HabilidadesEsenciales_Adquiridas,Tablas!E1404)</f>
        <v>0</v>
      </c>
      <c r="I1404" s="1005">
        <v>1</v>
      </c>
      <c r="J1404" s="176"/>
      <c r="K1404" s="996"/>
      <c r="M1404" s="326"/>
      <c r="N1404" s="21"/>
      <c r="O1404" s="134" t="s">
        <v>7785</v>
      </c>
      <c r="P1404" s="998">
        <v>10</v>
      </c>
      <c r="Q1404" s="176">
        <v>-30</v>
      </c>
      <c r="R1404" s="1005">
        <f>COUNTIF(PoderesDeCriatura_Adquiridos,Tablas!O1404)</f>
        <v>0</v>
      </c>
      <c r="S1404" s="176"/>
      <c r="T1404" s="996"/>
      <c r="W1404" s="1028" t="s">
        <v>2405</v>
      </c>
      <c r="X1404" s="1019"/>
      <c r="Y1404" s="834" t="str">
        <f t="shared" si="291"/>
        <v/>
      </c>
      <c r="Z1404" s="834" t="s">
        <v>6926</v>
      </c>
      <c r="AA1404" s="834"/>
      <c r="AB1404" s="834"/>
      <c r="AC1404" s="834"/>
      <c r="AD1404" s="834"/>
      <c r="AE1404" s="834"/>
      <c r="AF1404" s="834"/>
      <c r="AG1404" s="834"/>
      <c r="AH1404" s="834"/>
      <c r="AI1404" s="834"/>
      <c r="AJ1404" s="834"/>
      <c r="AK1404" s="834"/>
      <c r="AL1404" s="834"/>
      <c r="AM1404" s="834"/>
      <c r="AN1404" s="834"/>
      <c r="AO1404" s="834"/>
      <c r="AP1404" s="834"/>
      <c r="AQ1404" s="1024"/>
      <c r="AR1404" s="1024"/>
      <c r="AS1404" s="1024"/>
      <c r="AT1404" s="1024"/>
      <c r="AU1404" s="1024"/>
      <c r="AV1404" s="1024"/>
      <c r="AW1404" s="1024"/>
      <c r="AX1404" s="1024"/>
      <c r="AY1404" s="1024"/>
      <c r="AZ1404" s="1024"/>
      <c r="BA1404" s="1024"/>
      <c r="BB1404" s="1024"/>
      <c r="BC1404" s="1024"/>
      <c r="BD1404" s="1024"/>
      <c r="BE1404" s="1024"/>
      <c r="BF1404" s="1024"/>
      <c r="BG1404" s="1024"/>
      <c r="BH1404" s="1024"/>
      <c r="BI1404" s="1024"/>
      <c r="BJ1404" s="1024"/>
      <c r="BK1404" s="1024"/>
      <c r="BL1404" s="1024"/>
      <c r="BM1404" s="1024"/>
      <c r="BN1404" s="323"/>
      <c r="BO1404" s="323"/>
      <c r="BP1404" s="323"/>
      <c r="BQ1404" s="323"/>
      <c r="BR1404" s="323"/>
      <c r="BS1404" s="323"/>
      <c r="BT1404" s="323"/>
      <c r="BU1404" s="323"/>
      <c r="BV1404" s="323"/>
      <c r="BW1404" s="323"/>
      <c r="BX1404" s="323"/>
      <c r="BY1404" s="323"/>
      <c r="BZ1404" s="323"/>
      <c r="CA1404" s="323"/>
      <c r="CB1404" s="621"/>
    </row>
    <row r="1405" spans="1:80" ht="12.75" customHeight="1" x14ac:dyDescent="0.2">
      <c r="A1405" s="227">
        <v>1405</v>
      </c>
      <c r="B1405" s="5988"/>
      <c r="C1405" s="1000"/>
      <c r="D1405" s="58"/>
      <c r="E1405" s="1003" t="s">
        <v>8172</v>
      </c>
      <c r="F1405" s="77">
        <v>5</v>
      </c>
      <c r="G1405" s="77">
        <v>20</v>
      </c>
      <c r="H1405" s="77">
        <f>COUNTIF(HabilidadesEsenciales_Adquiridas,Tablas!E1405)</f>
        <v>0</v>
      </c>
      <c r="I1405" s="1005">
        <v>1</v>
      </c>
      <c r="J1405" s="176"/>
      <c r="K1405" s="996"/>
      <c r="M1405" s="326"/>
      <c r="N1405" s="21"/>
      <c r="O1405" s="134" t="s">
        <v>7786</v>
      </c>
      <c r="P1405" s="998">
        <v>10</v>
      </c>
      <c r="Q1405" s="176">
        <v>-50</v>
      </c>
      <c r="R1405" s="1005">
        <f>COUNTIF(PoderesDeCriatura_Adquiridos,Tablas!O1405)</f>
        <v>0</v>
      </c>
      <c r="S1405" s="176"/>
      <c r="T1405" s="996"/>
      <c r="W1405" s="1028" t="s">
        <v>1295</v>
      </c>
      <c r="X1405" s="1019"/>
      <c r="Y1405" s="834" t="str">
        <f t="shared" si="291"/>
        <v/>
      </c>
      <c r="Z1405" s="834" t="s">
        <v>6926</v>
      </c>
      <c r="AA1405" s="834"/>
      <c r="AB1405" s="834"/>
      <c r="AC1405" s="834"/>
      <c r="AD1405" s="834"/>
      <c r="AE1405" s="834"/>
      <c r="AF1405" s="834"/>
      <c r="AG1405" s="834"/>
      <c r="AH1405" s="834"/>
      <c r="AI1405" s="834"/>
      <c r="AJ1405" s="834"/>
      <c r="AK1405" s="834"/>
      <c r="AL1405" s="834"/>
      <c r="AM1405" s="834"/>
      <c r="AN1405" s="834"/>
      <c r="AO1405" s="834"/>
      <c r="AP1405" s="834"/>
      <c r="AQ1405" s="1024"/>
      <c r="AR1405" s="1024"/>
      <c r="AS1405" s="1024"/>
      <c r="AT1405" s="1024"/>
      <c r="AU1405" s="1024"/>
      <c r="AV1405" s="1024"/>
      <c r="AW1405" s="1024"/>
      <c r="AX1405" s="1024"/>
      <c r="AY1405" s="1024"/>
      <c r="AZ1405" s="1024"/>
      <c r="BA1405" s="1024"/>
      <c r="BB1405" s="1024"/>
      <c r="BC1405" s="1024"/>
      <c r="BD1405" s="1024"/>
      <c r="BE1405" s="1024"/>
      <c r="BF1405" s="1024"/>
      <c r="BG1405" s="1024"/>
      <c r="BH1405" s="1024"/>
      <c r="BI1405" s="1024"/>
      <c r="BJ1405" s="1024"/>
      <c r="BK1405" s="1024"/>
      <c r="BL1405" s="1024"/>
      <c r="BM1405" s="1024"/>
      <c r="BN1405" s="323"/>
      <c r="BO1405" s="323"/>
      <c r="BP1405" s="323"/>
      <c r="BQ1405" s="323"/>
      <c r="BR1405" s="323"/>
      <c r="BS1405" s="323"/>
      <c r="BT1405" s="323"/>
      <c r="BU1405" s="323"/>
      <c r="BV1405" s="323"/>
      <c r="BW1405" s="323"/>
      <c r="BX1405" s="323"/>
      <c r="BY1405" s="323"/>
      <c r="BZ1405" s="323"/>
      <c r="CA1405" s="323"/>
      <c r="CB1405" s="621"/>
    </row>
    <row r="1406" spans="1:80" ht="12.75" customHeight="1" x14ac:dyDescent="0.2">
      <c r="A1406" s="227">
        <v>1406</v>
      </c>
      <c r="B1406" s="5988"/>
      <c r="C1406" s="1000"/>
      <c r="D1406" s="58"/>
      <c r="E1406" s="1003" t="s">
        <v>8173</v>
      </c>
      <c r="F1406" s="77">
        <v>5</v>
      </c>
      <c r="G1406" s="77">
        <v>20</v>
      </c>
      <c r="H1406" s="77">
        <f>COUNTIF(HabilidadesEsenciales_Adquiridas,Tablas!E1406)</f>
        <v>0</v>
      </c>
      <c r="I1406" s="1005">
        <v>1</v>
      </c>
      <c r="J1406" s="176"/>
      <c r="K1406" s="996"/>
      <c r="M1406" s="326"/>
      <c r="N1406" s="21"/>
      <c r="O1406" s="134" t="s">
        <v>7787</v>
      </c>
      <c r="P1406" s="998">
        <v>10</v>
      </c>
      <c r="Q1406" s="176">
        <v>-30</v>
      </c>
      <c r="R1406" s="1005">
        <f>COUNTIF(PoderesDeCriatura_Adquiridos,Tablas!O1406)</f>
        <v>0</v>
      </c>
      <c r="S1406" s="176"/>
      <c r="T1406" s="996"/>
      <c r="W1406" s="1028" t="s">
        <v>2412</v>
      </c>
      <c r="X1406" s="1019"/>
      <c r="Y1406" s="834" t="str">
        <f t="shared" si="291"/>
        <v/>
      </c>
      <c r="Z1406" s="834" t="s">
        <v>6926</v>
      </c>
      <c r="AA1406" s="834"/>
      <c r="AB1406" s="834"/>
      <c r="AC1406" s="834"/>
      <c r="AD1406" s="834"/>
      <c r="AE1406" s="834"/>
      <c r="AF1406" s="834"/>
      <c r="AG1406" s="834"/>
      <c r="AH1406" s="834"/>
      <c r="AI1406" s="834"/>
      <c r="AJ1406" s="834"/>
      <c r="AK1406" s="834"/>
      <c r="AL1406" s="834"/>
      <c r="AM1406" s="834"/>
      <c r="AN1406" s="834"/>
      <c r="AO1406" s="834"/>
      <c r="AP1406" s="834"/>
      <c r="AQ1406" s="1024"/>
      <c r="AR1406" s="1024"/>
      <c r="AS1406" s="1024"/>
      <c r="AT1406" s="1024"/>
      <c r="AU1406" s="1024"/>
      <c r="AV1406" s="1024"/>
      <c r="AW1406" s="1024"/>
      <c r="AX1406" s="1024"/>
      <c r="AY1406" s="1024"/>
      <c r="AZ1406" s="1024"/>
      <c r="BA1406" s="1024"/>
      <c r="BB1406" s="1024"/>
      <c r="BC1406" s="1024"/>
      <c r="BD1406" s="1024"/>
      <c r="BE1406" s="1024"/>
      <c r="BF1406" s="1024"/>
      <c r="BG1406" s="1024"/>
      <c r="BH1406" s="1024"/>
      <c r="BI1406" s="1024"/>
      <c r="BJ1406" s="1024"/>
      <c r="BK1406" s="1024"/>
      <c r="BL1406" s="1024"/>
      <c r="BM1406" s="1024"/>
      <c r="BN1406" s="323"/>
      <c r="BO1406" s="323"/>
      <c r="BP1406" s="323"/>
      <c r="BQ1406" s="323"/>
      <c r="BR1406" s="323"/>
      <c r="BS1406" s="323"/>
      <c r="BT1406" s="323"/>
      <c r="BU1406" s="323"/>
      <c r="BV1406" s="323"/>
      <c r="BW1406" s="323"/>
      <c r="BX1406" s="323"/>
      <c r="BY1406" s="323"/>
      <c r="BZ1406" s="323"/>
      <c r="CA1406" s="323"/>
      <c r="CB1406" s="621"/>
    </row>
    <row r="1407" spans="1:80" ht="12.75" customHeight="1" x14ac:dyDescent="0.2">
      <c r="A1407" s="227">
        <v>1407</v>
      </c>
      <c r="B1407" s="5988"/>
      <c r="C1407" s="1000"/>
      <c r="D1407" s="58"/>
      <c r="E1407" s="1003" t="s">
        <v>8174</v>
      </c>
      <c r="F1407" s="77">
        <v>5</v>
      </c>
      <c r="G1407" s="77">
        <v>20</v>
      </c>
      <c r="H1407" s="77">
        <f>COUNTIF(HabilidadesEsenciales_Adquiridas,Tablas!E1407)</f>
        <v>0</v>
      </c>
      <c r="I1407" s="1005">
        <v>1</v>
      </c>
      <c r="J1407" s="176"/>
      <c r="K1407" s="996"/>
      <c r="M1407" s="326"/>
      <c r="N1407" s="21"/>
      <c r="O1407" s="134" t="s">
        <v>1315</v>
      </c>
      <c r="P1407" s="998">
        <v>0</v>
      </c>
      <c r="Q1407" s="176">
        <v>10</v>
      </c>
      <c r="R1407" s="1005">
        <f>COUNTIF(PoderesDeCriatura_Adquiridos,Tablas!O1407)</f>
        <v>0</v>
      </c>
      <c r="S1407" s="176"/>
      <c r="T1407" s="996"/>
      <c r="W1407" s="1028" t="s">
        <v>2437</v>
      </c>
      <c r="X1407" s="1019"/>
      <c r="Y1407" s="834" t="str">
        <f t="shared" si="291"/>
        <v/>
      </c>
      <c r="Z1407" s="834" t="s">
        <v>6926</v>
      </c>
      <c r="AA1407" s="834"/>
      <c r="AB1407" s="834"/>
      <c r="AC1407" s="834"/>
      <c r="AD1407" s="834"/>
      <c r="AE1407" s="834"/>
      <c r="AF1407" s="834"/>
      <c r="AG1407" s="834"/>
      <c r="AH1407" s="834"/>
      <c r="AI1407" s="834"/>
      <c r="AJ1407" s="834"/>
      <c r="AK1407" s="834"/>
      <c r="AL1407" s="834"/>
      <c r="AM1407" s="834"/>
      <c r="AN1407" s="834"/>
      <c r="AO1407" s="834"/>
      <c r="AP1407" s="834"/>
      <c r="AQ1407" s="1024"/>
      <c r="AR1407" s="1024"/>
      <c r="AS1407" s="1024"/>
      <c r="AT1407" s="1024"/>
      <c r="AU1407" s="1024"/>
      <c r="AV1407" s="1024"/>
      <c r="AW1407" s="1024"/>
      <c r="AX1407" s="1024"/>
      <c r="AY1407" s="1024"/>
      <c r="AZ1407" s="1024"/>
      <c r="BA1407" s="1024"/>
      <c r="BB1407" s="1024"/>
      <c r="BC1407" s="1024"/>
      <c r="BD1407" s="1024"/>
      <c r="BE1407" s="1024"/>
      <c r="BF1407" s="1024"/>
      <c r="BG1407" s="1024"/>
      <c r="BH1407" s="1024"/>
      <c r="BI1407" s="1024"/>
      <c r="BJ1407" s="1024"/>
      <c r="BK1407" s="1024"/>
      <c r="BL1407" s="1024"/>
      <c r="BM1407" s="1024"/>
      <c r="BN1407" s="323"/>
      <c r="BO1407" s="323"/>
      <c r="BP1407" s="323"/>
      <c r="BQ1407" s="323"/>
      <c r="BR1407" s="323"/>
      <c r="BS1407" s="323"/>
      <c r="BT1407" s="323"/>
      <c r="BU1407" s="323"/>
      <c r="BV1407" s="323"/>
      <c r="BW1407" s="323"/>
      <c r="BX1407" s="323"/>
      <c r="BY1407" s="323"/>
      <c r="BZ1407" s="323"/>
      <c r="CA1407" s="323"/>
      <c r="CB1407" s="621"/>
    </row>
    <row r="1408" spans="1:80" ht="12.75" customHeight="1" x14ac:dyDescent="0.2">
      <c r="A1408" s="227">
        <v>1408</v>
      </c>
      <c r="B1408" s="5988"/>
      <c r="C1408" s="1000"/>
      <c r="D1408" s="58"/>
      <c r="E1408" s="1003" t="s">
        <v>8175</v>
      </c>
      <c r="F1408" s="77">
        <v>5</v>
      </c>
      <c r="G1408" s="77">
        <v>20</v>
      </c>
      <c r="H1408" s="77">
        <f>COUNTIF(HabilidadesEsenciales_Adquiridas,Tablas!E1408)</f>
        <v>0</v>
      </c>
      <c r="I1408" s="1005">
        <v>1</v>
      </c>
      <c r="J1408" s="176"/>
      <c r="K1408" s="996"/>
      <c r="M1408" s="326"/>
      <c r="N1408" s="21"/>
      <c r="O1408" s="134" t="s">
        <v>1316</v>
      </c>
      <c r="P1408" s="998">
        <v>5</v>
      </c>
      <c r="Q1408" s="176">
        <v>20</v>
      </c>
      <c r="R1408" s="1005">
        <f>COUNTIF(PoderesDeCriatura_Adquiridos,Tablas!O1408)</f>
        <v>0</v>
      </c>
      <c r="S1408" s="176">
        <f t="array" ref="S1408">MAX({1;2;3;4}*R1407:R1410)</f>
        <v>0</v>
      </c>
      <c r="T1408" s="996" t="s">
        <v>7323</v>
      </c>
      <c r="W1408" s="1028" t="s">
        <v>1298</v>
      </c>
      <c r="X1408" s="1019"/>
      <c r="Y1408" s="834" t="str">
        <f t="shared" si="291"/>
        <v/>
      </c>
      <c r="Z1408" s="834" t="s">
        <v>6926</v>
      </c>
      <c r="AA1408" s="834"/>
      <c r="AB1408" s="834"/>
      <c r="AC1408" s="834"/>
      <c r="AD1408" s="834"/>
      <c r="AE1408" s="834"/>
      <c r="AF1408" s="834"/>
      <c r="AG1408" s="834"/>
      <c r="AH1408" s="834"/>
      <c r="AI1408" s="834"/>
      <c r="AJ1408" s="834"/>
      <c r="AK1408" s="834"/>
      <c r="AL1408" s="834"/>
      <c r="AM1408" s="834"/>
      <c r="AN1408" s="834"/>
      <c r="AO1408" s="834"/>
      <c r="AP1408" s="834"/>
      <c r="AQ1408" s="1024"/>
      <c r="AR1408" s="1024"/>
      <c r="AS1408" s="1024"/>
      <c r="AT1408" s="1024"/>
      <c r="AU1408" s="1024"/>
      <c r="AV1408" s="1024"/>
      <c r="AW1408" s="1024"/>
      <c r="AX1408" s="1024"/>
      <c r="AY1408" s="1024"/>
      <c r="AZ1408" s="1024"/>
      <c r="BA1408" s="1024"/>
      <c r="BB1408" s="1024"/>
      <c r="BC1408" s="1024"/>
      <c r="BD1408" s="1024"/>
      <c r="BE1408" s="1024"/>
      <c r="BF1408" s="1024"/>
      <c r="BG1408" s="1024"/>
      <c r="BH1408" s="1024"/>
      <c r="BI1408" s="1024"/>
      <c r="BJ1408" s="1024"/>
      <c r="BK1408" s="1024"/>
      <c r="BL1408" s="1024"/>
      <c r="BM1408" s="1024"/>
      <c r="BN1408" s="323"/>
      <c r="BO1408" s="323"/>
      <c r="BP1408" s="323"/>
      <c r="BQ1408" s="323"/>
      <c r="BR1408" s="323"/>
      <c r="BS1408" s="323"/>
      <c r="BT1408" s="323"/>
      <c r="BU1408" s="323"/>
      <c r="BV1408" s="323"/>
      <c r="BW1408" s="323"/>
      <c r="BX1408" s="323"/>
      <c r="BY1408" s="323"/>
      <c r="BZ1408" s="323"/>
      <c r="CA1408" s="323"/>
      <c r="CB1408" s="621"/>
    </row>
    <row r="1409" spans="1:80" ht="12.75" customHeight="1" x14ac:dyDescent="0.2">
      <c r="A1409" s="227">
        <v>1409</v>
      </c>
      <c r="B1409" s="5988"/>
      <c r="C1409" s="1000"/>
      <c r="D1409" s="58"/>
      <c r="E1409" s="1003" t="s">
        <v>8176</v>
      </c>
      <c r="F1409" s="77">
        <v>5</v>
      </c>
      <c r="G1409" s="77">
        <v>20</v>
      </c>
      <c r="H1409" s="77">
        <f>COUNTIF(HabilidadesEsenciales_Adquiridas,Tablas!E1409)</f>
        <v>0</v>
      </c>
      <c r="I1409" s="1005">
        <v>1</v>
      </c>
      <c r="J1409" s="176"/>
      <c r="K1409" s="996"/>
      <c r="M1409" s="326"/>
      <c r="N1409" s="21"/>
      <c r="O1409" s="134" t="s">
        <v>1317</v>
      </c>
      <c r="P1409" s="998">
        <v>10</v>
      </c>
      <c r="Q1409" s="176">
        <v>30</v>
      </c>
      <c r="R1409" s="1005">
        <f>COUNTIF(PoderesDeCriatura_Adquiridos,Tablas!O1409)</f>
        <v>0</v>
      </c>
      <c r="S1409" s="176"/>
      <c r="T1409" s="996"/>
      <c r="W1409" s="1028" t="s">
        <v>2431</v>
      </c>
      <c r="X1409" s="1019"/>
      <c r="Y1409" s="834" t="str">
        <f t="shared" si="291"/>
        <v/>
      </c>
      <c r="Z1409" s="834" t="s">
        <v>6926</v>
      </c>
      <c r="AA1409" s="834"/>
      <c r="AB1409" s="834"/>
      <c r="AC1409" s="834"/>
      <c r="AD1409" s="834"/>
      <c r="AE1409" s="834"/>
      <c r="AF1409" s="834"/>
      <c r="AG1409" s="834"/>
      <c r="AH1409" s="834"/>
      <c r="AI1409" s="834"/>
      <c r="AJ1409" s="834"/>
      <c r="AK1409" s="834"/>
      <c r="AL1409" s="834"/>
      <c r="AM1409" s="834"/>
      <c r="AN1409" s="834"/>
      <c r="AO1409" s="834"/>
      <c r="AP1409" s="834"/>
      <c r="AQ1409" s="1024"/>
      <c r="AR1409" s="1024"/>
      <c r="AS1409" s="1024"/>
      <c r="AT1409" s="1024"/>
      <c r="AU1409" s="1024"/>
      <c r="AV1409" s="1024"/>
      <c r="AW1409" s="1024"/>
      <c r="AX1409" s="1024"/>
      <c r="AY1409" s="1024"/>
      <c r="AZ1409" s="1024"/>
      <c r="BA1409" s="1024"/>
      <c r="BB1409" s="1024"/>
      <c r="BC1409" s="1024"/>
      <c r="BD1409" s="1024"/>
      <c r="BE1409" s="1024"/>
      <c r="BF1409" s="1024"/>
      <c r="BG1409" s="1024"/>
      <c r="BH1409" s="1024"/>
      <c r="BI1409" s="1024"/>
      <c r="BJ1409" s="1024"/>
      <c r="BK1409" s="1024"/>
      <c r="BL1409" s="1024"/>
      <c r="BM1409" s="1024"/>
      <c r="BN1409" s="323"/>
      <c r="BO1409" s="323"/>
      <c r="BP1409" s="323"/>
      <c r="BQ1409" s="323"/>
      <c r="BR1409" s="323"/>
      <c r="BS1409" s="323"/>
      <c r="BT1409" s="323"/>
      <c r="BU1409" s="323"/>
      <c r="BV1409" s="323"/>
      <c r="BW1409" s="323"/>
      <c r="BX1409" s="323"/>
      <c r="BY1409" s="323"/>
      <c r="BZ1409" s="323"/>
      <c r="CA1409" s="323"/>
      <c r="CB1409" s="621"/>
    </row>
    <row r="1410" spans="1:80" ht="12.75" customHeight="1" x14ac:dyDescent="0.2">
      <c r="A1410" s="227">
        <v>1410</v>
      </c>
      <c r="B1410" s="5988"/>
      <c r="C1410" s="1000"/>
      <c r="D1410" s="58"/>
      <c r="E1410" s="1003" t="s">
        <v>8177</v>
      </c>
      <c r="F1410" s="77">
        <v>5</v>
      </c>
      <c r="G1410" s="77">
        <v>20</v>
      </c>
      <c r="H1410" s="77">
        <f>COUNTIF(HabilidadesEsenciales_Adquiridas,Tablas!E1410)</f>
        <v>0</v>
      </c>
      <c r="I1410" s="1005">
        <v>1</v>
      </c>
      <c r="J1410" s="176"/>
      <c r="K1410" s="996"/>
      <c r="M1410" s="326"/>
      <c r="N1410" s="21"/>
      <c r="O1410" s="134" t="s">
        <v>1318</v>
      </c>
      <c r="P1410" s="998">
        <v>20</v>
      </c>
      <c r="Q1410" s="176">
        <v>40</v>
      </c>
      <c r="R1410" s="1005">
        <f>COUNTIF(PoderesDeCriatura_Adquiridos,Tablas!O1410)</f>
        <v>0</v>
      </c>
      <c r="S1410" s="176"/>
      <c r="T1410" s="996"/>
      <c r="W1410" s="1028" t="s">
        <v>1297</v>
      </c>
      <c r="X1410" s="1019"/>
      <c r="Y1410" s="834" t="str">
        <f t="shared" si="291"/>
        <v/>
      </c>
      <c r="Z1410" s="834" t="s">
        <v>6926</v>
      </c>
      <c r="AA1410" s="834"/>
      <c r="AB1410" s="834"/>
      <c r="AC1410" s="834"/>
      <c r="AD1410" s="834"/>
      <c r="AE1410" s="834"/>
      <c r="AF1410" s="834"/>
      <c r="AG1410" s="834"/>
      <c r="AH1410" s="834"/>
      <c r="AI1410" s="834"/>
      <c r="AJ1410" s="834"/>
      <c r="AK1410" s="834"/>
      <c r="AL1410" s="834"/>
      <c r="AM1410" s="834"/>
      <c r="AN1410" s="834"/>
      <c r="AO1410" s="834"/>
      <c r="AP1410" s="834"/>
      <c r="AQ1410" s="1024"/>
      <c r="AR1410" s="1024"/>
      <c r="AS1410" s="1024"/>
      <c r="AT1410" s="1024"/>
      <c r="AU1410" s="1024"/>
      <c r="AV1410" s="1024"/>
      <c r="AW1410" s="1024"/>
      <c r="AX1410" s="1024"/>
      <c r="AY1410" s="1024"/>
      <c r="AZ1410" s="1024"/>
      <c r="BA1410" s="1024"/>
      <c r="BB1410" s="1024"/>
      <c r="BC1410" s="1024"/>
      <c r="BD1410" s="1024"/>
      <c r="BE1410" s="1024"/>
      <c r="BF1410" s="1024"/>
      <c r="BG1410" s="1024"/>
      <c r="BH1410" s="1024"/>
      <c r="BI1410" s="1024"/>
      <c r="BJ1410" s="1024"/>
      <c r="BK1410" s="1024"/>
      <c r="BL1410" s="1024"/>
      <c r="BM1410" s="1024"/>
      <c r="BN1410" s="323"/>
      <c r="BO1410" s="323"/>
      <c r="BP1410" s="323"/>
      <c r="BQ1410" s="323"/>
      <c r="BR1410" s="323"/>
      <c r="BS1410" s="323"/>
      <c r="BT1410" s="323"/>
      <c r="BU1410" s="323"/>
      <c r="BV1410" s="323"/>
      <c r="BW1410" s="323"/>
      <c r="BX1410" s="323"/>
      <c r="BY1410" s="323"/>
      <c r="BZ1410" s="323"/>
      <c r="CA1410" s="323"/>
      <c r="CB1410" s="621"/>
    </row>
    <row r="1411" spans="1:80" ht="12.75" customHeight="1" x14ac:dyDescent="0.2">
      <c r="A1411" s="227">
        <v>1411</v>
      </c>
      <c r="B1411" s="5988"/>
      <c r="C1411" s="1000"/>
      <c r="D1411" s="58"/>
      <c r="E1411" s="1003" t="s">
        <v>2370</v>
      </c>
      <c r="F1411" s="77">
        <v>5</v>
      </c>
      <c r="G1411" s="77">
        <v>30</v>
      </c>
      <c r="H1411" s="77">
        <f>COUNTIF(HabilidadesEsenciales_Adquiridas,Tablas!E1411)</f>
        <v>0</v>
      </c>
      <c r="I1411" s="1005"/>
      <c r="J1411" s="176"/>
      <c r="K1411" s="996"/>
      <c r="M1411" s="326"/>
      <c r="N1411" s="21"/>
      <c r="O1411" s="134" t="s">
        <v>7788</v>
      </c>
      <c r="P1411" s="998">
        <v>0</v>
      </c>
      <c r="Q1411" s="176">
        <v>40</v>
      </c>
      <c r="R1411" s="1005">
        <f>COUNTIF(PoderesDeCriatura_Adquiridos,Tablas!O1411)</f>
        <v>0</v>
      </c>
      <c r="S1411" s="176">
        <f t="array" ref="S1411">MAX(R1411:R1415*VALUE(RIGHT(O1411:O1415,2)))</f>
        <v>0</v>
      </c>
      <c r="T1411" s="996" t="s">
        <v>8515</v>
      </c>
      <c r="W1411" s="1028" t="s">
        <v>2448</v>
      </c>
      <c r="X1411" s="1019"/>
      <c r="Y1411" s="834" t="str">
        <f t="shared" si="291"/>
        <v/>
      </c>
      <c r="Z1411" s="834" t="s">
        <v>6926</v>
      </c>
      <c r="AA1411" s="834"/>
      <c r="AB1411" s="834"/>
      <c r="AC1411" s="834"/>
      <c r="AD1411" s="834"/>
      <c r="AE1411" s="834"/>
      <c r="AF1411" s="834"/>
      <c r="AG1411" s="834"/>
      <c r="AH1411" s="834"/>
      <c r="AI1411" s="834"/>
      <c r="AJ1411" s="834"/>
      <c r="AK1411" s="834"/>
      <c r="AL1411" s="834"/>
      <c r="AM1411" s="834"/>
      <c r="AN1411" s="834"/>
      <c r="AO1411" s="834"/>
      <c r="AP1411" s="834"/>
      <c r="AQ1411" s="1024"/>
      <c r="AR1411" s="1024"/>
      <c r="AS1411" s="1024"/>
      <c r="AT1411" s="1024"/>
      <c r="AU1411" s="1024"/>
      <c r="AV1411" s="1024"/>
      <c r="AW1411" s="1024"/>
      <c r="AX1411" s="1024"/>
      <c r="AY1411" s="1024"/>
      <c r="AZ1411" s="1024"/>
      <c r="BA1411" s="1024"/>
      <c r="BB1411" s="1024"/>
      <c r="BC1411" s="1024"/>
      <c r="BD1411" s="1024"/>
      <c r="BE1411" s="1024"/>
      <c r="BF1411" s="1024"/>
      <c r="BG1411" s="1024"/>
      <c r="BH1411" s="1024"/>
      <c r="BI1411" s="1024"/>
      <c r="BJ1411" s="1024"/>
      <c r="BK1411" s="1024"/>
      <c r="BL1411" s="1024"/>
      <c r="BM1411" s="1024"/>
      <c r="BN1411" s="323"/>
      <c r="BO1411" s="323"/>
      <c r="BP1411" s="323"/>
      <c r="BQ1411" s="323"/>
      <c r="BR1411" s="323"/>
      <c r="BS1411" s="323"/>
      <c r="BT1411" s="323"/>
      <c r="BU1411" s="323"/>
      <c r="BV1411" s="323"/>
      <c r="BW1411" s="323"/>
      <c r="BX1411" s="323"/>
      <c r="BY1411" s="323"/>
      <c r="BZ1411" s="323"/>
      <c r="CA1411" s="323"/>
      <c r="CB1411" s="621"/>
    </row>
    <row r="1412" spans="1:80" ht="12.75" customHeight="1" x14ac:dyDescent="0.2">
      <c r="A1412" s="227">
        <v>1412</v>
      </c>
      <c r="B1412" s="5988"/>
      <c r="C1412" s="1000"/>
      <c r="D1412" s="58"/>
      <c r="E1412" s="1003" t="s">
        <v>1281</v>
      </c>
      <c r="F1412" s="77">
        <v>0</v>
      </c>
      <c r="G1412" s="77">
        <v>0</v>
      </c>
      <c r="H1412" s="77"/>
      <c r="I1412" s="1005"/>
      <c r="J1412" s="176"/>
      <c r="K1412" s="996"/>
      <c r="M1412" s="326"/>
      <c r="N1412" s="21"/>
      <c r="O1412" s="134" t="s">
        <v>7789</v>
      </c>
      <c r="P1412" s="998">
        <v>0</v>
      </c>
      <c r="Q1412" s="176">
        <v>60</v>
      </c>
      <c r="R1412" s="1005">
        <f>COUNTIF(PoderesDeCriatura_Adquiridos,Tablas!O1412)</f>
        <v>0</v>
      </c>
      <c r="S1412" s="176"/>
      <c r="T1412" s="996"/>
      <c r="W1412" s="1028" t="s">
        <v>2435</v>
      </c>
      <c r="X1412" s="1019"/>
      <c r="Y1412" s="834" t="str">
        <f t="shared" si="291"/>
        <v/>
      </c>
      <c r="Z1412" s="834" t="s">
        <v>6926</v>
      </c>
      <c r="AA1412" s="834"/>
      <c r="AB1412" s="834"/>
      <c r="AC1412" s="834"/>
      <c r="AD1412" s="834"/>
      <c r="AE1412" s="834"/>
      <c r="AF1412" s="834"/>
      <c r="AG1412" s="834"/>
      <c r="AH1412" s="834"/>
      <c r="AI1412" s="834"/>
      <c r="AJ1412" s="834"/>
      <c r="AK1412" s="834"/>
      <c r="AL1412" s="834"/>
      <c r="AM1412" s="834"/>
      <c r="AN1412" s="834"/>
      <c r="AO1412" s="834"/>
      <c r="AP1412" s="834"/>
      <c r="AQ1412" s="1024"/>
      <c r="AR1412" s="1024"/>
      <c r="AS1412" s="1024"/>
      <c r="AT1412" s="1024"/>
      <c r="AU1412" s="1024"/>
      <c r="AV1412" s="1024"/>
      <c r="AW1412" s="1024"/>
      <c r="AX1412" s="1024"/>
      <c r="AY1412" s="1024"/>
      <c r="AZ1412" s="1024"/>
      <c r="BA1412" s="1024"/>
      <c r="BB1412" s="1024"/>
      <c r="BC1412" s="1024"/>
      <c r="BD1412" s="1024"/>
      <c r="BE1412" s="1024"/>
      <c r="BF1412" s="1024"/>
      <c r="BG1412" s="1024"/>
      <c r="BH1412" s="1024"/>
      <c r="BI1412" s="1024"/>
      <c r="BJ1412" s="1024"/>
      <c r="BK1412" s="1024"/>
      <c r="BL1412" s="1024"/>
      <c r="BM1412" s="1024"/>
      <c r="BN1412" s="323"/>
      <c r="BO1412" s="323"/>
      <c r="BP1412" s="323"/>
      <c r="BQ1412" s="323"/>
      <c r="BR1412" s="323"/>
      <c r="BS1412" s="323"/>
      <c r="BT1412" s="323"/>
      <c r="BU1412" s="323"/>
      <c r="BV1412" s="323"/>
      <c r="BW1412" s="323"/>
      <c r="BX1412" s="323"/>
      <c r="BY1412" s="323"/>
      <c r="BZ1412" s="323"/>
      <c r="CA1412" s="323"/>
      <c r="CB1412" s="621"/>
    </row>
    <row r="1413" spans="1:80" ht="12.75" customHeight="1" x14ac:dyDescent="0.2">
      <c r="A1413" s="227">
        <v>1413</v>
      </c>
      <c r="B1413" s="5988"/>
      <c r="C1413" s="1000"/>
      <c r="D1413" s="58"/>
      <c r="E1413" s="1003" t="s">
        <v>1282</v>
      </c>
      <c r="F1413" s="77">
        <v>0</v>
      </c>
      <c r="G1413" s="77">
        <v>-10</v>
      </c>
      <c r="H1413" s="77">
        <f>COUNTIF(HabilidadesEsenciales_Adquiridas,Tablas!E1413)</f>
        <v>0</v>
      </c>
      <c r="I1413" s="1005"/>
      <c r="J1413" s="176"/>
      <c r="K1413" s="996"/>
      <c r="M1413" s="326"/>
      <c r="N1413" s="21"/>
      <c r="O1413" s="134" t="s">
        <v>7790</v>
      </c>
      <c r="P1413" s="998">
        <v>0</v>
      </c>
      <c r="Q1413" s="176">
        <v>80</v>
      </c>
      <c r="R1413" s="1005">
        <f>COUNTIF(PoderesDeCriatura_Adquiridos,Tablas!O1413)</f>
        <v>0</v>
      </c>
      <c r="S1413" s="176"/>
      <c r="T1413" s="996"/>
      <c r="U1413">
        <v>3</v>
      </c>
      <c r="W1413" s="1028" t="s">
        <v>2336</v>
      </c>
      <c r="X1413" s="1019"/>
      <c r="Y1413" s="834" t="str">
        <f t="shared" si="291"/>
        <v/>
      </c>
      <c r="Z1413" s="834" t="s">
        <v>6926</v>
      </c>
      <c r="AA1413" s="834"/>
      <c r="AB1413" s="834"/>
      <c r="AC1413" s="834"/>
      <c r="AD1413" s="834"/>
      <c r="AE1413" s="834"/>
      <c r="AF1413" s="834"/>
      <c r="AG1413" s="834"/>
      <c r="AH1413" s="834"/>
      <c r="AI1413" s="834"/>
      <c r="AJ1413" s="834"/>
      <c r="AK1413" s="834"/>
      <c r="AL1413" s="834"/>
      <c r="AM1413" s="834"/>
      <c r="AN1413" s="834"/>
      <c r="AO1413" s="834"/>
      <c r="AP1413" s="834"/>
      <c r="AQ1413" s="1024"/>
      <c r="AR1413" s="1024"/>
      <c r="AS1413" s="1024"/>
      <c r="AT1413" s="1024"/>
      <c r="AU1413" s="1024"/>
      <c r="AV1413" s="1024"/>
      <c r="AW1413" s="1024"/>
      <c r="AX1413" s="1024"/>
      <c r="AY1413" s="1024"/>
      <c r="AZ1413" s="1024"/>
      <c r="BA1413" s="1024"/>
      <c r="BB1413" s="1024"/>
      <c r="BC1413" s="1024"/>
      <c r="BD1413" s="1024"/>
      <c r="BE1413" s="1024"/>
      <c r="BF1413" s="1024"/>
      <c r="BG1413" s="1024"/>
      <c r="BH1413" s="1024"/>
      <c r="BI1413" s="1024"/>
      <c r="BJ1413" s="1024"/>
      <c r="BK1413" s="1024"/>
      <c r="BL1413" s="1024"/>
      <c r="BM1413" s="1024"/>
      <c r="BN1413" s="323"/>
      <c r="BO1413" s="323"/>
      <c r="BP1413" s="323"/>
      <c r="BQ1413" s="323"/>
      <c r="BR1413" s="323"/>
      <c r="BS1413" s="323"/>
      <c r="BT1413" s="323"/>
      <c r="BU1413" s="323"/>
      <c r="BV1413" s="323"/>
      <c r="BW1413" s="323"/>
      <c r="BX1413" s="323"/>
      <c r="BY1413" s="323"/>
      <c r="BZ1413" s="323"/>
      <c r="CA1413" s="323"/>
      <c r="CB1413" s="621"/>
    </row>
    <row r="1414" spans="1:80" ht="12.75" customHeight="1" x14ac:dyDescent="0.2">
      <c r="A1414" s="227">
        <v>1414</v>
      </c>
      <c r="B1414" s="5988"/>
      <c r="C1414" s="1000"/>
      <c r="D1414" s="58"/>
      <c r="E1414" s="1003" t="s">
        <v>1283</v>
      </c>
      <c r="F1414" s="77">
        <v>0</v>
      </c>
      <c r="G1414" s="77">
        <v>-20</v>
      </c>
      <c r="H1414" s="77">
        <f>COUNTIF(HabilidadesEsenciales_Adquiridas,Tablas!E1414)</f>
        <v>0</v>
      </c>
      <c r="I1414" s="1005"/>
      <c r="J1414" s="176"/>
      <c r="K1414" s="996"/>
      <c r="M1414" s="326"/>
      <c r="N1414" s="21"/>
      <c r="O1414" s="134" t="s">
        <v>7791</v>
      </c>
      <c r="P1414" s="998">
        <v>0</v>
      </c>
      <c r="Q1414" s="176">
        <v>100</v>
      </c>
      <c r="R1414" s="1005">
        <f>COUNTIF(PoderesDeCriatura_Adquiridos,Tablas!O1414)</f>
        <v>0</v>
      </c>
      <c r="S1414" s="176"/>
      <c r="T1414" s="996"/>
      <c r="U1414">
        <v>3</v>
      </c>
      <c r="W1414" s="1028" t="s">
        <v>1296</v>
      </c>
      <c r="X1414" s="1019"/>
      <c r="Y1414" s="834" t="str">
        <f t="shared" si="291"/>
        <v/>
      </c>
      <c r="Z1414" s="834" t="s">
        <v>6926</v>
      </c>
      <c r="AA1414" s="834"/>
      <c r="AB1414" s="834"/>
      <c r="AC1414" s="834"/>
      <c r="AD1414" s="834"/>
      <c r="AE1414" s="834"/>
      <c r="AF1414" s="834"/>
      <c r="AG1414" s="834"/>
      <c r="AH1414" s="834"/>
      <c r="AI1414" s="834"/>
      <c r="AJ1414" s="834"/>
      <c r="AK1414" s="834"/>
      <c r="AL1414" s="834"/>
      <c r="AM1414" s="834"/>
      <c r="AN1414" s="834"/>
      <c r="AO1414" s="834"/>
      <c r="AP1414" s="834"/>
      <c r="AQ1414" s="1024"/>
      <c r="AR1414" s="1024"/>
      <c r="AS1414" s="1024"/>
      <c r="AT1414" s="1024"/>
      <c r="AU1414" s="1024"/>
      <c r="AV1414" s="1024"/>
      <c r="AW1414" s="1024"/>
      <c r="AX1414" s="1024"/>
      <c r="AY1414" s="1024"/>
      <c r="AZ1414" s="1024"/>
      <c r="BA1414" s="1024"/>
      <c r="BB1414" s="1024"/>
      <c r="BC1414" s="1024"/>
      <c r="BD1414" s="1024"/>
      <c r="BE1414" s="1024"/>
      <c r="BF1414" s="1024"/>
      <c r="BG1414" s="1024"/>
      <c r="BH1414" s="1024"/>
      <c r="BI1414" s="1024"/>
      <c r="BJ1414" s="1024"/>
      <c r="BK1414" s="1024"/>
      <c r="BL1414" s="1024"/>
      <c r="BM1414" s="1024"/>
      <c r="BN1414" s="323"/>
      <c r="BO1414" s="323"/>
      <c r="BP1414" s="323"/>
      <c r="BQ1414" s="323"/>
      <c r="BR1414" s="323"/>
      <c r="BS1414" s="323"/>
      <c r="BT1414" s="323"/>
      <c r="BU1414" s="323"/>
      <c r="BV1414" s="323"/>
      <c r="BW1414" s="323"/>
      <c r="BX1414" s="323"/>
      <c r="BY1414" s="323"/>
      <c r="BZ1414" s="323"/>
      <c r="CA1414" s="323"/>
      <c r="CB1414" s="621"/>
    </row>
    <row r="1415" spans="1:80" ht="12.75" customHeight="1" x14ac:dyDescent="0.2">
      <c r="A1415" s="227">
        <v>1415</v>
      </c>
      <c r="B1415" s="5988"/>
      <c r="C1415" s="1000"/>
      <c r="D1415" s="58"/>
      <c r="E1415" s="1003" t="s">
        <v>1284</v>
      </c>
      <c r="F1415" s="77">
        <v>10</v>
      </c>
      <c r="G1415" s="77">
        <v>-10</v>
      </c>
      <c r="H1415" s="77">
        <f>COUNTIF(HabilidadesEsenciales_Adquiridas,Tablas!E1415)</f>
        <v>0</v>
      </c>
      <c r="I1415" s="1005"/>
      <c r="J1415" s="176"/>
      <c r="K1415" s="996"/>
      <c r="M1415" s="326"/>
      <c r="N1415" s="21"/>
      <c r="O1415" s="134" t="s">
        <v>7792</v>
      </c>
      <c r="P1415" s="998">
        <v>10</v>
      </c>
      <c r="Q1415" s="176">
        <v>120</v>
      </c>
      <c r="R1415" s="1005">
        <f>COUNTIF(PoderesDeCriatura_Adquiridos,Tablas!O1415)</f>
        <v>0</v>
      </c>
      <c r="S1415" s="176"/>
      <c r="T1415" s="996"/>
      <c r="U1415">
        <v>3</v>
      </c>
      <c r="W1415" s="1028" t="s">
        <v>2295</v>
      </c>
      <c r="X1415" s="1019"/>
      <c r="Y1415" s="834" t="str">
        <f t="shared" si="291"/>
        <v/>
      </c>
      <c r="Z1415" s="834" t="s">
        <v>6926</v>
      </c>
      <c r="AA1415" s="834"/>
      <c r="AB1415" s="834"/>
      <c r="AC1415" s="834"/>
      <c r="AD1415" s="834"/>
      <c r="AE1415" s="834"/>
      <c r="AF1415" s="834"/>
      <c r="AG1415" s="834"/>
      <c r="AH1415" s="834"/>
      <c r="AI1415" s="834"/>
      <c r="AJ1415" s="834"/>
      <c r="AK1415" s="834"/>
      <c r="AL1415" s="834"/>
      <c r="AM1415" s="834"/>
      <c r="AN1415" s="834"/>
      <c r="AO1415" s="834"/>
      <c r="AP1415" s="834"/>
      <c r="AQ1415" s="1024"/>
      <c r="AR1415" s="1024"/>
      <c r="AS1415" s="1024"/>
      <c r="AT1415" s="1024"/>
      <c r="AU1415" s="1024"/>
      <c r="AV1415" s="1024"/>
      <c r="AW1415" s="1024"/>
      <c r="AX1415" s="1024"/>
      <c r="AY1415" s="1024"/>
      <c r="AZ1415" s="1024"/>
      <c r="BA1415" s="1024"/>
      <c r="BB1415" s="1024"/>
      <c r="BC1415" s="1024"/>
      <c r="BD1415" s="1024"/>
      <c r="BE1415" s="1024"/>
      <c r="BF1415" s="1024"/>
      <c r="BG1415" s="1024"/>
      <c r="BH1415" s="1024"/>
      <c r="BI1415" s="1024"/>
      <c r="BJ1415" s="1024"/>
      <c r="BK1415" s="1024"/>
      <c r="BL1415" s="1024"/>
      <c r="BM1415" s="1024"/>
      <c r="BN1415" s="323"/>
      <c r="BO1415" s="323"/>
      <c r="BP1415" s="323"/>
      <c r="BQ1415" s="323"/>
      <c r="BR1415" s="323"/>
      <c r="BS1415" s="323"/>
      <c r="BT1415" s="323"/>
      <c r="BU1415" s="323"/>
      <c r="BV1415" s="323"/>
      <c r="BW1415" s="323"/>
      <c r="BX1415" s="323"/>
      <c r="BY1415" s="323"/>
      <c r="BZ1415" s="323"/>
      <c r="CA1415" s="323"/>
      <c r="CB1415" s="621"/>
    </row>
    <row r="1416" spans="1:80" ht="12.75" customHeight="1" x14ac:dyDescent="0.2">
      <c r="A1416" s="227">
        <v>1416</v>
      </c>
      <c r="B1416" s="5988"/>
      <c r="C1416" s="1000"/>
      <c r="D1416" s="58"/>
      <c r="E1416" s="1003" t="s">
        <v>1285</v>
      </c>
      <c r="F1416" s="77">
        <v>10</v>
      </c>
      <c r="G1416" s="77">
        <v>-20</v>
      </c>
      <c r="H1416" s="77">
        <f>COUNTIF(HabilidadesEsenciales_Adquiridas,Tablas!E1416)</f>
        <v>0</v>
      </c>
      <c r="I1416" s="1005"/>
      <c r="J1416" s="176"/>
      <c r="K1416" s="996"/>
      <c r="M1416" s="326"/>
      <c r="N1416" s="21"/>
      <c r="O1416" s="134" t="s">
        <v>7793</v>
      </c>
      <c r="P1416" s="998">
        <v>10</v>
      </c>
      <c r="Q1416" s="176">
        <v>20</v>
      </c>
      <c r="R1416" s="1005">
        <f>COUNTIF(PoderesDeCriatura_Adquiridos,Tablas!O1416)</f>
        <v>0</v>
      </c>
      <c r="S1416" s="176">
        <f t="array" ref="S1416">MAX(R1416:R1422*VALUE(RIGHT(O1416:O1422,2)))</f>
        <v>0</v>
      </c>
      <c r="T1416" s="996" t="s">
        <v>8516</v>
      </c>
      <c r="U1416">
        <v>3</v>
      </c>
      <c r="W1416" s="1028" t="s">
        <v>2425</v>
      </c>
      <c r="X1416" s="1019"/>
      <c r="Y1416" s="834" t="str">
        <f t="shared" si="291"/>
        <v/>
      </c>
      <c r="Z1416" s="834" t="s">
        <v>6926</v>
      </c>
      <c r="AA1416" s="834"/>
      <c r="AB1416" s="834"/>
      <c r="AC1416" s="834"/>
      <c r="AD1416" s="834"/>
      <c r="AE1416" s="834"/>
      <c r="AF1416" s="834"/>
      <c r="AG1416" s="834"/>
      <c r="AH1416" s="834"/>
      <c r="AI1416" s="834"/>
      <c r="AJ1416" s="834"/>
      <c r="AK1416" s="834"/>
      <c r="AL1416" s="834"/>
      <c r="AM1416" s="834"/>
      <c r="AN1416" s="834"/>
      <c r="AO1416" s="834"/>
      <c r="AP1416" s="834"/>
      <c r="AQ1416" s="1024"/>
      <c r="AR1416" s="1024"/>
      <c r="AS1416" s="1024"/>
      <c r="AT1416" s="1024"/>
      <c r="AU1416" s="1024"/>
      <c r="AV1416" s="1024"/>
      <c r="AW1416" s="1024"/>
      <c r="AX1416" s="1024"/>
      <c r="AY1416" s="1024"/>
      <c r="AZ1416" s="1024"/>
      <c r="BA1416" s="1024"/>
      <c r="BB1416" s="1024"/>
      <c r="BC1416" s="1024"/>
      <c r="BD1416" s="1024"/>
      <c r="BE1416" s="1024"/>
      <c r="BF1416" s="1024"/>
      <c r="BG1416" s="1024"/>
      <c r="BH1416" s="1024"/>
      <c r="BI1416" s="1024"/>
      <c r="BJ1416" s="1024"/>
      <c r="BK1416" s="1024"/>
      <c r="BL1416" s="1024"/>
      <c r="BM1416" s="1024"/>
      <c r="BN1416" s="323"/>
      <c r="BO1416" s="323"/>
      <c r="BP1416" s="323"/>
      <c r="BQ1416" s="323"/>
      <c r="BR1416" s="323"/>
      <c r="BS1416" s="323"/>
      <c r="BT1416" s="323"/>
      <c r="BU1416" s="323"/>
      <c r="BV1416" s="323"/>
      <c r="BW1416" s="323"/>
      <c r="BX1416" s="323"/>
      <c r="BY1416" s="323"/>
      <c r="BZ1416" s="323"/>
      <c r="CA1416" s="323"/>
      <c r="CB1416" s="621"/>
    </row>
    <row r="1417" spans="1:80" ht="12.75" customHeight="1" x14ac:dyDescent="0.2">
      <c r="A1417" s="227">
        <v>1417</v>
      </c>
      <c r="B1417" s="5988"/>
      <c r="C1417" s="1000"/>
      <c r="D1417" s="58"/>
      <c r="E1417" s="1003" t="s">
        <v>1286</v>
      </c>
      <c r="F1417" s="77">
        <v>0</v>
      </c>
      <c r="G1417" s="77">
        <v>-10</v>
      </c>
      <c r="H1417" s="77">
        <f>COUNTIF(HabilidadesEsenciales_Adquiridas,Tablas!E1417)</f>
        <v>0</v>
      </c>
      <c r="I1417" s="1005"/>
      <c r="J1417" s="176"/>
      <c r="K1417" s="996"/>
      <c r="M1417" s="326"/>
      <c r="N1417" s="21"/>
      <c r="O1417" s="134" t="s">
        <v>7794</v>
      </c>
      <c r="P1417" s="998">
        <v>15</v>
      </c>
      <c r="Q1417" s="176">
        <v>40</v>
      </c>
      <c r="R1417" s="1005">
        <f>COUNTIF(PoderesDeCriatura_Adquiridos,Tablas!O1417)</f>
        <v>0</v>
      </c>
      <c r="S1417" s="176"/>
      <c r="T1417" s="996"/>
      <c r="U1417">
        <v>3</v>
      </c>
      <c r="W1417" s="1028" t="s">
        <v>1299</v>
      </c>
      <c r="X1417" s="1019"/>
      <c r="Y1417" s="834" t="str">
        <f t="shared" si="291"/>
        <v/>
      </c>
      <c r="Z1417" s="834" t="s">
        <v>6926</v>
      </c>
      <c r="AA1417" s="834"/>
      <c r="AB1417" s="834"/>
      <c r="AC1417" s="834"/>
      <c r="AD1417" s="834"/>
      <c r="AE1417" s="834"/>
      <c r="AF1417" s="834"/>
      <c r="AG1417" s="834"/>
      <c r="AH1417" s="834"/>
      <c r="AI1417" s="834"/>
      <c r="AJ1417" s="834"/>
      <c r="AK1417" s="834"/>
      <c r="AL1417" s="834"/>
      <c r="AM1417" s="834"/>
      <c r="AN1417" s="834"/>
      <c r="AO1417" s="834"/>
      <c r="AP1417" s="834"/>
      <c r="AQ1417" s="1024"/>
      <c r="AR1417" s="1024"/>
      <c r="AS1417" s="1024"/>
      <c r="AT1417" s="1024"/>
      <c r="AU1417" s="1024"/>
      <c r="AV1417" s="1024"/>
      <c r="AW1417" s="1024"/>
      <c r="AX1417" s="1024"/>
      <c r="AY1417" s="1024"/>
      <c r="AZ1417" s="1024"/>
      <c r="BA1417" s="1024"/>
      <c r="BB1417" s="1024"/>
      <c r="BC1417" s="1024"/>
      <c r="BD1417" s="1024"/>
      <c r="BE1417" s="1024"/>
      <c r="BF1417" s="1024"/>
      <c r="BG1417" s="1024"/>
      <c r="BH1417" s="1024"/>
      <c r="BI1417" s="1024"/>
      <c r="BJ1417" s="1024"/>
      <c r="BK1417" s="1024"/>
      <c r="BL1417" s="1024"/>
      <c r="BM1417" s="1024"/>
      <c r="BN1417" s="323"/>
      <c r="BO1417" s="323"/>
      <c r="BP1417" s="323"/>
      <c r="BQ1417" s="323"/>
      <c r="BR1417" s="323"/>
      <c r="BS1417" s="323"/>
      <c r="BT1417" s="323"/>
      <c r="BU1417" s="323"/>
      <c r="BV1417" s="323"/>
      <c r="BW1417" s="323"/>
      <c r="BX1417" s="323"/>
      <c r="BY1417" s="323"/>
      <c r="BZ1417" s="323"/>
      <c r="CA1417" s="323"/>
      <c r="CB1417" s="621"/>
    </row>
    <row r="1418" spans="1:80" ht="12.75" customHeight="1" x14ac:dyDescent="0.2">
      <c r="A1418" s="227">
        <v>1418</v>
      </c>
      <c r="B1418" s="5988"/>
      <c r="C1418" s="1000"/>
      <c r="D1418" s="58"/>
      <c r="E1418" s="1003" t="s">
        <v>2387</v>
      </c>
      <c r="F1418" s="77">
        <v>0</v>
      </c>
      <c r="G1418" s="77">
        <v>-20</v>
      </c>
      <c r="H1418" s="77">
        <f>COUNTIF(HabilidadesEsenciales_Adquiridas,Tablas!E1418)</f>
        <v>0</v>
      </c>
      <c r="I1418" s="1005"/>
      <c r="J1418" s="176"/>
      <c r="K1418" s="996"/>
      <c r="M1418" s="326"/>
      <c r="N1418" s="21"/>
      <c r="O1418" s="134" t="s">
        <v>7795</v>
      </c>
      <c r="P1418" s="998">
        <v>20</v>
      </c>
      <c r="Q1418" s="176">
        <v>60</v>
      </c>
      <c r="R1418" s="1005">
        <f>COUNTIF(PoderesDeCriatura_Adquiridos,Tablas!O1418)</f>
        <v>0</v>
      </c>
      <c r="S1418" s="176"/>
      <c r="T1418" s="996"/>
      <c r="U1418">
        <v>3</v>
      </c>
      <c r="W1418" s="1028" t="s">
        <v>1300</v>
      </c>
      <c r="X1418" s="1019"/>
      <c r="Y1418" s="834" t="str">
        <f t="shared" si="291"/>
        <v/>
      </c>
      <c r="Z1418" s="834" t="s">
        <v>6926</v>
      </c>
      <c r="AA1418" s="834"/>
      <c r="AB1418" s="834"/>
      <c r="AC1418" s="834"/>
      <c r="AD1418" s="834"/>
      <c r="AE1418" s="834"/>
      <c r="AF1418" s="834"/>
      <c r="AG1418" s="834"/>
      <c r="AH1418" s="834"/>
      <c r="AI1418" s="834"/>
      <c r="AJ1418" s="834"/>
      <c r="AK1418" s="834"/>
      <c r="AL1418" s="834"/>
      <c r="AM1418" s="834"/>
      <c r="AN1418" s="834"/>
      <c r="AO1418" s="834"/>
      <c r="AP1418" s="834"/>
      <c r="AQ1418" s="1024"/>
      <c r="AR1418" s="1024"/>
      <c r="AS1418" s="1024"/>
      <c r="AT1418" s="1024"/>
      <c r="AU1418" s="1024"/>
      <c r="AV1418" s="1024"/>
      <c r="AW1418" s="1024"/>
      <c r="AX1418" s="1024"/>
      <c r="AY1418" s="1024"/>
      <c r="AZ1418" s="1024"/>
      <c r="BA1418" s="1024"/>
      <c r="BB1418" s="1024"/>
      <c r="BC1418" s="1024"/>
      <c r="BD1418" s="1024"/>
      <c r="BE1418" s="1024"/>
      <c r="BF1418" s="1024"/>
      <c r="BG1418" s="1024"/>
      <c r="BH1418" s="1024"/>
      <c r="BI1418" s="1024"/>
      <c r="BJ1418" s="1024"/>
      <c r="BK1418" s="1024"/>
      <c r="BL1418" s="1024"/>
      <c r="BM1418" s="1024"/>
      <c r="BN1418" s="323"/>
      <c r="BO1418" s="323"/>
      <c r="BP1418" s="323"/>
      <c r="BQ1418" s="323"/>
      <c r="BR1418" s="323"/>
      <c r="BS1418" s="323"/>
      <c r="BT1418" s="323"/>
      <c r="BU1418" s="323"/>
      <c r="BV1418" s="323"/>
      <c r="BW1418" s="323"/>
      <c r="BX1418" s="323"/>
      <c r="BY1418" s="323"/>
      <c r="BZ1418" s="323"/>
      <c r="CA1418" s="323"/>
      <c r="CB1418" s="621"/>
    </row>
    <row r="1419" spans="1:80" ht="12.75" customHeight="1" x14ac:dyDescent="0.2">
      <c r="A1419" s="227">
        <v>1419</v>
      </c>
      <c r="B1419" s="5988"/>
      <c r="C1419" s="1000"/>
      <c r="D1419" s="58"/>
      <c r="E1419" s="1003" t="s">
        <v>1287</v>
      </c>
      <c r="F1419" s="77">
        <v>0</v>
      </c>
      <c r="G1419" s="77">
        <v>-10</v>
      </c>
      <c r="H1419" s="77">
        <f>COUNTIF(HabilidadesEsenciales_Adquiridas,Tablas!E1419)</f>
        <v>0</v>
      </c>
      <c r="I1419" s="1005"/>
      <c r="J1419" s="176"/>
      <c r="K1419" s="996"/>
      <c r="M1419" s="326"/>
      <c r="N1419" s="21"/>
      <c r="O1419" s="134" t="s">
        <v>7796</v>
      </c>
      <c r="P1419" s="998">
        <v>20</v>
      </c>
      <c r="Q1419" s="176">
        <v>80</v>
      </c>
      <c r="R1419" s="1005">
        <f>COUNTIF(PoderesDeCriatura_Adquiridos,Tablas!O1419)</f>
        <v>0</v>
      </c>
      <c r="S1419" s="176"/>
      <c r="T1419" s="996"/>
      <c r="U1419">
        <v>3</v>
      </c>
      <c r="W1419" s="1028" t="s">
        <v>1301</v>
      </c>
      <c r="X1419" s="1019"/>
      <c r="Y1419" s="834" t="str">
        <f t="shared" si="291"/>
        <v/>
      </c>
      <c r="Z1419" s="834" t="s">
        <v>6926</v>
      </c>
      <c r="AA1419" s="834"/>
      <c r="AB1419" s="834"/>
      <c r="AC1419" s="834"/>
      <c r="AD1419" s="834"/>
      <c r="AE1419" s="834"/>
      <c r="AF1419" s="834"/>
      <c r="AG1419" s="834"/>
      <c r="AH1419" s="834"/>
      <c r="AI1419" s="834"/>
      <c r="AJ1419" s="834"/>
      <c r="AK1419" s="834"/>
      <c r="AL1419" s="834"/>
      <c r="AM1419" s="834"/>
      <c r="AN1419" s="834"/>
      <c r="AO1419" s="834"/>
      <c r="AP1419" s="834"/>
      <c r="AQ1419" s="1024"/>
      <c r="AR1419" s="1024"/>
      <c r="AS1419" s="1024"/>
      <c r="AT1419" s="1024"/>
      <c r="AU1419" s="1024"/>
      <c r="AV1419" s="1024"/>
      <c r="AW1419" s="1024"/>
      <c r="AX1419" s="1024"/>
      <c r="AY1419" s="1024"/>
      <c r="AZ1419" s="1024"/>
      <c r="BA1419" s="1024"/>
      <c r="BB1419" s="1024"/>
      <c r="BC1419" s="1024"/>
      <c r="BD1419" s="1024"/>
      <c r="BE1419" s="1024"/>
      <c r="BF1419" s="1024"/>
      <c r="BG1419" s="1024"/>
      <c r="BH1419" s="1024"/>
      <c r="BI1419" s="1024"/>
      <c r="BJ1419" s="1024"/>
      <c r="BK1419" s="1024"/>
      <c r="BL1419" s="1024"/>
      <c r="BM1419" s="1024"/>
      <c r="BN1419" s="323"/>
      <c r="BO1419" s="323"/>
      <c r="BP1419" s="323"/>
      <c r="BQ1419" s="323"/>
      <c r="BR1419" s="323"/>
      <c r="BS1419" s="323"/>
      <c r="BT1419" s="323"/>
      <c r="BU1419" s="323"/>
      <c r="BV1419" s="323"/>
      <c r="BW1419" s="323"/>
      <c r="BX1419" s="323"/>
      <c r="BY1419" s="323"/>
      <c r="BZ1419" s="323"/>
      <c r="CA1419" s="323"/>
      <c r="CB1419" s="621"/>
    </row>
    <row r="1420" spans="1:80" ht="12.75" customHeight="1" x14ac:dyDescent="0.2">
      <c r="A1420" s="227">
        <v>1420</v>
      </c>
      <c r="B1420" s="5988"/>
      <c r="C1420" s="1000"/>
      <c r="D1420" s="58"/>
      <c r="E1420" s="1003" t="s">
        <v>1288</v>
      </c>
      <c r="F1420" s="77">
        <v>10</v>
      </c>
      <c r="G1420" s="77">
        <v>-20</v>
      </c>
      <c r="H1420" s="77">
        <f>COUNTIF(HabilidadesEsenciales_Adquiridas,Tablas!E1420)</f>
        <v>0</v>
      </c>
      <c r="I1420" s="1005"/>
      <c r="J1420" s="176"/>
      <c r="K1420" s="996"/>
      <c r="M1420" s="326"/>
      <c r="N1420" s="21"/>
      <c r="O1420" s="134" t="s">
        <v>7797</v>
      </c>
      <c r="P1420" s="998">
        <v>25</v>
      </c>
      <c r="Q1420" s="176">
        <v>100</v>
      </c>
      <c r="R1420" s="1005">
        <f>COUNTIF(PoderesDeCriatura_Adquiridos,Tablas!O1420)</f>
        <v>0</v>
      </c>
      <c r="S1420" s="176"/>
      <c r="T1420" s="996"/>
      <c r="U1420">
        <v>3</v>
      </c>
      <c r="W1420" s="1028" t="s">
        <v>1302</v>
      </c>
      <c r="X1420" s="1019"/>
      <c r="Y1420" s="834"/>
      <c r="Z1420" s="834" t="s">
        <v>6926</v>
      </c>
      <c r="AA1420" s="834"/>
      <c r="AB1420" s="834"/>
      <c r="AC1420" s="834"/>
      <c r="AD1420" s="834"/>
      <c r="AE1420" s="834"/>
      <c r="AF1420" s="834"/>
      <c r="AG1420" s="834"/>
      <c r="AH1420" s="834"/>
      <c r="AI1420" s="834"/>
      <c r="AJ1420" s="834"/>
      <c r="AK1420" s="834"/>
      <c r="AL1420" s="834"/>
      <c r="AM1420" s="834"/>
      <c r="AN1420" s="834"/>
      <c r="AO1420" s="834"/>
      <c r="AP1420" s="834"/>
      <c r="AQ1420" s="1024"/>
      <c r="AR1420" s="1024"/>
      <c r="AS1420" s="1024"/>
      <c r="AT1420" s="1024"/>
      <c r="AU1420" s="1024"/>
      <c r="AV1420" s="1024"/>
      <c r="AW1420" s="1024"/>
      <c r="AX1420" s="1024"/>
      <c r="AY1420" s="1024"/>
      <c r="AZ1420" s="1024"/>
      <c r="BA1420" s="1024"/>
      <c r="BB1420" s="1024"/>
      <c r="BC1420" s="1024"/>
      <c r="BD1420" s="1024"/>
      <c r="BE1420" s="1024"/>
      <c r="BF1420" s="1024"/>
      <c r="BG1420" s="1024"/>
      <c r="BH1420" s="1024"/>
      <c r="BI1420" s="1024"/>
      <c r="BJ1420" s="1024"/>
      <c r="BK1420" s="1024"/>
      <c r="BL1420" s="1024"/>
      <c r="BM1420" s="1024"/>
      <c r="BN1420" s="323"/>
      <c r="BO1420" s="323"/>
      <c r="BP1420" s="323"/>
      <c r="BQ1420" s="323"/>
      <c r="BR1420" s="323"/>
      <c r="BS1420" s="323"/>
      <c r="BT1420" s="323"/>
      <c r="BU1420" s="323"/>
      <c r="BV1420" s="323"/>
      <c r="BW1420" s="323"/>
      <c r="BX1420" s="323"/>
      <c r="BY1420" s="323"/>
      <c r="BZ1420" s="323"/>
      <c r="CA1420" s="323"/>
      <c r="CB1420" s="621"/>
    </row>
    <row r="1421" spans="1:80" ht="12.75" customHeight="1" x14ac:dyDescent="0.2">
      <c r="A1421" s="227">
        <v>1421</v>
      </c>
      <c r="B1421" s="5988"/>
      <c r="C1421" s="1000"/>
      <c r="D1421" s="58"/>
      <c r="E1421" s="1003" t="s">
        <v>7327</v>
      </c>
      <c r="F1421" s="77">
        <v>20</v>
      </c>
      <c r="G1421" s="77">
        <v>-10</v>
      </c>
      <c r="H1421" s="77">
        <f>COUNTIF(HabilidadesEsenciales_Adquiridas,Tablas!E1421)</f>
        <v>0</v>
      </c>
      <c r="I1421" s="1005"/>
      <c r="J1421" s="176"/>
      <c r="K1421" s="996"/>
      <c r="M1421" s="326"/>
      <c r="N1421" s="21"/>
      <c r="O1421" s="134" t="s">
        <v>7798</v>
      </c>
      <c r="P1421" s="998">
        <v>30</v>
      </c>
      <c r="Q1421" s="176">
        <v>120</v>
      </c>
      <c r="R1421" s="1005">
        <f>COUNTIF(PoderesDeCriatura_Adquiridos,Tablas!O1421)</f>
        <v>0</v>
      </c>
      <c r="S1421" s="176"/>
      <c r="T1421" s="996"/>
      <c r="U1421">
        <v>4</v>
      </c>
      <c r="W1421" s="1028" t="str">
        <f>$E1451</f>
        <v>Habilidad #1</v>
      </c>
      <c r="X1421" s="1019"/>
      <c r="Y1421" s="834"/>
      <c r="Z1421" s="834"/>
      <c r="AA1421" s="834"/>
      <c r="AB1421" s="834"/>
      <c r="AC1421" s="834"/>
      <c r="AD1421" s="834"/>
      <c r="AE1421" s="834"/>
      <c r="AF1421" s="834"/>
      <c r="AG1421" s="834"/>
      <c r="AH1421" s="834"/>
      <c r="AI1421" s="834"/>
      <c r="AJ1421" s="834"/>
      <c r="AK1421" s="834"/>
      <c r="AL1421" s="834"/>
      <c r="AM1421" s="834"/>
      <c r="AN1421" s="834"/>
      <c r="AO1421" s="834"/>
      <c r="AP1421" s="834"/>
      <c r="AQ1421" s="1024"/>
      <c r="AR1421" s="1024"/>
      <c r="AS1421" s="1024"/>
      <c r="AT1421" s="1024"/>
      <c r="AU1421" s="1024"/>
      <c r="AV1421" s="1024"/>
      <c r="AW1421" s="1024"/>
      <c r="AX1421" s="1024"/>
      <c r="AY1421" s="1024"/>
      <c r="AZ1421" s="1024"/>
      <c r="BA1421" s="1024"/>
      <c r="BB1421" s="1024"/>
      <c r="BC1421" s="1024"/>
      <c r="BD1421" s="1024"/>
      <c r="BE1421" s="1024"/>
      <c r="BF1421" s="1024"/>
      <c r="BG1421" s="1024"/>
      <c r="BH1421" s="1024"/>
      <c r="BI1421" s="1024"/>
      <c r="BJ1421" s="1024"/>
      <c r="BK1421" s="1024"/>
      <c r="BL1421" s="1024"/>
      <c r="BM1421" s="1024"/>
      <c r="BN1421" s="323"/>
      <c r="BO1421" s="323"/>
      <c r="BP1421" s="323"/>
      <c r="BQ1421" s="323"/>
      <c r="BR1421" s="323"/>
      <c r="BS1421" s="323"/>
      <c r="BT1421" s="323"/>
      <c r="BU1421" s="323"/>
      <c r="BV1421" s="323"/>
      <c r="BW1421" s="323"/>
      <c r="BX1421" s="323"/>
      <c r="BY1421" s="323"/>
      <c r="BZ1421" s="323"/>
      <c r="CA1421" s="323"/>
      <c r="CB1421" s="621"/>
    </row>
    <row r="1422" spans="1:80" ht="12.75" customHeight="1" x14ac:dyDescent="0.2">
      <c r="A1422" s="227">
        <v>1422</v>
      </c>
      <c r="B1422" s="5988"/>
      <c r="C1422" s="1000"/>
      <c r="D1422" s="21"/>
      <c r="E1422" s="1003" t="s">
        <v>7328</v>
      </c>
      <c r="F1422" s="77">
        <v>20</v>
      </c>
      <c r="G1422" s="77">
        <v>-20</v>
      </c>
      <c r="H1422" s="77">
        <f>COUNTIF(HabilidadesEsenciales_Adquiridas,Tablas!E1422)</f>
        <v>0</v>
      </c>
      <c r="I1422" s="1005"/>
      <c r="J1422" s="176"/>
      <c r="K1422" s="996"/>
      <c r="M1422" s="326"/>
      <c r="N1422" s="21"/>
      <c r="O1422" s="134" t="s">
        <v>7799</v>
      </c>
      <c r="P1422" s="998">
        <v>35</v>
      </c>
      <c r="Q1422" s="176">
        <v>140</v>
      </c>
      <c r="R1422" s="1005">
        <f>COUNTIF(PoderesDeCriatura_Adquiridos,Tablas!O1422)</f>
        <v>0</v>
      </c>
      <c r="S1422" s="176"/>
      <c r="T1422" s="996"/>
      <c r="U1422">
        <v>4</v>
      </c>
      <c r="W1422" s="1028" t="str">
        <f>$E$1452</f>
        <v>Habilidad #2</v>
      </c>
      <c r="X1422" s="1019"/>
      <c r="Y1422" s="834"/>
      <c r="Z1422" s="834"/>
      <c r="AA1422" s="834"/>
      <c r="AB1422" s="834"/>
      <c r="AC1422" s="834"/>
      <c r="AD1422" s="834"/>
      <c r="AE1422" s="834"/>
      <c r="AF1422" s="834"/>
      <c r="AG1422" s="834"/>
      <c r="AH1422" s="834"/>
      <c r="AI1422" s="834"/>
      <c r="AJ1422" s="834"/>
      <c r="AK1422" s="834"/>
      <c r="AL1422" s="834"/>
      <c r="AM1422" s="834"/>
      <c r="AN1422" s="834"/>
      <c r="AO1422" s="834"/>
      <c r="AP1422" s="834"/>
      <c r="AQ1422" s="1024"/>
      <c r="AR1422" s="1024"/>
      <c r="AS1422" s="1024"/>
      <c r="AT1422" s="1024"/>
      <c r="AU1422" s="1024"/>
      <c r="AV1422" s="1024"/>
      <c r="AW1422" s="1024"/>
      <c r="AX1422" s="1024"/>
      <c r="AY1422" s="1024"/>
      <c r="AZ1422" s="1024"/>
      <c r="BA1422" s="1024"/>
      <c r="BB1422" s="1024"/>
      <c r="BC1422" s="1024"/>
      <c r="BD1422" s="1024"/>
      <c r="BE1422" s="1024"/>
      <c r="BF1422" s="1024"/>
      <c r="BG1422" s="1024"/>
      <c r="BH1422" s="1024"/>
      <c r="BI1422" s="1024"/>
      <c r="BJ1422" s="1024"/>
      <c r="BK1422" s="1024"/>
      <c r="BL1422" s="1024"/>
      <c r="BM1422" s="1024"/>
      <c r="BN1422" s="323"/>
      <c r="BO1422" s="323"/>
      <c r="BP1422" s="323"/>
      <c r="BQ1422" s="323"/>
      <c r="BR1422" s="323"/>
      <c r="BS1422" s="323"/>
      <c r="BT1422" s="323"/>
      <c r="BU1422" s="323"/>
      <c r="BV1422" s="323"/>
      <c r="BW1422" s="323"/>
      <c r="BX1422" s="323"/>
      <c r="BY1422" s="323"/>
      <c r="BZ1422" s="323"/>
      <c r="CA1422" s="323"/>
      <c r="CB1422" s="621"/>
    </row>
    <row r="1423" spans="1:80" ht="12.75" customHeight="1" x14ac:dyDescent="0.2">
      <c r="A1423" s="227">
        <v>1423</v>
      </c>
      <c r="B1423" s="5988"/>
      <c r="C1423" s="1000"/>
      <c r="D1423" s="58"/>
      <c r="E1423" s="1003" t="s">
        <v>1289</v>
      </c>
      <c r="F1423" s="77">
        <v>10</v>
      </c>
      <c r="G1423" s="77">
        <v>-20</v>
      </c>
      <c r="H1423" s="77">
        <f>COUNTIF(HabilidadesEsenciales_Adquiridas,Tablas!E1423)</f>
        <v>0</v>
      </c>
      <c r="I1423" s="1005"/>
      <c r="J1423" s="176"/>
      <c r="K1423" s="996"/>
      <c r="M1423" s="326"/>
      <c r="N1423" s="21"/>
      <c r="O1423" s="134" t="s">
        <v>7800</v>
      </c>
      <c r="P1423" s="998">
        <v>10</v>
      </c>
      <c r="Q1423" s="176">
        <v>-20</v>
      </c>
      <c r="R1423" s="1005">
        <f>COUNTIF(PoderesDeCriatura_Adquiridos,Tablas!O1423)</f>
        <v>0</v>
      </c>
      <c r="S1423" s="176"/>
      <c r="T1423" s="996"/>
      <c r="U1423">
        <v>4</v>
      </c>
      <c r="W1423" s="1028" t="str">
        <f>$E$1453</f>
        <v>Habilidad #3</v>
      </c>
      <c r="X1423" s="1019"/>
      <c r="Y1423" s="834"/>
      <c r="Z1423" s="834"/>
      <c r="AA1423" s="834"/>
      <c r="AB1423" s="834"/>
      <c r="AC1423" s="834"/>
      <c r="AD1423" s="834"/>
      <c r="AE1423" s="834"/>
      <c r="AF1423" s="834"/>
      <c r="AG1423" s="834"/>
      <c r="AH1423" s="834"/>
      <c r="AI1423" s="834"/>
      <c r="AJ1423" s="834"/>
      <c r="AK1423" s="834"/>
      <c r="AL1423" s="834"/>
      <c r="AM1423" s="834"/>
      <c r="AN1423" s="834"/>
      <c r="AO1423" s="834"/>
      <c r="AP1423" s="834"/>
      <c r="AQ1423" s="1024"/>
      <c r="AR1423" s="1024"/>
      <c r="AS1423" s="1024"/>
      <c r="AT1423" s="1024"/>
      <c r="AU1423" s="1024"/>
      <c r="AV1423" s="1024"/>
      <c r="AW1423" s="1024"/>
      <c r="AX1423" s="1024"/>
      <c r="AY1423" s="1024"/>
      <c r="AZ1423" s="1024"/>
      <c r="BA1423" s="1024"/>
      <c r="BB1423" s="1024"/>
      <c r="BC1423" s="1024"/>
      <c r="BD1423" s="1024"/>
      <c r="BE1423" s="1024"/>
      <c r="BF1423" s="1024"/>
      <c r="BG1423" s="1024"/>
      <c r="BH1423" s="1024"/>
      <c r="BI1423" s="1024"/>
      <c r="BJ1423" s="1024"/>
      <c r="BK1423" s="1024"/>
      <c r="BL1423" s="1024"/>
      <c r="BM1423" s="1024"/>
      <c r="BN1423" s="323"/>
      <c r="BO1423" s="323"/>
      <c r="BP1423" s="323"/>
      <c r="BQ1423" s="323"/>
      <c r="BR1423" s="323"/>
      <c r="BS1423" s="323"/>
      <c r="BT1423" s="323"/>
      <c r="BU1423" s="323"/>
      <c r="BV1423" s="323"/>
      <c r="BW1423" s="323"/>
      <c r="BX1423" s="323"/>
      <c r="BY1423" s="323"/>
      <c r="BZ1423" s="323"/>
      <c r="CA1423" s="323"/>
      <c r="CB1423" s="621"/>
    </row>
    <row r="1424" spans="1:80" ht="12.75" customHeight="1" x14ac:dyDescent="0.2">
      <c r="A1424" s="227">
        <v>1424</v>
      </c>
      <c r="B1424" s="5988"/>
      <c r="C1424" s="1000"/>
      <c r="D1424" s="58"/>
      <c r="E1424" s="1003" t="s">
        <v>1290</v>
      </c>
      <c r="F1424" s="77">
        <v>0</v>
      </c>
      <c r="G1424" s="77">
        <v>0</v>
      </c>
      <c r="H1424" s="77"/>
      <c r="I1424" s="1005"/>
      <c r="J1424" s="176"/>
      <c r="K1424" s="996"/>
      <c r="M1424" s="326"/>
      <c r="N1424" s="21"/>
      <c r="O1424" s="134" t="s">
        <v>1319</v>
      </c>
      <c r="P1424" s="998"/>
      <c r="Q1424" s="176"/>
      <c r="R1424" s="1005"/>
      <c r="S1424" s="176"/>
      <c r="T1424" s="996"/>
      <c r="U1424">
        <v>4</v>
      </c>
      <c r="W1424" s="1028" t="str">
        <f>$E$1454</f>
        <v>Habilidad #4</v>
      </c>
      <c r="X1424" s="1019"/>
      <c r="Y1424" s="834"/>
      <c r="Z1424" s="834"/>
      <c r="AA1424" s="834"/>
      <c r="AB1424" s="834"/>
      <c r="AC1424" s="834"/>
      <c r="AD1424" s="834"/>
      <c r="AE1424" s="834"/>
      <c r="AF1424" s="834"/>
      <c r="AG1424" s="834"/>
      <c r="AH1424" s="834"/>
      <c r="AI1424" s="834"/>
      <c r="AJ1424" s="834"/>
      <c r="AK1424" s="834"/>
      <c r="AL1424" s="834"/>
      <c r="AM1424" s="834"/>
      <c r="AN1424" s="834"/>
      <c r="AO1424" s="834"/>
      <c r="AP1424" s="834"/>
      <c r="AQ1424" s="1024"/>
      <c r="AR1424" s="1024"/>
      <c r="AS1424" s="1024"/>
      <c r="AT1424" s="1024"/>
      <c r="AU1424" s="1024"/>
      <c r="AV1424" s="1024"/>
      <c r="AW1424" s="1024"/>
      <c r="AX1424" s="1024"/>
      <c r="AY1424" s="1024"/>
      <c r="AZ1424" s="1024"/>
      <c r="BA1424" s="1024"/>
      <c r="BB1424" s="1024"/>
      <c r="BC1424" s="1024"/>
      <c r="BD1424" s="1024"/>
      <c r="BE1424" s="1024"/>
      <c r="BF1424" s="1024"/>
      <c r="BG1424" s="1024"/>
      <c r="BH1424" s="1024"/>
      <c r="BI1424" s="1024"/>
      <c r="BJ1424" s="1024"/>
      <c r="BK1424" s="1024"/>
      <c r="BL1424" s="1024"/>
      <c r="BM1424" s="1024"/>
      <c r="BN1424" s="323"/>
      <c r="BO1424" s="323"/>
      <c r="BP1424" s="323"/>
      <c r="BQ1424" s="323"/>
      <c r="BR1424" s="323"/>
      <c r="BS1424" s="323"/>
      <c r="BT1424" s="323"/>
      <c r="BU1424" s="323"/>
      <c r="BV1424" s="323"/>
      <c r="BW1424" s="323"/>
      <c r="BX1424" s="323"/>
      <c r="BY1424" s="323"/>
      <c r="BZ1424" s="323"/>
      <c r="CA1424" s="323"/>
      <c r="CB1424" s="621"/>
    </row>
    <row r="1425" spans="1:80" ht="12.75" customHeight="1" x14ac:dyDescent="0.2">
      <c r="A1425" s="227">
        <v>1425</v>
      </c>
      <c r="B1425" s="5988"/>
      <c r="C1425" s="1000"/>
      <c r="D1425" s="58"/>
      <c r="E1425" s="1003" t="s">
        <v>2397</v>
      </c>
      <c r="F1425" s="77">
        <v>5</v>
      </c>
      <c r="G1425" s="77">
        <v>-10</v>
      </c>
      <c r="H1425" s="77">
        <f>COUNTIF(HabilidadesEsenciales_Adquiridas,Tablas!E1425)</f>
        <v>0</v>
      </c>
      <c r="I1425" s="1005"/>
      <c r="J1425" s="176"/>
      <c r="K1425" s="996"/>
      <c r="M1425" s="326"/>
      <c r="N1425" s="21"/>
      <c r="O1425" s="134" t="s">
        <v>7801</v>
      </c>
      <c r="P1425" s="998">
        <v>0</v>
      </c>
      <c r="Q1425" s="176">
        <v>10</v>
      </c>
      <c r="R1425" s="1005">
        <f>COUNTIF(PoderesDeCriatura_Adquiridos,Tablas!O1425)</f>
        <v>0</v>
      </c>
      <c r="S1425" s="176">
        <f t="array" ref="S1425">IF(OR(R$1431=1,R$1432=1),0,MAX({10;20;30;40;50}*$R$1425:$R$1429))</f>
        <v>0</v>
      </c>
      <c r="T1425" s="996" t="s">
        <v>1459</v>
      </c>
      <c r="U1425">
        <v>4</v>
      </c>
      <c r="W1425" s="1028" t="str">
        <f>$E$1455</f>
        <v>Habilidad #5</v>
      </c>
      <c r="X1425" s="1019"/>
      <c r="Y1425" s="834"/>
      <c r="Z1425" s="834"/>
      <c r="AA1425" s="834"/>
      <c r="AB1425" s="834"/>
      <c r="AC1425" s="834"/>
      <c r="AD1425" s="834"/>
      <c r="AE1425" s="834"/>
      <c r="AF1425" s="834"/>
      <c r="AG1425" s="834"/>
      <c r="AH1425" s="834"/>
      <c r="AI1425" s="834"/>
      <c r="AJ1425" s="834"/>
      <c r="AK1425" s="834"/>
      <c r="AL1425" s="834"/>
      <c r="AM1425" s="834"/>
      <c r="AN1425" s="834"/>
      <c r="AO1425" s="834"/>
      <c r="AP1425" s="834"/>
      <c r="AQ1425" s="1024"/>
      <c r="AR1425" s="1024"/>
      <c r="AS1425" s="1024"/>
      <c r="AT1425" s="1024"/>
      <c r="AU1425" s="1024"/>
      <c r="AV1425" s="1024"/>
      <c r="AW1425" s="1024"/>
      <c r="AX1425" s="1024"/>
      <c r="AY1425" s="1024"/>
      <c r="AZ1425" s="1024"/>
      <c r="BA1425" s="1024"/>
      <c r="BB1425" s="1024"/>
      <c r="BC1425" s="1024"/>
      <c r="BD1425" s="1024"/>
      <c r="BE1425" s="1024"/>
      <c r="BF1425" s="1024"/>
      <c r="BG1425" s="1024"/>
      <c r="BH1425" s="1024"/>
      <c r="BI1425" s="1024"/>
      <c r="BJ1425" s="1024"/>
      <c r="BK1425" s="1024"/>
      <c r="BL1425" s="1024"/>
      <c r="BM1425" s="1024"/>
      <c r="BN1425" s="323"/>
      <c r="BO1425" s="323"/>
      <c r="BP1425" s="323"/>
      <c r="BQ1425" s="323"/>
      <c r="BR1425" s="323"/>
      <c r="BS1425" s="323"/>
      <c r="BT1425" s="323"/>
      <c r="BU1425" s="323"/>
      <c r="BV1425" s="323"/>
      <c r="BW1425" s="323"/>
      <c r="BX1425" s="323"/>
      <c r="BY1425" s="323"/>
      <c r="BZ1425" s="323"/>
      <c r="CA1425" s="323"/>
      <c r="CB1425" s="621"/>
    </row>
    <row r="1426" spans="1:80" ht="12.75" customHeight="1" thickBot="1" x14ac:dyDescent="0.25">
      <c r="A1426" s="227">
        <v>1426</v>
      </c>
      <c r="B1426" s="5988"/>
      <c r="C1426" s="1000"/>
      <c r="D1426" s="58"/>
      <c r="E1426" s="1003" t="s">
        <v>2398</v>
      </c>
      <c r="F1426" s="77">
        <v>5</v>
      </c>
      <c r="G1426" s="77">
        <v>-10</v>
      </c>
      <c r="H1426" s="77">
        <f>COUNTIF(HabilidadesEsenciales_Adquiridas,Tablas!E1426)</f>
        <v>0</v>
      </c>
      <c r="I1426" s="1005"/>
      <c r="J1426" s="176"/>
      <c r="K1426" s="996"/>
      <c r="M1426" s="326"/>
      <c r="N1426" s="21"/>
      <c r="O1426" s="134" t="s">
        <v>7802</v>
      </c>
      <c r="P1426" s="998">
        <v>0</v>
      </c>
      <c r="Q1426" s="176">
        <v>20</v>
      </c>
      <c r="R1426" s="1005">
        <f>COUNTIF(PoderesDeCriatura_Adquiridos,Tablas!O1426)</f>
        <v>0</v>
      </c>
      <c r="S1426" s="176">
        <f t="array" ref="S1426">IF(OR(R$1430=1,R$1432=1),0,MAX({10;20;30;40;50}*$R$1425:$R$1429))</f>
        <v>0</v>
      </c>
      <c r="T1426" s="996" t="s">
        <v>1461</v>
      </c>
      <c r="U1426">
        <v>4</v>
      </c>
      <c r="W1426" s="1032" t="s">
        <v>8069</v>
      </c>
      <c r="X1426" s="1033"/>
      <c r="Y1426" s="1034"/>
      <c r="Z1426" s="1034"/>
      <c r="AA1426" s="1034"/>
      <c r="AB1426" s="1034"/>
      <c r="AC1426" s="1034" t="s">
        <v>8068</v>
      </c>
      <c r="AD1426" s="1034"/>
      <c r="AE1426" s="1034"/>
      <c r="AF1426" s="1034"/>
      <c r="AG1426" s="1034"/>
      <c r="AH1426" s="1034"/>
      <c r="AI1426" s="1034"/>
      <c r="AJ1426" s="1034"/>
      <c r="AK1426" s="1034"/>
      <c r="AL1426" s="1034"/>
      <c r="AM1426" s="1034"/>
      <c r="AN1426" s="1034"/>
      <c r="AO1426" s="1034"/>
      <c r="AP1426" s="1034"/>
      <c r="AQ1426" s="1033"/>
      <c r="AR1426" s="1033"/>
      <c r="AS1426" s="1033"/>
      <c r="AT1426" s="1033"/>
      <c r="AU1426" s="1033"/>
      <c r="AV1426" s="1033"/>
      <c r="AW1426" s="1033"/>
      <c r="AX1426" s="1033"/>
      <c r="AY1426" s="1033"/>
      <c r="AZ1426" s="1033"/>
      <c r="BA1426" s="1033"/>
      <c r="BB1426" s="1033"/>
      <c r="BC1426" s="1033"/>
      <c r="BD1426" s="1033"/>
      <c r="BE1426" s="1033"/>
      <c r="BF1426" s="1033"/>
      <c r="BG1426" s="1033"/>
      <c r="BH1426" s="1033"/>
      <c r="BI1426" s="1033"/>
      <c r="BJ1426" s="1033"/>
      <c r="BK1426" s="1033"/>
      <c r="BL1426" s="1033"/>
      <c r="BM1426" s="1033"/>
      <c r="BN1426" s="1033"/>
      <c r="BO1426" s="1033"/>
      <c r="BP1426" s="1033"/>
      <c r="BQ1426" s="1033"/>
      <c r="BR1426" s="1033"/>
      <c r="BS1426" s="1033"/>
      <c r="BT1426" s="1033"/>
      <c r="BU1426" s="1033"/>
      <c r="BV1426" s="1033"/>
      <c r="BW1426" s="1033"/>
      <c r="BX1426" s="1033"/>
      <c r="BY1426" s="1033"/>
      <c r="BZ1426" s="1033"/>
      <c r="CA1426" s="1033"/>
      <c r="CB1426" s="1035"/>
    </row>
    <row r="1427" spans="1:80" ht="12.75" customHeight="1" x14ac:dyDescent="0.2">
      <c r="A1427" s="227">
        <v>1427</v>
      </c>
      <c r="B1427" s="5988"/>
      <c r="C1427" s="1000"/>
      <c r="D1427" s="58"/>
      <c r="E1427" s="1003" t="s">
        <v>1291</v>
      </c>
      <c r="F1427" s="77">
        <v>5</v>
      </c>
      <c r="G1427" s="77">
        <v>-10</v>
      </c>
      <c r="H1427" s="77">
        <f>COUNTIF(HabilidadesEsenciales_Adquiridas,Tablas!E1427)</f>
        <v>0</v>
      </c>
      <c r="I1427" s="1005">
        <v>1</v>
      </c>
      <c r="J1427" s="176"/>
      <c r="K1427" s="996"/>
      <c r="M1427" s="326"/>
      <c r="N1427" s="21"/>
      <c r="O1427" s="134" t="s">
        <v>7803</v>
      </c>
      <c r="P1427" s="998">
        <v>10</v>
      </c>
      <c r="Q1427" s="176">
        <v>30</v>
      </c>
      <c r="R1427" s="1005">
        <f>COUNTIF(PoderesDeCriatura_Adquiridos,Tablas!O1427)</f>
        <v>0</v>
      </c>
      <c r="S1427" s="176">
        <f t="array" ref="S1427">IF(OR(R$1431=1,R$1430=1),0,MAX({10;20;30;40;50}*$R$1425:$R$1429))</f>
        <v>0</v>
      </c>
      <c r="T1427" s="996" t="s">
        <v>1463</v>
      </c>
      <c r="U1427">
        <v>4</v>
      </c>
      <c r="X1427" s="559"/>
    </row>
    <row r="1428" spans="1:80" ht="12.75" customHeight="1" x14ac:dyDescent="0.2">
      <c r="A1428" s="227">
        <v>1428</v>
      </c>
      <c r="B1428" s="5988"/>
      <c r="C1428" s="1000"/>
      <c r="D1428" s="58"/>
      <c r="E1428" s="1003" t="s">
        <v>2402</v>
      </c>
      <c r="F1428" s="77">
        <v>5</v>
      </c>
      <c r="G1428" s="77">
        <v>-30</v>
      </c>
      <c r="H1428" s="77">
        <f>COUNTIF(HabilidadesEsenciales_Adquiridas,Tablas!E1428)</f>
        <v>0</v>
      </c>
      <c r="I1428" s="1005">
        <v>1</v>
      </c>
      <c r="J1428" s="176"/>
      <c r="K1428" s="996"/>
      <c r="M1428" s="326"/>
      <c r="N1428" s="21"/>
      <c r="O1428" s="134" t="s">
        <v>7804</v>
      </c>
      <c r="P1428" s="998">
        <v>20</v>
      </c>
      <c r="Q1428" s="176">
        <v>40</v>
      </c>
      <c r="R1428" s="1005">
        <f>COUNTIF(PoderesDeCriatura_Adquiridos,Tablas!O1428)</f>
        <v>0</v>
      </c>
      <c r="S1428" s="176"/>
      <c r="T1428" s="996"/>
      <c r="U1428">
        <v>4</v>
      </c>
    </row>
    <row r="1429" spans="1:80" ht="12.75" customHeight="1" x14ac:dyDescent="0.2">
      <c r="A1429" s="227">
        <v>1429</v>
      </c>
      <c r="B1429" s="5988"/>
      <c r="C1429" s="1000"/>
      <c r="D1429" s="58"/>
      <c r="E1429" s="1003" t="s">
        <v>2399</v>
      </c>
      <c r="F1429" s="77">
        <v>5</v>
      </c>
      <c r="G1429" s="77">
        <v>-10</v>
      </c>
      <c r="H1429" s="77">
        <f>COUNTIF(HabilidadesEsenciales_Adquiridas,Tablas!E1429)</f>
        <v>0</v>
      </c>
      <c r="I1429" s="1005"/>
      <c r="J1429" s="176"/>
      <c r="K1429" s="996"/>
      <c r="M1429" s="326"/>
      <c r="N1429" s="21"/>
      <c r="O1429" s="134" t="s">
        <v>7805</v>
      </c>
      <c r="P1429" s="998">
        <v>30</v>
      </c>
      <c r="Q1429" s="176">
        <v>50</v>
      </c>
      <c r="R1429" s="1005">
        <f>COUNTIF(PoderesDeCriatura_Adquiridos,Tablas!O1429)</f>
        <v>0</v>
      </c>
      <c r="S1429" s="176"/>
      <c r="T1429" s="996"/>
      <c r="U1429">
        <v>4</v>
      </c>
      <c r="Y1429"/>
      <c r="Z1429" s="1158"/>
      <c r="AA1429" s="1158"/>
      <c r="AB1429" s="1158"/>
      <c r="AC1429" s="1158"/>
      <c r="AD1429" s="1158"/>
    </row>
    <row r="1430" spans="1:80" ht="12.75" customHeight="1" x14ac:dyDescent="0.2">
      <c r="A1430" s="227">
        <v>1430</v>
      </c>
      <c r="B1430" s="5988"/>
      <c r="C1430" s="1000"/>
      <c r="D1430" s="58"/>
      <c r="E1430" s="1003" t="s">
        <v>1292</v>
      </c>
      <c r="F1430" s="77">
        <v>5</v>
      </c>
      <c r="G1430" s="77">
        <v>-20</v>
      </c>
      <c r="H1430" s="77">
        <f>COUNTIF(HabilidadesEsenciales_Adquiridas,Tablas!E1430)</f>
        <v>0</v>
      </c>
      <c r="I1430" s="1005"/>
      <c r="J1430" s="176"/>
      <c r="K1430" s="996"/>
      <c r="M1430" s="326"/>
      <c r="N1430" s="21"/>
      <c r="O1430" s="134" t="s">
        <v>7806</v>
      </c>
      <c r="P1430" s="998">
        <v>10</v>
      </c>
      <c r="Q1430" s="176">
        <v>-20</v>
      </c>
      <c r="R1430" s="1005">
        <f>COUNTIF(PoderesDeCriatura_Adquiridos,Tablas!O1430)</f>
        <v>0</v>
      </c>
      <c r="S1430" s="176"/>
      <c r="T1430" s="996"/>
      <c r="U1430">
        <v>4</v>
      </c>
      <c r="Y1430"/>
      <c r="Z1430" s="1158"/>
      <c r="AA1430" s="1158"/>
      <c r="AB1430" s="1158"/>
      <c r="AC1430" s="1158"/>
      <c r="AD1430" s="1158"/>
    </row>
    <row r="1431" spans="1:80" ht="12.75" customHeight="1" x14ac:dyDescent="0.2">
      <c r="A1431" s="227">
        <v>1431</v>
      </c>
      <c r="B1431" s="5988"/>
      <c r="C1431" s="1000"/>
      <c r="D1431" s="58"/>
      <c r="E1431" s="1003" t="s">
        <v>1293</v>
      </c>
      <c r="F1431" s="77">
        <v>0</v>
      </c>
      <c r="G1431" s="77">
        <v>0</v>
      </c>
      <c r="H1431" s="77"/>
      <c r="I1431" s="1005"/>
      <c r="J1431" s="176"/>
      <c r="K1431" s="996"/>
      <c r="M1431" s="326"/>
      <c r="N1431" s="21"/>
      <c r="O1431" s="134" t="s">
        <v>7807</v>
      </c>
      <c r="P1431" s="998">
        <v>10</v>
      </c>
      <c r="Q1431" s="176">
        <v>-20</v>
      </c>
      <c r="R1431" s="1005">
        <f>COUNTIF(PoderesDeCriatura_Adquiridos,Tablas!O1431)</f>
        <v>0</v>
      </c>
      <c r="S1431" s="176"/>
      <c r="T1431" s="996"/>
      <c r="U1431">
        <v>5</v>
      </c>
      <c r="Y1431"/>
    </row>
    <row r="1432" spans="1:80" ht="12.75" customHeight="1" x14ac:dyDescent="0.2">
      <c r="A1432" s="227">
        <v>1432</v>
      </c>
      <c r="B1432" s="5988"/>
      <c r="C1432" s="1000"/>
      <c r="D1432" s="58"/>
      <c r="E1432" s="1003" t="s">
        <v>2405</v>
      </c>
      <c r="F1432" s="77">
        <v>5</v>
      </c>
      <c r="G1432" s="77">
        <v>-10</v>
      </c>
      <c r="H1432" s="77">
        <f>COUNTIF(HabilidadesEsenciales_Adquiridas,Tablas!E1432)</f>
        <v>0</v>
      </c>
      <c r="I1432" s="1005">
        <v>1</v>
      </c>
      <c r="J1432" s="176"/>
      <c r="K1432" s="996"/>
      <c r="M1432" s="326"/>
      <c r="N1432" s="21"/>
      <c r="O1432" s="134" t="s">
        <v>7808</v>
      </c>
      <c r="P1432" s="998">
        <v>10</v>
      </c>
      <c r="Q1432" s="176">
        <v>-20</v>
      </c>
      <c r="R1432" s="1005">
        <f>COUNTIF(PoderesDeCriatura_Adquiridos,Tablas!O1432)</f>
        <v>0</v>
      </c>
      <c r="S1432" s="176"/>
      <c r="T1432" s="996"/>
      <c r="U1432">
        <v>5</v>
      </c>
      <c r="Y1432"/>
    </row>
    <row r="1433" spans="1:80" ht="12.75" customHeight="1" x14ac:dyDescent="0.2">
      <c r="A1433" s="227">
        <v>1433</v>
      </c>
      <c r="B1433" s="5988"/>
      <c r="C1433" s="1000"/>
      <c r="D1433" s="58"/>
      <c r="E1433" s="1003" t="s">
        <v>2406</v>
      </c>
      <c r="F1433" s="77">
        <v>5</v>
      </c>
      <c r="G1433" s="77">
        <v>-10</v>
      </c>
      <c r="H1433" s="77">
        <f>COUNTIF(HabilidadesEsenciales_Adquiridas,Tablas!E1433)</f>
        <v>0</v>
      </c>
      <c r="I1433" s="1005"/>
      <c r="J1433" s="176"/>
      <c r="K1433" s="996"/>
      <c r="M1433" s="326"/>
      <c r="N1433" s="21"/>
      <c r="O1433" s="134" t="s">
        <v>7809</v>
      </c>
      <c r="P1433" s="998">
        <v>10</v>
      </c>
      <c r="Q1433" s="176">
        <v>10</v>
      </c>
      <c r="R1433" s="1005">
        <f>COUNTIF(PoderesDeCriatura_Adquiridos,Tablas!O1433)</f>
        <v>0</v>
      </c>
      <c r="S1433" s="176">
        <f t="array" ref="S1433">MAX(R1433:R1442*{10;20;30;40;50;-10;-20;-30;-40;-50})</f>
        <v>0</v>
      </c>
      <c r="T1433" s="996" t="s">
        <v>1467</v>
      </c>
      <c r="U1433">
        <v>5</v>
      </c>
      <c r="Y1433"/>
    </row>
    <row r="1434" spans="1:80" ht="12.75" customHeight="1" x14ac:dyDescent="0.2">
      <c r="A1434" s="227">
        <v>1434</v>
      </c>
      <c r="B1434" s="5988"/>
      <c r="C1434" s="1000"/>
      <c r="D1434" s="58"/>
      <c r="E1434" s="1003" t="s">
        <v>1294</v>
      </c>
      <c r="F1434" s="77">
        <v>5</v>
      </c>
      <c r="G1434" s="77">
        <v>-20</v>
      </c>
      <c r="H1434" s="77">
        <f>COUNTIF(HabilidadesEsenciales_Adquiridas,Tablas!E1434)</f>
        <v>0</v>
      </c>
      <c r="I1434" s="1005"/>
      <c r="J1434" s="176"/>
      <c r="K1434" s="996"/>
      <c r="M1434" s="326"/>
      <c r="N1434" s="21"/>
      <c r="O1434" s="134" t="s">
        <v>7810</v>
      </c>
      <c r="P1434" s="998">
        <v>15</v>
      </c>
      <c r="Q1434" s="176">
        <v>20</v>
      </c>
      <c r="R1434" s="1005">
        <f>COUNTIF(PoderesDeCriatura_Adquiridos,Tablas!O1434)</f>
        <v>0</v>
      </c>
      <c r="S1434" s="176"/>
      <c r="T1434" s="996"/>
      <c r="U1434">
        <v>5</v>
      </c>
      <c r="Y1434"/>
    </row>
    <row r="1435" spans="1:80" ht="12.75" customHeight="1" x14ac:dyDescent="0.2">
      <c r="A1435" s="227">
        <v>1435</v>
      </c>
      <c r="B1435" s="5988"/>
      <c r="C1435" s="1000"/>
      <c r="D1435" s="58"/>
      <c r="E1435" s="1003" t="s">
        <v>1295</v>
      </c>
      <c r="F1435" s="77">
        <v>0</v>
      </c>
      <c r="G1435" s="77">
        <v>0</v>
      </c>
      <c r="H1435" s="77"/>
      <c r="I1435" s="1005"/>
      <c r="J1435" s="176"/>
      <c r="K1435" s="996"/>
      <c r="M1435" s="326"/>
      <c r="N1435" s="21"/>
      <c r="O1435" s="134" t="s">
        <v>7811</v>
      </c>
      <c r="P1435" s="998">
        <v>20</v>
      </c>
      <c r="Q1435" s="176">
        <v>30</v>
      </c>
      <c r="R1435" s="1005">
        <f>COUNTIF(PoderesDeCriatura_Adquiridos,Tablas!O1435)</f>
        <v>0</v>
      </c>
      <c r="S1435" s="176"/>
      <c r="T1435" s="996"/>
      <c r="U1435">
        <v>5</v>
      </c>
      <c r="Y1435"/>
    </row>
    <row r="1436" spans="1:80" ht="12.75" customHeight="1" x14ac:dyDescent="0.2">
      <c r="A1436" s="227">
        <v>1436</v>
      </c>
      <c r="B1436" s="5988"/>
      <c r="C1436" s="1000"/>
      <c r="D1436" s="58"/>
      <c r="E1436" s="1003" t="s">
        <v>2295</v>
      </c>
      <c r="F1436" s="77">
        <v>20</v>
      </c>
      <c r="G1436" s="77">
        <v>40</v>
      </c>
      <c r="H1436" s="77">
        <f>COUNTIF(HabilidadesEsenciales_Adquiridas,Tablas!E1436)</f>
        <v>0</v>
      </c>
      <c r="I1436" s="1005"/>
      <c r="J1436" s="176"/>
      <c r="K1436" s="996"/>
      <c r="M1436" s="326"/>
      <c r="N1436" s="21"/>
      <c r="O1436" s="134" t="s">
        <v>7812</v>
      </c>
      <c r="P1436" s="998">
        <v>25</v>
      </c>
      <c r="Q1436" s="176">
        <v>40</v>
      </c>
      <c r="R1436" s="1005">
        <f>COUNTIF(PoderesDeCriatura_Adquiridos,Tablas!O1436)</f>
        <v>0</v>
      </c>
      <c r="S1436" s="176"/>
      <c r="T1436" s="996"/>
      <c r="U1436">
        <v>5</v>
      </c>
      <c r="Y1436"/>
    </row>
    <row r="1437" spans="1:80" ht="12.75" customHeight="1" x14ac:dyDescent="0.2">
      <c r="A1437" s="227">
        <v>1437</v>
      </c>
      <c r="B1437" s="5988"/>
      <c r="C1437" s="1000"/>
      <c r="D1437" s="58"/>
      <c r="E1437" s="1003" t="s">
        <v>1296</v>
      </c>
      <c r="F1437" s="77">
        <v>20</v>
      </c>
      <c r="G1437" s="77">
        <v>20</v>
      </c>
      <c r="H1437" s="77">
        <f>COUNTIF(HabilidadesEsenciales_Adquiridas,Tablas!E1437)</f>
        <v>0</v>
      </c>
      <c r="I1437" s="1005"/>
      <c r="J1437" s="176"/>
      <c r="K1437" s="996"/>
      <c r="M1437" s="326"/>
      <c r="N1437" s="21"/>
      <c r="O1437" s="134" t="s">
        <v>7813</v>
      </c>
      <c r="P1437" s="998">
        <v>35</v>
      </c>
      <c r="Q1437" s="176">
        <v>50</v>
      </c>
      <c r="R1437" s="1005">
        <f>COUNTIF(PoderesDeCriatura_Adquiridos,Tablas!O1437)</f>
        <v>0</v>
      </c>
      <c r="S1437" s="176"/>
      <c r="T1437" s="996"/>
      <c r="U1437">
        <v>5</v>
      </c>
      <c r="Y1437"/>
    </row>
    <row r="1438" spans="1:80" ht="12.75" customHeight="1" x14ac:dyDescent="0.2">
      <c r="A1438" s="227">
        <v>1438</v>
      </c>
      <c r="B1438" s="5988"/>
      <c r="C1438" s="1000"/>
      <c r="D1438" s="58"/>
      <c r="E1438" s="1003" t="s">
        <v>2336</v>
      </c>
      <c r="F1438" s="77">
        <v>10</v>
      </c>
      <c r="G1438" s="77">
        <v>10</v>
      </c>
      <c r="H1438" s="77">
        <f>COUNTIF(HabilidadesEsenciales_Adquiridas,Tablas!E1438)</f>
        <v>0</v>
      </c>
      <c r="I1438" s="1005"/>
      <c r="J1438" s="176"/>
      <c r="K1438" s="996"/>
      <c r="M1438" s="326"/>
      <c r="N1438" s="21"/>
      <c r="O1438" s="134" t="s">
        <v>9978</v>
      </c>
      <c r="P1438" s="998">
        <v>10</v>
      </c>
      <c r="Q1438" s="176">
        <v>-10</v>
      </c>
      <c r="R1438" s="1005">
        <f>COUNTIF(PoderesDeCriatura_Adquiridos,Tablas!O1438)</f>
        <v>0</v>
      </c>
      <c r="S1438" s="176"/>
      <c r="T1438" s="996"/>
      <c r="U1438">
        <v>5</v>
      </c>
      <c r="Y1438"/>
    </row>
    <row r="1439" spans="1:80" ht="12.75" customHeight="1" x14ac:dyDescent="0.2">
      <c r="A1439" s="227">
        <v>1439</v>
      </c>
      <c r="B1439" s="5988"/>
      <c r="C1439" s="1000"/>
      <c r="D1439" s="58"/>
      <c r="E1439" s="1003" t="s">
        <v>2412</v>
      </c>
      <c r="F1439" s="77">
        <v>5</v>
      </c>
      <c r="G1439" s="77">
        <v>20</v>
      </c>
      <c r="H1439" s="77">
        <f>COUNTIF(HabilidadesEsenciales_Adquiridas,Tablas!E1439)</f>
        <v>0</v>
      </c>
      <c r="I1439" s="1005"/>
      <c r="J1439" s="176"/>
      <c r="K1439" s="996"/>
      <c r="M1439" s="326"/>
      <c r="N1439" s="21"/>
      <c r="O1439" s="134" t="s">
        <v>9979</v>
      </c>
      <c r="P1439" s="998">
        <v>10</v>
      </c>
      <c r="Q1439" s="176">
        <v>-15</v>
      </c>
      <c r="R1439" s="1005">
        <f>COUNTIF(PoderesDeCriatura_Adquiridos,Tablas!O1439)</f>
        <v>0</v>
      </c>
      <c r="S1439" s="176"/>
      <c r="T1439" s="996"/>
      <c r="U1439">
        <v>5</v>
      </c>
    </row>
    <row r="1440" spans="1:80" ht="12.75" customHeight="1" x14ac:dyDescent="0.2">
      <c r="A1440" s="227">
        <v>1440</v>
      </c>
      <c r="B1440" s="5988"/>
      <c r="C1440" s="1000"/>
      <c r="D1440" s="58"/>
      <c r="E1440" s="1003" t="s">
        <v>2425</v>
      </c>
      <c r="F1440" s="77">
        <v>0</v>
      </c>
      <c r="G1440" s="77">
        <v>10</v>
      </c>
      <c r="H1440" s="77">
        <f>COUNTIF(HabilidadesEsenciales_Adquiridas,Tablas!E1440)</f>
        <v>0</v>
      </c>
      <c r="I1440" s="1005"/>
      <c r="J1440" s="176"/>
      <c r="K1440" s="996"/>
      <c r="M1440" s="326"/>
      <c r="N1440" s="21"/>
      <c r="O1440" s="134" t="s">
        <v>9980</v>
      </c>
      <c r="P1440" s="998">
        <v>10</v>
      </c>
      <c r="Q1440" s="176">
        <v>-20</v>
      </c>
      <c r="R1440" s="1005">
        <f>COUNTIF(PoderesDeCriatura_Adquiridos,Tablas!O1440)</f>
        <v>0</v>
      </c>
      <c r="S1440" s="176"/>
      <c r="T1440" s="996"/>
      <c r="U1440">
        <v>5</v>
      </c>
    </row>
    <row r="1441" spans="1:21" ht="12.75" customHeight="1" x14ac:dyDescent="0.2">
      <c r="A1441" s="227">
        <v>1441</v>
      </c>
      <c r="B1441" s="5988"/>
      <c r="C1441" s="1000"/>
      <c r="D1441" s="58"/>
      <c r="E1441" s="1003" t="s">
        <v>2431</v>
      </c>
      <c r="F1441" s="77">
        <v>10</v>
      </c>
      <c r="G1441" s="77">
        <v>20</v>
      </c>
      <c r="H1441" s="77">
        <f>COUNTIF(HabilidadesEsenciales_Adquiridas,Tablas!E1441)</f>
        <v>0</v>
      </c>
      <c r="I1441" s="1005">
        <v>1</v>
      </c>
      <c r="J1441" s="176"/>
      <c r="K1441" s="996"/>
      <c r="M1441" s="326"/>
      <c r="N1441" s="21"/>
      <c r="O1441" s="134" t="s">
        <v>9981</v>
      </c>
      <c r="P1441" s="998">
        <v>20</v>
      </c>
      <c r="Q1441" s="176">
        <v>-25</v>
      </c>
      <c r="R1441" s="1005">
        <f>COUNTIF(PoderesDeCriatura_Adquiridos,Tablas!O1441)</f>
        <v>0</v>
      </c>
      <c r="S1441" s="176"/>
      <c r="T1441" s="996"/>
      <c r="U1441">
        <v>6</v>
      </c>
    </row>
    <row r="1442" spans="1:21" ht="12.75" customHeight="1" x14ac:dyDescent="0.2">
      <c r="A1442" s="227">
        <v>1442</v>
      </c>
      <c r="B1442" s="5988"/>
      <c r="C1442" s="1000"/>
      <c r="D1442" s="58"/>
      <c r="E1442" s="1003" t="s">
        <v>2435</v>
      </c>
      <c r="F1442" s="77">
        <v>10</v>
      </c>
      <c r="G1442" s="77">
        <v>20</v>
      </c>
      <c r="H1442" s="77">
        <f>COUNTIF(HabilidadesEsenciales_Adquiridas,Tablas!E1442)</f>
        <v>0</v>
      </c>
      <c r="I1442" s="1005"/>
      <c r="J1442" s="176"/>
      <c r="K1442" s="996"/>
      <c r="M1442" s="326"/>
      <c r="N1442" s="21"/>
      <c r="O1442" s="134" t="s">
        <v>9982</v>
      </c>
      <c r="P1442" s="998">
        <v>20</v>
      </c>
      <c r="Q1442" s="176">
        <v>-30</v>
      </c>
      <c r="R1442" s="1005">
        <f>COUNTIF(PoderesDeCriatura_Adquiridos,Tablas!O1442)</f>
        <v>0</v>
      </c>
      <c r="S1442" s="176"/>
      <c r="T1442" s="996"/>
      <c r="U1442">
        <v>6</v>
      </c>
    </row>
    <row r="1443" spans="1:21" ht="12.75" customHeight="1" x14ac:dyDescent="0.2">
      <c r="A1443" s="227">
        <v>1443</v>
      </c>
      <c r="B1443" s="5988"/>
      <c r="C1443" s="1000"/>
      <c r="D1443" s="58"/>
      <c r="E1443" s="1003" t="s">
        <v>2437</v>
      </c>
      <c r="F1443" s="77">
        <v>15</v>
      </c>
      <c r="G1443" s="77">
        <v>30</v>
      </c>
      <c r="H1443" s="77">
        <f>COUNTIF(HabilidadesEsenciales_Adquiridas,Tablas!E1443)</f>
        <v>0</v>
      </c>
      <c r="I1443" s="1005"/>
      <c r="J1443" s="176"/>
      <c r="K1443" s="996"/>
      <c r="M1443" s="326"/>
      <c r="N1443" s="21"/>
      <c r="O1443" s="134" t="s">
        <v>7814</v>
      </c>
      <c r="P1443" s="998">
        <v>10</v>
      </c>
      <c r="Q1443" s="176">
        <v>10</v>
      </c>
      <c r="R1443" s="1005">
        <f>COUNTIF(PoderesDeCriatura_Adquiridos,Tablas!O1443)</f>
        <v>0</v>
      </c>
      <c r="S1443" s="176">
        <f t="array" ref="S1443">MAX(R1443:R1452*{10;20;30;40;50;-10;-20;-30;-40;-50})</f>
        <v>0</v>
      </c>
      <c r="T1443" s="996" t="s">
        <v>1465</v>
      </c>
      <c r="U1443">
        <v>6</v>
      </c>
    </row>
    <row r="1444" spans="1:21" ht="12.75" customHeight="1" x14ac:dyDescent="0.2">
      <c r="A1444" s="227">
        <v>1444</v>
      </c>
      <c r="B1444" s="5988"/>
      <c r="C1444" s="1000"/>
      <c r="D1444" s="58"/>
      <c r="E1444" s="1003" t="s">
        <v>1297</v>
      </c>
      <c r="F1444" s="77">
        <v>10</v>
      </c>
      <c r="G1444" s="77">
        <v>20</v>
      </c>
      <c r="H1444" s="77">
        <f>COUNTIF(HabilidadesEsenciales_Adquiridas,Tablas!E1444)</f>
        <v>0</v>
      </c>
      <c r="I1444" s="1005"/>
      <c r="J1444" s="176"/>
      <c r="K1444" s="996"/>
      <c r="M1444" s="326"/>
      <c r="N1444" s="21"/>
      <c r="O1444" s="134" t="s">
        <v>7815</v>
      </c>
      <c r="P1444" s="998">
        <v>15</v>
      </c>
      <c r="Q1444" s="176">
        <v>20</v>
      </c>
      <c r="R1444" s="1005">
        <f>COUNTIF(PoderesDeCriatura_Adquiridos,Tablas!O1444)</f>
        <v>0</v>
      </c>
      <c r="S1444" s="176"/>
      <c r="T1444" s="996"/>
      <c r="U1444">
        <v>6</v>
      </c>
    </row>
    <row r="1445" spans="1:21" ht="12.75" customHeight="1" x14ac:dyDescent="0.2">
      <c r="A1445" s="227">
        <v>1445</v>
      </c>
      <c r="B1445" s="5988"/>
      <c r="C1445" s="1000"/>
      <c r="D1445" s="58"/>
      <c r="E1445" s="1003" t="s">
        <v>2448</v>
      </c>
      <c r="F1445" s="77">
        <v>5</v>
      </c>
      <c r="G1445" s="77">
        <v>20</v>
      </c>
      <c r="H1445" s="77">
        <f>COUNTIF(HabilidadesEsenciales_Adquiridas,Tablas!E1445)</f>
        <v>0</v>
      </c>
      <c r="I1445" s="1005">
        <v>1</v>
      </c>
      <c r="J1445" s="176"/>
      <c r="K1445" s="996"/>
      <c r="M1445" s="326"/>
      <c r="N1445" s="21"/>
      <c r="O1445" s="134" t="s">
        <v>7816</v>
      </c>
      <c r="P1445" s="998">
        <v>20</v>
      </c>
      <c r="Q1445" s="176">
        <v>30</v>
      </c>
      <c r="R1445" s="1005">
        <f>COUNTIF(PoderesDeCriatura_Adquiridos,Tablas!O1445)</f>
        <v>0</v>
      </c>
      <c r="S1445" s="176"/>
      <c r="T1445" s="996"/>
      <c r="U1445">
        <v>6</v>
      </c>
    </row>
    <row r="1446" spans="1:21" ht="12.75" customHeight="1" x14ac:dyDescent="0.2">
      <c r="A1446" s="227">
        <v>1446</v>
      </c>
      <c r="B1446" s="5988"/>
      <c r="C1446" s="1000"/>
      <c r="D1446" s="58"/>
      <c r="E1446" s="1003" t="s">
        <v>1298</v>
      </c>
      <c r="F1446" s="77">
        <v>0</v>
      </c>
      <c r="G1446" s="77">
        <v>20</v>
      </c>
      <c r="H1446" s="77">
        <f>COUNTIF(HabilidadesEsenciales_Adquiridas,Tablas!E1446)</f>
        <v>0</v>
      </c>
      <c r="I1446" s="1005">
        <v>1</v>
      </c>
      <c r="J1446" s="176"/>
      <c r="K1446" s="996"/>
      <c r="M1446" s="326"/>
      <c r="N1446" s="21"/>
      <c r="O1446" s="134" t="s">
        <v>7817</v>
      </c>
      <c r="P1446" s="998">
        <v>25</v>
      </c>
      <c r="Q1446" s="176">
        <v>40</v>
      </c>
      <c r="R1446" s="1005">
        <f>COUNTIF(PoderesDeCriatura_Adquiridos,Tablas!O1446)</f>
        <v>0</v>
      </c>
      <c r="S1446" s="176"/>
      <c r="T1446" s="996"/>
      <c r="U1446">
        <v>6</v>
      </c>
    </row>
    <row r="1447" spans="1:21" ht="12.75" customHeight="1" x14ac:dyDescent="0.2">
      <c r="A1447" s="227">
        <v>1447</v>
      </c>
      <c r="B1447" s="5988"/>
      <c r="C1447" s="1000"/>
      <c r="D1447" s="58"/>
      <c r="E1447" s="1003" t="s">
        <v>1299</v>
      </c>
      <c r="F1447" s="77">
        <v>0</v>
      </c>
      <c r="G1447" s="77">
        <v>0</v>
      </c>
      <c r="H1447" s="77"/>
      <c r="I1447" s="1005"/>
      <c r="J1447" s="176"/>
      <c r="K1447" s="996"/>
      <c r="M1447" s="326"/>
      <c r="N1447" s="21"/>
      <c r="O1447" s="134" t="s">
        <v>7818</v>
      </c>
      <c r="P1447" s="998">
        <v>35</v>
      </c>
      <c r="Q1447" s="176">
        <v>50</v>
      </c>
      <c r="R1447" s="1005">
        <f>COUNTIF(PoderesDeCriatura_Adquiridos,Tablas!O1447)</f>
        <v>0</v>
      </c>
      <c r="S1447" s="176"/>
      <c r="T1447" s="996"/>
      <c r="U1447">
        <v>6</v>
      </c>
    </row>
    <row r="1448" spans="1:21" ht="12.75" customHeight="1" x14ac:dyDescent="0.2">
      <c r="A1448" s="227">
        <v>1448</v>
      </c>
      <c r="B1448" s="5988"/>
      <c r="C1448" s="1000"/>
      <c r="D1448" s="58"/>
      <c r="E1448" s="1003" t="s">
        <v>1300</v>
      </c>
      <c r="F1448" s="77">
        <v>0</v>
      </c>
      <c r="G1448" s="77">
        <v>-30</v>
      </c>
      <c r="H1448" s="77">
        <f>COUNTIF(HabilidadesEsenciales_Adquiridas,Tablas!E1448)</f>
        <v>0</v>
      </c>
      <c r="I1448" s="1005"/>
      <c r="J1448" s="176"/>
      <c r="K1448" s="996"/>
      <c r="M1448" s="326"/>
      <c r="N1448" s="21"/>
      <c r="O1448" s="134" t="s">
        <v>9973</v>
      </c>
      <c r="P1448" s="998">
        <v>10</v>
      </c>
      <c r="Q1448" s="176">
        <v>-10</v>
      </c>
      <c r="R1448" s="1005">
        <f>COUNTIF(PoderesDeCriatura_Adquiridos,Tablas!O1448)</f>
        <v>0</v>
      </c>
      <c r="S1448" s="176"/>
      <c r="T1448" s="996"/>
      <c r="U1448">
        <v>6</v>
      </c>
    </row>
    <row r="1449" spans="1:21" ht="12.75" customHeight="1" x14ac:dyDescent="0.2">
      <c r="A1449" s="227">
        <v>1449</v>
      </c>
      <c r="B1449" s="5988"/>
      <c r="C1449" s="1000"/>
      <c r="D1449" s="58"/>
      <c r="E1449" s="1003" t="s">
        <v>1301</v>
      </c>
      <c r="F1449" s="77">
        <v>0</v>
      </c>
      <c r="G1449" s="77">
        <v>-20</v>
      </c>
      <c r="H1449" s="77">
        <f>COUNTIF(HabilidadesEsenciales_Adquiridas,Tablas!E1449)</f>
        <v>0</v>
      </c>
      <c r="I1449" s="1005"/>
      <c r="J1449" s="176"/>
      <c r="K1449" s="996"/>
      <c r="M1449" s="326"/>
      <c r="N1449" s="21"/>
      <c r="O1449" s="134" t="s">
        <v>9974</v>
      </c>
      <c r="P1449" s="998">
        <v>10</v>
      </c>
      <c r="Q1449" s="176">
        <v>-15</v>
      </c>
      <c r="R1449" s="1005">
        <f>COUNTIF(PoderesDeCriatura_Adquiridos,Tablas!O1449)</f>
        <v>0</v>
      </c>
      <c r="S1449" s="176"/>
      <c r="T1449" s="996"/>
      <c r="U1449">
        <v>6</v>
      </c>
    </row>
    <row r="1450" spans="1:21" ht="12.75" customHeight="1" x14ac:dyDescent="0.2">
      <c r="A1450" s="227">
        <v>1450</v>
      </c>
      <c r="B1450" s="5988"/>
      <c r="C1450" s="1000"/>
      <c r="D1450" s="58"/>
      <c r="E1450" s="1003" t="s">
        <v>7331</v>
      </c>
      <c r="F1450" s="77"/>
      <c r="G1450" s="77"/>
      <c r="H1450" s="77"/>
      <c r="I1450" s="1005"/>
      <c r="J1450" s="176"/>
      <c r="K1450" s="996"/>
      <c r="M1450" s="326"/>
      <c r="N1450" s="21"/>
      <c r="O1450" s="134" t="s">
        <v>9975</v>
      </c>
      <c r="P1450" s="998">
        <v>10</v>
      </c>
      <c r="Q1450" s="176">
        <v>-20</v>
      </c>
      <c r="R1450" s="1005">
        <f>COUNTIF(PoderesDeCriatura_Adquiridos,Tablas!O1450)</f>
        <v>0</v>
      </c>
      <c r="S1450" s="176"/>
      <c r="T1450" s="996"/>
      <c r="U1450">
        <v>6</v>
      </c>
    </row>
    <row r="1451" spans="1:21" ht="12.75" customHeight="1" x14ac:dyDescent="0.2">
      <c r="A1451" s="227">
        <v>1451</v>
      </c>
      <c r="B1451" s="5988"/>
      <c r="C1451" s="1000"/>
      <c r="D1451" s="58"/>
      <c r="E1451" s="1003" t="str">
        <f>IF(Personalización!$I30="","Habilidad #1",Personalización!$I30)</f>
        <v>Habilidad #1</v>
      </c>
      <c r="F1451" s="77">
        <f>Personalización!P30</f>
        <v>0</v>
      </c>
      <c r="G1451" s="77">
        <f>Personalización!Q30</f>
        <v>0</v>
      </c>
      <c r="H1451" s="77">
        <f>COUNTIF(HabilidadesEsenciales_Adquiridas,Tablas!E1451)</f>
        <v>0</v>
      </c>
      <c r="I1451" s="1005"/>
      <c r="J1451" s="176"/>
      <c r="K1451" s="996"/>
      <c r="M1451" s="326"/>
      <c r="N1451" s="21"/>
      <c r="O1451" s="134" t="s">
        <v>9976</v>
      </c>
      <c r="P1451" s="998">
        <v>20</v>
      </c>
      <c r="Q1451" s="176">
        <v>-25</v>
      </c>
      <c r="R1451" s="1005">
        <f>COUNTIF(PoderesDeCriatura_Adquiridos,Tablas!O1451)</f>
        <v>0</v>
      </c>
      <c r="S1451" s="176"/>
      <c r="T1451" s="996"/>
      <c r="U1451">
        <v>6</v>
      </c>
    </row>
    <row r="1452" spans="1:21" ht="12.75" customHeight="1" x14ac:dyDescent="0.2">
      <c r="A1452" s="227">
        <v>1452</v>
      </c>
      <c r="B1452" s="5988"/>
      <c r="C1452" s="1000"/>
      <c r="D1452" s="58"/>
      <c r="E1452" s="1003" t="str">
        <f>IF(Personalización!$I31="","Habilidad #2",Personalización!$I31)</f>
        <v>Habilidad #2</v>
      </c>
      <c r="F1452" s="77">
        <f>Personalización!P31</f>
        <v>0</v>
      </c>
      <c r="G1452" s="77">
        <f>Personalización!Q31</f>
        <v>0</v>
      </c>
      <c r="H1452" s="77">
        <f>COUNTIF(HabilidadesEsenciales_Adquiridas,Tablas!E1452)</f>
        <v>0</v>
      </c>
      <c r="I1452" s="1005"/>
      <c r="J1452" s="176"/>
      <c r="K1452" s="996"/>
      <c r="M1452" s="326"/>
      <c r="N1452" s="21"/>
      <c r="O1452" s="134" t="s">
        <v>9977</v>
      </c>
      <c r="P1452" s="998">
        <v>20</v>
      </c>
      <c r="Q1452" s="176">
        <v>-30</v>
      </c>
      <c r="R1452" s="1005">
        <f>COUNTIF(PoderesDeCriatura_Adquiridos,Tablas!O1452)</f>
        <v>0</v>
      </c>
      <c r="S1452" s="176"/>
      <c r="T1452" s="996"/>
      <c r="U1452">
        <v>6</v>
      </c>
    </row>
    <row r="1453" spans="1:21" ht="12.75" customHeight="1" x14ac:dyDescent="0.2">
      <c r="A1453" s="227">
        <v>1453</v>
      </c>
      <c r="B1453" s="5988"/>
      <c r="C1453" s="1000"/>
      <c r="D1453" s="58"/>
      <c r="E1453" s="1003" t="str">
        <f>IF(Personalización!$I32="","Habilidad #3",Personalización!$I32)</f>
        <v>Habilidad #3</v>
      </c>
      <c r="F1453" s="77">
        <f>Personalización!P32</f>
        <v>0</v>
      </c>
      <c r="G1453" s="77">
        <f>Personalización!Q32</f>
        <v>0</v>
      </c>
      <c r="H1453" s="77">
        <f>COUNTIF(HabilidadesEsenciales_Adquiridas,Tablas!E1453)</f>
        <v>0</v>
      </c>
      <c r="I1453" s="1005"/>
      <c r="J1453" s="176"/>
      <c r="K1453" s="996"/>
      <c r="M1453" s="326"/>
      <c r="N1453" s="21"/>
      <c r="O1453" s="134" t="s">
        <v>7819</v>
      </c>
      <c r="P1453" s="998">
        <v>0</v>
      </c>
      <c r="Q1453" s="176">
        <v>10</v>
      </c>
      <c r="R1453" s="1005">
        <f>COUNTIF(PoderesDeCriatura_Adquiridos,Tablas!O1453)</f>
        <v>0</v>
      </c>
      <c r="S1453" s="176">
        <f>IF(SUM(R1466:R1470)&gt;0,0,SUMPRODUCT(R1453:R1463,VALUE(RIGHT(O1453:O1463,2))))</f>
        <v>0</v>
      </c>
      <c r="T1453" s="996" t="s">
        <v>1368</v>
      </c>
      <c r="U1453">
        <v>6</v>
      </c>
    </row>
    <row r="1454" spans="1:21" ht="12.75" customHeight="1" x14ac:dyDescent="0.2">
      <c r="A1454" s="227">
        <v>1454</v>
      </c>
      <c r="B1454" s="5988"/>
      <c r="C1454" s="1000"/>
      <c r="D1454" s="58"/>
      <c r="E1454" s="1003" t="str">
        <f>IF(Personalización!$I33="","Habilidad #4",Personalización!$I33)</f>
        <v>Habilidad #4</v>
      </c>
      <c r="F1454" s="77">
        <f>Personalización!P33</f>
        <v>0</v>
      </c>
      <c r="G1454" s="77">
        <f>Personalización!Q33</f>
        <v>0</v>
      </c>
      <c r="H1454" s="77">
        <f>COUNTIF(HabilidadesEsenciales_Adquiridas,Tablas!E1454)</f>
        <v>0</v>
      </c>
      <c r="I1454" s="1005"/>
      <c r="J1454" s="176"/>
      <c r="K1454" s="996"/>
      <c r="M1454" s="326"/>
      <c r="N1454" s="21"/>
      <c r="O1454" s="134" t="s">
        <v>7820</v>
      </c>
      <c r="P1454" s="998">
        <v>0</v>
      </c>
      <c r="Q1454" s="176">
        <v>20</v>
      </c>
      <c r="R1454" s="1005">
        <f>COUNTIF(PoderesDeCriatura_Adquiridos,Tablas!O1454)</f>
        <v>0</v>
      </c>
      <c r="S1454" s="176"/>
      <c r="T1454" s="996"/>
    </row>
    <row r="1455" spans="1:21" ht="12.75" customHeight="1" thickBot="1" x14ac:dyDescent="0.25">
      <c r="A1455" s="227">
        <v>1455</v>
      </c>
      <c r="B1455" s="5988"/>
      <c r="C1455" s="1001"/>
      <c r="D1455" s="1002"/>
      <c r="E1455" s="1004" t="str">
        <f>IF(Personalización!$I34="","Habilidad #5",Personalización!$I34)</f>
        <v>Habilidad #5</v>
      </c>
      <c r="F1455" s="985">
        <f>Personalización!P34</f>
        <v>0</v>
      </c>
      <c r="G1455" s="985">
        <f>Personalización!Q34</f>
        <v>0</v>
      </c>
      <c r="H1455" s="985">
        <f>COUNTIF(HabilidadesEsenciales_Adquiridas,Tablas!E1455)</f>
        <v>0</v>
      </c>
      <c r="I1455" s="1006"/>
      <c r="J1455" s="814"/>
      <c r="K1455" s="997"/>
      <c r="M1455" s="326"/>
      <c r="N1455" s="21"/>
      <c r="O1455" s="134" t="s">
        <v>7821</v>
      </c>
      <c r="P1455" s="998">
        <v>0</v>
      </c>
      <c r="Q1455" s="176">
        <v>30</v>
      </c>
      <c r="R1455" s="1005">
        <f>COUNTIF(PoderesDeCriatura_Adquiridos,Tablas!O1455)</f>
        <v>0</v>
      </c>
      <c r="S1455" s="176"/>
      <c r="T1455" s="996"/>
    </row>
    <row r="1456" spans="1:21" ht="12.75" customHeight="1" x14ac:dyDescent="0.2">
      <c r="A1456" s="227">
        <v>1456</v>
      </c>
      <c r="B1456" s="5988"/>
      <c r="C1456" s="559"/>
      <c r="H1456"/>
      <c r="M1456" s="326"/>
      <c r="N1456" s="21"/>
      <c r="O1456" s="134" t="s">
        <v>7822</v>
      </c>
      <c r="P1456" s="998">
        <v>5</v>
      </c>
      <c r="Q1456" s="176">
        <v>40</v>
      </c>
      <c r="R1456" s="1005">
        <f>COUNTIF(PoderesDeCriatura_Adquiridos,Tablas!O1456)</f>
        <v>0</v>
      </c>
      <c r="S1456" s="176"/>
      <c r="T1456" s="996"/>
      <c r="U1456" s="259"/>
    </row>
    <row r="1457" spans="1:21" ht="12.75" customHeight="1" x14ac:dyDescent="0.2">
      <c r="A1457" s="227">
        <v>1457</v>
      </c>
      <c r="B1457" s="5988"/>
      <c r="C1457" s="559"/>
      <c r="H1457"/>
      <c r="M1457" s="326"/>
      <c r="N1457" s="21"/>
      <c r="O1457" s="134" t="s">
        <v>7823</v>
      </c>
      <c r="P1457" s="998">
        <v>10</v>
      </c>
      <c r="Q1457" s="176">
        <v>60</v>
      </c>
      <c r="R1457" s="1005">
        <f>COUNTIF(PoderesDeCriatura_Adquiridos,Tablas!O1457)</f>
        <v>0</v>
      </c>
      <c r="S1457" s="176"/>
      <c r="T1457" s="996"/>
      <c r="U1457" s="259"/>
    </row>
    <row r="1458" spans="1:21" ht="12.75" customHeight="1" x14ac:dyDescent="0.2">
      <c r="A1458" s="227">
        <v>1458</v>
      </c>
      <c r="B1458" s="5988"/>
      <c r="C1458" s="559"/>
      <c r="H1458"/>
      <c r="M1458" s="326"/>
      <c r="N1458" s="21"/>
      <c r="O1458" s="134" t="s">
        <v>7824</v>
      </c>
      <c r="P1458" s="998">
        <v>15</v>
      </c>
      <c r="Q1458" s="176">
        <v>100</v>
      </c>
      <c r="R1458" s="1005">
        <f>COUNTIF(PoderesDeCriatura_Adquiridos,Tablas!O1458)</f>
        <v>0</v>
      </c>
      <c r="S1458" s="176"/>
      <c r="T1458" s="996"/>
      <c r="U1458" s="259"/>
    </row>
    <row r="1459" spans="1:21" ht="12.75" customHeight="1" x14ac:dyDescent="0.2">
      <c r="A1459" s="227">
        <v>1459</v>
      </c>
      <c r="B1459" s="5988"/>
      <c r="C1459" s="559"/>
      <c r="H1459"/>
      <c r="M1459" s="326"/>
      <c r="N1459" s="21"/>
      <c r="O1459" s="134" t="s">
        <v>7825</v>
      </c>
      <c r="P1459" s="998">
        <v>20</v>
      </c>
      <c r="Q1459" s="176">
        <v>140</v>
      </c>
      <c r="R1459" s="1005">
        <f>COUNTIF(PoderesDeCriatura_Adquiridos,Tablas!O1459)</f>
        <v>0</v>
      </c>
      <c r="S1459" s="176"/>
      <c r="T1459" s="996"/>
      <c r="U1459" s="259"/>
    </row>
    <row r="1460" spans="1:21" ht="12.75" customHeight="1" x14ac:dyDescent="0.2">
      <c r="A1460" s="227">
        <v>1460</v>
      </c>
      <c r="B1460" s="5988"/>
      <c r="C1460" s="559"/>
      <c r="H1460"/>
      <c r="M1460" s="326"/>
      <c r="N1460" s="21"/>
      <c r="O1460" s="134" t="s">
        <v>7826</v>
      </c>
      <c r="P1460" s="998">
        <v>25</v>
      </c>
      <c r="Q1460" s="176">
        <v>160</v>
      </c>
      <c r="R1460" s="1005">
        <f>COUNTIF(PoderesDeCriatura_Adquiridos,Tablas!O1460)</f>
        <v>0</v>
      </c>
      <c r="S1460" s="176"/>
      <c r="T1460" s="996"/>
      <c r="U1460" s="259"/>
    </row>
    <row r="1461" spans="1:21" ht="12.75" customHeight="1" x14ac:dyDescent="0.2">
      <c r="A1461" s="227">
        <v>1461</v>
      </c>
      <c r="B1461" s="5988"/>
      <c r="C1461" s="559"/>
      <c r="H1461"/>
      <c r="M1461" s="326"/>
      <c r="N1461" s="21"/>
      <c r="O1461" s="134" t="s">
        <v>7827</v>
      </c>
      <c r="P1461" s="998">
        <v>35</v>
      </c>
      <c r="Q1461" s="176">
        <v>180</v>
      </c>
      <c r="R1461" s="1005">
        <f>COUNTIF(PoderesDeCriatura_Adquiridos,Tablas!O1461)</f>
        <v>0</v>
      </c>
      <c r="S1461" s="176"/>
      <c r="T1461" s="996"/>
      <c r="U1461" s="259"/>
    </row>
    <row r="1462" spans="1:21" ht="12.75" customHeight="1" x14ac:dyDescent="0.2">
      <c r="A1462" s="227">
        <v>1462</v>
      </c>
      <c r="B1462" s="5988"/>
      <c r="C1462" s="559"/>
      <c r="H1462"/>
      <c r="M1462" s="326"/>
      <c r="N1462" s="21"/>
      <c r="O1462" s="134" t="s">
        <v>7828</v>
      </c>
      <c r="P1462" s="998">
        <v>45</v>
      </c>
      <c r="Q1462" s="176">
        <v>200</v>
      </c>
      <c r="R1462" s="1005">
        <f>COUNTIF(PoderesDeCriatura_Adquiridos,Tablas!O1462)</f>
        <v>0</v>
      </c>
      <c r="S1462" s="176"/>
      <c r="T1462" s="996"/>
      <c r="U1462" s="259"/>
    </row>
    <row r="1463" spans="1:21" ht="12.75" customHeight="1" x14ac:dyDescent="0.2">
      <c r="A1463" s="227">
        <v>1463</v>
      </c>
      <c r="B1463" s="5988"/>
      <c r="C1463" s="559"/>
      <c r="H1463"/>
      <c r="M1463" s="326"/>
      <c r="N1463" s="21"/>
      <c r="O1463" s="134" t="s">
        <v>7829</v>
      </c>
      <c r="P1463" s="998">
        <v>50</v>
      </c>
      <c r="Q1463" s="176">
        <v>220</v>
      </c>
      <c r="R1463" s="1005">
        <f>COUNTIF(PoderesDeCriatura_Adquiridos,Tablas!O1463)</f>
        <v>0</v>
      </c>
      <c r="S1463" s="176"/>
      <c r="T1463" s="996"/>
      <c r="U1463" s="259"/>
    </row>
    <row r="1464" spans="1:21" ht="12.75" customHeight="1" x14ac:dyDescent="0.2">
      <c r="A1464" s="227">
        <v>1464</v>
      </c>
      <c r="B1464" s="5988"/>
      <c r="C1464" s="559"/>
      <c r="H1464"/>
      <c r="M1464" s="326"/>
      <c r="N1464" s="21"/>
      <c r="O1464" s="134" t="s">
        <v>7830</v>
      </c>
      <c r="P1464" s="998">
        <v>0</v>
      </c>
      <c r="Q1464" s="176">
        <v>-10</v>
      </c>
      <c r="R1464" s="1005">
        <f>COUNTIF(PoderesDeCriatura_Adquiridos,Tablas!O1464)</f>
        <v>0</v>
      </c>
      <c r="S1464" s="176"/>
      <c r="T1464" s="996"/>
      <c r="U1464" s="259"/>
    </row>
    <row r="1465" spans="1:21" ht="12.75" customHeight="1" x14ac:dyDescent="0.2">
      <c r="A1465" s="227">
        <v>1465</v>
      </c>
      <c r="B1465" s="5988"/>
      <c r="C1465" s="559"/>
      <c r="H1465"/>
      <c r="M1465" s="326"/>
      <c r="N1465" s="21"/>
      <c r="O1465" s="134" t="s">
        <v>7831</v>
      </c>
      <c r="P1465" s="998">
        <v>10</v>
      </c>
      <c r="Q1465" s="176">
        <v>-40</v>
      </c>
      <c r="R1465" s="1005">
        <f>COUNTIF(PoderesDeCriatura_Adquiridos,Tablas!O1465)</f>
        <v>0</v>
      </c>
      <c r="S1465" s="176"/>
      <c r="T1465" s="996"/>
      <c r="U1465" s="259"/>
    </row>
    <row r="1466" spans="1:21" ht="12.75" customHeight="1" x14ac:dyDescent="0.2">
      <c r="A1466" s="227">
        <v>1466</v>
      </c>
      <c r="B1466" s="5988"/>
      <c r="C1466" s="559"/>
      <c r="H1466"/>
      <c r="M1466" s="326"/>
      <c r="N1466" s="21"/>
      <c r="O1466" s="134" t="s">
        <v>7832</v>
      </c>
      <c r="P1466" s="998">
        <v>10</v>
      </c>
      <c r="Q1466" s="176">
        <v>-30</v>
      </c>
      <c r="R1466" s="1005">
        <f>COUNTIF(PoderesDeCriatura_Adquiridos,Tablas!O1466)</f>
        <v>0</v>
      </c>
      <c r="S1466" s="176"/>
      <c r="T1466" s="996"/>
      <c r="U1466" s="259"/>
    </row>
    <row r="1467" spans="1:21" ht="12.75" customHeight="1" x14ac:dyDescent="0.2">
      <c r="A1467" s="227">
        <v>1467</v>
      </c>
      <c r="B1467" s="5988"/>
      <c r="C1467" s="559"/>
      <c r="H1467"/>
      <c r="M1467" s="326"/>
      <c r="N1467" s="21"/>
      <c r="O1467" s="134" t="s">
        <v>7833</v>
      </c>
      <c r="P1467" s="998">
        <v>10</v>
      </c>
      <c r="Q1467" s="176">
        <v>-40</v>
      </c>
      <c r="R1467" s="1005">
        <f>COUNTIF(PoderesDeCriatura_Adquiridos,Tablas!O1467)</f>
        <v>0</v>
      </c>
      <c r="S1467" s="176">
        <f t="array" ref="S1467">MIN(R1467:R1470*{-10;-25;-50;-100})</f>
        <v>0</v>
      </c>
      <c r="T1467" s="996" t="s">
        <v>7068</v>
      </c>
      <c r="U1467" s="259"/>
    </row>
    <row r="1468" spans="1:21" ht="12.75" customHeight="1" x14ac:dyDescent="0.2">
      <c r="A1468" s="227">
        <v>1468</v>
      </c>
      <c r="B1468" s="5988"/>
      <c r="C1468" s="559"/>
      <c r="H1468"/>
      <c r="M1468" s="326"/>
      <c r="N1468" s="21"/>
      <c r="O1468" s="134" t="s">
        <v>7834</v>
      </c>
      <c r="P1468" s="998">
        <v>10</v>
      </c>
      <c r="Q1468" s="176">
        <v>-45</v>
      </c>
      <c r="R1468" s="1005">
        <f>COUNTIF(PoderesDeCriatura_Adquiridos,Tablas!O1468)</f>
        <v>0</v>
      </c>
      <c r="S1468" s="176"/>
      <c r="T1468" s="996"/>
      <c r="U1468" s="259"/>
    </row>
    <row r="1469" spans="1:21" ht="12.75" customHeight="1" x14ac:dyDescent="0.2">
      <c r="A1469" s="227">
        <v>1469</v>
      </c>
      <c r="B1469" s="5988"/>
      <c r="C1469" s="559"/>
      <c r="H1469"/>
      <c r="M1469" s="326"/>
      <c r="N1469" s="21"/>
      <c r="O1469" s="134" t="s">
        <v>7835</v>
      </c>
      <c r="P1469" s="998">
        <v>10</v>
      </c>
      <c r="Q1469" s="176">
        <v>-50</v>
      </c>
      <c r="R1469" s="1005">
        <f>COUNTIF(PoderesDeCriatura_Adquiridos,Tablas!O1469)</f>
        <v>0</v>
      </c>
      <c r="S1469" s="176"/>
      <c r="T1469" s="996"/>
      <c r="U1469" s="259"/>
    </row>
    <row r="1470" spans="1:21" ht="12.75" customHeight="1" x14ac:dyDescent="0.2">
      <c r="A1470" s="227">
        <v>1470</v>
      </c>
      <c r="B1470" s="5988"/>
      <c r="C1470" s="559"/>
      <c r="H1470"/>
      <c r="M1470" s="326"/>
      <c r="N1470" s="21"/>
      <c r="O1470" s="134" t="s">
        <v>7836</v>
      </c>
      <c r="P1470" s="998">
        <v>10</v>
      </c>
      <c r="Q1470" s="176">
        <v>-60</v>
      </c>
      <c r="R1470" s="1005">
        <f>COUNTIF(PoderesDeCriatura_Adquiridos,Tablas!O1470)</f>
        <v>0</v>
      </c>
      <c r="S1470" s="176"/>
      <c r="T1470" s="996"/>
      <c r="U1470" s="259"/>
    </row>
    <row r="1471" spans="1:21" ht="12.75" customHeight="1" x14ac:dyDescent="0.2">
      <c r="A1471" s="227">
        <v>1471</v>
      </c>
      <c r="B1471" s="5988"/>
      <c r="C1471" s="559"/>
      <c r="H1471"/>
      <c r="M1471" s="326"/>
      <c r="N1471" s="21"/>
      <c r="O1471" s="134" t="s">
        <v>1320</v>
      </c>
      <c r="P1471" s="998"/>
      <c r="Q1471" s="176"/>
      <c r="R1471" s="1005"/>
      <c r="S1471" s="176"/>
      <c r="T1471" s="996"/>
      <c r="U1471" s="259"/>
    </row>
    <row r="1472" spans="1:21" ht="12.75" customHeight="1" x14ac:dyDescent="0.2">
      <c r="A1472" s="227">
        <v>1472</v>
      </c>
      <c r="B1472" s="5988"/>
      <c r="C1472" s="559"/>
      <c r="H1472"/>
      <c r="M1472" s="326"/>
      <c r="N1472" s="21"/>
      <c r="O1472" s="134" t="s">
        <v>8435</v>
      </c>
      <c r="P1472" s="998">
        <v>15</v>
      </c>
      <c r="Q1472" s="176">
        <v>40</v>
      </c>
      <c r="R1472" s="1005">
        <f>COUNTIF(PoderesDeCriatura_Adquiridos,Tablas!O1472)</f>
        <v>0</v>
      </c>
      <c r="S1472" s="176"/>
      <c r="T1472" s="996"/>
      <c r="U1472" s="259"/>
    </row>
    <row r="1473" spans="1:21" ht="12.75" customHeight="1" x14ac:dyDescent="0.2">
      <c r="A1473" s="227">
        <v>1473</v>
      </c>
      <c r="B1473" s="5988"/>
      <c r="C1473" s="559"/>
      <c r="H1473"/>
      <c r="M1473" s="326"/>
      <c r="N1473" s="21"/>
      <c r="O1473" s="134" t="s">
        <v>8436</v>
      </c>
      <c r="P1473" s="998">
        <v>20</v>
      </c>
      <c r="Q1473" s="176">
        <v>60</v>
      </c>
      <c r="R1473" s="1005">
        <f>COUNTIF(PoderesDeCriatura_Adquiridos,Tablas!O1473)</f>
        <v>0</v>
      </c>
      <c r="S1473" s="176"/>
      <c r="T1473" s="996"/>
      <c r="U1473" s="259"/>
    </row>
    <row r="1474" spans="1:21" ht="12.75" customHeight="1" x14ac:dyDescent="0.2">
      <c r="A1474" s="227">
        <v>1474</v>
      </c>
      <c r="B1474" s="5988"/>
      <c r="C1474" s="559"/>
      <c r="H1474"/>
      <c r="M1474" s="326"/>
      <c r="N1474" s="21"/>
      <c r="O1474" s="134" t="s">
        <v>8437</v>
      </c>
      <c r="P1474" s="998">
        <v>20</v>
      </c>
      <c r="Q1474" s="176">
        <v>80</v>
      </c>
      <c r="R1474" s="1005">
        <f>COUNTIF(PoderesDeCriatura_Adquiridos,Tablas!O1474)</f>
        <v>0</v>
      </c>
      <c r="S1474" s="176"/>
      <c r="T1474" s="996"/>
      <c r="U1474" s="259"/>
    </row>
    <row r="1475" spans="1:21" ht="12.75" customHeight="1" x14ac:dyDescent="0.2">
      <c r="A1475" s="227">
        <v>1475</v>
      </c>
      <c r="B1475" s="5988"/>
      <c r="C1475" s="559"/>
      <c r="H1475"/>
      <c r="M1475" s="326"/>
      <c r="N1475" s="21"/>
      <c r="O1475" s="134" t="s">
        <v>8438</v>
      </c>
      <c r="P1475" s="998">
        <v>25</v>
      </c>
      <c r="Q1475" s="176">
        <v>100</v>
      </c>
      <c r="R1475" s="1005">
        <f>COUNTIF(PoderesDeCriatura_Adquiridos,Tablas!O1475)</f>
        <v>0</v>
      </c>
      <c r="S1475" s="176"/>
      <c r="T1475" s="996"/>
      <c r="U1475" s="259"/>
    </row>
    <row r="1476" spans="1:21" ht="12.75" customHeight="1" x14ac:dyDescent="0.2">
      <c r="A1476" s="227">
        <v>1476</v>
      </c>
      <c r="B1476" s="5988"/>
      <c r="C1476" s="559"/>
      <c r="H1476"/>
      <c r="M1476" s="326"/>
      <c r="N1476" s="21"/>
      <c r="O1476" s="134" t="s">
        <v>8439</v>
      </c>
      <c r="P1476" s="998">
        <v>30</v>
      </c>
      <c r="Q1476" s="176">
        <v>140</v>
      </c>
      <c r="R1476" s="1005">
        <f>COUNTIF(PoderesDeCriatura_Adquiridos,Tablas!O1476)</f>
        <v>0</v>
      </c>
      <c r="S1476" s="176"/>
      <c r="T1476" s="996"/>
      <c r="U1476" s="259"/>
    </row>
    <row r="1477" spans="1:21" ht="12.75" customHeight="1" x14ac:dyDescent="0.2">
      <c r="A1477" s="227">
        <v>1477</v>
      </c>
      <c r="B1477" s="5988"/>
      <c r="C1477" s="559"/>
      <c r="H1477"/>
      <c r="M1477" s="326"/>
      <c r="N1477" s="21"/>
      <c r="O1477" s="134" t="s">
        <v>8440</v>
      </c>
      <c r="P1477" s="998">
        <v>35</v>
      </c>
      <c r="Q1477" s="176">
        <v>180</v>
      </c>
      <c r="R1477" s="1005">
        <f>COUNTIF(PoderesDeCriatura_Adquiridos,Tablas!O1477)</f>
        <v>0</v>
      </c>
      <c r="S1477" s="176"/>
      <c r="T1477" s="996"/>
      <c r="U1477" s="259"/>
    </row>
    <row r="1478" spans="1:21" ht="12.75" customHeight="1" x14ac:dyDescent="0.2">
      <c r="A1478" s="227">
        <v>1478</v>
      </c>
      <c r="B1478" s="5988"/>
      <c r="C1478" s="559"/>
      <c r="H1478"/>
      <c r="M1478" s="326"/>
      <c r="N1478" s="21"/>
      <c r="O1478" s="134" t="s">
        <v>8441</v>
      </c>
      <c r="P1478" s="998">
        <v>15</v>
      </c>
      <c r="Q1478" s="176">
        <v>30</v>
      </c>
      <c r="R1478" s="1005">
        <f>COUNTIF(PoderesDeCriatura_Adquiridos,Tablas!O1478)</f>
        <v>0</v>
      </c>
      <c r="S1478" s="176"/>
      <c r="T1478" s="996"/>
      <c r="U1478" s="259"/>
    </row>
    <row r="1479" spans="1:21" ht="12.75" customHeight="1" x14ac:dyDescent="0.2">
      <c r="A1479" s="227">
        <v>1479</v>
      </c>
      <c r="B1479" s="5988"/>
      <c r="C1479" s="559"/>
      <c r="H1479"/>
      <c r="M1479" s="326"/>
      <c r="N1479" s="21"/>
      <c r="O1479" s="134" t="s">
        <v>8442</v>
      </c>
      <c r="P1479" s="998">
        <v>15</v>
      </c>
      <c r="Q1479" s="176">
        <v>40</v>
      </c>
      <c r="R1479" s="1005">
        <f>COUNTIF(PoderesDeCriatura_Adquiridos,Tablas!O1479)</f>
        <v>0</v>
      </c>
      <c r="S1479" s="176"/>
      <c r="T1479" s="996"/>
      <c r="U1479" s="259"/>
    </row>
    <row r="1480" spans="1:21" ht="12.75" customHeight="1" x14ac:dyDescent="0.2">
      <c r="A1480" s="227">
        <v>1480</v>
      </c>
      <c r="B1480" s="5988"/>
      <c r="C1480" s="559"/>
      <c r="H1480"/>
      <c r="M1480" s="326"/>
      <c r="N1480" s="21"/>
      <c r="O1480" s="134" t="s">
        <v>8443</v>
      </c>
      <c r="P1480" s="998">
        <v>20</v>
      </c>
      <c r="Q1480" s="176">
        <v>50</v>
      </c>
      <c r="R1480" s="1005">
        <f>COUNTIF(PoderesDeCriatura_Adquiridos,Tablas!O1480)</f>
        <v>0</v>
      </c>
      <c r="S1480" s="176"/>
      <c r="T1480" s="996"/>
      <c r="U1480" s="259"/>
    </row>
    <row r="1481" spans="1:21" ht="12.75" customHeight="1" x14ac:dyDescent="0.2">
      <c r="A1481" s="227">
        <v>1481</v>
      </c>
      <c r="B1481" s="5988"/>
      <c r="C1481" s="559"/>
      <c r="H1481"/>
      <c r="M1481" s="326"/>
      <c r="N1481" s="21"/>
      <c r="O1481" s="134" t="s">
        <v>8444</v>
      </c>
      <c r="P1481" s="998">
        <v>20</v>
      </c>
      <c r="Q1481" s="176">
        <v>75</v>
      </c>
      <c r="R1481" s="1005">
        <f>COUNTIF(PoderesDeCriatura_Adquiridos,Tablas!O1481)</f>
        <v>0</v>
      </c>
      <c r="S1481" s="176"/>
      <c r="T1481" s="996"/>
      <c r="U1481" s="259"/>
    </row>
    <row r="1482" spans="1:21" ht="12.75" customHeight="1" x14ac:dyDescent="0.2">
      <c r="A1482" s="227">
        <v>1482</v>
      </c>
      <c r="B1482" s="5988"/>
      <c r="C1482" s="559"/>
      <c r="H1482"/>
      <c r="M1482" s="326"/>
      <c r="N1482" s="21"/>
      <c r="O1482" s="134" t="s">
        <v>8445</v>
      </c>
      <c r="P1482" s="998">
        <v>25</v>
      </c>
      <c r="Q1482" s="176">
        <v>100</v>
      </c>
      <c r="R1482" s="1005">
        <f>COUNTIF(PoderesDeCriatura_Adquiridos,Tablas!O1482)</f>
        <v>0</v>
      </c>
      <c r="S1482" s="176"/>
      <c r="T1482" s="996"/>
      <c r="U1482" s="259"/>
    </row>
    <row r="1483" spans="1:21" ht="12.75" customHeight="1" x14ac:dyDescent="0.2">
      <c r="A1483" s="227">
        <v>1483</v>
      </c>
      <c r="B1483" s="5988"/>
      <c r="C1483" s="559"/>
      <c r="H1483"/>
      <c r="M1483" s="326"/>
      <c r="N1483" s="21"/>
      <c r="O1483" s="134" t="s">
        <v>8446</v>
      </c>
      <c r="P1483" s="998">
        <v>30</v>
      </c>
      <c r="Q1483" s="176">
        <v>125</v>
      </c>
      <c r="R1483" s="1005">
        <f>COUNTIF(PoderesDeCriatura_Adquiridos,Tablas!O1483)</f>
        <v>0</v>
      </c>
      <c r="S1483" s="176"/>
      <c r="T1483" s="996"/>
      <c r="U1483" s="259"/>
    </row>
    <row r="1484" spans="1:21" ht="12.75" customHeight="1" x14ac:dyDescent="0.2">
      <c r="A1484" s="227">
        <v>1484</v>
      </c>
      <c r="B1484" s="5988"/>
      <c r="C1484" s="559"/>
      <c r="H1484"/>
      <c r="M1484" s="326"/>
      <c r="N1484" s="21"/>
      <c r="O1484" s="134" t="s">
        <v>8447</v>
      </c>
      <c r="P1484" s="998">
        <v>35</v>
      </c>
      <c r="Q1484" s="176">
        <v>150</v>
      </c>
      <c r="R1484" s="1005">
        <f>COUNTIF(PoderesDeCriatura_Adquiridos,Tablas!O1484)</f>
        <v>0</v>
      </c>
      <c r="S1484" s="176"/>
      <c r="T1484" s="996"/>
      <c r="U1484" s="259"/>
    </row>
    <row r="1485" spans="1:21" ht="12.75" customHeight="1" x14ac:dyDescent="0.2">
      <c r="A1485" s="227">
        <v>1485</v>
      </c>
      <c r="B1485" s="5988"/>
      <c r="C1485" s="559"/>
      <c r="H1485"/>
      <c r="M1485" s="326"/>
      <c r="N1485" s="21"/>
      <c r="O1485" s="134" t="s">
        <v>8448</v>
      </c>
      <c r="P1485" s="998">
        <v>15</v>
      </c>
      <c r="Q1485" s="176">
        <v>60</v>
      </c>
      <c r="R1485" s="1005">
        <f>COUNTIF(PoderesDeCriatura_Adquiridos,Tablas!O1485)</f>
        <v>0</v>
      </c>
      <c r="S1485" s="176"/>
      <c r="T1485" s="996"/>
      <c r="U1485" s="259"/>
    </row>
    <row r="1486" spans="1:21" ht="12.75" customHeight="1" x14ac:dyDescent="0.2">
      <c r="A1486" s="227">
        <v>1486</v>
      </c>
      <c r="B1486" s="5988"/>
      <c r="C1486" s="559"/>
      <c r="H1486"/>
      <c r="M1486" s="326"/>
      <c r="N1486" s="21"/>
      <c r="O1486" s="134" t="s">
        <v>8449</v>
      </c>
      <c r="P1486" s="998">
        <v>20</v>
      </c>
      <c r="Q1486" s="176">
        <v>80</v>
      </c>
      <c r="R1486" s="1005">
        <f>COUNTIF(PoderesDeCriatura_Adquiridos,Tablas!O1486)</f>
        <v>0</v>
      </c>
      <c r="S1486" s="176"/>
      <c r="T1486" s="996"/>
      <c r="U1486" s="259"/>
    </row>
    <row r="1487" spans="1:21" ht="12.75" customHeight="1" x14ac:dyDescent="0.2">
      <c r="A1487" s="227">
        <v>1487</v>
      </c>
      <c r="B1487" s="5988"/>
      <c r="C1487" s="559"/>
      <c r="H1487"/>
      <c r="M1487" s="326"/>
      <c r="N1487" s="21"/>
      <c r="O1487" s="134" t="s">
        <v>8450</v>
      </c>
      <c r="P1487" s="998">
        <v>25</v>
      </c>
      <c r="Q1487" s="176">
        <v>120</v>
      </c>
      <c r="R1487" s="1005">
        <f>COUNTIF(PoderesDeCriatura_Adquiridos,Tablas!O1487)</f>
        <v>0</v>
      </c>
      <c r="S1487" s="176"/>
      <c r="T1487" s="996"/>
      <c r="U1487" s="259"/>
    </row>
    <row r="1488" spans="1:21" ht="12.75" customHeight="1" x14ac:dyDescent="0.2">
      <c r="A1488" s="227">
        <v>1488</v>
      </c>
      <c r="B1488" s="5988"/>
      <c r="C1488" s="559"/>
      <c r="H1488"/>
      <c r="M1488" s="326"/>
      <c r="N1488" s="21"/>
      <c r="O1488" s="134" t="s">
        <v>8451</v>
      </c>
      <c r="P1488" s="998">
        <v>30</v>
      </c>
      <c r="Q1488" s="176">
        <v>140</v>
      </c>
      <c r="R1488" s="1005">
        <f>COUNTIF(PoderesDeCriatura_Adquiridos,Tablas!O1488)</f>
        <v>0</v>
      </c>
      <c r="S1488" s="176"/>
      <c r="T1488" s="996"/>
      <c r="U1488" s="259"/>
    </row>
    <row r="1489" spans="1:21" ht="12.75" customHeight="1" x14ac:dyDescent="0.2">
      <c r="A1489" s="227">
        <v>1489</v>
      </c>
      <c r="B1489" s="5988"/>
      <c r="C1489" s="559"/>
      <c r="H1489"/>
      <c r="M1489" s="326"/>
      <c r="N1489" s="21"/>
      <c r="O1489" s="134" t="s">
        <v>7837</v>
      </c>
      <c r="P1489" s="998">
        <v>15</v>
      </c>
      <c r="Q1489" s="176">
        <v>-30</v>
      </c>
      <c r="R1489" s="1005">
        <f>COUNTIF(PoderesDeCriatura_Adquiridos,Tablas!O1489)</f>
        <v>0</v>
      </c>
      <c r="S1489" s="176"/>
      <c r="T1489" s="996"/>
      <c r="U1489" s="259"/>
    </row>
    <row r="1490" spans="1:21" ht="12.75" customHeight="1" x14ac:dyDescent="0.2">
      <c r="A1490" s="227">
        <v>1490</v>
      </c>
      <c r="B1490" s="5988"/>
      <c r="C1490" s="559"/>
      <c r="H1490"/>
      <c r="M1490" s="326"/>
      <c r="N1490" s="21"/>
      <c r="O1490" s="134" t="s">
        <v>7838</v>
      </c>
      <c r="P1490" s="998">
        <v>15</v>
      </c>
      <c r="Q1490" s="176">
        <v>-20</v>
      </c>
      <c r="R1490" s="1005">
        <f>COUNTIF(PoderesDeCriatura_Adquiridos,Tablas!O1490)</f>
        <v>0</v>
      </c>
      <c r="S1490" s="176"/>
      <c r="T1490" s="996"/>
      <c r="U1490" s="259"/>
    </row>
    <row r="1491" spans="1:21" ht="12.75" customHeight="1" x14ac:dyDescent="0.2">
      <c r="A1491" s="227">
        <v>1491</v>
      </c>
      <c r="B1491" s="5988"/>
      <c r="C1491" s="559"/>
      <c r="H1491"/>
      <c r="M1491" s="326"/>
      <c r="N1491" s="21"/>
      <c r="O1491" s="134" t="s">
        <v>7839</v>
      </c>
      <c r="P1491" s="998">
        <v>15</v>
      </c>
      <c r="Q1491" s="176">
        <v>-10</v>
      </c>
      <c r="R1491" s="1005">
        <f>COUNTIF(PoderesDeCriatura_Adquiridos,Tablas!O1491)</f>
        <v>0</v>
      </c>
      <c r="S1491" s="176"/>
      <c r="T1491" s="996"/>
      <c r="U1491" s="259"/>
    </row>
    <row r="1492" spans="1:21" ht="12.75" customHeight="1" x14ac:dyDescent="0.2">
      <c r="A1492" s="227">
        <v>1492</v>
      </c>
      <c r="B1492" s="5988"/>
      <c r="C1492" s="559"/>
      <c r="H1492"/>
      <c r="M1492" s="326"/>
      <c r="N1492" s="21"/>
      <c r="O1492" s="134" t="s">
        <v>7840</v>
      </c>
      <c r="P1492" s="998">
        <v>15</v>
      </c>
      <c r="Q1492" s="176">
        <v>-10</v>
      </c>
      <c r="R1492" s="1005">
        <f>COUNTIF(PoderesDeCriatura_Adquiridos,Tablas!O1492)</f>
        <v>0</v>
      </c>
      <c r="S1492" s="176"/>
      <c r="T1492" s="996"/>
      <c r="U1492" s="259"/>
    </row>
    <row r="1493" spans="1:21" ht="12.75" customHeight="1" x14ac:dyDescent="0.2">
      <c r="A1493" s="227">
        <v>1493</v>
      </c>
      <c r="B1493" s="5988"/>
      <c r="C1493" s="559"/>
      <c r="H1493"/>
      <c r="M1493" s="326"/>
      <c r="N1493" s="21"/>
      <c r="O1493" s="134" t="s">
        <v>7841</v>
      </c>
      <c r="P1493" s="998">
        <v>15</v>
      </c>
      <c r="Q1493" s="176">
        <v>-20</v>
      </c>
      <c r="R1493" s="1005">
        <f>COUNTIF(PoderesDeCriatura_Adquiridos,Tablas!O1493)</f>
        <v>0</v>
      </c>
      <c r="S1493" s="176"/>
      <c r="T1493" s="996"/>
      <c r="U1493" s="259"/>
    </row>
    <row r="1494" spans="1:21" ht="12.75" customHeight="1" x14ac:dyDescent="0.2">
      <c r="A1494" s="227">
        <v>1494</v>
      </c>
      <c r="B1494" s="5988"/>
      <c r="C1494" s="559"/>
      <c r="H1494"/>
      <c r="M1494" s="326"/>
      <c r="N1494" s="21"/>
      <c r="O1494" s="134" t="s">
        <v>7842</v>
      </c>
      <c r="P1494" s="998">
        <v>15</v>
      </c>
      <c r="Q1494" s="176">
        <v>-10</v>
      </c>
      <c r="R1494" s="1005">
        <f>COUNTIF(PoderesDeCriatura_Adquiridos,Tablas!O1494)</f>
        <v>0</v>
      </c>
      <c r="S1494" s="176"/>
      <c r="T1494" s="996"/>
      <c r="U1494" s="259"/>
    </row>
    <row r="1495" spans="1:21" ht="12.75" customHeight="1" x14ac:dyDescent="0.2">
      <c r="A1495" s="227">
        <v>1495</v>
      </c>
      <c r="B1495" s="5988"/>
      <c r="C1495" s="559"/>
      <c r="H1495"/>
      <c r="M1495" s="326"/>
      <c r="N1495" s="21"/>
      <c r="O1495" s="134" t="s">
        <v>7843</v>
      </c>
      <c r="P1495" s="998">
        <v>20</v>
      </c>
      <c r="Q1495" s="176">
        <v>-10</v>
      </c>
      <c r="R1495" s="1005">
        <f>COUNTIF(PoderesDeCriatura_Adquiridos,Tablas!O1495)</f>
        <v>0</v>
      </c>
      <c r="S1495" s="176"/>
      <c r="T1495" s="996"/>
      <c r="U1495" s="259"/>
    </row>
    <row r="1496" spans="1:21" ht="12.75" customHeight="1" x14ac:dyDescent="0.2">
      <c r="A1496" s="227">
        <v>1496</v>
      </c>
      <c r="B1496" s="5988"/>
      <c r="C1496" s="559"/>
      <c r="H1496"/>
      <c r="M1496" s="326"/>
      <c r="N1496" s="21"/>
      <c r="O1496" s="134" t="s">
        <v>7844</v>
      </c>
      <c r="P1496" s="998">
        <v>25</v>
      </c>
      <c r="Q1496" s="176">
        <v>-10</v>
      </c>
      <c r="R1496" s="1005">
        <f>COUNTIF(PoderesDeCriatura_Adquiridos,Tablas!O1496)</f>
        <v>0</v>
      </c>
      <c r="S1496" s="176"/>
      <c r="T1496" s="996"/>
      <c r="U1496" s="259"/>
    </row>
    <row r="1497" spans="1:21" ht="12.75" customHeight="1" x14ac:dyDescent="0.2">
      <c r="A1497" s="227">
        <v>1497</v>
      </c>
      <c r="B1497" s="5988"/>
      <c r="C1497" s="559"/>
      <c r="H1497"/>
      <c r="M1497" s="326"/>
      <c r="N1497" s="21"/>
      <c r="O1497" s="134" t="s">
        <v>8337</v>
      </c>
      <c r="P1497" s="998">
        <v>20</v>
      </c>
      <c r="Q1497" s="176">
        <v>-10</v>
      </c>
      <c r="R1497" s="1005">
        <f>COUNTIF(PoderesDeCriatura_Adquiridos,Tablas!O1497)</f>
        <v>0</v>
      </c>
      <c r="S1497" s="176"/>
      <c r="T1497" s="996"/>
      <c r="U1497" s="259"/>
    </row>
    <row r="1498" spans="1:21" ht="12.75" customHeight="1" x14ac:dyDescent="0.2">
      <c r="A1498" s="227">
        <v>1498</v>
      </c>
      <c r="B1498" s="5988"/>
      <c r="C1498" s="559"/>
      <c r="H1498"/>
      <c r="M1498" s="326"/>
      <c r="N1498" s="21"/>
      <c r="O1498" s="134" t="s">
        <v>9985</v>
      </c>
      <c r="P1498" s="998">
        <v>20</v>
      </c>
      <c r="Q1498" s="176">
        <v>-10</v>
      </c>
      <c r="R1498" s="1005">
        <f>COUNTIF(PoderesDeCriatura_Adquiridos,Tablas!O1498)</f>
        <v>0</v>
      </c>
      <c r="S1498" s="176"/>
      <c r="T1498" s="996"/>
      <c r="U1498" s="259"/>
    </row>
    <row r="1499" spans="1:21" ht="12.75" customHeight="1" x14ac:dyDescent="0.2">
      <c r="A1499" s="227">
        <v>1499</v>
      </c>
      <c r="B1499" s="5988"/>
      <c r="C1499" s="559"/>
      <c r="H1499"/>
      <c r="M1499" s="326"/>
      <c r="N1499" s="21"/>
      <c r="O1499" s="1" t="s">
        <v>7845</v>
      </c>
      <c r="P1499" s="998">
        <v>20</v>
      </c>
      <c r="Q1499" s="176">
        <v>-20</v>
      </c>
      <c r="R1499" s="1005">
        <f>COUNTIF(PoderesDeCriatura_Adquiridos,Tablas!O1499)</f>
        <v>0</v>
      </c>
      <c r="S1499" s="176"/>
      <c r="T1499" s="996"/>
      <c r="U1499" s="259"/>
    </row>
    <row r="1500" spans="1:21" ht="12.75" customHeight="1" x14ac:dyDescent="0.2">
      <c r="A1500" s="227">
        <v>1500</v>
      </c>
      <c r="B1500" s="5988"/>
      <c r="C1500" s="559"/>
      <c r="H1500"/>
      <c r="M1500" s="326"/>
      <c r="N1500" s="21"/>
      <c r="O1500" s="134" t="s">
        <v>7846</v>
      </c>
      <c r="P1500" s="998">
        <v>20</v>
      </c>
      <c r="Q1500" s="176">
        <v>-15</v>
      </c>
      <c r="R1500" s="1005">
        <f>COUNTIF(PoderesDeCriatura_Adquiridos,Tablas!O1500)</f>
        <v>0</v>
      </c>
      <c r="S1500" s="176"/>
      <c r="T1500" s="996"/>
      <c r="U1500" s="259"/>
    </row>
    <row r="1501" spans="1:21" ht="12.75" customHeight="1" x14ac:dyDescent="0.2">
      <c r="A1501" s="227">
        <v>1501</v>
      </c>
      <c r="B1501" s="5988"/>
      <c r="C1501" s="559"/>
      <c r="H1501"/>
      <c r="M1501" s="326"/>
      <c r="N1501" s="21"/>
      <c r="O1501" s="134" t="s">
        <v>7847</v>
      </c>
      <c r="P1501" s="998">
        <v>20</v>
      </c>
      <c r="Q1501" s="176">
        <v>-10</v>
      </c>
      <c r="R1501" s="1005">
        <f>COUNTIF(PoderesDeCriatura_Adquiridos,Tablas!O1501)</f>
        <v>0</v>
      </c>
      <c r="S1501" s="176"/>
      <c r="T1501" s="996"/>
      <c r="U1501" s="259"/>
    </row>
    <row r="1502" spans="1:21" ht="12.75" customHeight="1" x14ac:dyDescent="0.2">
      <c r="A1502" s="227">
        <v>1502</v>
      </c>
      <c r="B1502" s="5988"/>
      <c r="C1502" s="559"/>
      <c r="H1502"/>
      <c r="M1502" s="326"/>
      <c r="N1502" s="21"/>
      <c r="O1502" s="134" t="s">
        <v>7848</v>
      </c>
      <c r="P1502" s="998">
        <v>20</v>
      </c>
      <c r="Q1502" s="176">
        <v>-30</v>
      </c>
      <c r="R1502" s="1005">
        <f>COUNTIF(PoderesDeCriatura_Adquiridos,Tablas!O1502)</f>
        <v>0</v>
      </c>
      <c r="S1502" s="176"/>
      <c r="T1502" s="996"/>
    </row>
    <row r="1503" spans="1:21" ht="12.75" customHeight="1" x14ac:dyDescent="0.2">
      <c r="A1503" s="227">
        <v>1503</v>
      </c>
      <c r="B1503" s="5988"/>
      <c r="C1503" s="559"/>
      <c r="H1503"/>
      <c r="M1503" s="326"/>
      <c r="N1503" s="21"/>
      <c r="O1503" s="134" t="s">
        <v>7849</v>
      </c>
      <c r="P1503" s="998">
        <v>20</v>
      </c>
      <c r="Q1503" s="176">
        <v>-10</v>
      </c>
      <c r="R1503" s="1005">
        <f>COUNTIF(PoderesDeCriatura_Adquiridos,Tablas!O1503)</f>
        <v>0</v>
      </c>
      <c r="S1503" s="176"/>
      <c r="T1503" s="996"/>
    </row>
    <row r="1504" spans="1:21" ht="12.75" customHeight="1" x14ac:dyDescent="0.2">
      <c r="A1504" s="227">
        <v>1504</v>
      </c>
      <c r="B1504" s="5988"/>
      <c r="C1504" s="559"/>
      <c r="H1504"/>
      <c r="M1504" s="326"/>
      <c r="N1504" s="21"/>
      <c r="O1504" s="134" t="s">
        <v>7850</v>
      </c>
      <c r="P1504" s="998">
        <v>20</v>
      </c>
      <c r="Q1504" s="176">
        <v>-15</v>
      </c>
      <c r="R1504" s="1005">
        <f>COUNTIF(PoderesDeCriatura_Adquiridos,Tablas!O1504)</f>
        <v>0</v>
      </c>
      <c r="S1504" s="176"/>
      <c r="T1504" s="996"/>
    </row>
    <row r="1505" spans="1:21" ht="12.75" customHeight="1" x14ac:dyDescent="0.2">
      <c r="A1505" s="227">
        <v>1505</v>
      </c>
      <c r="B1505" s="5988"/>
      <c r="C1505" s="559"/>
      <c r="H1505"/>
      <c r="M1505" s="326"/>
      <c r="N1505" s="21"/>
      <c r="O1505" s="134" t="s">
        <v>7851</v>
      </c>
      <c r="P1505" s="998">
        <v>20</v>
      </c>
      <c r="Q1505" s="176">
        <v>-20</v>
      </c>
      <c r="R1505" s="1005">
        <f>COUNTIF(PoderesDeCriatura_Adquiridos,Tablas!O1505)</f>
        <v>0</v>
      </c>
      <c r="S1505" s="176"/>
      <c r="T1505" s="996"/>
    </row>
    <row r="1506" spans="1:21" ht="12.75" customHeight="1" x14ac:dyDescent="0.2">
      <c r="A1506" s="227">
        <v>1506</v>
      </c>
      <c r="B1506" s="5988"/>
      <c r="C1506" s="559"/>
      <c r="H1506"/>
      <c r="M1506" s="326"/>
      <c r="N1506" s="21"/>
      <c r="O1506" s="134" t="s">
        <v>7852</v>
      </c>
      <c r="P1506" s="998">
        <v>20</v>
      </c>
      <c r="Q1506" s="176">
        <v>-25</v>
      </c>
      <c r="R1506" s="1005">
        <f>COUNTIF(PoderesDeCriatura_Adquiridos,Tablas!O1506)</f>
        <v>0</v>
      </c>
      <c r="S1506" s="176"/>
      <c r="T1506" s="996"/>
    </row>
    <row r="1507" spans="1:21" ht="12.75" customHeight="1" x14ac:dyDescent="0.2">
      <c r="A1507" s="227">
        <v>1507</v>
      </c>
      <c r="B1507" s="5988"/>
      <c r="C1507" s="559"/>
      <c r="H1507"/>
      <c r="M1507" s="326"/>
      <c r="N1507" s="21"/>
      <c r="O1507" s="134" t="s">
        <v>7853</v>
      </c>
      <c r="P1507" s="998">
        <f>IF(General!T65="Xavi",10,0)</f>
        <v>0</v>
      </c>
      <c r="Q1507" s="176">
        <v>5</v>
      </c>
      <c r="R1507" s="1005">
        <f>COUNTIF(PoderesDeCriatura_Adquiridos,Tablas!O1507)</f>
        <v>0</v>
      </c>
      <c r="S1507" s="176"/>
      <c r="T1507" s="996"/>
    </row>
    <row r="1508" spans="1:21" ht="12.75" customHeight="1" x14ac:dyDescent="0.2">
      <c r="A1508" s="227">
        <v>1508</v>
      </c>
      <c r="B1508" s="5988"/>
      <c r="C1508" s="559"/>
      <c r="H1508"/>
      <c r="M1508" s="326"/>
      <c r="N1508" s="21"/>
      <c r="O1508" s="134" t="s">
        <v>7854</v>
      </c>
      <c r="P1508" s="998">
        <f>IF(General!T65="Xavi",20,0)</f>
        <v>0</v>
      </c>
      <c r="Q1508" s="176">
        <v>10</v>
      </c>
      <c r="R1508" s="1005">
        <f>COUNTIF(PoderesDeCriatura_Adquiridos,Tablas!O1508)</f>
        <v>0</v>
      </c>
      <c r="S1508" s="176"/>
      <c r="T1508" s="996"/>
    </row>
    <row r="1509" spans="1:21" ht="12.75" customHeight="1" x14ac:dyDescent="0.2">
      <c r="A1509" s="227">
        <v>1509</v>
      </c>
      <c r="B1509" s="5988"/>
      <c r="C1509" s="559"/>
      <c r="H1509"/>
      <c r="M1509" s="326"/>
      <c r="N1509" s="21"/>
      <c r="O1509" s="134" t="s">
        <v>7855</v>
      </c>
      <c r="P1509" s="998">
        <f>IF(General!T65="Xavi",20,5)</f>
        <v>5</v>
      </c>
      <c r="Q1509" s="176">
        <v>15</v>
      </c>
      <c r="R1509" s="1005">
        <f>COUNTIF(PoderesDeCriatura_Adquiridos,Tablas!O1509)</f>
        <v>0</v>
      </c>
      <c r="S1509" s="176"/>
      <c r="T1509" s="996"/>
    </row>
    <row r="1510" spans="1:21" ht="12.75" customHeight="1" x14ac:dyDescent="0.2">
      <c r="A1510" s="227">
        <v>1510</v>
      </c>
      <c r="B1510" s="5988"/>
      <c r="C1510" s="559"/>
      <c r="H1510"/>
      <c r="M1510" s="326"/>
      <c r="N1510" s="21"/>
      <c r="O1510" s="134" t="s">
        <v>7856</v>
      </c>
      <c r="P1510" s="998">
        <f>IF(General!T65="Xavi",25,5)</f>
        <v>5</v>
      </c>
      <c r="Q1510" s="176">
        <v>20</v>
      </c>
      <c r="R1510" s="1005">
        <f>COUNTIF(PoderesDeCriatura_Adquiridos,Tablas!O1510)</f>
        <v>0</v>
      </c>
      <c r="S1510" s="176"/>
      <c r="T1510" s="996"/>
    </row>
    <row r="1511" spans="1:21" ht="12.75" customHeight="1" x14ac:dyDescent="0.2">
      <c r="A1511" s="227">
        <v>1511</v>
      </c>
      <c r="B1511" s="5988"/>
      <c r="C1511" s="559"/>
      <c r="H1511"/>
      <c r="M1511" s="326"/>
      <c r="N1511" s="21"/>
      <c r="O1511" s="134" t="s">
        <v>7857</v>
      </c>
      <c r="P1511" s="998">
        <f>IF(General!T65="Xavi",25,10)</f>
        <v>10</v>
      </c>
      <c r="Q1511" s="176">
        <v>25</v>
      </c>
      <c r="R1511" s="1005">
        <f>COUNTIF(PoderesDeCriatura_Adquiridos,Tablas!O1511)</f>
        <v>0</v>
      </c>
      <c r="S1511" s="176"/>
      <c r="T1511" s="996"/>
    </row>
    <row r="1512" spans="1:21" ht="12.75" customHeight="1" x14ac:dyDescent="0.2">
      <c r="A1512" s="227">
        <v>1512</v>
      </c>
      <c r="B1512" s="5988"/>
      <c r="C1512" s="559"/>
      <c r="H1512"/>
      <c r="M1512" s="326"/>
      <c r="N1512" s="21"/>
      <c r="O1512" s="134" t="s">
        <v>7858</v>
      </c>
      <c r="P1512" s="998">
        <f>IF(General!T65="Xavi",30,10)</f>
        <v>10</v>
      </c>
      <c r="Q1512" s="176">
        <v>30</v>
      </c>
      <c r="R1512" s="1005">
        <f>COUNTIF(PoderesDeCriatura_Adquiridos,Tablas!O1512)</f>
        <v>0</v>
      </c>
      <c r="S1512" s="176"/>
      <c r="T1512" s="996"/>
    </row>
    <row r="1513" spans="1:21" ht="12.75" customHeight="1" x14ac:dyDescent="0.2">
      <c r="A1513" s="227">
        <v>1513</v>
      </c>
      <c r="B1513" s="5988"/>
      <c r="C1513" s="559"/>
      <c r="H1513"/>
      <c r="M1513" s="326"/>
      <c r="N1513" s="21"/>
      <c r="O1513" s="134" t="s">
        <v>7859</v>
      </c>
      <c r="P1513" s="998">
        <f>IF(General!T65="Xavi",30,10)</f>
        <v>10</v>
      </c>
      <c r="Q1513" s="176">
        <v>40</v>
      </c>
      <c r="R1513" s="1005">
        <f>COUNTIF(PoderesDeCriatura_Adquiridos,Tablas!O1513)</f>
        <v>0</v>
      </c>
      <c r="S1513" s="176"/>
      <c r="T1513" s="996"/>
    </row>
    <row r="1514" spans="1:21" ht="12.75" customHeight="1" x14ac:dyDescent="0.2">
      <c r="A1514" s="227">
        <v>1514</v>
      </c>
      <c r="B1514" s="5988"/>
      <c r="C1514" s="559"/>
      <c r="H1514"/>
      <c r="M1514" s="326"/>
      <c r="N1514" s="21"/>
      <c r="O1514" s="134" t="s">
        <v>1321</v>
      </c>
      <c r="P1514" s="998"/>
      <c r="Q1514" s="176"/>
      <c r="R1514" s="1005"/>
      <c r="S1514" s="176"/>
      <c r="T1514" s="996"/>
      <c r="U1514" s="259"/>
    </row>
    <row r="1515" spans="1:21" ht="12.75" customHeight="1" x14ac:dyDescent="0.2">
      <c r="A1515" s="227">
        <v>1515</v>
      </c>
      <c r="B1515" s="5988"/>
      <c r="C1515" s="559"/>
      <c r="H1515"/>
      <c r="M1515" s="326"/>
      <c r="N1515" s="21"/>
      <c r="O1515" s="134" t="s">
        <v>7860</v>
      </c>
      <c r="P1515" s="998">
        <v>0</v>
      </c>
      <c r="Q1515" s="176">
        <v>10</v>
      </c>
      <c r="R1515" s="1005">
        <f>COUNTIF(PoderesDeCriatura_Adquiridos,Tablas!O1515)</f>
        <v>0</v>
      </c>
      <c r="S1515" s="176">
        <f t="array" ref="S1515">IF(R1526&gt;0,0,MAX($R$1515:$R$1525*VALUE(RIGHT($O$1515:$O$1525,2))))</f>
        <v>0</v>
      </c>
      <c r="T1515" s="996" t="s">
        <v>1551</v>
      </c>
      <c r="U1515" s="259"/>
    </row>
    <row r="1516" spans="1:21" ht="12.75" customHeight="1" x14ac:dyDescent="0.2">
      <c r="A1516" s="227">
        <v>1516</v>
      </c>
      <c r="B1516" s="5988"/>
      <c r="C1516" s="559"/>
      <c r="H1516"/>
      <c r="M1516" s="326"/>
      <c r="N1516" s="21"/>
      <c r="O1516" s="134" t="s">
        <v>7861</v>
      </c>
      <c r="P1516" s="998">
        <v>0</v>
      </c>
      <c r="Q1516" s="176">
        <v>20</v>
      </c>
      <c r="R1516" s="1005">
        <f>COUNTIF(PoderesDeCriatura_Adquiridos,Tablas!O1516)</f>
        <v>0</v>
      </c>
      <c r="S1516" s="176">
        <f t="array" ref="S1516">IF(R1527&gt;0,0,MAX($R$1515:$R$1525*VALUE(RIGHT($O$1515:$O$1525,2))))</f>
        <v>0</v>
      </c>
      <c r="T1516" s="996" t="s">
        <v>1498</v>
      </c>
      <c r="U1516" s="259"/>
    </row>
    <row r="1517" spans="1:21" ht="12.75" customHeight="1" x14ac:dyDescent="0.2">
      <c r="A1517" s="227">
        <v>1517</v>
      </c>
      <c r="B1517" s="5988"/>
      <c r="C1517" s="559"/>
      <c r="H1517"/>
      <c r="M1517" s="326"/>
      <c r="N1517" s="21"/>
      <c r="O1517" s="134" t="s">
        <v>7862</v>
      </c>
      <c r="P1517" s="998">
        <v>0</v>
      </c>
      <c r="Q1517" s="176">
        <v>30</v>
      </c>
      <c r="R1517" s="1005">
        <f>COUNTIF(PoderesDeCriatura_Adquiridos,Tablas!O1517)</f>
        <v>0</v>
      </c>
      <c r="S1517" s="176">
        <f t="array" ref="S1517">IF(R1528&gt;0,0,MAX($R$1515:$R$1525*VALUE(RIGHT($O$1515:$O$1525,2))))</f>
        <v>0</v>
      </c>
      <c r="T1517" s="996" t="s">
        <v>1552</v>
      </c>
      <c r="U1517" s="259"/>
    </row>
    <row r="1518" spans="1:21" ht="12.75" customHeight="1" x14ac:dyDescent="0.2">
      <c r="A1518" s="227">
        <v>1518</v>
      </c>
      <c r="B1518" s="5988"/>
      <c r="C1518" s="559"/>
      <c r="H1518"/>
      <c r="M1518" s="326"/>
      <c r="N1518" s="21"/>
      <c r="O1518" s="134" t="s">
        <v>7863</v>
      </c>
      <c r="P1518" s="998">
        <v>5</v>
      </c>
      <c r="Q1518" s="176">
        <v>40</v>
      </c>
      <c r="R1518" s="1005">
        <f>COUNTIF(PoderesDeCriatura_Adquiridos,Tablas!O1518)</f>
        <v>0</v>
      </c>
      <c r="S1518" s="176">
        <f t="array" ref="S1518">IF(R1529&gt;0,0,MAX($R$1515:$R$1525*VALUE(RIGHT($O$1515:$O$1525,2))))</f>
        <v>0</v>
      </c>
      <c r="T1518" s="996" t="s">
        <v>1553</v>
      </c>
      <c r="U1518" s="259"/>
    </row>
    <row r="1519" spans="1:21" ht="12.75" customHeight="1" x14ac:dyDescent="0.2">
      <c r="A1519" s="227">
        <v>1519</v>
      </c>
      <c r="B1519" s="5988"/>
      <c r="C1519" s="559"/>
      <c r="H1519"/>
      <c r="M1519" s="326"/>
      <c r="N1519" s="21"/>
      <c r="O1519" s="134" t="s">
        <v>7864</v>
      </c>
      <c r="P1519" s="998">
        <v>10</v>
      </c>
      <c r="Q1519" s="176">
        <v>50</v>
      </c>
      <c r="R1519" s="1005">
        <f>COUNTIF(PoderesDeCriatura_Adquiridos,Tablas!O1519)</f>
        <v>0</v>
      </c>
      <c r="S1519" s="176">
        <f t="array" ref="S1519">IF(R1530&gt;0,0,MAX($R$1515:$R$1525*VALUE(RIGHT($O$1515:$O$1525,2))))</f>
        <v>0</v>
      </c>
      <c r="T1519" s="996" t="s">
        <v>1554</v>
      </c>
      <c r="U1519" s="259"/>
    </row>
    <row r="1520" spans="1:21" ht="12.75" customHeight="1" x14ac:dyDescent="0.2">
      <c r="A1520" s="227">
        <v>1520</v>
      </c>
      <c r="B1520" s="5988"/>
      <c r="C1520" s="559"/>
      <c r="H1520"/>
      <c r="M1520" s="326"/>
      <c r="N1520" s="21"/>
      <c r="O1520" s="134" t="s">
        <v>7865</v>
      </c>
      <c r="P1520" s="998">
        <v>15</v>
      </c>
      <c r="Q1520" s="176">
        <v>60</v>
      </c>
      <c r="R1520" s="1005">
        <f>COUNTIF(PoderesDeCriatura_Adquiridos,Tablas!O1520)</f>
        <v>0</v>
      </c>
      <c r="S1520" s="176">
        <f t="array" ref="S1520">IF(R1531&gt;0,0,MAX($R$1515:$R$1525*VALUE(RIGHT($O$1515:$O$1525,2))))</f>
        <v>0</v>
      </c>
      <c r="T1520" s="996" t="s">
        <v>1555</v>
      </c>
      <c r="U1520" s="259"/>
    </row>
    <row r="1521" spans="1:21" ht="12.75" customHeight="1" x14ac:dyDescent="0.2">
      <c r="A1521" s="227">
        <v>1521</v>
      </c>
      <c r="B1521" s="5988"/>
      <c r="C1521" s="559"/>
      <c r="H1521"/>
      <c r="M1521" s="326"/>
      <c r="N1521" s="21"/>
      <c r="O1521" s="134" t="s">
        <v>7866</v>
      </c>
      <c r="P1521" s="998">
        <v>20</v>
      </c>
      <c r="Q1521" s="176">
        <v>80</v>
      </c>
      <c r="R1521" s="1005">
        <f>COUNTIF(PoderesDeCriatura_Adquiridos,Tablas!O1521)</f>
        <v>0</v>
      </c>
      <c r="S1521" s="176">
        <f t="array" ref="S1521">MAX($R$1533:$R$1540*VALUE(RIGHT($O$1533:$O$1540,2)))</f>
        <v>0</v>
      </c>
      <c r="T1521" s="996" t="s">
        <v>1556</v>
      </c>
      <c r="U1521" s="259"/>
    </row>
    <row r="1522" spans="1:21" ht="12.75" customHeight="1" x14ac:dyDescent="0.2">
      <c r="A1522" s="227">
        <v>1522</v>
      </c>
      <c r="B1522" s="5988"/>
      <c r="C1522" s="559"/>
      <c r="H1522"/>
      <c r="M1522" s="326"/>
      <c r="N1522" s="21"/>
      <c r="O1522" s="134" t="s">
        <v>7867</v>
      </c>
      <c r="P1522" s="998">
        <v>25</v>
      </c>
      <c r="Q1522" s="176">
        <v>100</v>
      </c>
      <c r="R1522" s="1005">
        <f>COUNTIF(PoderesDeCriatura_Adquiridos,Tablas!O1522)</f>
        <v>0</v>
      </c>
      <c r="S1522" s="176"/>
      <c r="T1522" s="996"/>
      <c r="U1522" s="259"/>
    </row>
    <row r="1523" spans="1:21" ht="12.75" customHeight="1" x14ac:dyDescent="0.2">
      <c r="A1523" s="227">
        <v>1523</v>
      </c>
      <c r="B1523" s="5988"/>
      <c r="C1523" s="559"/>
      <c r="H1523"/>
      <c r="M1523" s="326"/>
      <c r="N1523" s="21"/>
      <c r="O1523" s="134" t="s">
        <v>7868</v>
      </c>
      <c r="P1523" s="998">
        <v>30</v>
      </c>
      <c r="Q1523" s="176">
        <v>120</v>
      </c>
      <c r="R1523" s="1005">
        <f>COUNTIF(PoderesDeCriatura_Adquiridos,Tablas!O1523)</f>
        <v>0</v>
      </c>
      <c r="S1523" s="176"/>
      <c r="T1523" s="996"/>
      <c r="U1523" s="259"/>
    </row>
    <row r="1524" spans="1:21" ht="12.75" customHeight="1" x14ac:dyDescent="0.2">
      <c r="A1524" s="227">
        <v>1524</v>
      </c>
      <c r="B1524" s="5988"/>
      <c r="C1524" s="559"/>
      <c r="H1524"/>
      <c r="M1524" s="326"/>
      <c r="N1524" s="21"/>
      <c r="O1524" s="134" t="s">
        <v>7869</v>
      </c>
      <c r="P1524" s="998">
        <v>35</v>
      </c>
      <c r="Q1524" s="176">
        <v>140</v>
      </c>
      <c r="R1524" s="1005">
        <f>COUNTIF(PoderesDeCriatura_Adquiridos,Tablas!O1524)</f>
        <v>0</v>
      </c>
      <c r="S1524" s="176"/>
      <c r="T1524" s="996"/>
      <c r="U1524" s="259"/>
    </row>
    <row r="1525" spans="1:21" ht="12.75" customHeight="1" x14ac:dyDescent="0.2">
      <c r="A1525" s="227">
        <v>1525</v>
      </c>
      <c r="B1525" s="5988"/>
      <c r="C1525" s="559"/>
      <c r="H1525"/>
      <c r="M1525" s="326"/>
      <c r="N1525" s="21"/>
      <c r="O1525" s="134" t="s">
        <v>7870</v>
      </c>
      <c r="P1525" s="998">
        <v>40</v>
      </c>
      <c r="Q1525" s="176">
        <v>180</v>
      </c>
      <c r="R1525" s="1005">
        <f>COUNTIF(PoderesDeCriatura_Adquiridos,Tablas!O1525)</f>
        <v>0</v>
      </c>
      <c r="S1525" s="176"/>
      <c r="T1525" s="996"/>
      <c r="U1525" s="259"/>
    </row>
    <row r="1526" spans="1:21" ht="12.75" customHeight="1" x14ac:dyDescent="0.2">
      <c r="A1526" s="227">
        <v>1526</v>
      </c>
      <c r="B1526" s="5988"/>
      <c r="C1526" s="559"/>
      <c r="H1526"/>
      <c r="M1526" s="326"/>
      <c r="N1526" s="21"/>
      <c r="O1526" s="134" t="s">
        <v>7871</v>
      </c>
      <c r="P1526" s="998">
        <v>0</v>
      </c>
      <c r="Q1526" s="176">
        <v>-10</v>
      </c>
      <c r="R1526" s="1005">
        <f>COUNTIF(PoderesDeCriatura_Adquiridos,Tablas!O1526)</f>
        <v>0</v>
      </c>
      <c r="S1526" s="176"/>
      <c r="T1526" s="996"/>
      <c r="U1526" s="259"/>
    </row>
    <row r="1527" spans="1:21" ht="12.75" customHeight="1" x14ac:dyDescent="0.2">
      <c r="A1527" s="227">
        <v>1527</v>
      </c>
      <c r="B1527" s="5988"/>
      <c r="C1527" s="559"/>
      <c r="H1527"/>
      <c r="M1527" s="326"/>
      <c r="N1527" s="21"/>
      <c r="O1527" s="134" t="s">
        <v>7872</v>
      </c>
      <c r="P1527" s="998">
        <v>0</v>
      </c>
      <c r="Q1527" s="176">
        <v>-10</v>
      </c>
      <c r="R1527" s="1005">
        <f>COUNTIF(PoderesDeCriatura_Adquiridos,Tablas!O1527)</f>
        <v>0</v>
      </c>
      <c r="S1527" s="176"/>
      <c r="T1527" s="996"/>
      <c r="U1527" s="259"/>
    </row>
    <row r="1528" spans="1:21" ht="12.75" customHeight="1" x14ac:dyDescent="0.2">
      <c r="A1528" s="227">
        <v>1528</v>
      </c>
      <c r="B1528" s="5988"/>
      <c r="C1528" s="559"/>
      <c r="H1528"/>
      <c r="M1528" s="326"/>
      <c r="N1528" s="21"/>
      <c r="O1528" s="134" t="s">
        <v>7873</v>
      </c>
      <c r="P1528" s="998">
        <v>0</v>
      </c>
      <c r="Q1528" s="176">
        <v>-10</v>
      </c>
      <c r="R1528" s="1005">
        <f>COUNTIF(PoderesDeCriatura_Adquiridos,Tablas!O1528)</f>
        <v>0</v>
      </c>
      <c r="S1528" s="176"/>
      <c r="T1528" s="996"/>
      <c r="U1528" s="259"/>
    </row>
    <row r="1529" spans="1:21" ht="12.75" customHeight="1" x14ac:dyDescent="0.2">
      <c r="A1529" s="227">
        <v>1529</v>
      </c>
      <c r="B1529" s="5988"/>
      <c r="C1529" s="559"/>
      <c r="H1529"/>
      <c r="M1529" s="326"/>
      <c r="N1529" s="21"/>
      <c r="O1529" s="134" t="s">
        <v>7874</v>
      </c>
      <c r="P1529" s="998">
        <v>0</v>
      </c>
      <c r="Q1529" s="176">
        <v>-10</v>
      </c>
      <c r="R1529" s="1005">
        <f>COUNTIF(PoderesDeCriatura_Adquiridos,Tablas!O1529)</f>
        <v>0</v>
      </c>
      <c r="S1529" s="176"/>
      <c r="T1529" s="996"/>
      <c r="U1529" s="259"/>
    </row>
    <row r="1530" spans="1:21" ht="12.75" customHeight="1" x14ac:dyDescent="0.2">
      <c r="A1530" s="227">
        <v>1530</v>
      </c>
      <c r="B1530" s="5988"/>
      <c r="C1530" s="559"/>
      <c r="H1530"/>
      <c r="M1530" s="326"/>
      <c r="N1530" s="21"/>
      <c r="O1530" s="134" t="s">
        <v>7875</v>
      </c>
      <c r="P1530" s="998">
        <v>0</v>
      </c>
      <c r="Q1530" s="176">
        <v>-10</v>
      </c>
      <c r="R1530" s="1005">
        <f>COUNTIF(PoderesDeCriatura_Adquiridos,Tablas!O1530)</f>
        <v>0</v>
      </c>
      <c r="S1530" s="176"/>
      <c r="T1530" s="996"/>
      <c r="U1530" s="259"/>
    </row>
    <row r="1531" spans="1:21" ht="12.75" customHeight="1" x14ac:dyDescent="0.2">
      <c r="A1531" s="227">
        <v>1531</v>
      </c>
      <c r="B1531" s="5988"/>
      <c r="C1531" s="559"/>
      <c r="H1531"/>
      <c r="M1531" s="326"/>
      <c r="N1531" s="21"/>
      <c r="O1531" s="134" t="s">
        <v>7876</v>
      </c>
      <c r="P1531" s="998">
        <v>0</v>
      </c>
      <c r="Q1531" s="176">
        <v>-10</v>
      </c>
      <c r="R1531" s="1005">
        <f>COUNTIF(PoderesDeCriatura_Adquiridos,Tablas!O1531)</f>
        <v>0</v>
      </c>
      <c r="S1531" s="176"/>
      <c r="T1531" s="996"/>
      <c r="U1531" s="259"/>
    </row>
    <row r="1532" spans="1:21" ht="12.75" customHeight="1" x14ac:dyDescent="0.2">
      <c r="A1532" s="227">
        <v>1532</v>
      </c>
      <c r="B1532" s="5988"/>
      <c r="C1532" s="559"/>
      <c r="H1532"/>
      <c r="M1532" s="326"/>
      <c r="N1532" s="21"/>
      <c r="O1532" s="134" t="s">
        <v>7877</v>
      </c>
      <c r="P1532" s="998">
        <v>0</v>
      </c>
      <c r="Q1532" s="176">
        <v>-10</v>
      </c>
      <c r="R1532" s="1005">
        <f>COUNTIF(PoderesDeCriatura_Adquiridos,Tablas!O1532)</f>
        <v>0</v>
      </c>
      <c r="S1532" s="176"/>
      <c r="T1532" s="996"/>
      <c r="U1532" s="259"/>
    </row>
    <row r="1533" spans="1:21" ht="12.75" customHeight="1" x14ac:dyDescent="0.2">
      <c r="A1533" s="227">
        <v>1533</v>
      </c>
      <c r="B1533" s="5988"/>
      <c r="C1533" s="559"/>
      <c r="H1533"/>
      <c r="M1533" s="326"/>
      <c r="N1533" s="21"/>
      <c r="O1533" s="134" t="s">
        <v>7878</v>
      </c>
      <c r="P1533" s="998">
        <v>5</v>
      </c>
      <c r="Q1533" s="176">
        <v>10</v>
      </c>
      <c r="R1533" s="1005">
        <f>COUNTIF(PoderesDeCriatura_Adquiridos,Tablas!O1533)</f>
        <v>0</v>
      </c>
      <c r="S1533" s="176"/>
      <c r="T1533" s="996"/>
      <c r="U1533" s="259"/>
    </row>
    <row r="1534" spans="1:21" ht="12.75" customHeight="1" x14ac:dyDescent="0.2">
      <c r="A1534" s="227">
        <v>1534</v>
      </c>
      <c r="B1534" s="5988"/>
      <c r="C1534" s="559"/>
      <c r="H1534"/>
      <c r="M1534" s="326"/>
      <c r="N1534" s="21"/>
      <c r="O1534" s="134" t="s">
        <v>7879</v>
      </c>
      <c r="P1534" s="998">
        <v>10</v>
      </c>
      <c r="Q1534" s="176">
        <v>20</v>
      </c>
      <c r="R1534" s="1005">
        <f>COUNTIF(PoderesDeCriatura_Adquiridos,Tablas!O1534)</f>
        <v>0</v>
      </c>
      <c r="S1534" s="176"/>
      <c r="T1534" s="996"/>
      <c r="U1534" s="259"/>
    </row>
    <row r="1535" spans="1:21" ht="12.75" customHeight="1" x14ac:dyDescent="0.2">
      <c r="A1535" s="227">
        <v>1535</v>
      </c>
      <c r="B1535" s="5988"/>
      <c r="C1535" s="559"/>
      <c r="H1535"/>
      <c r="M1535" s="326"/>
      <c r="N1535" s="21"/>
      <c r="O1535" s="134" t="s">
        <v>7880</v>
      </c>
      <c r="P1535" s="998">
        <v>15</v>
      </c>
      <c r="Q1535" s="176">
        <v>30</v>
      </c>
      <c r="R1535" s="1005">
        <f>COUNTIF(PoderesDeCriatura_Adquiridos,Tablas!O1535)</f>
        <v>0</v>
      </c>
      <c r="S1535" s="176"/>
      <c r="T1535" s="996"/>
      <c r="U1535" s="259"/>
    </row>
    <row r="1536" spans="1:21" ht="12.75" customHeight="1" x14ac:dyDescent="0.2">
      <c r="A1536" s="227">
        <v>1536</v>
      </c>
      <c r="B1536" s="5988"/>
      <c r="C1536" s="559"/>
      <c r="H1536"/>
      <c r="M1536" s="326"/>
      <c r="N1536" s="21"/>
      <c r="O1536" s="134" t="s">
        <v>7881</v>
      </c>
      <c r="P1536" s="998">
        <v>20</v>
      </c>
      <c r="Q1536" s="176">
        <v>40</v>
      </c>
      <c r="R1536" s="1005">
        <f>COUNTIF(PoderesDeCriatura_Adquiridos,Tablas!O1536)</f>
        <v>0</v>
      </c>
      <c r="S1536" s="176"/>
      <c r="T1536" s="996"/>
      <c r="U1536" s="259"/>
    </row>
    <row r="1537" spans="1:41" ht="12.75" customHeight="1" x14ac:dyDescent="0.2">
      <c r="A1537" s="227">
        <v>1537</v>
      </c>
      <c r="B1537" s="5988"/>
      <c r="C1537" s="559"/>
      <c r="H1537"/>
      <c r="M1537" s="326"/>
      <c r="N1537" s="21"/>
      <c r="O1537" s="134" t="s">
        <v>7882</v>
      </c>
      <c r="P1537" s="998">
        <v>25</v>
      </c>
      <c r="Q1537" s="176">
        <v>50</v>
      </c>
      <c r="R1537" s="1005">
        <f>COUNTIF(PoderesDeCriatura_Adquiridos,Tablas!O1537)</f>
        <v>0</v>
      </c>
      <c r="S1537" s="176"/>
      <c r="T1537" s="996"/>
      <c r="U1537" s="259"/>
    </row>
    <row r="1538" spans="1:41" ht="12.75" customHeight="1" x14ac:dyDescent="0.2">
      <c r="A1538" s="227">
        <v>1538</v>
      </c>
      <c r="B1538" s="5988"/>
      <c r="C1538" s="559"/>
      <c r="H1538"/>
      <c r="M1538" s="326"/>
      <c r="N1538" s="21"/>
      <c r="O1538" s="134" t="s">
        <v>7883</v>
      </c>
      <c r="P1538" s="998">
        <v>30</v>
      </c>
      <c r="Q1538" s="176">
        <v>60</v>
      </c>
      <c r="R1538" s="1005">
        <f>COUNTIF(PoderesDeCriatura_Adquiridos,Tablas!O1538)</f>
        <v>0</v>
      </c>
      <c r="S1538" s="176"/>
      <c r="T1538" s="996"/>
      <c r="U1538" s="259"/>
    </row>
    <row r="1539" spans="1:41" ht="12.75" customHeight="1" x14ac:dyDescent="0.2">
      <c r="A1539" s="227">
        <v>1539</v>
      </c>
      <c r="B1539" s="5988"/>
      <c r="C1539" s="559"/>
      <c r="H1539"/>
      <c r="M1539" s="326"/>
      <c r="N1539" s="21"/>
      <c r="O1539" s="134" t="s">
        <v>7884</v>
      </c>
      <c r="P1539" s="998">
        <v>35</v>
      </c>
      <c r="Q1539" s="176">
        <v>70</v>
      </c>
      <c r="R1539" s="1005">
        <f>COUNTIF(PoderesDeCriatura_Adquiridos,Tablas!O1539)</f>
        <v>0</v>
      </c>
      <c r="S1539" s="176"/>
      <c r="T1539" s="996"/>
      <c r="U1539" s="259"/>
    </row>
    <row r="1540" spans="1:41" ht="12.75" customHeight="1" x14ac:dyDescent="0.2">
      <c r="A1540" s="227">
        <v>1540</v>
      </c>
      <c r="B1540" s="5988"/>
      <c r="C1540" s="559"/>
      <c r="H1540"/>
      <c r="M1540" s="326"/>
      <c r="N1540" s="21"/>
      <c r="O1540" s="134" t="s">
        <v>7885</v>
      </c>
      <c r="P1540" s="998">
        <v>40</v>
      </c>
      <c r="Q1540" s="176">
        <v>80</v>
      </c>
      <c r="R1540" s="1005">
        <f>COUNTIF(PoderesDeCriatura_Adquiridos,Tablas!O1540)</f>
        <v>0</v>
      </c>
      <c r="S1540" s="176"/>
      <c r="T1540" s="996"/>
      <c r="U1540" s="259"/>
    </row>
    <row r="1541" spans="1:41" ht="12.75" customHeight="1" x14ac:dyDescent="0.2">
      <c r="A1541" s="227">
        <v>1541</v>
      </c>
      <c r="B1541" s="5988"/>
      <c r="C1541" s="559"/>
      <c r="H1541"/>
      <c r="M1541" s="326"/>
      <c r="N1541" s="21"/>
      <c r="O1541" s="134" t="s">
        <v>1322</v>
      </c>
      <c r="P1541" s="998"/>
      <c r="Q1541" s="176"/>
      <c r="R1541" s="1005"/>
      <c r="S1541" s="176"/>
      <c r="T1541" s="996"/>
      <c r="U1541" s="259"/>
    </row>
    <row r="1542" spans="1:41" ht="12.75" customHeight="1" x14ac:dyDescent="0.2">
      <c r="A1542" s="227">
        <v>1542</v>
      </c>
      <c r="B1542" s="5988"/>
      <c r="C1542" s="559"/>
      <c r="H1542"/>
      <c r="M1542" s="326"/>
      <c r="N1542" s="21"/>
      <c r="O1542" s="134" t="s">
        <v>7886</v>
      </c>
      <c r="P1542" s="998">
        <v>30</v>
      </c>
      <c r="Q1542" s="176">
        <v>30</v>
      </c>
      <c r="R1542" s="1005">
        <f>COUNTIF(PoderesDeCriatura_Adquiridos,Tablas!O1542)</f>
        <v>0</v>
      </c>
      <c r="S1542" s="176"/>
      <c r="T1542" s="996"/>
      <c r="U1542" s="259"/>
    </row>
    <row r="1543" spans="1:41" ht="12.75" customHeight="1" x14ac:dyDescent="0.2">
      <c r="A1543" s="227">
        <v>1543</v>
      </c>
      <c r="B1543" s="5988"/>
      <c r="C1543" s="2648"/>
      <c r="H1543"/>
      <c r="M1543" s="326"/>
      <c r="N1543" s="21"/>
      <c r="O1543" s="134" t="s">
        <v>7887</v>
      </c>
      <c r="P1543" s="998">
        <v>20</v>
      </c>
      <c r="Q1543" s="176">
        <v>20</v>
      </c>
      <c r="R1543" s="1005">
        <f>COUNTIF(PoderesDeCriatura_Adquiridos,Tablas!O1543)</f>
        <v>0</v>
      </c>
      <c r="S1543" s="176"/>
      <c r="T1543" s="996"/>
      <c r="U1543" s="259"/>
      <c r="Y1543" s="2648"/>
      <c r="Z1543" s="2648"/>
      <c r="AA1543" s="2648"/>
      <c r="AB1543" s="2648"/>
      <c r="AC1543" s="2648"/>
      <c r="AD1543" s="2648"/>
      <c r="AE1543" s="2648"/>
      <c r="AF1543" s="2648"/>
      <c r="AG1543" s="2648"/>
      <c r="AH1543" s="2648"/>
      <c r="AI1543" s="2648"/>
      <c r="AJ1543" s="2648"/>
      <c r="AK1543" s="2648"/>
      <c r="AL1543" s="2648"/>
      <c r="AM1543" s="2648"/>
      <c r="AN1543" s="2648"/>
      <c r="AO1543" s="2648"/>
    </row>
    <row r="1544" spans="1:41" ht="12.75" customHeight="1" x14ac:dyDescent="0.2">
      <c r="A1544" s="227">
        <v>1544</v>
      </c>
      <c r="B1544" s="5988"/>
      <c r="C1544" s="559"/>
      <c r="H1544"/>
      <c r="M1544" s="326"/>
      <c r="N1544" s="21"/>
      <c r="O1544" s="134" t="s">
        <v>7888</v>
      </c>
      <c r="P1544" s="998">
        <v>30</v>
      </c>
      <c r="Q1544" s="176">
        <v>60</v>
      </c>
      <c r="R1544" s="1005">
        <f>COUNTIF(PoderesDeCriatura_Adquiridos,Tablas!O1544)</f>
        <v>0</v>
      </c>
      <c r="S1544" s="176"/>
      <c r="T1544" s="996"/>
      <c r="U1544" s="259"/>
    </row>
    <row r="1545" spans="1:41" ht="12.75" customHeight="1" x14ac:dyDescent="0.2">
      <c r="A1545" s="227">
        <v>1545</v>
      </c>
      <c r="B1545" s="5988"/>
      <c r="C1545" s="559"/>
      <c r="H1545"/>
      <c r="M1545" s="326"/>
      <c r="N1545" s="21"/>
      <c r="O1545" s="134" t="s">
        <v>0</v>
      </c>
      <c r="P1545" s="998"/>
      <c r="Q1545" s="176"/>
      <c r="R1545" s="1005"/>
      <c r="S1545" s="176"/>
      <c r="T1545" s="996"/>
      <c r="U1545" s="259"/>
    </row>
    <row r="1546" spans="1:41" ht="12.75" customHeight="1" x14ac:dyDescent="0.2">
      <c r="A1546" s="227">
        <v>1546</v>
      </c>
      <c r="B1546" s="5988"/>
      <c r="C1546" s="559"/>
      <c r="H1546"/>
      <c r="M1546" s="326"/>
      <c r="N1546" s="21"/>
      <c r="O1546" s="134" t="s">
        <v>7889</v>
      </c>
      <c r="P1546" s="998">
        <v>20</v>
      </c>
      <c r="Q1546" s="176">
        <v>80</v>
      </c>
      <c r="R1546" s="1005">
        <f>COUNTIF(PoderesDeCriatura_Adquiridos,Tablas!O1546)</f>
        <v>0</v>
      </c>
      <c r="S1546" s="176"/>
      <c r="T1546" s="996"/>
      <c r="U1546" s="259"/>
    </row>
    <row r="1547" spans="1:41" ht="12.75" customHeight="1" x14ac:dyDescent="0.2">
      <c r="A1547" s="227">
        <v>1547</v>
      </c>
      <c r="B1547" s="5988"/>
      <c r="C1547" s="559"/>
      <c r="H1547"/>
      <c r="M1547" s="326"/>
      <c r="N1547" s="21"/>
      <c r="O1547" s="134" t="s">
        <v>7890</v>
      </c>
      <c r="P1547" s="998">
        <v>20</v>
      </c>
      <c r="Q1547" s="176">
        <v>100</v>
      </c>
      <c r="R1547" s="1005">
        <f>COUNTIF(PoderesDeCriatura_Adquiridos,Tablas!O1547)</f>
        <v>0</v>
      </c>
      <c r="S1547" s="176"/>
      <c r="T1547" s="996"/>
      <c r="U1547" s="259"/>
    </row>
    <row r="1548" spans="1:41" ht="12.75" customHeight="1" x14ac:dyDescent="0.2">
      <c r="A1548" s="227">
        <v>1548</v>
      </c>
      <c r="B1548" s="5988"/>
      <c r="C1548" s="559"/>
      <c r="H1548"/>
      <c r="M1548" s="326"/>
      <c r="N1548" s="21"/>
      <c r="O1548" s="134" t="s">
        <v>7891</v>
      </c>
      <c r="P1548" s="998">
        <v>20</v>
      </c>
      <c r="Q1548" s="176">
        <f>IF(TipoDeCriatura="No muerto, Espectro",25,100)</f>
        <v>100</v>
      </c>
      <c r="R1548" s="1005">
        <f>COUNTIF(PoderesDeCriatura_Adquiridos,Tablas!O1548)</f>
        <v>0</v>
      </c>
      <c r="S1548" s="176"/>
      <c r="T1548" s="996"/>
      <c r="U1548" s="259"/>
    </row>
    <row r="1549" spans="1:41" ht="12.75" customHeight="1" x14ac:dyDescent="0.2">
      <c r="A1549" s="227">
        <v>1549</v>
      </c>
      <c r="B1549" s="5988"/>
      <c r="C1549" s="559"/>
      <c r="H1549"/>
      <c r="M1549" s="326"/>
      <c r="N1549" s="21"/>
      <c r="O1549" s="134" t="s">
        <v>7892</v>
      </c>
      <c r="P1549" s="998">
        <v>20</v>
      </c>
      <c r="Q1549" s="176">
        <v>10</v>
      </c>
      <c r="R1549" s="1005">
        <f>COUNTIF(PoderesDeCriatura_Adquiridos,Tablas!O1549)</f>
        <v>0</v>
      </c>
      <c r="S1549" s="176"/>
      <c r="T1549" s="996"/>
      <c r="U1549" s="259"/>
    </row>
    <row r="1550" spans="1:41" ht="12.75" customHeight="1" x14ac:dyDescent="0.2">
      <c r="A1550" s="227">
        <v>1550</v>
      </c>
      <c r="B1550" s="5988"/>
      <c r="C1550" s="559"/>
      <c r="H1550"/>
      <c r="M1550" s="326"/>
      <c r="N1550" s="21"/>
      <c r="O1550" s="134" t="s">
        <v>10081</v>
      </c>
      <c r="P1550" s="2655">
        <v>30</v>
      </c>
      <c r="Q1550" s="176">
        <f>20+IF(OR(TipoDeCriatura="Entre mundos, Elemental",TipoDeCriatura="Ánima, Elemental"),10,0)</f>
        <v>20</v>
      </c>
      <c r="R1550" s="1005">
        <f>COUNTIF(PoderesDeCriatura_Adquiridos,Tablas!O1550)</f>
        <v>0</v>
      </c>
      <c r="S1550" s="176"/>
      <c r="T1550" s="996"/>
      <c r="U1550" s="259"/>
    </row>
    <row r="1551" spans="1:41" ht="12.75" customHeight="1" x14ac:dyDescent="0.2">
      <c r="A1551" s="227">
        <v>1551</v>
      </c>
      <c r="B1551" s="5988"/>
      <c r="C1551" s="559"/>
      <c r="H1551"/>
      <c r="M1551" s="326"/>
      <c r="N1551" s="21"/>
      <c r="O1551" s="134" t="s">
        <v>7893</v>
      </c>
      <c r="P1551" s="998">
        <v>20</v>
      </c>
      <c r="Q1551" s="176">
        <v>-20</v>
      </c>
      <c r="R1551" s="1005">
        <f>COUNTIF(PoderesDeCriatura_Adquiridos,Tablas!O1551)</f>
        <v>0</v>
      </c>
      <c r="S1551" s="176"/>
      <c r="T1551" s="996"/>
      <c r="U1551" s="259"/>
    </row>
    <row r="1552" spans="1:41" ht="12.75" customHeight="1" x14ac:dyDescent="0.2">
      <c r="A1552" s="227">
        <v>1552</v>
      </c>
      <c r="B1552" s="5988"/>
      <c r="C1552" s="559"/>
      <c r="H1552"/>
      <c r="M1552" s="326"/>
      <c r="N1552" s="21"/>
      <c r="O1552" s="134" t="s">
        <v>7894</v>
      </c>
      <c r="P1552" s="993">
        <v>0</v>
      </c>
      <c r="Q1552" s="86">
        <v>0</v>
      </c>
      <c r="R1552" s="1005">
        <f>COUNTIF(PoderesDeCriatura_Adquiridos,Tablas!O1552)</f>
        <v>0</v>
      </c>
      <c r="S1552" s="176"/>
      <c r="T1552" s="996"/>
      <c r="U1552" s="259"/>
    </row>
    <row r="1553" spans="1:21" ht="12.75" customHeight="1" x14ac:dyDescent="0.2">
      <c r="A1553" s="227">
        <v>1553</v>
      </c>
      <c r="B1553" s="5988"/>
      <c r="C1553" s="559"/>
      <c r="H1553"/>
      <c r="M1553" s="326"/>
      <c r="N1553" s="21"/>
      <c r="O1553" s="134" t="s">
        <v>7895</v>
      </c>
      <c r="P1553" s="993">
        <v>10</v>
      </c>
      <c r="Q1553" s="86">
        <f>5+IF(OR(TipoDeCriatura="Entre mundos, Elemental",TipoDeCriatura="Ánima, Elemental"),5,0)</f>
        <v>5</v>
      </c>
      <c r="R1553" s="1005">
        <f>COUNTIF(PoderesDeCriatura_Adquiridos,Tablas!O1553)</f>
        <v>0</v>
      </c>
      <c r="S1553" s="176"/>
      <c r="T1553" s="996"/>
      <c r="U1553" s="259"/>
    </row>
    <row r="1554" spans="1:21" ht="12.75" customHeight="1" x14ac:dyDescent="0.2">
      <c r="A1554" s="227">
        <v>1554</v>
      </c>
      <c r="B1554" s="5988"/>
      <c r="C1554" s="559"/>
      <c r="H1554"/>
      <c r="M1554" s="326"/>
      <c r="N1554" s="21"/>
      <c r="O1554" s="134" t="s">
        <v>7896</v>
      </c>
      <c r="P1554" s="993">
        <v>30</v>
      </c>
      <c r="Q1554" s="86">
        <f>100+IF(OR(TipoDeCriatura="Entre mundos, Elemental",TipoDeCriatura="Ánima, Elemental"),10,0)</f>
        <v>100</v>
      </c>
      <c r="R1554" s="1005">
        <f>COUNTIF(PoderesDeCriatura_Adquiridos,Tablas!O1554)</f>
        <v>0</v>
      </c>
      <c r="S1554" s="176"/>
      <c r="T1554" s="996"/>
      <c r="U1554" s="259"/>
    </row>
    <row r="1555" spans="1:21" ht="12.75" customHeight="1" x14ac:dyDescent="0.2">
      <c r="A1555" s="227">
        <v>1555</v>
      </c>
      <c r="B1555" s="5988"/>
      <c r="C1555" s="559"/>
      <c r="H1555"/>
      <c r="M1555" s="326"/>
      <c r="N1555" s="21"/>
      <c r="O1555" s="134" t="s">
        <v>7897</v>
      </c>
      <c r="P1555" s="998">
        <v>10</v>
      </c>
      <c r="Q1555" s="176">
        <v>-30</v>
      </c>
      <c r="R1555" s="1005">
        <f>COUNTIF(PoderesDeCriatura_Adquiridos,Tablas!O1555)</f>
        <v>0</v>
      </c>
      <c r="S1555" s="176"/>
      <c r="T1555" s="996"/>
      <c r="U1555" s="259"/>
    </row>
    <row r="1556" spans="1:21" ht="12.75" customHeight="1" x14ac:dyDescent="0.2">
      <c r="A1556" s="227">
        <v>1556</v>
      </c>
      <c r="B1556" s="5988"/>
      <c r="C1556" s="559"/>
      <c r="H1556"/>
      <c r="M1556" s="326"/>
      <c r="N1556" s="21"/>
      <c r="O1556" s="134" t="s">
        <v>7898</v>
      </c>
      <c r="P1556" s="998">
        <v>10</v>
      </c>
      <c r="Q1556" s="176">
        <v>-10</v>
      </c>
      <c r="R1556" s="1005">
        <f>COUNTIF(PoderesDeCriatura_Adquiridos,Tablas!O1556)</f>
        <v>0</v>
      </c>
      <c r="S1556" s="176"/>
      <c r="T1556" s="996"/>
      <c r="U1556" s="259"/>
    </row>
    <row r="1557" spans="1:21" ht="12.75" customHeight="1" x14ac:dyDescent="0.2">
      <c r="A1557" s="227">
        <v>1557</v>
      </c>
      <c r="B1557" s="5988"/>
      <c r="C1557" s="559"/>
      <c r="H1557"/>
      <c r="M1557" s="326"/>
      <c r="N1557" s="21"/>
      <c r="O1557" s="134" t="s">
        <v>7899</v>
      </c>
      <c r="P1557" s="998">
        <v>10</v>
      </c>
      <c r="Q1557" s="176">
        <v>-20</v>
      </c>
      <c r="R1557" s="1005">
        <f>COUNTIF(PoderesDeCriatura_Adquiridos,Tablas!O1557)</f>
        <v>0</v>
      </c>
      <c r="S1557" s="176"/>
      <c r="T1557" s="996"/>
      <c r="U1557" s="259"/>
    </row>
    <row r="1558" spans="1:21" ht="12.75" customHeight="1" x14ac:dyDescent="0.2">
      <c r="A1558" s="227">
        <v>1558</v>
      </c>
      <c r="B1558" s="5988"/>
      <c r="C1558" s="559"/>
      <c r="H1558"/>
      <c r="M1558" s="326"/>
      <c r="N1558" s="21"/>
      <c r="O1558" s="134" t="s">
        <v>7900</v>
      </c>
      <c r="P1558" s="998">
        <v>10</v>
      </c>
      <c r="Q1558" s="176">
        <v>-30</v>
      </c>
      <c r="R1558" s="1005">
        <f>COUNTIF(PoderesDeCriatura_Adquiridos,Tablas!O1558)</f>
        <v>0</v>
      </c>
      <c r="S1558" s="176"/>
      <c r="T1558" s="996"/>
      <c r="U1558" s="259"/>
    </row>
    <row r="1559" spans="1:21" ht="12.75" customHeight="1" x14ac:dyDescent="0.2">
      <c r="A1559" s="227">
        <v>1559</v>
      </c>
      <c r="B1559" s="5988"/>
      <c r="C1559" s="559"/>
      <c r="H1559"/>
      <c r="M1559" s="326"/>
      <c r="N1559" s="21"/>
      <c r="O1559" s="134" t="s">
        <v>7901</v>
      </c>
      <c r="P1559" s="998">
        <v>10</v>
      </c>
      <c r="Q1559" s="176">
        <v>-40</v>
      </c>
      <c r="R1559" s="1005">
        <f>COUNTIF(PoderesDeCriatura_Adquiridos,Tablas!O1559)</f>
        <v>0</v>
      </c>
      <c r="S1559" s="176"/>
      <c r="T1559" s="996"/>
      <c r="U1559" s="259"/>
    </row>
    <row r="1560" spans="1:21" ht="12.75" customHeight="1" x14ac:dyDescent="0.2">
      <c r="A1560" s="227">
        <v>1560</v>
      </c>
      <c r="B1560" s="5988"/>
      <c r="C1560" s="559"/>
      <c r="H1560"/>
      <c r="M1560" s="326"/>
      <c r="N1560" s="21"/>
      <c r="O1560" s="134" t="s">
        <v>7902</v>
      </c>
      <c r="P1560" s="998">
        <v>10</v>
      </c>
      <c r="Q1560" s="176">
        <v>-50</v>
      </c>
      <c r="R1560" s="1005">
        <f>COUNTIF(PoderesDeCriatura_Adquiridos,Tablas!O1560)</f>
        <v>0</v>
      </c>
      <c r="S1560" s="176"/>
      <c r="T1560" s="996"/>
      <c r="U1560" s="259"/>
    </row>
    <row r="1561" spans="1:21" ht="12.75" customHeight="1" x14ac:dyDescent="0.2">
      <c r="A1561" s="227">
        <v>1561</v>
      </c>
      <c r="B1561" s="5988"/>
      <c r="C1561" s="559"/>
      <c r="H1561"/>
      <c r="M1561" s="326"/>
      <c r="N1561" s="21"/>
      <c r="O1561" s="134" t="s">
        <v>7903</v>
      </c>
      <c r="P1561" s="993">
        <v>0</v>
      </c>
      <c r="Q1561" s="86">
        <v>0</v>
      </c>
      <c r="R1561" s="1005">
        <f>COUNTIF(PoderesDeCriatura_Adquiridos,Tablas!O1561)</f>
        <v>0</v>
      </c>
      <c r="S1561" s="176"/>
      <c r="T1561" s="996"/>
      <c r="U1561" s="259"/>
    </row>
    <row r="1562" spans="1:21" ht="12.75" customHeight="1" x14ac:dyDescent="0.2">
      <c r="A1562" s="227">
        <v>1562</v>
      </c>
      <c r="B1562" s="5988"/>
      <c r="C1562" s="559"/>
      <c r="H1562"/>
      <c r="M1562" s="326"/>
      <c r="N1562" s="21"/>
      <c r="O1562" s="134" t="s">
        <v>7904</v>
      </c>
      <c r="P1562" s="993">
        <v>10</v>
      </c>
      <c r="Q1562" s="86">
        <f>5+IF(OR(TipoDeCriatura="Entre mundos, Elemental",TipoDeCriatura="Ánima, Elemental"),5,0)</f>
        <v>5</v>
      </c>
      <c r="R1562" s="1005">
        <f>COUNTIF(PoderesDeCriatura_Adquiridos,Tablas!O1562)</f>
        <v>0</v>
      </c>
      <c r="S1562" s="176"/>
      <c r="T1562" s="996"/>
      <c r="U1562" s="259"/>
    </row>
    <row r="1563" spans="1:21" ht="12.75" customHeight="1" x14ac:dyDescent="0.2">
      <c r="A1563" s="227">
        <v>1563</v>
      </c>
      <c r="B1563" s="5988"/>
      <c r="C1563" s="559"/>
      <c r="H1563"/>
      <c r="M1563" s="326"/>
      <c r="N1563" s="21"/>
      <c r="O1563" s="134" t="s">
        <v>7905</v>
      </c>
      <c r="P1563" s="993">
        <v>25</v>
      </c>
      <c r="Q1563" s="86">
        <f>80+IF(OR(TipoDeCriatura="Entre mundos, Elemental",TipoDeCriatura="Ánima, Elemental"),10,0)</f>
        <v>80</v>
      </c>
      <c r="R1563" s="1005">
        <f>COUNTIF(PoderesDeCriatura_Adquiridos,Tablas!O1563)</f>
        <v>0</v>
      </c>
      <c r="S1563" s="176"/>
      <c r="T1563" s="996"/>
      <c r="U1563" s="259"/>
    </row>
    <row r="1564" spans="1:21" ht="12.75" customHeight="1" x14ac:dyDescent="0.2">
      <c r="A1564" s="227">
        <v>1564</v>
      </c>
      <c r="B1564" s="5988"/>
      <c r="C1564" s="559"/>
      <c r="H1564"/>
      <c r="M1564" s="326"/>
      <c r="N1564" s="21"/>
      <c r="O1564" s="134" t="s">
        <v>7906</v>
      </c>
      <c r="P1564" s="998">
        <v>10</v>
      </c>
      <c r="Q1564" s="176">
        <v>-30</v>
      </c>
      <c r="R1564" s="1005">
        <f>COUNTIF(PoderesDeCriatura_Adquiridos,Tablas!O1564)</f>
        <v>0</v>
      </c>
      <c r="S1564" s="176"/>
      <c r="T1564" s="996"/>
      <c r="U1564" s="259"/>
    </row>
    <row r="1565" spans="1:21" ht="12.75" customHeight="1" x14ac:dyDescent="0.2">
      <c r="A1565" s="227">
        <v>1565</v>
      </c>
      <c r="B1565" s="5988"/>
      <c r="C1565" s="559"/>
      <c r="H1565"/>
      <c r="M1565" s="326"/>
      <c r="N1565" s="21"/>
      <c r="O1565" s="134" t="s">
        <v>7907</v>
      </c>
      <c r="P1565" s="998">
        <v>10</v>
      </c>
      <c r="Q1565" s="176">
        <v>-10</v>
      </c>
      <c r="R1565" s="1005">
        <f>COUNTIF(PoderesDeCriatura_Adquiridos,Tablas!O1565)</f>
        <v>0</v>
      </c>
      <c r="S1565" s="176"/>
      <c r="T1565" s="996"/>
      <c r="U1565" s="259"/>
    </row>
    <row r="1566" spans="1:21" ht="12.75" customHeight="1" x14ac:dyDescent="0.2">
      <c r="A1566" s="227">
        <v>1566</v>
      </c>
      <c r="B1566" s="5988"/>
      <c r="C1566" s="559"/>
      <c r="H1566"/>
      <c r="M1566" s="326"/>
      <c r="N1566" s="21"/>
      <c r="O1566" s="134" t="s">
        <v>7908</v>
      </c>
      <c r="P1566" s="998">
        <v>10</v>
      </c>
      <c r="Q1566" s="176">
        <v>-20</v>
      </c>
      <c r="R1566" s="1005">
        <f>COUNTIF(PoderesDeCriatura_Adquiridos,Tablas!O1566)</f>
        <v>0</v>
      </c>
      <c r="S1566" s="176"/>
      <c r="T1566" s="996"/>
      <c r="U1566" s="259"/>
    </row>
    <row r="1567" spans="1:21" ht="12.75" customHeight="1" x14ac:dyDescent="0.2">
      <c r="A1567" s="227">
        <v>1567</v>
      </c>
      <c r="B1567" s="5988"/>
      <c r="C1567" s="559"/>
      <c r="H1567"/>
      <c r="M1567" s="326"/>
      <c r="N1567" s="21"/>
      <c r="O1567" s="134" t="s">
        <v>7909</v>
      </c>
      <c r="P1567" s="998">
        <v>10</v>
      </c>
      <c r="Q1567" s="176">
        <v>-30</v>
      </c>
      <c r="R1567" s="1005">
        <f>COUNTIF(PoderesDeCriatura_Adquiridos,Tablas!O1567)</f>
        <v>0</v>
      </c>
      <c r="S1567" s="176"/>
      <c r="T1567" s="996"/>
      <c r="U1567" s="259"/>
    </row>
    <row r="1568" spans="1:21" ht="12.75" customHeight="1" x14ac:dyDescent="0.2">
      <c r="A1568" s="227">
        <v>1568</v>
      </c>
      <c r="B1568" s="5988"/>
      <c r="C1568" s="559"/>
      <c r="H1568"/>
      <c r="M1568" s="326"/>
      <c r="N1568" s="21"/>
      <c r="O1568" s="134" t="s">
        <v>7910</v>
      </c>
      <c r="P1568" s="998">
        <v>10</v>
      </c>
      <c r="Q1568" s="176">
        <v>-40</v>
      </c>
      <c r="R1568" s="1005">
        <f>COUNTIF(PoderesDeCriatura_Adquiridos,Tablas!O1568)</f>
        <v>0</v>
      </c>
      <c r="S1568" s="176"/>
      <c r="T1568" s="996"/>
      <c r="U1568" s="259"/>
    </row>
    <row r="1569" spans="1:21" ht="12.75" customHeight="1" x14ac:dyDescent="0.2">
      <c r="A1569" s="227">
        <v>1569</v>
      </c>
      <c r="B1569" s="5988"/>
      <c r="C1569" s="559"/>
      <c r="H1569"/>
      <c r="M1569" s="326"/>
      <c r="N1569" s="21"/>
      <c r="O1569" s="134" t="s">
        <v>7911</v>
      </c>
      <c r="P1569" s="998">
        <v>10</v>
      </c>
      <c r="Q1569" s="176">
        <v>-50</v>
      </c>
      <c r="R1569" s="1005">
        <f>COUNTIF(PoderesDeCriatura_Adquiridos,Tablas!O1569)</f>
        <v>0</v>
      </c>
      <c r="S1569" s="176"/>
      <c r="T1569" s="996"/>
      <c r="U1569" s="259"/>
    </row>
    <row r="1570" spans="1:21" ht="12.75" customHeight="1" x14ac:dyDescent="0.2">
      <c r="A1570" s="227">
        <v>1570</v>
      </c>
      <c r="B1570" s="5988"/>
      <c r="C1570" s="559"/>
      <c r="H1570"/>
      <c r="M1570" s="326"/>
      <c r="N1570" s="21"/>
      <c r="O1570" s="134" t="s">
        <v>7912</v>
      </c>
      <c r="P1570" s="998">
        <v>15</v>
      </c>
      <c r="Q1570" s="176">
        <v>40</v>
      </c>
      <c r="R1570" s="1005">
        <f>COUNTIF(PoderesDeCriatura_Adquiridos,Tablas!O1570)</f>
        <v>0</v>
      </c>
      <c r="S1570" s="176"/>
      <c r="T1570" s="996"/>
      <c r="U1570" s="259"/>
    </row>
    <row r="1571" spans="1:21" ht="12.75" customHeight="1" x14ac:dyDescent="0.2">
      <c r="A1571" s="227">
        <v>1571</v>
      </c>
      <c r="B1571" s="5988"/>
      <c r="C1571" s="559"/>
      <c r="H1571"/>
      <c r="M1571" s="326"/>
      <c r="N1571" s="21"/>
      <c r="O1571" s="134" t="s">
        <v>7913</v>
      </c>
      <c r="P1571" s="998">
        <v>20</v>
      </c>
      <c r="Q1571" s="176">
        <v>60</v>
      </c>
      <c r="R1571" s="1005">
        <f>COUNTIF(PoderesDeCriatura_Adquiridos,Tablas!O1571)</f>
        <v>0</v>
      </c>
      <c r="S1571" s="176"/>
      <c r="T1571" s="996"/>
      <c r="U1571" s="259"/>
    </row>
    <row r="1572" spans="1:21" ht="12.75" customHeight="1" x14ac:dyDescent="0.2">
      <c r="A1572" s="227">
        <v>1572</v>
      </c>
      <c r="B1572" s="5988"/>
      <c r="C1572" s="559"/>
      <c r="H1572"/>
      <c r="M1572" s="326"/>
      <c r="N1572" s="21"/>
      <c r="O1572" s="134" t="s">
        <v>7914</v>
      </c>
      <c r="P1572" s="998">
        <v>25</v>
      </c>
      <c r="Q1572" s="176">
        <v>100</v>
      </c>
      <c r="R1572" s="1005">
        <f>COUNTIF(PoderesDeCriatura_Adquiridos,Tablas!O1572)</f>
        <v>0</v>
      </c>
      <c r="S1572" s="176"/>
      <c r="T1572" s="996"/>
      <c r="U1572" s="259"/>
    </row>
    <row r="1573" spans="1:21" ht="12.75" customHeight="1" x14ac:dyDescent="0.2">
      <c r="A1573" s="227">
        <v>1573</v>
      </c>
      <c r="B1573" s="5988"/>
      <c r="C1573" s="559"/>
      <c r="H1573"/>
      <c r="M1573" s="326"/>
      <c r="N1573" s="21"/>
      <c r="O1573" s="134" t="s">
        <v>7915</v>
      </c>
      <c r="P1573" s="998">
        <v>20</v>
      </c>
      <c r="Q1573" s="176">
        <v>-20</v>
      </c>
      <c r="R1573" s="1005">
        <f>COUNTIF(PoderesDeCriatura_Adquiridos,Tablas!O1573)</f>
        <v>0</v>
      </c>
      <c r="S1573" s="176"/>
      <c r="T1573" s="996"/>
      <c r="U1573" s="259"/>
    </row>
    <row r="1574" spans="1:21" ht="12.75" customHeight="1" x14ac:dyDescent="0.2">
      <c r="A1574" s="227">
        <v>1574</v>
      </c>
      <c r="B1574" s="5988"/>
      <c r="C1574" s="559"/>
      <c r="H1574"/>
      <c r="M1574" s="326"/>
      <c r="N1574" s="21"/>
      <c r="O1574" s="134" t="s">
        <v>7916</v>
      </c>
      <c r="P1574" s="998">
        <v>10</v>
      </c>
      <c r="Q1574" s="176">
        <v>10</v>
      </c>
      <c r="R1574" s="1005">
        <f>COUNTIF(PoderesDeCriatura_Adquiridos,Tablas!O1574)</f>
        <v>0</v>
      </c>
      <c r="S1574" s="176"/>
      <c r="T1574" s="996"/>
      <c r="U1574" s="259"/>
    </row>
    <row r="1575" spans="1:21" ht="12.75" customHeight="1" x14ac:dyDescent="0.2">
      <c r="A1575" s="227">
        <v>1575</v>
      </c>
      <c r="B1575" s="5988"/>
      <c r="C1575" s="559"/>
      <c r="H1575"/>
      <c r="M1575" s="326"/>
      <c r="N1575" s="21"/>
      <c r="O1575" s="134" t="s">
        <v>7917</v>
      </c>
      <c r="P1575" s="998">
        <v>20</v>
      </c>
      <c r="Q1575" s="176">
        <v>20</v>
      </c>
      <c r="R1575" s="1005">
        <f>COUNTIF(PoderesDeCriatura_Adquiridos,Tablas!O1575)</f>
        <v>0</v>
      </c>
      <c r="S1575" s="176"/>
      <c r="T1575" s="996"/>
      <c r="U1575" s="259"/>
    </row>
    <row r="1576" spans="1:21" ht="12.75" customHeight="1" x14ac:dyDescent="0.2">
      <c r="A1576" s="227">
        <v>1576</v>
      </c>
      <c r="B1576" s="5988"/>
      <c r="C1576" s="559"/>
      <c r="H1576"/>
      <c r="M1576" s="326"/>
      <c r="N1576" s="21"/>
      <c r="O1576" s="134" t="s">
        <v>7918</v>
      </c>
      <c r="P1576" s="998">
        <v>20</v>
      </c>
      <c r="Q1576" s="176">
        <v>40</v>
      </c>
      <c r="R1576" s="1005">
        <f>COUNTIF(PoderesDeCriatura_Adquiridos,Tablas!O1576)</f>
        <v>0</v>
      </c>
      <c r="S1576" s="176"/>
      <c r="T1576" s="996"/>
      <c r="U1576" s="259"/>
    </row>
    <row r="1577" spans="1:21" ht="12.75" customHeight="1" x14ac:dyDescent="0.2">
      <c r="A1577" s="227">
        <v>1577</v>
      </c>
      <c r="B1577" s="5988"/>
      <c r="C1577" s="559"/>
      <c r="H1577"/>
      <c r="M1577" s="326"/>
      <c r="N1577" s="21"/>
      <c r="O1577" s="134" t="s">
        <v>7919</v>
      </c>
      <c r="P1577" s="998">
        <v>25</v>
      </c>
      <c r="Q1577" s="176">
        <v>80</v>
      </c>
      <c r="R1577" s="1005">
        <f>COUNTIF(PoderesDeCriatura_Adquiridos,Tablas!O1577)</f>
        <v>0</v>
      </c>
      <c r="S1577" s="176"/>
      <c r="T1577" s="996"/>
      <c r="U1577" s="259"/>
    </row>
    <row r="1578" spans="1:21" ht="12.75" customHeight="1" x14ac:dyDescent="0.2">
      <c r="A1578" s="227">
        <v>1578</v>
      </c>
      <c r="B1578" s="5988"/>
      <c r="C1578" s="559"/>
      <c r="H1578"/>
      <c r="M1578" s="326"/>
      <c r="N1578" s="21"/>
      <c r="O1578" s="134" t="s">
        <v>7920</v>
      </c>
      <c r="P1578" s="998">
        <v>10</v>
      </c>
      <c r="Q1578" s="176">
        <v>50</v>
      </c>
      <c r="R1578" s="1005">
        <f>COUNTIF(PoderesDeCriatura_Adquiridos,Tablas!O1578)</f>
        <v>0</v>
      </c>
      <c r="S1578" s="176"/>
      <c r="T1578" s="996"/>
      <c r="U1578" s="259"/>
    </row>
    <row r="1579" spans="1:21" ht="12.75" customHeight="1" x14ac:dyDescent="0.2">
      <c r="A1579" s="227">
        <v>1579</v>
      </c>
      <c r="B1579" s="5988"/>
      <c r="C1579" s="559"/>
      <c r="H1579"/>
      <c r="M1579" s="326"/>
      <c r="N1579" s="21"/>
      <c r="O1579" s="134" t="s">
        <v>7921</v>
      </c>
      <c r="P1579" s="998">
        <v>20</v>
      </c>
      <c r="Q1579" s="176">
        <v>80</v>
      </c>
      <c r="R1579" s="1005">
        <f>COUNTIF(PoderesDeCriatura_Adquiridos,Tablas!O1579)</f>
        <v>0</v>
      </c>
      <c r="S1579" s="176"/>
      <c r="T1579" s="996"/>
      <c r="U1579" s="259"/>
    </row>
    <row r="1580" spans="1:21" ht="12.75" customHeight="1" x14ac:dyDescent="0.2">
      <c r="A1580" s="227">
        <v>1580</v>
      </c>
      <c r="B1580" s="5988"/>
      <c r="C1580" s="559"/>
      <c r="H1580"/>
      <c r="M1580" s="326"/>
      <c r="N1580" s="21"/>
      <c r="O1580" s="134" t="s">
        <v>7922</v>
      </c>
      <c r="P1580" s="998">
        <v>25</v>
      </c>
      <c r="Q1580" s="176">
        <v>100</v>
      </c>
      <c r="R1580" s="1005">
        <f>COUNTIF(PoderesDeCriatura_Adquiridos,Tablas!O1580)</f>
        <v>0</v>
      </c>
      <c r="S1580" s="176"/>
      <c r="T1580" s="996"/>
      <c r="U1580" s="259"/>
    </row>
    <row r="1581" spans="1:21" ht="12.75" customHeight="1" x14ac:dyDescent="0.2">
      <c r="A1581" s="227">
        <v>1581</v>
      </c>
      <c r="B1581" s="5988"/>
      <c r="C1581" s="559"/>
      <c r="H1581"/>
      <c r="M1581" s="326"/>
      <c r="N1581" s="21"/>
      <c r="O1581" s="134" t="s">
        <v>7923</v>
      </c>
      <c r="P1581" s="998">
        <v>30</v>
      </c>
      <c r="Q1581" s="176">
        <v>150</v>
      </c>
      <c r="R1581" s="1005">
        <f>COUNTIF(PoderesDeCriatura_Adquiridos,Tablas!O1581)</f>
        <v>0</v>
      </c>
      <c r="S1581" s="176"/>
      <c r="T1581" s="996"/>
      <c r="U1581" s="259"/>
    </row>
    <row r="1582" spans="1:21" ht="12.75" customHeight="1" x14ac:dyDescent="0.2">
      <c r="A1582" s="227">
        <v>1582</v>
      </c>
      <c r="B1582" s="5988"/>
      <c r="C1582" s="559"/>
      <c r="H1582"/>
      <c r="M1582" s="326"/>
      <c r="N1582" s="21"/>
      <c r="O1582" s="134" t="s">
        <v>7924</v>
      </c>
      <c r="P1582" s="998">
        <v>10</v>
      </c>
      <c r="Q1582" s="176">
        <v>50</v>
      </c>
      <c r="R1582" s="1005">
        <f>COUNTIF(PoderesDeCriatura_Adquiridos,Tablas!O1582)</f>
        <v>0</v>
      </c>
      <c r="S1582" s="176"/>
      <c r="T1582" s="996"/>
      <c r="U1582" s="259"/>
    </row>
    <row r="1583" spans="1:21" ht="12.75" customHeight="1" x14ac:dyDescent="0.2">
      <c r="A1583" s="227">
        <v>1583</v>
      </c>
      <c r="B1583" s="5988"/>
      <c r="C1583" s="559"/>
      <c r="H1583"/>
      <c r="M1583" s="326"/>
      <c r="N1583" s="21"/>
      <c r="O1583" s="134" t="s">
        <v>7925</v>
      </c>
      <c r="P1583" s="998">
        <v>20</v>
      </c>
      <c r="Q1583" s="176">
        <v>-30</v>
      </c>
      <c r="R1583" s="1005">
        <f>COUNTIF(PoderesDeCriatura_Adquiridos,Tablas!O1583)</f>
        <v>0</v>
      </c>
      <c r="S1583" s="176"/>
      <c r="T1583" s="996"/>
      <c r="U1583" s="259"/>
    </row>
    <row r="1584" spans="1:21" ht="12.75" customHeight="1" x14ac:dyDescent="0.2">
      <c r="A1584" s="227">
        <v>1584</v>
      </c>
      <c r="B1584" s="5988"/>
      <c r="C1584" s="559"/>
      <c r="H1584"/>
      <c r="M1584" s="326"/>
      <c r="N1584" s="21"/>
      <c r="O1584" s="134" t="s">
        <v>7926</v>
      </c>
      <c r="P1584" s="993">
        <v>20</v>
      </c>
      <c r="Q1584" s="86">
        <v>40</v>
      </c>
      <c r="R1584" s="1005">
        <f>COUNTIF(PoderesDeCriatura_Adquiridos,Tablas!O1584)</f>
        <v>0</v>
      </c>
      <c r="S1584" s="176"/>
      <c r="T1584" s="996"/>
      <c r="U1584" s="259"/>
    </row>
    <row r="1585" spans="1:21" ht="12.75" customHeight="1" x14ac:dyDescent="0.2">
      <c r="A1585" s="227">
        <v>1585</v>
      </c>
      <c r="B1585" s="5988"/>
      <c r="C1585" s="559"/>
      <c r="H1585"/>
      <c r="M1585" s="326"/>
      <c r="N1585" s="21"/>
      <c r="O1585" s="134" t="s">
        <v>7927</v>
      </c>
      <c r="P1585" s="993">
        <v>20</v>
      </c>
      <c r="Q1585" s="86">
        <v>60</v>
      </c>
      <c r="R1585" s="1005">
        <f>COUNTIF(PoderesDeCriatura_Adquiridos,Tablas!O1585)</f>
        <v>0</v>
      </c>
      <c r="S1585" s="176"/>
      <c r="T1585" s="996"/>
      <c r="U1585" s="259"/>
    </row>
    <row r="1586" spans="1:21" ht="12.75" customHeight="1" x14ac:dyDescent="0.2">
      <c r="A1586" s="227">
        <v>1586</v>
      </c>
      <c r="B1586" s="5988"/>
      <c r="C1586" s="559"/>
      <c r="H1586"/>
      <c r="M1586" s="326"/>
      <c r="N1586" s="21"/>
      <c r="O1586" s="134" t="s">
        <v>7928</v>
      </c>
      <c r="P1586" s="993">
        <v>25</v>
      </c>
      <c r="Q1586" s="86">
        <v>80</v>
      </c>
      <c r="R1586" s="1005">
        <f>COUNTIF(PoderesDeCriatura_Adquiridos,Tablas!O1586)</f>
        <v>0</v>
      </c>
      <c r="S1586" s="176"/>
      <c r="T1586" s="996"/>
      <c r="U1586" s="259"/>
    </row>
    <row r="1587" spans="1:21" ht="12.75" customHeight="1" x14ac:dyDescent="0.2">
      <c r="A1587" s="227">
        <v>1587</v>
      </c>
      <c r="B1587" s="5988"/>
      <c r="C1587" s="559"/>
      <c r="H1587"/>
      <c r="M1587" s="326"/>
      <c r="N1587" s="21"/>
      <c r="O1587" s="134" t="s">
        <v>7929</v>
      </c>
      <c r="P1587" s="993">
        <v>25</v>
      </c>
      <c r="Q1587" s="86">
        <v>100</v>
      </c>
      <c r="R1587" s="1005">
        <f>COUNTIF(PoderesDeCriatura_Adquiridos,Tablas!O1587)</f>
        <v>0</v>
      </c>
      <c r="S1587" s="176"/>
      <c r="T1587" s="996"/>
      <c r="U1587" s="259"/>
    </row>
    <row r="1588" spans="1:21" ht="12.75" customHeight="1" x14ac:dyDescent="0.2">
      <c r="A1588" s="227">
        <v>1588</v>
      </c>
      <c r="B1588" s="5988"/>
      <c r="C1588" s="559"/>
      <c r="H1588"/>
      <c r="M1588" s="326"/>
      <c r="N1588" s="21"/>
      <c r="O1588" s="134" t="s">
        <v>7930</v>
      </c>
      <c r="P1588" s="993">
        <v>30</v>
      </c>
      <c r="Q1588" s="86">
        <v>120</v>
      </c>
      <c r="R1588" s="1005">
        <f>COUNTIF(PoderesDeCriatura_Adquiridos,Tablas!O1588)</f>
        <v>0</v>
      </c>
      <c r="S1588" s="176"/>
      <c r="T1588" s="996"/>
      <c r="U1588" s="259"/>
    </row>
    <row r="1589" spans="1:21" ht="12.75" customHeight="1" x14ac:dyDescent="0.2">
      <c r="A1589" s="227">
        <v>1589</v>
      </c>
      <c r="B1589" s="5988"/>
      <c r="C1589" s="559"/>
      <c r="H1589"/>
      <c r="M1589" s="326"/>
      <c r="N1589" s="21"/>
      <c r="O1589" s="134" t="s">
        <v>7931</v>
      </c>
      <c r="P1589" s="993">
        <v>35</v>
      </c>
      <c r="Q1589" s="86">
        <v>140</v>
      </c>
      <c r="R1589" s="1005">
        <f>COUNTIF(PoderesDeCriatura_Adquiridos,Tablas!O1589)</f>
        <v>0</v>
      </c>
      <c r="S1589" s="176"/>
      <c r="T1589" s="996"/>
      <c r="U1589" s="259"/>
    </row>
    <row r="1590" spans="1:21" ht="12.75" customHeight="1" x14ac:dyDescent="0.2">
      <c r="A1590" s="227">
        <v>1590</v>
      </c>
      <c r="B1590" s="5988"/>
      <c r="C1590" s="559"/>
      <c r="H1590"/>
      <c r="M1590" s="326"/>
      <c r="N1590" s="21"/>
      <c r="O1590" s="134" t="s">
        <v>7932</v>
      </c>
      <c r="P1590" s="993">
        <v>20</v>
      </c>
      <c r="Q1590" s="86">
        <f>20+IF(OR(TipoDeCriatura="Entre mundos, Elemental",TipoDeCriatura="Ánima, Elemental"),10,0)</f>
        <v>20</v>
      </c>
      <c r="R1590" s="1005">
        <f>COUNTIF(PoderesDeCriatura_Adquiridos,Tablas!O1590)</f>
        <v>0</v>
      </c>
      <c r="S1590" s="176"/>
      <c r="T1590" s="996"/>
      <c r="U1590" s="259"/>
    </row>
    <row r="1591" spans="1:21" ht="12.75" customHeight="1" x14ac:dyDescent="0.2">
      <c r="A1591" s="227">
        <v>1591</v>
      </c>
      <c r="B1591" s="5988"/>
      <c r="C1591" s="559"/>
      <c r="H1591"/>
      <c r="M1591" s="326"/>
      <c r="N1591" s="21"/>
      <c r="O1591" s="134" t="s">
        <v>7933</v>
      </c>
      <c r="P1591" s="993">
        <v>20</v>
      </c>
      <c r="Q1591" s="86">
        <f>30+IF(OR(TipoDeCriatura="Entre mundos, Elemental",TipoDeCriatura="Ánima, Elemental"),10,0)</f>
        <v>30</v>
      </c>
      <c r="R1591" s="1005">
        <f>COUNTIF(PoderesDeCriatura_Adquiridos,Tablas!O1591)</f>
        <v>0</v>
      </c>
      <c r="S1591" s="176"/>
      <c r="T1591" s="996"/>
      <c r="U1591" s="259"/>
    </row>
    <row r="1592" spans="1:21" ht="12.75" customHeight="1" x14ac:dyDescent="0.2">
      <c r="A1592" s="227">
        <v>1592</v>
      </c>
      <c r="B1592" s="5988"/>
      <c r="C1592" s="559"/>
      <c r="H1592"/>
      <c r="M1592" s="326"/>
      <c r="N1592" s="21"/>
      <c r="O1592" s="134" t="s">
        <v>7934</v>
      </c>
      <c r="P1592" s="993">
        <v>25</v>
      </c>
      <c r="Q1592" s="86">
        <f>40+IF(OR(TipoDeCriatura="Entre mundos, Elemental",TipoDeCriatura="Ánima, Elemental"),10,0)</f>
        <v>40</v>
      </c>
      <c r="R1592" s="1005">
        <f>COUNTIF(PoderesDeCriatura_Adquiridos,Tablas!O1592)</f>
        <v>0</v>
      </c>
      <c r="S1592" s="176"/>
      <c r="T1592" s="996"/>
      <c r="U1592" s="259"/>
    </row>
    <row r="1593" spans="1:21" ht="12.75" customHeight="1" x14ac:dyDescent="0.2">
      <c r="A1593" s="227">
        <v>1593</v>
      </c>
      <c r="B1593" s="5988"/>
      <c r="C1593" s="559"/>
      <c r="H1593"/>
      <c r="M1593" s="326"/>
      <c r="N1593" s="21"/>
      <c r="O1593" s="134" t="s">
        <v>7935</v>
      </c>
      <c r="P1593" s="993">
        <v>25</v>
      </c>
      <c r="Q1593" s="86">
        <f>50+IF(OR(TipoDeCriatura="Entre mundos, Elemental",TipoDeCriatura="Ánima, Elemental"),10,0)</f>
        <v>50</v>
      </c>
      <c r="R1593" s="1005">
        <f>COUNTIF(PoderesDeCriatura_Adquiridos,Tablas!O1593)</f>
        <v>0</v>
      </c>
      <c r="S1593" s="176"/>
      <c r="T1593" s="996"/>
      <c r="U1593" s="259"/>
    </row>
    <row r="1594" spans="1:21" ht="12.75" customHeight="1" x14ac:dyDescent="0.2">
      <c r="A1594" s="227">
        <v>1594</v>
      </c>
      <c r="B1594" s="5988"/>
      <c r="C1594" s="559"/>
      <c r="H1594"/>
      <c r="M1594" s="326"/>
      <c r="N1594" s="21"/>
      <c r="O1594" s="134" t="s">
        <v>7936</v>
      </c>
      <c r="P1594" s="993">
        <v>30</v>
      </c>
      <c r="Q1594" s="86">
        <f>60+IF(OR(TipoDeCriatura="Entre mundos, Elemental",TipoDeCriatura="Ánima, Elemental"),10,0)</f>
        <v>60</v>
      </c>
      <c r="R1594" s="1005">
        <f>COUNTIF(PoderesDeCriatura_Adquiridos,Tablas!O1594)</f>
        <v>0</v>
      </c>
      <c r="S1594" s="176"/>
      <c r="T1594" s="996"/>
      <c r="U1594" s="259"/>
    </row>
    <row r="1595" spans="1:21" ht="12.75" customHeight="1" x14ac:dyDescent="0.2">
      <c r="A1595" s="227">
        <v>1595</v>
      </c>
      <c r="B1595" s="5988"/>
      <c r="C1595" s="559"/>
      <c r="H1595"/>
      <c r="M1595" s="326"/>
      <c r="N1595" s="21"/>
      <c r="O1595" s="134" t="s">
        <v>7937</v>
      </c>
      <c r="P1595" s="998">
        <v>35</v>
      </c>
      <c r="Q1595" s="86">
        <f>80+IF(OR(TipoDeCriatura="Entre mundos, Elemental",TipoDeCriatura="Ánima, Elemental"),10,0)</f>
        <v>80</v>
      </c>
      <c r="R1595" s="1005">
        <f>COUNTIF(PoderesDeCriatura_Adquiridos,Tablas!O1595)</f>
        <v>0</v>
      </c>
      <c r="S1595" s="176"/>
      <c r="T1595" s="996"/>
      <c r="U1595" s="259"/>
    </row>
    <row r="1596" spans="1:21" ht="12.75" customHeight="1" x14ac:dyDescent="0.2">
      <c r="A1596" s="227">
        <v>1596</v>
      </c>
      <c r="B1596" s="5988"/>
      <c r="C1596" s="559"/>
      <c r="H1596"/>
      <c r="M1596" s="326"/>
      <c r="N1596" s="21"/>
      <c r="O1596" s="134" t="s">
        <v>7938</v>
      </c>
      <c r="P1596" s="993">
        <v>20</v>
      </c>
      <c r="Q1596" s="86">
        <f>60+IF(OR(TipoDeCriatura="Entre mundos, Elemental",TipoDeCriatura="Ánima, Elemental"),10,0)</f>
        <v>60</v>
      </c>
      <c r="R1596" s="1005">
        <f>COUNTIF(PoderesDeCriatura_Adquiridos,Tablas!O1596)</f>
        <v>0</v>
      </c>
      <c r="S1596" s="176"/>
      <c r="T1596" s="996"/>
      <c r="U1596" s="259"/>
    </row>
    <row r="1597" spans="1:21" ht="12.75" customHeight="1" x14ac:dyDescent="0.2">
      <c r="A1597" s="227">
        <v>1597</v>
      </c>
      <c r="B1597" s="5988"/>
      <c r="C1597" s="559"/>
      <c r="H1597"/>
      <c r="M1597" s="326"/>
      <c r="N1597" s="21"/>
      <c r="O1597" s="134" t="s">
        <v>7939</v>
      </c>
      <c r="P1597" s="993">
        <v>30</v>
      </c>
      <c r="Q1597" s="86">
        <f>80+IF(OR(TipoDeCriatura="Entre mundos, Elemental",TipoDeCriatura="Ánima, Elemental"),10,0)</f>
        <v>80</v>
      </c>
      <c r="R1597" s="1005">
        <f>COUNTIF(PoderesDeCriatura_Adquiridos,Tablas!O1597)</f>
        <v>0</v>
      </c>
      <c r="S1597" s="176"/>
      <c r="T1597" s="996"/>
      <c r="U1597" s="259"/>
    </row>
    <row r="1598" spans="1:21" ht="12.75" customHeight="1" x14ac:dyDescent="0.2">
      <c r="A1598" s="227">
        <v>1598</v>
      </c>
      <c r="B1598" s="5988"/>
      <c r="C1598" s="559"/>
      <c r="H1598"/>
      <c r="M1598" s="326"/>
      <c r="N1598" s="21"/>
      <c r="O1598" s="134" t="s">
        <v>7940</v>
      </c>
      <c r="P1598" s="993">
        <v>20</v>
      </c>
      <c r="Q1598" s="86">
        <f>60+IF(OR(TipoDeCriatura="Entre mundos, Elemental",TipoDeCriatura="Ánima, Elemental"),10,0)</f>
        <v>60</v>
      </c>
      <c r="R1598" s="1005">
        <f>COUNTIF(PoderesDeCriatura_Adquiridos,Tablas!O1598)</f>
        <v>0</v>
      </c>
      <c r="S1598" s="176"/>
      <c r="T1598" s="996"/>
      <c r="U1598" s="259"/>
    </row>
    <row r="1599" spans="1:21" ht="12.75" customHeight="1" x14ac:dyDescent="0.2">
      <c r="A1599" s="227">
        <v>1599</v>
      </c>
      <c r="B1599" s="5988"/>
      <c r="C1599" s="559"/>
      <c r="H1599"/>
      <c r="M1599" s="326"/>
      <c r="N1599" s="21"/>
      <c r="O1599" s="134" t="s">
        <v>7941</v>
      </c>
      <c r="P1599" s="993">
        <v>25</v>
      </c>
      <c r="Q1599" s="86">
        <f>80+IF(OR(TipoDeCriatura="Entre mundos, Elemental",TipoDeCriatura="Ánima, Elemental"),10,0)</f>
        <v>80</v>
      </c>
      <c r="R1599" s="1005">
        <f>COUNTIF(PoderesDeCriatura_Adquiridos,Tablas!O1599)</f>
        <v>0</v>
      </c>
      <c r="S1599" s="176"/>
      <c r="T1599" s="996"/>
      <c r="U1599" s="259"/>
    </row>
    <row r="1600" spans="1:21" ht="12.75" customHeight="1" x14ac:dyDescent="0.2">
      <c r="A1600" s="227">
        <v>1600</v>
      </c>
      <c r="B1600" s="5988"/>
      <c r="C1600" s="559"/>
      <c r="H1600"/>
      <c r="M1600" s="326"/>
      <c r="N1600" s="21"/>
      <c r="O1600" s="134" t="s">
        <v>7942</v>
      </c>
      <c r="P1600" s="993">
        <v>20</v>
      </c>
      <c r="Q1600" s="86">
        <f>100+IF(OR(TipoDeCriatura="Entre mundos, Elemental",TipoDeCriatura="Ánima, Elemental"),10,0)</f>
        <v>100</v>
      </c>
      <c r="R1600" s="1005">
        <f>COUNTIF(PoderesDeCriatura_Adquiridos,Tablas!O1600)</f>
        <v>0</v>
      </c>
      <c r="S1600" s="176"/>
      <c r="T1600" s="996"/>
      <c r="U1600" s="259"/>
    </row>
    <row r="1601" spans="1:21" ht="12.75" customHeight="1" x14ac:dyDescent="0.2">
      <c r="A1601" s="227">
        <v>1601</v>
      </c>
      <c r="B1601" s="5988"/>
      <c r="C1601" s="559"/>
      <c r="H1601"/>
      <c r="M1601" s="326"/>
      <c r="N1601" s="21"/>
      <c r="O1601" s="134" t="s">
        <v>7943</v>
      </c>
      <c r="P1601" s="993">
        <v>20</v>
      </c>
      <c r="Q1601" s="86">
        <f>80+IF(OR(TipoDeCriatura="Entre mundos, Elemental",TipoDeCriatura="Ánima, Elemental"),10,0)</f>
        <v>80</v>
      </c>
      <c r="R1601" s="1005">
        <f>COUNTIF(PoderesDeCriatura_Adquiridos,Tablas!O1601)</f>
        <v>0</v>
      </c>
      <c r="S1601" s="176"/>
      <c r="T1601" s="996"/>
      <c r="U1601" s="259"/>
    </row>
    <row r="1602" spans="1:21" ht="12.75" customHeight="1" x14ac:dyDescent="0.2">
      <c r="A1602" s="227">
        <v>1602</v>
      </c>
      <c r="B1602" s="5988"/>
      <c r="C1602" s="559"/>
      <c r="H1602"/>
      <c r="M1602" s="326"/>
      <c r="N1602" s="21"/>
      <c r="O1602" s="134" t="s">
        <v>7944</v>
      </c>
      <c r="P1602" s="993">
        <v>30</v>
      </c>
      <c r="Q1602" s="86">
        <f>120+IF(OR(TipoDeCriatura="Entre mundos, Elemental",TipoDeCriatura="Ánima, Elemental"),10,0)</f>
        <v>120</v>
      </c>
      <c r="R1602" s="1005">
        <f>COUNTIF(PoderesDeCriatura_Adquiridos,Tablas!O1602)</f>
        <v>0</v>
      </c>
      <c r="S1602" s="176"/>
      <c r="T1602" s="996"/>
      <c r="U1602" s="259"/>
    </row>
    <row r="1603" spans="1:21" ht="12.75" customHeight="1" x14ac:dyDescent="0.2">
      <c r="A1603" s="227">
        <v>1603</v>
      </c>
      <c r="B1603" s="5988"/>
      <c r="C1603" s="559"/>
      <c r="H1603"/>
      <c r="M1603" s="326"/>
      <c r="N1603" s="21"/>
      <c r="O1603" s="134" t="s">
        <v>7945</v>
      </c>
      <c r="P1603" s="993">
        <v>20</v>
      </c>
      <c r="Q1603" s="86">
        <f>60+IF(OR(TipoDeCriatura="Entre mundos, Elemental",TipoDeCriatura="Ánima, Elemental"),10,0)</f>
        <v>60</v>
      </c>
      <c r="R1603" s="1005">
        <f>COUNTIF(PoderesDeCriatura_Adquiridos,Tablas!O1603)</f>
        <v>0</v>
      </c>
      <c r="S1603" s="176"/>
      <c r="T1603" s="996"/>
      <c r="U1603" s="259"/>
    </row>
    <row r="1604" spans="1:21" ht="12.75" customHeight="1" x14ac:dyDescent="0.2">
      <c r="A1604" s="227">
        <v>1604</v>
      </c>
      <c r="B1604" s="5988"/>
      <c r="C1604" s="559"/>
      <c r="H1604"/>
      <c r="M1604" s="326"/>
      <c r="N1604" s="21"/>
      <c r="O1604" s="134" t="s">
        <v>7946</v>
      </c>
      <c r="P1604" s="993">
        <v>20</v>
      </c>
      <c r="Q1604" s="86">
        <f>80+IF(OR(TipoDeCriatura="Entre mundos, Elemental",TipoDeCriatura="Ánima, Elemental"),10,0)</f>
        <v>80</v>
      </c>
      <c r="R1604" s="1005">
        <f>COUNTIF(PoderesDeCriatura_Adquiridos,Tablas!O1604)</f>
        <v>0</v>
      </c>
      <c r="S1604" s="176"/>
      <c r="T1604" s="996"/>
      <c r="U1604" s="259"/>
    </row>
    <row r="1605" spans="1:21" ht="12.75" customHeight="1" x14ac:dyDescent="0.2">
      <c r="A1605" s="227">
        <v>1605</v>
      </c>
      <c r="B1605" s="5988"/>
      <c r="C1605" s="559"/>
      <c r="H1605"/>
      <c r="M1605" s="326"/>
      <c r="N1605" s="21"/>
      <c r="O1605" s="134" t="s">
        <v>7947</v>
      </c>
      <c r="P1605" s="993">
        <v>20</v>
      </c>
      <c r="Q1605" s="86">
        <f>40+IF(OR(TipoDeCriatura="Entre mundos, Elemental",TipoDeCriatura="Ánima, Elemental"),10,0)</f>
        <v>40</v>
      </c>
      <c r="R1605" s="1005">
        <f>COUNTIF(PoderesDeCriatura_Adquiridos,Tablas!O1605)</f>
        <v>0</v>
      </c>
      <c r="S1605" s="176"/>
      <c r="T1605" s="996"/>
      <c r="U1605" s="259"/>
    </row>
    <row r="1606" spans="1:21" ht="12.75" customHeight="1" x14ac:dyDescent="0.2">
      <c r="A1606" s="227">
        <v>1606</v>
      </c>
      <c r="B1606" s="5988"/>
      <c r="C1606" s="559"/>
      <c r="H1606"/>
      <c r="M1606" s="326"/>
      <c r="N1606" s="21"/>
      <c r="O1606" s="134" t="s">
        <v>7948</v>
      </c>
      <c r="P1606" s="993">
        <v>20</v>
      </c>
      <c r="Q1606" s="86">
        <f>40+IF(OR(TipoDeCriatura="Entre mundos, Elemental",TipoDeCriatura="Ánima, Elemental"),10,0)</f>
        <v>40</v>
      </c>
      <c r="R1606" s="1005">
        <f>COUNTIF(PoderesDeCriatura_Adquiridos,Tablas!O1606)</f>
        <v>0</v>
      </c>
      <c r="S1606" s="176"/>
      <c r="T1606" s="996"/>
      <c r="U1606" s="259"/>
    </row>
    <row r="1607" spans="1:21" ht="12.75" customHeight="1" x14ac:dyDescent="0.2">
      <c r="A1607" s="227">
        <v>1607</v>
      </c>
      <c r="B1607" s="5988"/>
      <c r="C1607" s="559"/>
      <c r="H1607"/>
      <c r="M1607" s="326"/>
      <c r="N1607" s="21"/>
      <c r="O1607" s="134" t="s">
        <v>7949</v>
      </c>
      <c r="P1607" s="993">
        <v>20</v>
      </c>
      <c r="Q1607" s="86">
        <f>40+IF(OR(TipoDeCriatura="Entre mundos, Elemental",TipoDeCriatura="Ánima, Elemental"),10,0)</f>
        <v>40</v>
      </c>
      <c r="R1607" s="1005">
        <f>COUNTIF(PoderesDeCriatura_Adquiridos,Tablas!O1607)</f>
        <v>0</v>
      </c>
      <c r="S1607" s="176"/>
      <c r="T1607" s="996"/>
      <c r="U1607" s="259"/>
    </row>
    <row r="1608" spans="1:21" ht="12.75" customHeight="1" x14ac:dyDescent="0.2">
      <c r="A1608" s="227">
        <v>1608</v>
      </c>
      <c r="B1608" s="5988"/>
      <c r="C1608" s="559"/>
      <c r="H1608"/>
      <c r="M1608" s="326"/>
      <c r="N1608" s="21"/>
      <c r="O1608" s="134" t="s">
        <v>7950</v>
      </c>
      <c r="P1608" s="993">
        <v>20</v>
      </c>
      <c r="Q1608" s="86">
        <f>60+IF(OR(TipoDeCriatura="Entre mundos, Elemental",TipoDeCriatura="Ánima, Elemental"),10,0)</f>
        <v>60</v>
      </c>
      <c r="R1608" s="1005">
        <f>COUNTIF(PoderesDeCriatura_Adquiridos,Tablas!O1608)</f>
        <v>0</v>
      </c>
      <c r="S1608" s="176"/>
      <c r="T1608" s="996"/>
      <c r="U1608" s="259"/>
    </row>
    <row r="1609" spans="1:21" ht="12.75" customHeight="1" x14ac:dyDescent="0.2">
      <c r="A1609" s="227">
        <v>1609</v>
      </c>
      <c r="B1609" s="5988"/>
      <c r="C1609" s="559"/>
      <c r="H1609"/>
      <c r="M1609" s="326"/>
      <c r="N1609" s="21"/>
      <c r="O1609" s="134" t="s">
        <v>7951</v>
      </c>
      <c r="P1609" s="993">
        <v>30</v>
      </c>
      <c r="Q1609" s="86">
        <f>100+IF(OR(TipoDeCriatura="Entre mundos, Elemental",TipoDeCriatura="Ánima, Elemental"),10,0)</f>
        <v>100</v>
      </c>
      <c r="R1609" s="1005">
        <f>COUNTIF(PoderesDeCriatura_Adquiridos,Tablas!O1609)</f>
        <v>0</v>
      </c>
      <c r="S1609" s="176"/>
      <c r="T1609" s="996"/>
      <c r="U1609" s="259"/>
    </row>
    <row r="1610" spans="1:21" ht="12.75" customHeight="1" x14ac:dyDescent="0.2">
      <c r="A1610" s="227">
        <v>1610</v>
      </c>
      <c r="B1610" s="5988"/>
      <c r="C1610" s="559"/>
      <c r="H1610"/>
      <c r="M1610" s="326"/>
      <c r="N1610" s="21"/>
      <c r="O1610" s="134" t="s">
        <v>7952</v>
      </c>
      <c r="P1610" s="993">
        <v>20</v>
      </c>
      <c r="Q1610" s="86">
        <f>120+IF(OR(TipoDeCriatura="Entre mundos, Elemental",TipoDeCriatura="Ánima, Elemental"),10,0)</f>
        <v>120</v>
      </c>
      <c r="R1610" s="1005">
        <f>COUNTIF(PoderesDeCriatura_Adquiridos,Tablas!O1610)</f>
        <v>0</v>
      </c>
      <c r="S1610" s="176"/>
      <c r="T1610" s="996"/>
      <c r="U1610" s="259"/>
    </row>
    <row r="1611" spans="1:21" ht="12.75" customHeight="1" x14ac:dyDescent="0.2">
      <c r="A1611" s="227">
        <v>1611</v>
      </c>
      <c r="B1611" s="5988"/>
      <c r="C1611" s="559"/>
      <c r="H1611"/>
      <c r="M1611" s="326"/>
      <c r="N1611" s="21"/>
      <c r="O1611" s="134" t="s">
        <v>7953</v>
      </c>
      <c r="P1611" s="993">
        <v>30</v>
      </c>
      <c r="Q1611" s="86">
        <f>140+IF(OR(TipoDeCriatura="Entre mundos, Elemental",TipoDeCriatura="Ánima, Elemental"),10,0)</f>
        <v>140</v>
      </c>
      <c r="R1611" s="1005">
        <f>COUNTIF(PoderesDeCriatura_Adquiridos,Tablas!O1611)</f>
        <v>0</v>
      </c>
      <c r="S1611" s="176"/>
      <c r="T1611" s="996"/>
      <c r="U1611" s="259"/>
    </row>
    <row r="1612" spans="1:21" ht="12.75" customHeight="1" x14ac:dyDescent="0.2">
      <c r="A1612" s="227">
        <v>1612</v>
      </c>
      <c r="B1612" s="5988"/>
      <c r="C1612" s="559"/>
      <c r="H1612"/>
      <c r="M1612" s="326"/>
      <c r="N1612" s="21"/>
      <c r="O1612" s="134" t="s">
        <v>7954</v>
      </c>
      <c r="P1612" s="993">
        <v>35</v>
      </c>
      <c r="Q1612" s="86">
        <f>160+IF(OR(TipoDeCriatura="Entre mundos, Elemental",TipoDeCriatura="Ánima, Elemental"),10,0)</f>
        <v>160</v>
      </c>
      <c r="R1612" s="1005">
        <f>COUNTIF(PoderesDeCriatura_Adquiridos,Tablas!O1612)</f>
        <v>0</v>
      </c>
      <c r="S1612" s="176"/>
      <c r="T1612" s="996"/>
      <c r="U1612" s="259"/>
    </row>
    <row r="1613" spans="1:21" ht="12.75" customHeight="1" x14ac:dyDescent="0.2">
      <c r="A1613" s="227">
        <v>1613</v>
      </c>
      <c r="B1613" s="5988"/>
      <c r="C1613" s="559"/>
      <c r="H1613"/>
      <c r="M1613" s="326"/>
      <c r="N1613" s="21"/>
      <c r="O1613" s="134" t="s">
        <v>7955</v>
      </c>
      <c r="P1613" s="993">
        <v>20</v>
      </c>
      <c r="Q1613" s="86">
        <f>40+IF(OR(TipoDeCriatura="Entre mundos, Elemental",TipoDeCriatura="Ánima, Elemental"),10,0)</f>
        <v>40</v>
      </c>
      <c r="R1613" s="1005">
        <f>COUNTIF(PoderesDeCriatura_Adquiridos,Tablas!O1613)</f>
        <v>0</v>
      </c>
      <c r="S1613" s="176"/>
      <c r="T1613" s="996"/>
      <c r="U1613" s="259"/>
    </row>
    <row r="1614" spans="1:21" ht="12.75" customHeight="1" x14ac:dyDescent="0.2">
      <c r="A1614" s="227">
        <v>1614</v>
      </c>
      <c r="B1614" s="5988"/>
      <c r="C1614" s="559"/>
      <c r="H1614"/>
      <c r="M1614" s="326"/>
      <c r="N1614" s="21"/>
      <c r="O1614" s="134" t="s">
        <v>7956</v>
      </c>
      <c r="P1614" s="993">
        <v>25</v>
      </c>
      <c r="Q1614" s="86">
        <f>80+IF(OR(TipoDeCriatura="Entre mundos, Elemental",TipoDeCriatura="Ánima, Elemental"),10,0)</f>
        <v>80</v>
      </c>
      <c r="R1614" s="1005">
        <f>COUNTIF(PoderesDeCriatura_Adquiridos,Tablas!O1614)</f>
        <v>0</v>
      </c>
      <c r="S1614" s="176"/>
      <c r="T1614" s="996"/>
      <c r="U1614" s="259"/>
    </row>
    <row r="1615" spans="1:21" ht="12.75" customHeight="1" x14ac:dyDescent="0.2">
      <c r="A1615" s="227">
        <v>1615</v>
      </c>
      <c r="B1615" s="5988"/>
      <c r="C1615" s="559" t="str">
        <f>C1610&amp;" "&amp;D1610</f>
        <v xml:space="preserve"> </v>
      </c>
      <c r="H1615"/>
      <c r="M1615" s="326"/>
      <c r="N1615" s="21"/>
      <c r="O1615" s="134" t="s">
        <v>7957</v>
      </c>
      <c r="P1615" s="993">
        <v>30</v>
      </c>
      <c r="Q1615" s="86">
        <f>140+IF(OR(TipoDeCriatura="Entre mundos, Elemental",TipoDeCriatura="Ánima, Elemental"),10,0)</f>
        <v>140</v>
      </c>
      <c r="R1615" s="1005">
        <f>COUNTIF(PoderesDeCriatura_Adquiridos,Tablas!O1615)</f>
        <v>0</v>
      </c>
      <c r="S1615" s="176"/>
      <c r="T1615" s="996"/>
      <c r="U1615" s="259"/>
    </row>
    <row r="1616" spans="1:21" ht="12.75" customHeight="1" x14ac:dyDescent="0.2">
      <c r="A1616" s="227">
        <v>1616</v>
      </c>
      <c r="B1616" s="5988"/>
      <c r="C1616" s="559"/>
      <c r="H1616"/>
      <c r="M1616" s="326"/>
      <c r="N1616" s="21"/>
      <c r="O1616" s="134" t="s">
        <v>7958</v>
      </c>
      <c r="P1616" s="993">
        <v>20</v>
      </c>
      <c r="Q1616" s="86">
        <f>100+IF(OR(TipoDeCriatura="Entre mundos, Elemental",TipoDeCriatura="Ánima, Elemental"),10,0)</f>
        <v>100</v>
      </c>
      <c r="R1616" s="1005">
        <f>COUNTIF(PoderesDeCriatura_Adquiridos,Tablas!O1616)</f>
        <v>0</v>
      </c>
      <c r="S1616" s="176"/>
      <c r="T1616" s="996"/>
      <c r="U1616" s="259"/>
    </row>
    <row r="1617" spans="1:21" ht="12.75" customHeight="1" x14ac:dyDescent="0.2">
      <c r="A1617" s="227">
        <v>1617</v>
      </c>
      <c r="B1617" s="5988"/>
      <c r="C1617" s="559"/>
      <c r="H1617"/>
      <c r="M1617" s="326"/>
      <c r="N1617" s="21"/>
      <c r="O1617" s="134" t="s">
        <v>7959</v>
      </c>
      <c r="P1617" s="993">
        <v>20</v>
      </c>
      <c r="Q1617" s="86">
        <f>10+IF(OR(TipoDeCriatura="Entre mundos, Elemental",TipoDeCriatura="Ánima, Elemental"),10,0)</f>
        <v>10</v>
      </c>
      <c r="R1617" s="1005">
        <f>COUNTIF(PoderesDeCriatura_Adquiridos,Tablas!O1617)</f>
        <v>0</v>
      </c>
      <c r="S1617" s="176"/>
      <c r="T1617" s="996"/>
      <c r="U1617" s="259"/>
    </row>
    <row r="1618" spans="1:21" ht="12.75" customHeight="1" x14ac:dyDescent="0.2">
      <c r="A1618" s="227">
        <v>1618</v>
      </c>
      <c r="B1618" s="5988"/>
      <c r="C1618" s="559"/>
      <c r="H1618"/>
      <c r="M1618" s="326"/>
      <c r="N1618" s="21"/>
      <c r="O1618" s="134" t="s">
        <v>7960</v>
      </c>
      <c r="P1618" s="993">
        <v>20</v>
      </c>
      <c r="Q1618" s="86">
        <v>-30</v>
      </c>
      <c r="R1618" s="1005">
        <f>COUNTIF(PoderesDeCriatura_Adquiridos,Tablas!O1618)</f>
        <v>0</v>
      </c>
      <c r="S1618" s="176"/>
      <c r="T1618" s="996"/>
      <c r="U1618" s="259"/>
    </row>
    <row r="1619" spans="1:21" ht="12.75" customHeight="1" x14ac:dyDescent="0.2">
      <c r="A1619" s="227">
        <v>1619</v>
      </c>
      <c r="B1619" s="5988"/>
      <c r="H1619"/>
      <c r="M1619" s="326"/>
      <c r="N1619" s="21"/>
      <c r="O1619" s="134" t="s">
        <v>5</v>
      </c>
      <c r="P1619" s="993"/>
      <c r="Q1619" s="86"/>
      <c r="R1619" s="1005">
        <f>COUNTIF(PoderesDeCriatura_Adquiridos,Tablas!O1619)</f>
        <v>0</v>
      </c>
      <c r="S1619" s="176"/>
      <c r="T1619" s="996"/>
      <c r="U1619" s="259"/>
    </row>
    <row r="1620" spans="1:21" ht="12.75" customHeight="1" x14ac:dyDescent="0.2">
      <c r="A1620" s="227">
        <v>1620</v>
      </c>
      <c r="B1620" s="5988"/>
      <c r="H1620"/>
      <c r="M1620" s="326"/>
      <c r="N1620" s="21"/>
      <c r="O1620" s="134" t="s">
        <v>7961</v>
      </c>
      <c r="P1620" s="998">
        <v>0</v>
      </c>
      <c r="Q1620" s="176">
        <v>10</v>
      </c>
      <c r="R1620" s="1005">
        <f>COUNTIF(PoderesDeCriatura_Adquiridos,Tablas!O1620)</f>
        <v>0</v>
      </c>
      <c r="S1620" s="176"/>
      <c r="T1620" s="996"/>
      <c r="U1620" s="259"/>
    </row>
    <row r="1621" spans="1:21" ht="12.75" customHeight="1" x14ac:dyDescent="0.2">
      <c r="A1621" s="227">
        <v>1621</v>
      </c>
      <c r="B1621" s="5988"/>
      <c r="H1621"/>
      <c r="M1621" s="326"/>
      <c r="N1621" s="21"/>
      <c r="O1621" s="134" t="s">
        <v>7962</v>
      </c>
      <c r="P1621" s="998">
        <v>10</v>
      </c>
      <c r="Q1621" s="176">
        <v>20</v>
      </c>
      <c r="R1621" s="1005">
        <f>COUNTIF(PoderesDeCriatura_Adquiridos,Tablas!O1621)</f>
        <v>0</v>
      </c>
      <c r="S1621" s="176"/>
      <c r="T1621" s="996"/>
      <c r="U1621" s="259"/>
    </row>
    <row r="1622" spans="1:21" ht="12.75" customHeight="1" x14ac:dyDescent="0.2">
      <c r="A1622" s="227">
        <v>1622</v>
      </c>
      <c r="B1622" s="5988"/>
      <c r="H1622"/>
      <c r="M1622" s="326"/>
      <c r="N1622" s="21"/>
      <c r="O1622" s="134" t="s">
        <v>7963</v>
      </c>
      <c r="P1622" s="998">
        <v>10</v>
      </c>
      <c r="Q1622" s="176">
        <v>30</v>
      </c>
      <c r="R1622" s="1005">
        <f>COUNTIF(PoderesDeCriatura_Adquiridos,Tablas!O1622)</f>
        <v>0</v>
      </c>
      <c r="S1622" s="176"/>
      <c r="T1622" s="996"/>
      <c r="U1622" s="259"/>
    </row>
    <row r="1623" spans="1:21" ht="12.75" customHeight="1" x14ac:dyDescent="0.2">
      <c r="A1623" s="227">
        <v>1623</v>
      </c>
      <c r="B1623" s="5988"/>
      <c r="H1623"/>
      <c r="M1623" s="326"/>
      <c r="N1623" s="21"/>
      <c r="O1623" s="134" t="s">
        <v>7964</v>
      </c>
      <c r="P1623" s="998">
        <v>10</v>
      </c>
      <c r="Q1623" s="176">
        <v>10</v>
      </c>
      <c r="R1623" s="1005">
        <f>COUNTIF(PoderesDeCriatura_Adquiridos,Tablas!O1623)</f>
        <v>0</v>
      </c>
      <c r="S1623" s="176"/>
      <c r="T1623" s="996"/>
      <c r="U1623" s="259"/>
    </row>
    <row r="1624" spans="1:21" ht="12.75" customHeight="1" x14ac:dyDescent="0.2">
      <c r="A1624" s="227">
        <v>1624</v>
      </c>
      <c r="B1624" s="5988"/>
      <c r="H1624"/>
      <c r="M1624" s="326"/>
      <c r="N1624" s="21"/>
      <c r="O1624" s="134" t="s">
        <v>7965</v>
      </c>
      <c r="P1624" s="998">
        <v>10</v>
      </c>
      <c r="Q1624" s="176">
        <v>10</v>
      </c>
      <c r="R1624" s="1005">
        <f>COUNTIF(PoderesDeCriatura_Adquiridos,Tablas!O1624)</f>
        <v>0</v>
      </c>
      <c r="S1624" s="176"/>
      <c r="T1624" s="996"/>
      <c r="U1624" s="259"/>
    </row>
    <row r="1625" spans="1:21" ht="12.75" customHeight="1" x14ac:dyDescent="0.2">
      <c r="A1625" s="227">
        <v>1625</v>
      </c>
      <c r="B1625" s="5988"/>
      <c r="H1625"/>
      <c r="M1625" s="326"/>
      <c r="N1625" s="21"/>
      <c r="O1625" s="134" t="s">
        <v>7966</v>
      </c>
      <c r="P1625" s="998">
        <v>10</v>
      </c>
      <c r="Q1625" s="176">
        <v>10</v>
      </c>
      <c r="R1625" s="1005">
        <f>COUNTIF(PoderesDeCriatura_Adquiridos,Tablas!O1625)</f>
        <v>0</v>
      </c>
      <c r="S1625" s="176"/>
      <c r="T1625" s="996"/>
      <c r="U1625" s="259"/>
    </row>
    <row r="1626" spans="1:21" ht="12.75" customHeight="1" x14ac:dyDescent="0.2">
      <c r="A1626" s="227">
        <v>1626</v>
      </c>
      <c r="B1626" s="5988"/>
      <c r="H1626"/>
      <c r="M1626" s="326"/>
      <c r="N1626" s="21"/>
      <c r="O1626" s="134" t="s">
        <v>7967</v>
      </c>
      <c r="P1626" s="998">
        <v>20</v>
      </c>
      <c r="Q1626" s="176">
        <v>30</v>
      </c>
      <c r="R1626" s="1005">
        <f>COUNTIF(PoderesDeCriatura_Adquiridos,Tablas!O1626)</f>
        <v>0</v>
      </c>
      <c r="S1626" s="176"/>
      <c r="T1626" s="996"/>
      <c r="U1626" s="259"/>
    </row>
    <row r="1627" spans="1:21" ht="12.75" customHeight="1" x14ac:dyDescent="0.2">
      <c r="A1627" s="227">
        <v>1627</v>
      </c>
      <c r="B1627" s="5988"/>
      <c r="H1627"/>
      <c r="M1627" s="326"/>
      <c r="N1627" s="21"/>
      <c r="O1627" s="134" t="s">
        <v>7968</v>
      </c>
      <c r="P1627" s="998">
        <v>10</v>
      </c>
      <c r="Q1627" s="176">
        <v>10</v>
      </c>
      <c r="R1627" s="1005">
        <f>COUNTIF(PoderesDeCriatura_Adquiridos,Tablas!O1627)</f>
        <v>0</v>
      </c>
      <c r="S1627" s="176"/>
      <c r="T1627" s="996"/>
      <c r="U1627" s="259"/>
    </row>
    <row r="1628" spans="1:21" ht="12.75" customHeight="1" x14ac:dyDescent="0.2">
      <c r="A1628" s="227">
        <v>1628</v>
      </c>
      <c r="B1628" s="5988"/>
      <c r="H1628"/>
      <c r="M1628" s="326"/>
      <c r="N1628" s="21"/>
      <c r="O1628" s="134" t="s">
        <v>7969</v>
      </c>
      <c r="P1628" s="998">
        <v>10</v>
      </c>
      <c r="Q1628" s="176">
        <v>20</v>
      </c>
      <c r="R1628" s="1005">
        <f>COUNTIF(PoderesDeCriatura_Adquiridos,Tablas!O1628)</f>
        <v>0</v>
      </c>
      <c r="S1628" s="176"/>
      <c r="T1628" s="996"/>
      <c r="U1628" s="259"/>
    </row>
    <row r="1629" spans="1:21" ht="12.75" customHeight="1" x14ac:dyDescent="0.2">
      <c r="A1629" s="227">
        <v>1629</v>
      </c>
      <c r="B1629" s="5988"/>
      <c r="H1629"/>
      <c r="M1629" s="326"/>
      <c r="N1629" s="21"/>
      <c r="O1629" s="134" t="s">
        <v>7970</v>
      </c>
      <c r="P1629" s="998">
        <v>15</v>
      </c>
      <c r="Q1629" s="176">
        <v>30</v>
      </c>
      <c r="R1629" s="1005">
        <f>COUNTIF(PoderesDeCriatura_Adquiridos,Tablas!O1629)</f>
        <v>0</v>
      </c>
      <c r="S1629" s="176"/>
      <c r="T1629" s="996"/>
      <c r="U1629" s="259"/>
    </row>
    <row r="1630" spans="1:21" ht="12.75" customHeight="1" x14ac:dyDescent="0.2">
      <c r="A1630" s="227">
        <v>1630</v>
      </c>
      <c r="B1630" s="5988"/>
      <c r="H1630"/>
      <c r="M1630" s="326"/>
      <c r="N1630" s="21"/>
      <c r="O1630" s="134" t="s">
        <v>7971</v>
      </c>
      <c r="P1630" s="998">
        <v>15</v>
      </c>
      <c r="Q1630" s="176">
        <v>40</v>
      </c>
      <c r="R1630" s="1005">
        <f>COUNTIF(PoderesDeCriatura_Adquiridos,Tablas!O1630)</f>
        <v>0</v>
      </c>
      <c r="S1630" s="176"/>
      <c r="T1630" s="996"/>
      <c r="U1630" s="259"/>
    </row>
    <row r="1631" spans="1:21" ht="12.75" customHeight="1" x14ac:dyDescent="0.2">
      <c r="A1631" s="227">
        <v>1631</v>
      </c>
      <c r="B1631" s="5988"/>
      <c r="H1631"/>
      <c r="M1631" s="326"/>
      <c r="N1631" s="21"/>
      <c r="O1631" s="134" t="s">
        <v>7972</v>
      </c>
      <c r="P1631" s="998">
        <v>20</v>
      </c>
      <c r="Q1631" s="176">
        <v>50</v>
      </c>
      <c r="R1631" s="1005">
        <f>COUNTIF(PoderesDeCriatura_Adquiridos,Tablas!O1631)</f>
        <v>0</v>
      </c>
      <c r="S1631" s="176"/>
      <c r="T1631" s="996"/>
      <c r="U1631" s="259"/>
    </row>
    <row r="1632" spans="1:21" ht="12.75" customHeight="1" x14ac:dyDescent="0.2">
      <c r="A1632" s="227">
        <v>1632</v>
      </c>
      <c r="B1632" s="5988"/>
      <c r="H1632"/>
      <c r="M1632" s="326"/>
      <c r="N1632" s="21"/>
      <c r="O1632" s="134" t="s">
        <v>7973</v>
      </c>
      <c r="P1632" s="998">
        <v>20</v>
      </c>
      <c r="Q1632" s="176">
        <v>60</v>
      </c>
      <c r="R1632" s="1005">
        <f>COUNTIF(PoderesDeCriatura_Adquiridos,Tablas!O1632)</f>
        <v>0</v>
      </c>
      <c r="S1632" s="176"/>
      <c r="T1632" s="996"/>
      <c r="U1632" s="259"/>
    </row>
    <row r="1633" spans="1:21" ht="12.75" customHeight="1" x14ac:dyDescent="0.2">
      <c r="A1633" s="227">
        <v>1633</v>
      </c>
      <c r="B1633" s="5988"/>
      <c r="H1633"/>
      <c r="M1633" s="326"/>
      <c r="N1633" s="21"/>
      <c r="O1633" s="134" t="s">
        <v>7974</v>
      </c>
      <c r="P1633" s="998">
        <v>25</v>
      </c>
      <c r="Q1633" s="176">
        <v>80</v>
      </c>
      <c r="R1633" s="1005">
        <f>COUNTIF(PoderesDeCriatura_Adquiridos,Tablas!O1633)</f>
        <v>0</v>
      </c>
      <c r="S1633" s="176"/>
      <c r="T1633" s="996"/>
      <c r="U1633" s="259"/>
    </row>
    <row r="1634" spans="1:21" ht="12.75" customHeight="1" x14ac:dyDescent="0.2">
      <c r="A1634" s="227">
        <v>1634</v>
      </c>
      <c r="B1634" s="5988"/>
      <c r="C1634" s="559"/>
      <c r="H1634"/>
      <c r="M1634" s="326"/>
      <c r="N1634" s="21"/>
      <c r="O1634" s="134" t="s">
        <v>7975</v>
      </c>
      <c r="P1634" s="998">
        <v>10</v>
      </c>
      <c r="Q1634" s="176">
        <f>10+IF(OR(TipoDeCriatura="Entre mundos, Elemental",TipoDeCriatura="Ánima, Elemental"),10,0)</f>
        <v>10</v>
      </c>
      <c r="R1634" s="1005">
        <f>COUNTIF(PoderesDeCriatura_Adquiridos,Tablas!O1634)</f>
        <v>0</v>
      </c>
      <c r="S1634" s="176"/>
      <c r="T1634" s="996"/>
      <c r="U1634" s="259"/>
    </row>
    <row r="1635" spans="1:21" ht="12.75" customHeight="1" x14ac:dyDescent="0.2">
      <c r="A1635" s="227">
        <v>1635</v>
      </c>
      <c r="B1635" s="5988"/>
      <c r="C1635" s="559"/>
      <c r="H1635"/>
      <c r="M1635" s="326"/>
      <c r="N1635" s="21"/>
      <c r="O1635" s="134" t="s">
        <v>7976</v>
      </c>
      <c r="P1635" s="998">
        <v>10</v>
      </c>
      <c r="Q1635" s="176">
        <f>20+IF(OR(TipoDeCriatura="Entre mundos, Elemental",TipoDeCriatura="Ánima, Elemental"),10,0)</f>
        <v>20</v>
      </c>
      <c r="R1635" s="1005">
        <f>COUNTIF(PoderesDeCriatura_Adquiridos,Tablas!O1635)</f>
        <v>0</v>
      </c>
      <c r="S1635" s="176"/>
      <c r="T1635" s="996"/>
      <c r="U1635" s="259"/>
    </row>
    <row r="1636" spans="1:21" ht="12.75" customHeight="1" x14ac:dyDescent="0.2">
      <c r="A1636" s="227">
        <v>1636</v>
      </c>
      <c r="B1636" s="5988"/>
      <c r="C1636" s="559"/>
      <c r="H1636"/>
      <c r="M1636" s="326"/>
      <c r="N1636" s="21"/>
      <c r="O1636" s="134" t="s">
        <v>7977</v>
      </c>
      <c r="P1636" s="998">
        <v>15</v>
      </c>
      <c r="Q1636" s="176">
        <f>40+IF(OR(TipoDeCriatura="Entre mundos, Elemental",TipoDeCriatura="Ánima, Elemental"),10,0)</f>
        <v>40</v>
      </c>
      <c r="R1636" s="1005">
        <f>COUNTIF(PoderesDeCriatura_Adquiridos,Tablas!O1636)</f>
        <v>0</v>
      </c>
      <c r="S1636" s="176"/>
      <c r="T1636" s="996"/>
      <c r="U1636" s="259"/>
    </row>
    <row r="1637" spans="1:21" ht="12.75" customHeight="1" x14ac:dyDescent="0.2">
      <c r="A1637" s="227">
        <v>1637</v>
      </c>
      <c r="B1637" s="5988"/>
      <c r="C1637" s="559"/>
      <c r="H1637"/>
      <c r="M1637" s="326"/>
      <c r="N1637" s="21"/>
      <c r="O1637" s="134" t="s">
        <v>7978</v>
      </c>
      <c r="P1637" s="998">
        <v>20</v>
      </c>
      <c r="Q1637" s="176">
        <f>80+IF(OR(TipoDeCriatura="Entre mundos, Elemental",TipoDeCriatura="Ánima, Elemental"),10,0)</f>
        <v>80</v>
      </c>
      <c r="R1637" s="1005">
        <f>COUNTIF(PoderesDeCriatura_Adquiridos,Tablas!O1637)</f>
        <v>0</v>
      </c>
      <c r="S1637" s="176"/>
      <c r="T1637" s="996"/>
      <c r="U1637" s="259"/>
    </row>
    <row r="1638" spans="1:21" ht="12.75" customHeight="1" x14ac:dyDescent="0.2">
      <c r="A1638" s="227">
        <v>1638</v>
      </c>
      <c r="B1638" s="5988"/>
      <c r="C1638" s="559"/>
      <c r="H1638"/>
      <c r="M1638" s="326"/>
      <c r="N1638" s="21"/>
      <c r="O1638" s="134" t="s">
        <v>7979</v>
      </c>
      <c r="P1638" s="998">
        <v>25</v>
      </c>
      <c r="Q1638" s="176">
        <f>120+IF(OR(TipoDeCriatura="Entre mundos, Elemental",TipoDeCriatura="Ánima, Elemental"),10,0)</f>
        <v>120</v>
      </c>
      <c r="R1638" s="1005">
        <f>COUNTIF(PoderesDeCriatura_Adquiridos,Tablas!O1638)</f>
        <v>0</v>
      </c>
      <c r="S1638" s="176"/>
      <c r="T1638" s="996"/>
      <c r="U1638" s="259"/>
    </row>
    <row r="1639" spans="1:21" ht="12.75" customHeight="1" x14ac:dyDescent="0.2">
      <c r="A1639" s="227">
        <v>1639</v>
      </c>
      <c r="B1639" s="5988"/>
      <c r="C1639" s="559"/>
      <c r="H1639"/>
      <c r="M1639" s="326"/>
      <c r="N1639" s="21"/>
      <c r="O1639" s="134" t="s">
        <v>7980</v>
      </c>
      <c r="P1639" s="998">
        <v>10</v>
      </c>
      <c r="Q1639" s="176">
        <f>20+IF(OR(TipoDeCriatura="Entre mundos, Elemental",TipoDeCriatura="Ánima, Elemental"),10,0)</f>
        <v>20</v>
      </c>
      <c r="R1639" s="1005">
        <f>COUNTIF(PoderesDeCriatura_Adquiridos,Tablas!O1639)</f>
        <v>0</v>
      </c>
      <c r="S1639" s="176"/>
      <c r="T1639" s="996"/>
      <c r="U1639" s="259"/>
    </row>
    <row r="1640" spans="1:21" ht="12.75" customHeight="1" x14ac:dyDescent="0.2">
      <c r="A1640" s="227">
        <v>1640</v>
      </c>
      <c r="B1640" s="5988"/>
      <c r="C1640" s="559"/>
      <c r="H1640"/>
      <c r="M1640" s="326"/>
      <c r="N1640" s="21"/>
      <c r="O1640" s="134" t="s">
        <v>7981</v>
      </c>
      <c r="P1640" s="998">
        <v>20</v>
      </c>
      <c r="Q1640" s="176">
        <f>30+IF(OR(TipoDeCriatura="Entre mundos, Elemental",TipoDeCriatura="Ánima, Elemental"),10,0)</f>
        <v>30</v>
      </c>
      <c r="R1640" s="1005">
        <f>COUNTIF(PoderesDeCriatura_Adquiridos,Tablas!O1640)</f>
        <v>0</v>
      </c>
      <c r="S1640" s="176"/>
      <c r="T1640" s="996"/>
      <c r="U1640" s="259"/>
    </row>
    <row r="1641" spans="1:21" ht="12.75" customHeight="1" x14ac:dyDescent="0.2">
      <c r="A1641" s="227">
        <v>1641</v>
      </c>
      <c r="B1641" s="5988"/>
      <c r="C1641" s="559"/>
      <c r="H1641"/>
      <c r="M1641" s="326"/>
      <c r="N1641" s="21"/>
      <c r="O1641" s="134" t="s">
        <v>11</v>
      </c>
      <c r="P1641" s="993"/>
      <c r="Q1641" s="86"/>
      <c r="R1641" s="1005"/>
      <c r="S1641" s="176"/>
      <c r="T1641" s="996"/>
      <c r="U1641" s="259"/>
    </row>
    <row r="1642" spans="1:21" ht="12.75" customHeight="1" x14ac:dyDescent="0.2">
      <c r="A1642" s="227">
        <v>1642</v>
      </c>
      <c r="B1642" s="5988"/>
      <c r="C1642" s="559"/>
      <c r="H1642"/>
      <c r="M1642" s="326"/>
      <c r="N1642" s="21"/>
      <c r="O1642" s="1" t="s">
        <v>12</v>
      </c>
      <c r="P1642" s="998">
        <v>5</v>
      </c>
      <c r="Q1642" s="176">
        <v>20</v>
      </c>
      <c r="R1642" s="1005">
        <f>COUNTIF(PoderesDeCriatura_Adquiridos,Tablas!O1642)</f>
        <v>0</v>
      </c>
      <c r="S1642" s="176"/>
      <c r="T1642" s="996"/>
      <c r="U1642" s="259"/>
    </row>
    <row r="1643" spans="1:21" ht="12.75" customHeight="1" x14ac:dyDescent="0.2">
      <c r="A1643" s="227">
        <v>1643</v>
      </c>
      <c r="B1643" s="5988"/>
      <c r="C1643" s="559"/>
      <c r="H1643"/>
      <c r="M1643" s="326"/>
      <c r="N1643" s="21"/>
      <c r="O1643" s="134" t="s">
        <v>7982</v>
      </c>
      <c r="P1643" s="998">
        <v>10</v>
      </c>
      <c r="Q1643" s="176">
        <v>10</v>
      </c>
      <c r="R1643" s="1005">
        <f>COUNTIF(PoderesDeCriatura_Adquiridos,Tablas!O1643)</f>
        <v>0</v>
      </c>
      <c r="S1643" s="176"/>
      <c r="T1643" s="996"/>
      <c r="U1643" s="259"/>
    </row>
    <row r="1644" spans="1:21" ht="12.75" customHeight="1" x14ac:dyDescent="0.2">
      <c r="A1644" s="227">
        <v>1644</v>
      </c>
      <c r="B1644" s="5988"/>
      <c r="C1644" s="559"/>
      <c r="H1644"/>
      <c r="M1644" s="326"/>
      <c r="N1644" s="21"/>
      <c r="O1644" s="134" t="s">
        <v>7983</v>
      </c>
      <c r="P1644" s="998">
        <v>20</v>
      </c>
      <c r="Q1644" s="176">
        <v>20</v>
      </c>
      <c r="R1644" s="1005">
        <f>COUNTIF(PoderesDeCriatura_Adquiridos,Tablas!O1644)</f>
        <v>0</v>
      </c>
      <c r="S1644" s="176"/>
      <c r="T1644" s="996"/>
      <c r="U1644" s="259"/>
    </row>
    <row r="1645" spans="1:21" ht="12.75" customHeight="1" x14ac:dyDescent="0.2">
      <c r="A1645" s="227">
        <v>1645</v>
      </c>
      <c r="B1645" s="5988"/>
      <c r="C1645" s="559"/>
      <c r="H1645"/>
      <c r="M1645" s="326"/>
      <c r="N1645" s="21"/>
      <c r="O1645" s="134" t="s">
        <v>7984</v>
      </c>
      <c r="P1645" s="998">
        <v>25</v>
      </c>
      <c r="Q1645" s="176">
        <v>30</v>
      </c>
      <c r="R1645" s="1005">
        <f>COUNTIF(PoderesDeCriatura_Adquiridos,Tablas!O1645)</f>
        <v>0</v>
      </c>
      <c r="S1645" s="176"/>
      <c r="T1645" s="996"/>
      <c r="U1645" s="259"/>
    </row>
    <row r="1646" spans="1:21" ht="12.75" customHeight="1" x14ac:dyDescent="0.2">
      <c r="A1646" s="227">
        <v>1646</v>
      </c>
      <c r="B1646" s="5988"/>
      <c r="C1646" s="559"/>
      <c r="H1646"/>
      <c r="M1646" s="326"/>
      <c r="N1646" s="21"/>
      <c r="O1646" s="134" t="s">
        <v>7985</v>
      </c>
      <c r="P1646" s="998">
        <v>30</v>
      </c>
      <c r="Q1646" s="176">
        <v>40</v>
      </c>
      <c r="R1646" s="1005">
        <f>COUNTIF(PoderesDeCriatura_Adquiridos,Tablas!O1646)</f>
        <v>0</v>
      </c>
      <c r="S1646" s="176"/>
      <c r="T1646" s="996"/>
      <c r="U1646" s="259"/>
    </row>
    <row r="1647" spans="1:21" ht="12.75" customHeight="1" x14ac:dyDescent="0.2">
      <c r="A1647" s="227">
        <v>1647</v>
      </c>
      <c r="B1647" s="5988"/>
      <c r="C1647" s="559"/>
      <c r="H1647"/>
      <c r="M1647" s="326"/>
      <c r="N1647" s="21"/>
      <c r="O1647" s="134" t="s">
        <v>7986</v>
      </c>
      <c r="P1647" s="998">
        <v>5</v>
      </c>
      <c r="Q1647" s="176">
        <v>20</v>
      </c>
      <c r="R1647" s="1005">
        <f>COUNTIF(PoderesDeCriatura_Adquiridos,Tablas!O1647)</f>
        <v>0</v>
      </c>
      <c r="S1647" s="176"/>
      <c r="T1647" s="996"/>
      <c r="U1647" s="259"/>
    </row>
    <row r="1648" spans="1:21" ht="12.75" customHeight="1" x14ac:dyDescent="0.2">
      <c r="A1648" s="227">
        <v>1648</v>
      </c>
      <c r="B1648" s="5988"/>
      <c r="C1648" s="559"/>
      <c r="H1648"/>
      <c r="M1648" s="326"/>
      <c r="N1648" s="21"/>
      <c r="O1648" s="134" t="s">
        <v>7987</v>
      </c>
      <c r="P1648" s="998">
        <v>10</v>
      </c>
      <c r="Q1648" s="176">
        <v>30</v>
      </c>
      <c r="R1648" s="1005">
        <f>COUNTIF(PoderesDeCriatura_Adquiridos,Tablas!O1648)</f>
        <v>0</v>
      </c>
      <c r="S1648" s="176"/>
      <c r="T1648" s="996"/>
      <c r="U1648" s="259"/>
    </row>
    <row r="1649" spans="1:21" ht="12.75" customHeight="1" x14ac:dyDescent="0.2">
      <c r="A1649" s="227">
        <v>1649</v>
      </c>
      <c r="B1649" s="5988"/>
      <c r="C1649" s="559"/>
      <c r="H1649"/>
      <c r="M1649" s="326"/>
      <c r="N1649" s="21"/>
      <c r="O1649" s="134" t="s">
        <v>7988</v>
      </c>
      <c r="P1649" s="998">
        <v>15</v>
      </c>
      <c r="Q1649" s="176">
        <v>40</v>
      </c>
      <c r="R1649" s="1005">
        <f>COUNTIF(PoderesDeCriatura_Adquiridos,Tablas!O1649)</f>
        <v>0</v>
      </c>
      <c r="S1649" s="176"/>
      <c r="T1649" s="996"/>
      <c r="U1649" s="259"/>
    </row>
    <row r="1650" spans="1:21" ht="12.75" customHeight="1" x14ac:dyDescent="0.2">
      <c r="A1650" s="227">
        <v>1650</v>
      </c>
      <c r="B1650" s="5988"/>
      <c r="C1650" s="559"/>
      <c r="H1650"/>
      <c r="M1650" s="326"/>
      <c r="N1650" s="21"/>
      <c r="O1650" s="134" t="s">
        <v>7989</v>
      </c>
      <c r="P1650" s="998">
        <v>25</v>
      </c>
      <c r="Q1650" s="176">
        <v>60</v>
      </c>
      <c r="R1650" s="1005">
        <f>COUNTIF(PoderesDeCriatura_Adquiridos,Tablas!O1650)</f>
        <v>0</v>
      </c>
      <c r="S1650" s="176"/>
      <c r="T1650" s="996"/>
      <c r="U1650" s="259"/>
    </row>
    <row r="1651" spans="1:21" ht="12.75" customHeight="1" x14ac:dyDescent="0.2">
      <c r="A1651" s="227">
        <v>1651</v>
      </c>
      <c r="B1651" s="5988"/>
      <c r="C1651" s="559"/>
      <c r="H1651"/>
      <c r="M1651" s="326"/>
      <c r="N1651" s="21"/>
      <c r="O1651" s="134" t="s">
        <v>7990</v>
      </c>
      <c r="P1651" s="998">
        <v>30</v>
      </c>
      <c r="Q1651" s="176">
        <v>80</v>
      </c>
      <c r="R1651" s="1005">
        <f>COUNTIF(PoderesDeCriatura_Adquiridos,Tablas!O1651)</f>
        <v>0</v>
      </c>
      <c r="S1651" s="176"/>
      <c r="T1651" s="996"/>
      <c r="U1651" s="259"/>
    </row>
    <row r="1652" spans="1:21" ht="12.75" customHeight="1" x14ac:dyDescent="0.2">
      <c r="A1652" s="227">
        <v>1652</v>
      </c>
      <c r="B1652" s="5988"/>
      <c r="C1652" s="559"/>
      <c r="H1652"/>
      <c r="M1652" s="326"/>
      <c r="N1652" s="21"/>
      <c r="O1652" s="134" t="s">
        <v>7991</v>
      </c>
      <c r="P1652" s="998">
        <v>10</v>
      </c>
      <c r="Q1652" s="176">
        <v>50</v>
      </c>
      <c r="R1652" s="1005">
        <f>COUNTIF(PoderesDeCriatura_Adquiridos,Tablas!O1652)</f>
        <v>0</v>
      </c>
      <c r="S1652" s="176"/>
      <c r="T1652" s="996"/>
      <c r="U1652" s="259"/>
    </row>
    <row r="1653" spans="1:21" ht="12.75" customHeight="1" x14ac:dyDescent="0.2">
      <c r="A1653" s="227">
        <v>1653</v>
      </c>
      <c r="B1653" s="5988"/>
      <c r="C1653" s="559"/>
      <c r="H1653"/>
      <c r="M1653" s="326"/>
      <c r="N1653" s="21"/>
      <c r="O1653" s="134" t="s">
        <v>7992</v>
      </c>
      <c r="P1653" s="998">
        <v>15</v>
      </c>
      <c r="Q1653" s="176">
        <v>60</v>
      </c>
      <c r="R1653" s="1005">
        <f>COUNTIF(PoderesDeCriatura_Adquiridos,Tablas!O1653)</f>
        <v>0</v>
      </c>
      <c r="S1653" s="176"/>
      <c r="T1653" s="996"/>
      <c r="U1653" s="259"/>
    </row>
    <row r="1654" spans="1:21" ht="12.75" customHeight="1" x14ac:dyDescent="0.2">
      <c r="A1654" s="227">
        <v>1654</v>
      </c>
      <c r="B1654" s="5988"/>
      <c r="C1654" s="559"/>
      <c r="H1654"/>
      <c r="M1654" s="326"/>
      <c r="N1654" s="21"/>
      <c r="O1654" s="134" t="s">
        <v>7993</v>
      </c>
      <c r="P1654" s="998">
        <v>20</v>
      </c>
      <c r="Q1654" s="176">
        <v>80</v>
      </c>
      <c r="R1654" s="1005">
        <f>COUNTIF(PoderesDeCriatura_Adquiridos,Tablas!O1654)</f>
        <v>0</v>
      </c>
      <c r="S1654" s="176"/>
      <c r="T1654" s="996"/>
      <c r="U1654" s="259"/>
    </row>
    <row r="1655" spans="1:21" ht="12.75" customHeight="1" x14ac:dyDescent="0.2">
      <c r="A1655" s="227">
        <v>1655</v>
      </c>
      <c r="B1655" s="5988"/>
      <c r="C1655" s="559"/>
      <c r="H1655"/>
      <c r="M1655" s="326"/>
      <c r="N1655" s="21"/>
      <c r="O1655" s="134" t="s">
        <v>7994</v>
      </c>
      <c r="P1655" s="993">
        <v>25</v>
      </c>
      <c r="Q1655" s="86">
        <v>100</v>
      </c>
      <c r="R1655" s="1005">
        <f>COUNTIF(PoderesDeCriatura_Adquiridos,Tablas!O1655)</f>
        <v>0</v>
      </c>
      <c r="S1655" s="176"/>
      <c r="T1655" s="996"/>
      <c r="U1655" s="259"/>
    </row>
    <row r="1656" spans="1:21" ht="12.75" customHeight="1" x14ac:dyDescent="0.2">
      <c r="A1656" s="227">
        <v>1656</v>
      </c>
      <c r="B1656" s="5988"/>
      <c r="C1656" s="559"/>
      <c r="H1656"/>
      <c r="M1656" s="326"/>
      <c r="N1656" s="21"/>
      <c r="O1656" s="134" t="s">
        <v>7995</v>
      </c>
      <c r="P1656" s="993">
        <v>30</v>
      </c>
      <c r="Q1656" s="86">
        <v>120</v>
      </c>
      <c r="R1656" s="1005">
        <f>COUNTIF(PoderesDeCriatura_Adquiridos,Tablas!O1656)</f>
        <v>0</v>
      </c>
      <c r="S1656" s="176"/>
      <c r="T1656" s="996"/>
      <c r="U1656" s="259"/>
    </row>
    <row r="1657" spans="1:21" ht="12.75" customHeight="1" x14ac:dyDescent="0.2">
      <c r="A1657" s="227">
        <v>1657</v>
      </c>
      <c r="B1657" s="5988"/>
      <c r="C1657" s="559"/>
      <c r="H1657"/>
      <c r="M1657" s="326"/>
      <c r="N1657" s="21"/>
      <c r="O1657" s="134" t="s">
        <v>7996</v>
      </c>
      <c r="P1657" s="998">
        <v>0</v>
      </c>
      <c r="Q1657" s="176">
        <v>20</v>
      </c>
      <c r="R1657" s="1005">
        <f>COUNTIF(PoderesDeCriatura_Adquiridos,Tablas!O1657)</f>
        <v>0</v>
      </c>
      <c r="S1657" s="176"/>
      <c r="T1657" s="996"/>
      <c r="U1657" s="259">
        <f>SUM(R1665:R1668)</f>
        <v>0</v>
      </c>
    </row>
    <row r="1658" spans="1:21" ht="12.75" customHeight="1" x14ac:dyDescent="0.2">
      <c r="A1658" s="227">
        <v>1658</v>
      </c>
      <c r="B1658" s="5988"/>
      <c r="C1658" s="559"/>
      <c r="H1658"/>
      <c r="M1658" s="326"/>
      <c r="N1658" s="21"/>
      <c r="O1658" s="134" t="s">
        <v>7997</v>
      </c>
      <c r="P1658" s="998">
        <v>10</v>
      </c>
      <c r="Q1658" s="176">
        <v>40</v>
      </c>
      <c r="R1658" s="1005">
        <f>COUNTIF(PoderesDeCriatura_Adquiridos,Tablas!O1658)</f>
        <v>0</v>
      </c>
      <c r="S1658" s="176"/>
      <c r="T1658" s="996"/>
      <c r="U1658" s="259"/>
    </row>
    <row r="1659" spans="1:21" ht="12.75" customHeight="1" x14ac:dyDescent="0.2">
      <c r="A1659" s="227">
        <v>1659</v>
      </c>
      <c r="B1659" s="5988"/>
      <c r="C1659" s="559"/>
      <c r="H1659"/>
      <c r="M1659" s="326"/>
      <c r="N1659" s="21"/>
      <c r="O1659" s="134" t="s">
        <v>7998</v>
      </c>
      <c r="P1659" s="998">
        <v>30</v>
      </c>
      <c r="Q1659" s="176">
        <v>60</v>
      </c>
      <c r="R1659" s="1005">
        <f>COUNTIF(PoderesDeCriatura_Adquiridos,Tablas!O1659)</f>
        <v>0</v>
      </c>
      <c r="S1659" s="176"/>
      <c r="T1659" s="996"/>
      <c r="U1659" s="259"/>
    </row>
    <row r="1660" spans="1:21" ht="12.75" customHeight="1" x14ac:dyDescent="0.2">
      <c r="A1660" s="227">
        <v>1660</v>
      </c>
      <c r="B1660" s="5988"/>
      <c r="C1660" s="559"/>
      <c r="H1660"/>
      <c r="M1660" s="326"/>
      <c r="N1660" s="21"/>
      <c r="O1660" s="134" t="s">
        <v>7999</v>
      </c>
      <c r="P1660" s="998">
        <v>10</v>
      </c>
      <c r="Q1660" s="176">
        <v>30</v>
      </c>
      <c r="R1660" s="1005">
        <f>COUNTIF(PoderesDeCriatura_Adquiridos,Tablas!O1660)</f>
        <v>0</v>
      </c>
      <c r="S1660" s="176"/>
      <c r="T1660" s="996"/>
      <c r="U1660" s="259"/>
    </row>
    <row r="1661" spans="1:21" ht="12.75" customHeight="1" x14ac:dyDescent="0.2">
      <c r="A1661" s="227">
        <v>1661</v>
      </c>
      <c r="B1661" s="5988"/>
      <c r="C1661" s="559"/>
      <c r="H1661"/>
      <c r="M1661" s="326"/>
      <c r="N1661" s="21"/>
      <c r="O1661" s="134" t="s">
        <v>8000</v>
      </c>
      <c r="P1661" s="998">
        <v>15</v>
      </c>
      <c r="Q1661" s="176">
        <v>40</v>
      </c>
      <c r="R1661" s="1005">
        <f>COUNTIF(PoderesDeCriatura_Adquiridos,Tablas!O1661)</f>
        <v>0</v>
      </c>
      <c r="S1661" s="176"/>
      <c r="T1661" s="996"/>
      <c r="U1661" s="259"/>
    </row>
    <row r="1662" spans="1:21" ht="12.75" customHeight="1" x14ac:dyDescent="0.2">
      <c r="A1662" s="227">
        <v>1662</v>
      </c>
      <c r="B1662" s="5988"/>
      <c r="C1662" s="559"/>
      <c r="H1662"/>
      <c r="M1662" s="326"/>
      <c r="N1662" s="21"/>
      <c r="O1662" s="134" t="s">
        <v>8001</v>
      </c>
      <c r="P1662" s="998">
        <v>15</v>
      </c>
      <c r="Q1662" s="176">
        <f>20+IF(OR(TipoDeCriatura="Entre mundos, Elemental",TipoDeCriatura="Ánima, Elemental"),10,0)</f>
        <v>20</v>
      </c>
      <c r="R1662" s="1005">
        <f>COUNTIF(PoderesDeCriatura_Adquiridos,Tablas!O1662)</f>
        <v>0</v>
      </c>
      <c r="S1662" s="176"/>
      <c r="T1662" s="996"/>
      <c r="U1662" s="259"/>
    </row>
    <row r="1663" spans="1:21" ht="12.75" customHeight="1" x14ac:dyDescent="0.2">
      <c r="A1663" s="227">
        <v>1663</v>
      </c>
      <c r="B1663" s="5988"/>
      <c r="C1663" s="559"/>
      <c r="H1663"/>
      <c r="M1663" s="326"/>
      <c r="N1663" s="21"/>
      <c r="O1663" s="134" t="s">
        <v>8002</v>
      </c>
      <c r="P1663" s="998">
        <v>30</v>
      </c>
      <c r="Q1663" s="176">
        <f>40+IF(OR(TipoDeCriatura="Entre mundos, Elemental",TipoDeCriatura="Ánima, Elemental"),10,0)</f>
        <v>40</v>
      </c>
      <c r="R1663" s="1005">
        <f>COUNTIF(PoderesDeCriatura_Adquiridos,Tablas!O1663)</f>
        <v>0</v>
      </c>
      <c r="S1663" s="176"/>
      <c r="T1663" s="996"/>
      <c r="U1663" s="259"/>
    </row>
    <row r="1664" spans="1:21" ht="12.75" customHeight="1" x14ac:dyDescent="0.2">
      <c r="A1664" s="227">
        <v>1664</v>
      </c>
      <c r="B1664" s="5988"/>
      <c r="C1664" s="559"/>
      <c r="H1664"/>
      <c r="M1664" s="326"/>
      <c r="N1664" s="21"/>
      <c r="O1664" s="134" t="s">
        <v>13</v>
      </c>
      <c r="P1664" s="998">
        <v>5</v>
      </c>
      <c r="Q1664" s="176">
        <v>20</v>
      </c>
      <c r="R1664" s="1005">
        <f>COUNTIF(PoderesDeCriatura_Adquiridos,Tablas!O1664)+U1657</f>
        <v>0</v>
      </c>
      <c r="S1664" s="176"/>
      <c r="T1664" s="996"/>
      <c r="U1664" s="259"/>
    </row>
    <row r="1665" spans="1:21" ht="12.75" customHeight="1" x14ac:dyDescent="0.2">
      <c r="A1665" s="227">
        <v>1665</v>
      </c>
      <c r="B1665" s="5988"/>
      <c r="C1665" s="559"/>
      <c r="H1665"/>
      <c r="M1665" s="326"/>
      <c r="N1665" s="21"/>
      <c r="O1665" s="134" t="s">
        <v>8003</v>
      </c>
      <c r="P1665" s="998">
        <v>10</v>
      </c>
      <c r="Q1665" s="176">
        <f>20+IF(OR(TipoDeCriatura="Entre mundos, Elemental",TipoDeCriatura="Ánima, Elemental"),10,0)</f>
        <v>20</v>
      </c>
      <c r="R1665" s="1005">
        <f>COUNTIF(PoderesDeCriatura_Adquiridos,Tablas!O1665)</f>
        <v>0</v>
      </c>
      <c r="S1665" s="176"/>
      <c r="T1665" s="996"/>
      <c r="U1665" s="259"/>
    </row>
    <row r="1666" spans="1:21" ht="12.75" customHeight="1" x14ac:dyDescent="0.2">
      <c r="A1666" s="227">
        <v>1666</v>
      </c>
      <c r="B1666" s="5988"/>
      <c r="C1666" s="559"/>
      <c r="H1666"/>
      <c r="M1666" s="326"/>
      <c r="N1666" s="21"/>
      <c r="O1666" s="134" t="s">
        <v>8004</v>
      </c>
      <c r="P1666" s="998">
        <v>20</v>
      </c>
      <c r="Q1666" s="176">
        <f>40+IF(OR(TipoDeCriatura="Entre mundos, Elemental",TipoDeCriatura="Ánima, Elemental"),10,0)</f>
        <v>40</v>
      </c>
      <c r="R1666" s="1005">
        <f>COUNTIF(PoderesDeCriatura_Adquiridos,Tablas!O1666)</f>
        <v>0</v>
      </c>
      <c r="S1666" s="176"/>
      <c r="T1666" s="996"/>
      <c r="U1666" s="259"/>
    </row>
    <row r="1667" spans="1:21" ht="12.75" customHeight="1" x14ac:dyDescent="0.2">
      <c r="A1667" s="227">
        <v>1667</v>
      </c>
      <c r="B1667" s="5988"/>
      <c r="C1667" s="559"/>
      <c r="H1667"/>
      <c r="M1667" s="326"/>
      <c r="N1667" s="21"/>
      <c r="O1667" s="134" t="s">
        <v>8005</v>
      </c>
      <c r="P1667" s="998">
        <v>10</v>
      </c>
      <c r="Q1667" s="176">
        <f>30+IF(OR(TipoDeCriatura="Entre mundos, Elemental",TipoDeCriatura="Ánima, Elemental"),10,0)</f>
        <v>30</v>
      </c>
      <c r="R1667" s="1005">
        <f>COUNTIF(PoderesDeCriatura_Adquiridos,Tablas!O1667)</f>
        <v>0</v>
      </c>
      <c r="S1667" s="176"/>
      <c r="T1667" s="996"/>
      <c r="U1667" s="259"/>
    </row>
    <row r="1668" spans="1:21" ht="12.75" customHeight="1" x14ac:dyDescent="0.2">
      <c r="A1668" s="227">
        <v>1668</v>
      </c>
      <c r="B1668" s="5988"/>
      <c r="C1668" s="559"/>
      <c r="H1668"/>
      <c r="M1668" s="326"/>
      <c r="N1668" s="21"/>
      <c r="O1668" s="134" t="s">
        <v>8006</v>
      </c>
      <c r="P1668" s="998">
        <v>10</v>
      </c>
      <c r="Q1668" s="176">
        <f>20+IF(OR(TipoDeCriatura="Entre mundos, Elemental",TipoDeCriatura="Ánima, Elemental"),10,0)</f>
        <v>20</v>
      </c>
      <c r="R1668" s="1005">
        <f>COUNTIF(PoderesDeCriatura_Adquiridos,Tablas!O1668)</f>
        <v>0</v>
      </c>
      <c r="S1668" s="176"/>
      <c r="T1668" s="996"/>
      <c r="U1668" s="259"/>
    </row>
    <row r="1669" spans="1:21" ht="12.75" customHeight="1" x14ac:dyDescent="0.2">
      <c r="A1669" s="227">
        <v>1669</v>
      </c>
      <c r="B1669" s="5988"/>
      <c r="C1669" s="559"/>
      <c r="H1669"/>
      <c r="M1669" s="326"/>
      <c r="N1669" s="21"/>
      <c r="O1669" s="1" t="s">
        <v>14</v>
      </c>
      <c r="P1669" s="998">
        <v>15</v>
      </c>
      <c r="Q1669" s="176">
        <v>50</v>
      </c>
      <c r="R1669" s="1005">
        <f>COUNTIF(PoderesDeCriatura_Adquiridos,Tablas!O1669)</f>
        <v>0</v>
      </c>
      <c r="S1669" s="176"/>
      <c r="T1669" s="996"/>
      <c r="U1669" s="259"/>
    </row>
    <row r="1670" spans="1:21" ht="12.75" customHeight="1" x14ac:dyDescent="0.2">
      <c r="A1670" s="227">
        <v>1670</v>
      </c>
      <c r="B1670" s="5988"/>
      <c r="C1670" s="559"/>
      <c r="H1670"/>
      <c r="M1670" s="326"/>
      <c r="N1670" s="21"/>
      <c r="O1670" s="134" t="s">
        <v>9955</v>
      </c>
      <c r="P1670" s="998">
        <v>5</v>
      </c>
      <c r="Q1670" s="176">
        <v>10</v>
      </c>
      <c r="R1670" s="1005">
        <f>COUNTIF(PoderesDeCriatura_Adquiridos,Tablas!O1670)</f>
        <v>0</v>
      </c>
      <c r="S1670" s="176"/>
      <c r="T1670" s="996"/>
      <c r="U1670" s="259"/>
    </row>
    <row r="1671" spans="1:21" ht="12.75" customHeight="1" x14ac:dyDescent="0.2">
      <c r="A1671" s="227">
        <v>1671</v>
      </c>
      <c r="B1671" s="5988"/>
      <c r="C1671" s="559"/>
      <c r="H1671"/>
      <c r="M1671" s="326"/>
      <c r="N1671" s="21"/>
      <c r="O1671" s="134" t="s">
        <v>9956</v>
      </c>
      <c r="P1671" s="998">
        <v>10</v>
      </c>
      <c r="Q1671" s="176">
        <v>20</v>
      </c>
      <c r="R1671" s="1005">
        <f>COUNTIF(PoderesDeCriatura_Adquiridos,Tablas!O1671)</f>
        <v>0</v>
      </c>
      <c r="S1671" s="176"/>
      <c r="T1671" s="996"/>
      <c r="U1671" s="259"/>
    </row>
    <row r="1672" spans="1:21" ht="12.75" customHeight="1" x14ac:dyDescent="0.2">
      <c r="A1672" s="227">
        <v>1672</v>
      </c>
      <c r="B1672" s="5988"/>
      <c r="C1672" s="559"/>
      <c r="H1672"/>
      <c r="M1672" s="326"/>
      <c r="N1672" s="21"/>
      <c r="O1672" s="134" t="s">
        <v>9957</v>
      </c>
      <c r="P1672" s="998">
        <v>20</v>
      </c>
      <c r="Q1672" s="176">
        <v>30</v>
      </c>
      <c r="R1672" s="1005">
        <f>COUNTIF(PoderesDeCriatura_Adquiridos,Tablas!O1672)</f>
        <v>0</v>
      </c>
      <c r="S1672" s="176"/>
      <c r="T1672" s="996"/>
      <c r="U1672" s="259"/>
    </row>
    <row r="1673" spans="1:21" ht="12.75" customHeight="1" x14ac:dyDescent="0.2">
      <c r="A1673" s="227">
        <v>1673</v>
      </c>
      <c r="B1673" s="5988"/>
      <c r="C1673" s="559"/>
      <c r="H1673"/>
      <c r="M1673" s="326"/>
      <c r="N1673" s="21"/>
      <c r="O1673" s="134" t="s">
        <v>9958</v>
      </c>
      <c r="P1673" s="998">
        <v>30</v>
      </c>
      <c r="Q1673" s="176">
        <v>40</v>
      </c>
      <c r="R1673" s="1005">
        <f>COUNTIF(PoderesDeCriatura_Adquiridos,Tablas!O1673)</f>
        <v>0</v>
      </c>
      <c r="S1673" s="176"/>
      <c r="T1673" s="996"/>
      <c r="U1673" s="259"/>
    </row>
    <row r="1674" spans="1:21" ht="12.75" customHeight="1" x14ac:dyDescent="0.2">
      <c r="A1674" s="227">
        <v>1674</v>
      </c>
      <c r="B1674" s="5988"/>
      <c r="C1674" s="559"/>
      <c r="H1674"/>
      <c r="M1674" s="326"/>
      <c r="N1674" s="21"/>
      <c r="O1674" s="134" t="s">
        <v>9959</v>
      </c>
      <c r="P1674" s="998">
        <v>20</v>
      </c>
      <c r="Q1674" s="176">
        <f>40+IF(OR(TipoDeCriatura="Entre mundos, Elemental",TipoDeCriatura="Ánima, Elemental"),10,0)</f>
        <v>40</v>
      </c>
      <c r="R1674" s="1005">
        <f>COUNTIF(PoderesDeCriatura_Adquiridos,Tablas!O1674)</f>
        <v>0</v>
      </c>
      <c r="S1674" s="176"/>
      <c r="T1674" s="996"/>
      <c r="U1674" s="259"/>
    </row>
    <row r="1675" spans="1:21" ht="12.75" customHeight="1" x14ac:dyDescent="0.2">
      <c r="A1675" s="227">
        <v>1675</v>
      </c>
      <c r="B1675" s="5988"/>
      <c r="C1675" s="559"/>
      <c r="H1675"/>
      <c r="M1675" s="326"/>
      <c r="N1675" s="21"/>
      <c r="O1675" s="134" t="s">
        <v>9960</v>
      </c>
      <c r="P1675" s="998">
        <v>10</v>
      </c>
      <c r="Q1675" s="176">
        <f>20+IF(OR(TipoDeCriatura="Entre mundos, Elemental",TipoDeCriatura="Ánima, Elemental"),10,0)</f>
        <v>20</v>
      </c>
      <c r="R1675" s="1005">
        <f>COUNTIF(PoderesDeCriatura_Adquiridos,Tablas!O1675)</f>
        <v>0</v>
      </c>
      <c r="S1675" s="176"/>
      <c r="T1675" s="996"/>
      <c r="U1675" s="259"/>
    </row>
    <row r="1676" spans="1:21" ht="12.75" customHeight="1" x14ac:dyDescent="0.2">
      <c r="A1676" s="227">
        <v>1676</v>
      </c>
      <c r="B1676" s="5988"/>
      <c r="C1676" s="559"/>
      <c r="H1676"/>
      <c r="M1676" s="326"/>
      <c r="N1676" s="21"/>
      <c r="O1676" s="134" t="s">
        <v>9961</v>
      </c>
      <c r="P1676" s="998">
        <v>15</v>
      </c>
      <c r="Q1676" s="176">
        <f>30+IF(OR(TipoDeCriatura="Entre mundos, Elemental",TipoDeCriatura="Ánima, Elemental"),10,0)</f>
        <v>30</v>
      </c>
      <c r="R1676" s="1005">
        <f>COUNTIF(PoderesDeCriatura_Adquiridos,Tablas!O1676)</f>
        <v>0</v>
      </c>
      <c r="S1676" s="176"/>
      <c r="T1676" s="996"/>
      <c r="U1676" s="259"/>
    </row>
    <row r="1677" spans="1:21" ht="12.75" customHeight="1" x14ac:dyDescent="0.2">
      <c r="A1677" s="227">
        <v>1677</v>
      </c>
      <c r="B1677" s="5988"/>
      <c r="C1677" s="559"/>
      <c r="H1677"/>
      <c r="M1677" s="326"/>
      <c r="N1677" s="21"/>
      <c r="O1677" s="134" t="s">
        <v>9962</v>
      </c>
      <c r="P1677" s="998">
        <v>5</v>
      </c>
      <c r="Q1677" s="176">
        <f>10+IF(OR(TipoDeCriatura="Entre mundos, Elemental",TipoDeCriatura="Ánima, Elemental"),10,0)</f>
        <v>10</v>
      </c>
      <c r="R1677" s="1005">
        <f>COUNTIF(PoderesDeCriatura_Adquiridos,Tablas!O1677)</f>
        <v>0</v>
      </c>
      <c r="S1677" s="176"/>
      <c r="T1677" s="996"/>
      <c r="U1677" s="259"/>
    </row>
    <row r="1678" spans="1:21" ht="12.75" customHeight="1" x14ac:dyDescent="0.2">
      <c r="A1678" s="227">
        <v>1678</v>
      </c>
      <c r="B1678" s="5988"/>
      <c r="C1678" s="559"/>
      <c r="H1678"/>
      <c r="M1678" s="326"/>
      <c r="N1678" s="21"/>
      <c r="O1678" s="134" t="s">
        <v>9963</v>
      </c>
      <c r="P1678" s="998">
        <v>10</v>
      </c>
      <c r="Q1678" s="176">
        <f>10+IF(OR(TipoDeCriatura="Entre mundos, Elemental",TipoDeCriatura="Ánima, Elemental"),10,0)</f>
        <v>10</v>
      </c>
      <c r="R1678" s="1005">
        <f>COUNTIF(PoderesDeCriatura_Adquiridos,Tablas!O1678)</f>
        <v>0</v>
      </c>
      <c r="S1678" s="176"/>
      <c r="T1678" s="996"/>
      <c r="U1678" s="259"/>
    </row>
    <row r="1679" spans="1:21" ht="12.75" customHeight="1" x14ac:dyDescent="0.2">
      <c r="A1679" s="227">
        <v>1679</v>
      </c>
      <c r="B1679" s="5988"/>
      <c r="C1679" s="559"/>
      <c r="H1679"/>
      <c r="M1679" s="326"/>
      <c r="N1679" s="21"/>
      <c r="O1679" s="134" t="s">
        <v>9964</v>
      </c>
      <c r="P1679" s="998">
        <v>20</v>
      </c>
      <c r="Q1679" s="176">
        <f>40+IF(OR(TipoDeCriatura="Entre mundos, Elemental",TipoDeCriatura="Ánima, Elemental"),10,0)</f>
        <v>40</v>
      </c>
      <c r="R1679" s="1005">
        <f>COUNTIF(PoderesDeCriatura_Adquiridos,Tablas!O1679)</f>
        <v>0</v>
      </c>
      <c r="S1679" s="176"/>
      <c r="T1679" s="996"/>
      <c r="U1679" s="259"/>
    </row>
    <row r="1680" spans="1:21" ht="12.75" customHeight="1" x14ac:dyDescent="0.2">
      <c r="A1680" s="227">
        <v>1680</v>
      </c>
      <c r="B1680" s="5988"/>
      <c r="C1680" s="559"/>
      <c r="H1680"/>
      <c r="M1680" s="326"/>
      <c r="N1680" s="21"/>
      <c r="O1680" s="134" t="s">
        <v>8007</v>
      </c>
      <c r="P1680" s="998">
        <v>5</v>
      </c>
      <c r="Q1680" s="176">
        <v>10</v>
      </c>
      <c r="R1680" s="1005">
        <f>COUNTIF(PoderesDeCriatura_Adquiridos,Tablas!O1680)</f>
        <v>0</v>
      </c>
      <c r="S1680" s="176">
        <f t="array" ref="S1680">MAX(R1680:R1684*{5;10;15;20;25})</f>
        <v>0</v>
      </c>
      <c r="T1680" s="996" t="s">
        <v>1570</v>
      </c>
      <c r="U1680" s="259"/>
    </row>
    <row r="1681" spans="1:21" ht="12.75" customHeight="1" x14ac:dyDescent="0.2">
      <c r="A1681" s="227">
        <v>1681</v>
      </c>
      <c r="B1681" s="5988"/>
      <c r="C1681" s="559"/>
      <c r="H1681"/>
      <c r="M1681" s="326"/>
      <c r="N1681" s="21"/>
      <c r="O1681" s="134" t="s">
        <v>8008</v>
      </c>
      <c r="P1681" s="998">
        <v>10</v>
      </c>
      <c r="Q1681" s="176">
        <v>20</v>
      </c>
      <c r="R1681" s="1005">
        <f>COUNTIF(PoderesDeCriatura_Adquiridos,Tablas!O1681)</f>
        <v>0</v>
      </c>
      <c r="S1681" s="176"/>
      <c r="T1681" s="996"/>
      <c r="U1681" s="259"/>
    </row>
    <row r="1682" spans="1:21" ht="12.75" customHeight="1" x14ac:dyDescent="0.2">
      <c r="A1682" s="227">
        <v>1682</v>
      </c>
      <c r="B1682" s="5988"/>
      <c r="C1682" s="559"/>
      <c r="H1682"/>
      <c r="M1682" s="326"/>
      <c r="N1682" s="21"/>
      <c r="O1682" s="134" t="s">
        <v>4317</v>
      </c>
      <c r="P1682" s="998">
        <v>15</v>
      </c>
      <c r="Q1682" s="176">
        <v>40</v>
      </c>
      <c r="R1682" s="1005">
        <f>COUNTIF(PoderesDeCriatura_Adquiridos,Tablas!O1682)</f>
        <v>0</v>
      </c>
      <c r="S1682" s="176"/>
      <c r="T1682" s="996"/>
      <c r="U1682" s="259"/>
    </row>
    <row r="1683" spans="1:21" ht="12.75" customHeight="1" x14ac:dyDescent="0.2">
      <c r="A1683" s="227">
        <v>1683</v>
      </c>
      <c r="B1683" s="5988"/>
      <c r="C1683" s="559"/>
      <c r="H1683"/>
      <c r="M1683" s="326"/>
      <c r="N1683" s="21"/>
      <c r="O1683" s="134" t="s">
        <v>8009</v>
      </c>
      <c r="P1683" s="998">
        <v>30</v>
      </c>
      <c r="Q1683" s="176">
        <v>60</v>
      </c>
      <c r="R1683" s="1005">
        <f>COUNTIF(PoderesDeCriatura_Adquiridos,Tablas!O1683)</f>
        <v>0</v>
      </c>
      <c r="S1683" s="176"/>
      <c r="T1683" s="996"/>
      <c r="U1683" s="259"/>
    </row>
    <row r="1684" spans="1:21" ht="12.75" customHeight="1" x14ac:dyDescent="0.2">
      <c r="A1684" s="227">
        <v>1684</v>
      </c>
      <c r="B1684" s="5988"/>
      <c r="C1684" s="559"/>
      <c r="H1684"/>
      <c r="M1684" s="326"/>
      <c r="N1684" s="21"/>
      <c r="O1684" s="134" t="s">
        <v>8010</v>
      </c>
      <c r="P1684" s="998">
        <v>35</v>
      </c>
      <c r="Q1684" s="176">
        <v>80</v>
      </c>
      <c r="R1684" s="1005">
        <f>COUNTIF(PoderesDeCriatura_Adquiridos,Tablas!O1684)</f>
        <v>0</v>
      </c>
      <c r="S1684" s="176"/>
      <c r="T1684" s="996"/>
      <c r="U1684" s="259"/>
    </row>
    <row r="1685" spans="1:21" ht="12.75" customHeight="1" x14ac:dyDescent="0.2">
      <c r="A1685" s="227">
        <v>1685</v>
      </c>
      <c r="B1685" s="5988"/>
      <c r="C1685" s="559"/>
      <c r="H1685"/>
      <c r="M1685" s="326"/>
      <c r="N1685" s="21"/>
      <c r="O1685" s="1" t="s">
        <v>15</v>
      </c>
      <c r="P1685" s="998">
        <v>30</v>
      </c>
      <c r="Q1685" s="176">
        <v>100</v>
      </c>
      <c r="R1685" s="1005">
        <f>COUNTIF(PoderesDeCriatura_Adquiridos,Tablas!O1685)</f>
        <v>0</v>
      </c>
      <c r="S1685" s="176"/>
      <c r="T1685" s="996"/>
      <c r="U1685" s="259"/>
    </row>
    <row r="1686" spans="1:21" ht="12.75" customHeight="1" x14ac:dyDescent="0.2">
      <c r="A1686" s="227">
        <v>1686</v>
      </c>
      <c r="B1686" s="5988"/>
      <c r="C1686" s="559"/>
      <c r="H1686"/>
      <c r="M1686" s="326"/>
      <c r="N1686" s="21"/>
      <c r="O1686" s="134" t="s">
        <v>8011</v>
      </c>
      <c r="P1686" s="998">
        <v>10</v>
      </c>
      <c r="Q1686" s="176">
        <v>10</v>
      </c>
      <c r="R1686" s="1005">
        <f>COUNTIF(PoderesDeCriatura_Adquiridos,Tablas!O1686)</f>
        <v>0</v>
      </c>
      <c r="S1686" s="176"/>
      <c r="T1686" s="996"/>
      <c r="U1686" s="259"/>
    </row>
    <row r="1687" spans="1:21" ht="12.75" customHeight="1" x14ac:dyDescent="0.2">
      <c r="A1687" s="227">
        <v>1687</v>
      </c>
      <c r="B1687" s="5988"/>
      <c r="C1687" s="559"/>
      <c r="H1687"/>
      <c r="M1687" s="326"/>
      <c r="N1687" s="21"/>
      <c r="O1687" s="134" t="s">
        <v>8012</v>
      </c>
      <c r="P1687" s="998">
        <v>20</v>
      </c>
      <c r="Q1687" s="176">
        <v>20</v>
      </c>
      <c r="R1687" s="1005">
        <f>COUNTIF(PoderesDeCriatura_Adquiridos,Tablas!O1687)</f>
        <v>0</v>
      </c>
      <c r="S1687" s="176"/>
      <c r="T1687" s="996"/>
    </row>
    <row r="1688" spans="1:21" ht="12.75" customHeight="1" x14ac:dyDescent="0.2">
      <c r="A1688" s="227">
        <v>1688</v>
      </c>
      <c r="B1688" s="5988"/>
      <c r="C1688" s="559"/>
      <c r="H1688"/>
      <c r="M1688" s="326"/>
      <c r="N1688" s="21"/>
      <c r="O1688" s="134" t="s">
        <v>8013</v>
      </c>
      <c r="P1688" s="998">
        <v>15</v>
      </c>
      <c r="Q1688" s="176">
        <v>20</v>
      </c>
      <c r="R1688" s="1005">
        <f>COUNTIF(PoderesDeCriatura_Adquiridos,Tablas!O1688)</f>
        <v>0</v>
      </c>
      <c r="S1688" s="176"/>
      <c r="T1688" s="996"/>
    </row>
    <row r="1689" spans="1:21" ht="12.75" customHeight="1" x14ac:dyDescent="0.2">
      <c r="A1689" s="227">
        <v>1689</v>
      </c>
      <c r="B1689" s="5988"/>
      <c r="C1689" s="559"/>
      <c r="H1689"/>
      <c r="M1689" s="326"/>
      <c r="N1689" s="21"/>
      <c r="O1689" s="134" t="s">
        <v>8014</v>
      </c>
      <c r="P1689" s="998">
        <v>25</v>
      </c>
      <c r="Q1689" s="176">
        <v>40</v>
      </c>
      <c r="R1689" s="1005">
        <f>COUNTIF(PoderesDeCriatura_Adquiridos,Tablas!O1689)</f>
        <v>0</v>
      </c>
      <c r="S1689" s="176"/>
      <c r="T1689" s="996"/>
    </row>
    <row r="1690" spans="1:21" ht="12.75" customHeight="1" x14ac:dyDescent="0.2">
      <c r="A1690" s="227">
        <v>1690</v>
      </c>
      <c r="B1690" s="5988"/>
      <c r="C1690" s="559"/>
      <c r="H1690"/>
      <c r="M1690" s="326"/>
      <c r="N1690" s="21"/>
      <c r="O1690" s="134" t="s">
        <v>8015</v>
      </c>
      <c r="P1690" s="998">
        <v>15</v>
      </c>
      <c r="Q1690" s="176">
        <f>10+IF(OR(TipoDeCriatura="Entre mundos, Elemental",TipoDeCriatura="Ánima, Elemental"),10,0)</f>
        <v>10</v>
      </c>
      <c r="R1690" s="1005">
        <f>COUNTIF(PoderesDeCriatura_Adquiridos,Tablas!O1690)</f>
        <v>0</v>
      </c>
      <c r="S1690" s="176"/>
      <c r="T1690" s="996"/>
    </row>
    <row r="1691" spans="1:21" ht="12.75" customHeight="1" x14ac:dyDescent="0.2">
      <c r="A1691" s="227">
        <v>1691</v>
      </c>
      <c r="B1691" s="5988"/>
      <c r="C1691" s="559"/>
      <c r="H1691"/>
      <c r="M1691" s="326"/>
      <c r="N1691" s="21"/>
      <c r="O1691" s="134" t="s">
        <v>8016</v>
      </c>
      <c r="P1691" s="998">
        <v>20</v>
      </c>
      <c r="Q1691" s="176">
        <f>10+IF(OR(TipoDeCriatura="Entre mundos, Elemental",TipoDeCriatura="Ánima, Elemental"),10,0)</f>
        <v>10</v>
      </c>
      <c r="R1691" s="1005">
        <f>COUNTIF(PoderesDeCriatura_Adquiridos,Tablas!O1691)</f>
        <v>0</v>
      </c>
      <c r="S1691" s="176"/>
      <c r="T1691" s="996"/>
    </row>
    <row r="1692" spans="1:21" ht="12.75" customHeight="1" x14ac:dyDescent="0.2">
      <c r="A1692" s="227">
        <v>1692</v>
      </c>
      <c r="B1692" s="5988"/>
      <c r="C1692" s="559"/>
      <c r="H1692"/>
      <c r="M1692" s="326"/>
      <c r="N1692" s="21"/>
      <c r="O1692" s="134" t="s">
        <v>8017</v>
      </c>
      <c r="P1692" s="998">
        <v>30</v>
      </c>
      <c r="Q1692" s="176">
        <f>20+IF(OR(TipoDeCriatura="Entre mundos, Elemental",TipoDeCriatura="Ánima, Elemental"),10,0)</f>
        <v>20</v>
      </c>
      <c r="R1692" s="1005">
        <f>COUNTIF(PoderesDeCriatura_Adquiridos,Tablas!O1692)</f>
        <v>0</v>
      </c>
      <c r="S1692" s="176"/>
      <c r="T1692" s="996"/>
    </row>
    <row r="1693" spans="1:21" ht="12.75" customHeight="1" x14ac:dyDescent="0.2">
      <c r="A1693" s="227">
        <v>1693</v>
      </c>
      <c r="B1693" s="5988"/>
      <c r="C1693" s="559"/>
      <c r="H1693"/>
      <c r="M1693" s="326"/>
      <c r="N1693" s="21"/>
      <c r="O1693" s="134" t="s">
        <v>8018</v>
      </c>
      <c r="P1693" s="998">
        <v>20</v>
      </c>
      <c r="Q1693" s="176">
        <v>120</v>
      </c>
      <c r="R1693" s="1005">
        <f>COUNTIF(PoderesDeCriatura_Adquiridos,Tablas!O1693)</f>
        <v>0</v>
      </c>
      <c r="S1693" s="176"/>
      <c r="T1693" s="996"/>
    </row>
    <row r="1694" spans="1:21" ht="12.75" customHeight="1" x14ac:dyDescent="0.2">
      <c r="A1694" s="227">
        <v>1694</v>
      </c>
      <c r="B1694" s="5988"/>
      <c r="C1694" s="559"/>
      <c r="H1694"/>
      <c r="M1694" s="326"/>
      <c r="N1694" s="21"/>
      <c r="O1694" s="134" t="s">
        <v>8019</v>
      </c>
      <c r="P1694" s="998">
        <v>30</v>
      </c>
      <c r="Q1694" s="176">
        <v>220</v>
      </c>
      <c r="R1694" s="1005">
        <f>COUNTIF(PoderesDeCriatura_Adquiridos,Tablas!O1694)</f>
        <v>0</v>
      </c>
      <c r="S1694" s="176"/>
      <c r="T1694" s="996"/>
    </row>
    <row r="1695" spans="1:21" ht="12.75" customHeight="1" x14ac:dyDescent="0.2">
      <c r="A1695" s="227">
        <v>1695</v>
      </c>
      <c r="B1695" s="5988"/>
      <c r="C1695" s="559"/>
      <c r="H1695"/>
      <c r="M1695" s="326"/>
      <c r="N1695" s="21"/>
      <c r="O1695" s="134" t="s">
        <v>8020</v>
      </c>
      <c r="P1695" s="998">
        <v>20</v>
      </c>
      <c r="Q1695" s="176">
        <f>30+IF(OR(TipoDeCriatura="Entre mundos, Elemental",TipoDeCriatura="Ánima, Elemental"),10,0)</f>
        <v>30</v>
      </c>
      <c r="R1695" s="1005">
        <f>COUNTIF(PoderesDeCriatura_Adquiridos,Tablas!O1695)</f>
        <v>0</v>
      </c>
      <c r="S1695" s="176"/>
      <c r="T1695" s="996"/>
    </row>
    <row r="1696" spans="1:21" ht="12.75" customHeight="1" x14ac:dyDescent="0.2">
      <c r="A1696" s="227">
        <v>1696</v>
      </c>
      <c r="B1696" s="5988"/>
      <c r="C1696" s="559"/>
      <c r="H1696"/>
      <c r="M1696" s="326"/>
      <c r="N1696" s="21"/>
      <c r="O1696" s="134" t="s">
        <v>8021</v>
      </c>
      <c r="P1696" s="998">
        <v>20</v>
      </c>
      <c r="Q1696" s="176">
        <f>40+IF(OR(TipoDeCriatura="Entre mundos, Elemental",TipoDeCriatura="Ánima, Elemental"),10,0)</f>
        <v>40</v>
      </c>
      <c r="R1696" s="1005">
        <f>COUNTIF(PoderesDeCriatura_Adquiridos,Tablas!O1696)</f>
        <v>0</v>
      </c>
      <c r="S1696" s="176"/>
      <c r="T1696" s="996"/>
    </row>
    <row r="1697" spans="1:20" ht="12.75" customHeight="1" x14ac:dyDescent="0.2">
      <c r="A1697" s="227">
        <v>1697</v>
      </c>
      <c r="B1697" s="5988"/>
      <c r="C1697" s="559"/>
      <c r="H1697"/>
      <c r="M1697" s="326"/>
      <c r="N1697" s="21"/>
      <c r="O1697" s="134" t="s">
        <v>8022</v>
      </c>
      <c r="P1697" s="998">
        <v>20</v>
      </c>
      <c r="Q1697" s="176">
        <f>50+IF(OR(TipoDeCriatura="Entre mundos, Elemental",TipoDeCriatura="Ánima, Elemental"),10,0)</f>
        <v>50</v>
      </c>
      <c r="R1697" s="1005">
        <f>COUNTIF(PoderesDeCriatura_Adquiridos,Tablas!O1697)</f>
        <v>0</v>
      </c>
      <c r="S1697" s="176"/>
      <c r="T1697" s="996"/>
    </row>
    <row r="1698" spans="1:20" ht="12.75" customHeight="1" x14ac:dyDescent="0.2">
      <c r="A1698" s="227">
        <v>1698</v>
      </c>
      <c r="B1698" s="5988"/>
      <c r="C1698" s="559"/>
      <c r="H1698"/>
      <c r="M1698" s="326"/>
      <c r="N1698" s="21"/>
      <c r="O1698" s="134" t="s">
        <v>8023</v>
      </c>
      <c r="P1698" s="998">
        <v>20</v>
      </c>
      <c r="Q1698" s="176">
        <f>60+IF(OR(TipoDeCriatura="Entre mundos, Elemental",TipoDeCriatura="Ánima, Elemental"),10,0)</f>
        <v>60</v>
      </c>
      <c r="R1698" s="1005">
        <f>COUNTIF(PoderesDeCriatura_Adquiridos,Tablas!O1698)</f>
        <v>0</v>
      </c>
      <c r="S1698" s="176"/>
      <c r="T1698" s="996"/>
    </row>
    <row r="1699" spans="1:20" ht="12.75" customHeight="1" x14ac:dyDescent="0.2">
      <c r="A1699" s="227">
        <v>1699</v>
      </c>
      <c r="B1699" s="5988"/>
      <c r="C1699" s="559"/>
      <c r="H1699"/>
      <c r="M1699" s="326"/>
      <c r="N1699" s="21"/>
      <c r="O1699" s="134" t="s">
        <v>8024</v>
      </c>
      <c r="P1699" s="998">
        <v>20</v>
      </c>
      <c r="Q1699" s="176">
        <f>80+IF(OR(TipoDeCriatura="Entre mundos, Elemental",TipoDeCriatura="Ánima, Elemental"),10,0)</f>
        <v>80</v>
      </c>
      <c r="R1699" s="1005">
        <f>COUNTIF(PoderesDeCriatura_Adquiridos,Tablas!O1699)</f>
        <v>0</v>
      </c>
      <c r="S1699" s="176"/>
      <c r="T1699" s="996"/>
    </row>
    <row r="1700" spans="1:20" ht="12.75" customHeight="1" x14ac:dyDescent="0.2">
      <c r="A1700" s="227">
        <v>1700</v>
      </c>
      <c r="B1700" s="5988"/>
      <c r="C1700" s="559"/>
      <c r="H1700"/>
      <c r="M1700" s="326"/>
      <c r="N1700" s="21"/>
      <c r="O1700" s="1" t="s">
        <v>16</v>
      </c>
      <c r="P1700" s="998">
        <v>0</v>
      </c>
      <c r="Q1700" s="176">
        <v>20</v>
      </c>
      <c r="R1700" s="1005">
        <f>COUNTIF(PoderesDeCriatura_Adquiridos,Tablas!O1700)</f>
        <v>0</v>
      </c>
      <c r="S1700" s="176"/>
      <c r="T1700" s="996"/>
    </row>
    <row r="1701" spans="1:20" ht="12.75" customHeight="1" x14ac:dyDescent="0.2">
      <c r="A1701" s="227">
        <v>1701</v>
      </c>
      <c r="B1701" s="5988"/>
      <c r="C1701" s="559"/>
      <c r="H1701"/>
      <c r="M1701" s="326"/>
      <c r="N1701" s="21"/>
      <c r="O1701" s="134" t="s">
        <v>8025</v>
      </c>
      <c r="P1701" s="998">
        <v>10</v>
      </c>
      <c r="Q1701" s="176">
        <v>30</v>
      </c>
      <c r="R1701" s="1005">
        <f>COUNTIF(PoderesDeCriatura_Adquiridos,Tablas!O1701)</f>
        <v>0</v>
      </c>
      <c r="S1701" s="176"/>
      <c r="T1701" s="996"/>
    </row>
    <row r="1702" spans="1:20" ht="12.75" customHeight="1" x14ac:dyDescent="0.2">
      <c r="A1702" s="227">
        <v>1702</v>
      </c>
      <c r="B1702" s="5988"/>
      <c r="C1702" s="559"/>
      <c r="H1702"/>
      <c r="M1702" s="326"/>
      <c r="N1702" s="21"/>
      <c r="O1702" s="134" t="s">
        <v>8026</v>
      </c>
      <c r="P1702" s="998">
        <v>20</v>
      </c>
      <c r="Q1702" s="176">
        <v>50</v>
      </c>
      <c r="R1702" s="1005">
        <f>COUNTIF(PoderesDeCriatura_Adquiridos,Tablas!O1702)</f>
        <v>0</v>
      </c>
      <c r="S1702" s="176"/>
      <c r="T1702" s="996"/>
    </row>
    <row r="1703" spans="1:20" ht="12.75" customHeight="1" x14ac:dyDescent="0.2">
      <c r="A1703" s="227">
        <v>1703</v>
      </c>
      <c r="B1703" s="5988"/>
      <c r="C1703" s="559"/>
      <c r="H1703"/>
      <c r="M1703" s="326"/>
      <c r="N1703" s="21"/>
      <c r="O1703" s="134" t="s">
        <v>8027</v>
      </c>
      <c r="P1703" s="998">
        <v>25</v>
      </c>
      <c r="Q1703" s="176">
        <v>80</v>
      </c>
      <c r="R1703" s="1005">
        <f>COUNTIF(PoderesDeCriatura_Adquiridos,Tablas!O1703)</f>
        <v>0</v>
      </c>
      <c r="S1703" s="176"/>
      <c r="T1703" s="996"/>
    </row>
    <row r="1704" spans="1:20" ht="12.75" customHeight="1" x14ac:dyDescent="0.2">
      <c r="A1704" s="227">
        <v>1704</v>
      </c>
      <c r="B1704" s="5988"/>
      <c r="C1704" s="559"/>
      <c r="H1704"/>
      <c r="M1704" s="326"/>
      <c r="N1704" s="21"/>
      <c r="O1704" s="134" t="s">
        <v>8028</v>
      </c>
      <c r="P1704" s="998">
        <v>30</v>
      </c>
      <c r="Q1704" s="176">
        <v>110</v>
      </c>
      <c r="R1704" s="1005">
        <f>COUNTIF(PoderesDeCriatura_Adquiridos,Tablas!O1704)</f>
        <v>0</v>
      </c>
      <c r="S1704" s="176"/>
      <c r="T1704" s="996"/>
    </row>
    <row r="1705" spans="1:20" ht="12.75" customHeight="1" x14ac:dyDescent="0.2">
      <c r="A1705" s="227">
        <v>1705</v>
      </c>
      <c r="B1705" s="5988"/>
      <c r="C1705" s="559"/>
      <c r="H1705"/>
      <c r="M1705" s="326"/>
      <c r="N1705" s="21"/>
      <c r="O1705" s="134" t="s">
        <v>8029</v>
      </c>
      <c r="P1705" s="998">
        <v>35</v>
      </c>
      <c r="Q1705" s="176">
        <v>140</v>
      </c>
      <c r="R1705" s="1005">
        <f>COUNTIF(PoderesDeCriatura_Adquiridos,Tablas!O1705)</f>
        <v>0</v>
      </c>
      <c r="S1705" s="176"/>
      <c r="T1705" s="996"/>
    </row>
    <row r="1706" spans="1:20" ht="12.75" customHeight="1" x14ac:dyDescent="0.2">
      <c r="A1706" s="227">
        <v>1706</v>
      </c>
      <c r="B1706" s="5988"/>
      <c r="C1706" s="559"/>
      <c r="H1706"/>
      <c r="M1706" s="326"/>
      <c r="N1706" s="21"/>
      <c r="O1706" s="134" t="s">
        <v>8030</v>
      </c>
      <c r="P1706" s="998">
        <v>10</v>
      </c>
      <c r="Q1706" s="176">
        <v>-15</v>
      </c>
      <c r="R1706" s="1005">
        <f>COUNTIF(PoderesDeCriatura_Adquiridos,Tablas!O1706)</f>
        <v>0</v>
      </c>
      <c r="S1706" s="176"/>
      <c r="T1706" s="996"/>
    </row>
    <row r="1707" spans="1:20" ht="12.75" customHeight="1" x14ac:dyDescent="0.2">
      <c r="A1707" s="227">
        <v>1707</v>
      </c>
      <c r="B1707" s="5988"/>
      <c r="C1707" s="559"/>
      <c r="H1707"/>
      <c r="M1707" s="326"/>
      <c r="N1707" s="21"/>
      <c r="O1707" s="1" t="s">
        <v>17</v>
      </c>
      <c r="P1707" s="998">
        <v>5</v>
      </c>
      <c r="Q1707" s="176">
        <v>20</v>
      </c>
      <c r="R1707" s="1005">
        <f>COUNTIF(PoderesDeCriatura_Adquiridos,Tablas!O1707)</f>
        <v>0</v>
      </c>
      <c r="S1707" s="176"/>
      <c r="T1707" s="996"/>
    </row>
    <row r="1708" spans="1:20" ht="12.75" customHeight="1" x14ac:dyDescent="0.2">
      <c r="A1708" s="227">
        <v>1708</v>
      </c>
      <c r="B1708" s="5988"/>
      <c r="C1708" s="559"/>
      <c r="H1708"/>
      <c r="M1708" s="326"/>
      <c r="N1708" s="21"/>
      <c r="O1708" s="134" t="s">
        <v>8031</v>
      </c>
      <c r="P1708" s="998">
        <v>0</v>
      </c>
      <c r="Q1708" s="176">
        <v>10</v>
      </c>
      <c r="R1708" s="1005">
        <f>COUNTIF(PoderesDeCriatura_Adquiridos,Tablas!O1708)</f>
        <v>0</v>
      </c>
      <c r="S1708" s="176"/>
      <c r="T1708" s="996"/>
    </row>
    <row r="1709" spans="1:20" ht="12.75" customHeight="1" x14ac:dyDescent="0.2">
      <c r="A1709" s="227">
        <v>1709</v>
      </c>
      <c r="B1709" s="5988"/>
      <c r="C1709" s="559"/>
      <c r="H1709"/>
      <c r="M1709" s="326"/>
      <c r="N1709" s="21"/>
      <c r="O1709" s="134" t="s">
        <v>8032</v>
      </c>
      <c r="P1709" s="998">
        <v>0</v>
      </c>
      <c r="Q1709" s="176">
        <v>20</v>
      </c>
      <c r="R1709" s="1005">
        <f>COUNTIF(PoderesDeCriatura_Adquiridos,Tablas!O1709)</f>
        <v>0</v>
      </c>
      <c r="S1709" s="176"/>
      <c r="T1709" s="996"/>
    </row>
    <row r="1710" spans="1:20" ht="12.75" customHeight="1" x14ac:dyDescent="0.2">
      <c r="A1710" s="227">
        <v>1710</v>
      </c>
      <c r="B1710" s="5988"/>
      <c r="C1710" s="559"/>
      <c r="H1710"/>
      <c r="M1710" s="326"/>
      <c r="N1710" s="21"/>
      <c r="O1710" s="134" t="s">
        <v>8033</v>
      </c>
      <c r="P1710" s="998">
        <v>0</v>
      </c>
      <c r="Q1710" s="176">
        <v>30</v>
      </c>
      <c r="R1710" s="1005">
        <f>COUNTIF(PoderesDeCriatura_Adquiridos,Tablas!O1710)</f>
        <v>0</v>
      </c>
      <c r="S1710" s="176"/>
      <c r="T1710" s="996"/>
    </row>
    <row r="1711" spans="1:20" ht="12.75" customHeight="1" x14ac:dyDescent="0.2">
      <c r="A1711" s="227">
        <v>1711</v>
      </c>
      <c r="B1711" s="5988"/>
      <c r="C1711" s="559"/>
      <c r="H1711"/>
      <c r="M1711" s="326"/>
      <c r="N1711" s="21"/>
      <c r="O1711" s="134" t="s">
        <v>8034</v>
      </c>
      <c r="P1711" s="998">
        <v>10</v>
      </c>
      <c r="Q1711" s="176">
        <v>20</v>
      </c>
      <c r="R1711" s="1005">
        <f>COUNTIF(PoderesDeCriatura_Adquiridos,Tablas!O1711)</f>
        <v>0</v>
      </c>
      <c r="S1711" s="176"/>
      <c r="T1711" s="996"/>
    </row>
    <row r="1712" spans="1:20" ht="12.75" customHeight="1" x14ac:dyDescent="0.2">
      <c r="A1712" s="227">
        <v>1712</v>
      </c>
      <c r="B1712" s="5988"/>
      <c r="C1712" s="559"/>
      <c r="H1712"/>
      <c r="M1712" s="326"/>
      <c r="N1712" s="21"/>
      <c r="O1712" s="134" t="s">
        <v>8035</v>
      </c>
      <c r="P1712" s="998">
        <v>15</v>
      </c>
      <c r="Q1712" s="176">
        <v>40</v>
      </c>
      <c r="R1712" s="1005">
        <f>COUNTIF(PoderesDeCriatura_Adquiridos,Tablas!O1712)</f>
        <v>0</v>
      </c>
      <c r="S1712" s="176"/>
      <c r="T1712" s="996"/>
    </row>
    <row r="1713" spans="1:20" ht="12.75" customHeight="1" x14ac:dyDescent="0.2">
      <c r="A1713" s="227">
        <v>1713</v>
      </c>
      <c r="B1713" s="5988"/>
      <c r="C1713" s="559"/>
      <c r="H1713"/>
      <c r="M1713" s="326"/>
      <c r="N1713" s="21"/>
      <c r="O1713" s="134" t="s">
        <v>8036</v>
      </c>
      <c r="P1713" s="998">
        <v>20</v>
      </c>
      <c r="Q1713" s="176">
        <v>60</v>
      </c>
      <c r="R1713" s="1005">
        <f>COUNTIF(PoderesDeCriatura_Adquiridos,Tablas!O1713)</f>
        <v>0</v>
      </c>
      <c r="S1713" s="176"/>
      <c r="T1713" s="996"/>
    </row>
    <row r="1714" spans="1:20" ht="12.75" customHeight="1" x14ac:dyDescent="0.2">
      <c r="A1714" s="227">
        <v>1714</v>
      </c>
      <c r="B1714" s="5988"/>
      <c r="C1714" s="559"/>
      <c r="H1714"/>
      <c r="M1714" s="326"/>
      <c r="N1714" s="21"/>
      <c r="O1714" s="134" t="s">
        <v>8037</v>
      </c>
      <c r="P1714" s="998">
        <v>25</v>
      </c>
      <c r="Q1714" s="176">
        <v>80</v>
      </c>
      <c r="R1714" s="1005">
        <f>COUNTIF(PoderesDeCriatura_Adquiridos,Tablas!O1714)</f>
        <v>0</v>
      </c>
      <c r="S1714" s="176"/>
      <c r="T1714" s="996"/>
    </row>
    <row r="1715" spans="1:20" ht="12.75" customHeight="1" x14ac:dyDescent="0.2">
      <c r="A1715" s="227">
        <v>1715</v>
      </c>
      <c r="B1715" s="5988"/>
      <c r="C1715" s="559"/>
      <c r="H1715"/>
      <c r="M1715" s="326"/>
      <c r="N1715" s="21"/>
      <c r="O1715" s="134" t="s">
        <v>8038</v>
      </c>
      <c r="P1715" s="998">
        <v>35</v>
      </c>
      <c r="Q1715" s="176">
        <v>120</v>
      </c>
      <c r="R1715" s="1005">
        <f>COUNTIF(PoderesDeCriatura_Adquiridos,Tablas!O1715)</f>
        <v>0</v>
      </c>
      <c r="S1715" s="176"/>
      <c r="T1715" s="996"/>
    </row>
    <row r="1716" spans="1:20" ht="12.75" customHeight="1" x14ac:dyDescent="0.2">
      <c r="A1716" s="227">
        <v>1716</v>
      </c>
      <c r="B1716" s="5988"/>
      <c r="C1716" s="559"/>
      <c r="H1716"/>
      <c r="M1716" s="326"/>
      <c r="N1716" s="21"/>
      <c r="O1716" s="134" t="s">
        <v>8039</v>
      </c>
      <c r="P1716" s="998">
        <v>5</v>
      </c>
      <c r="Q1716" s="176">
        <v>10</v>
      </c>
      <c r="R1716" s="1005">
        <f>COUNTIF(PoderesDeCriatura_Adquiridos,Tablas!O1716)</f>
        <v>0</v>
      </c>
      <c r="S1716" s="176"/>
      <c r="T1716" s="996"/>
    </row>
    <row r="1717" spans="1:20" ht="12.75" customHeight="1" x14ac:dyDescent="0.2">
      <c r="A1717" s="227">
        <v>1717</v>
      </c>
      <c r="B1717" s="5988"/>
      <c r="C1717" s="559"/>
      <c r="H1717"/>
      <c r="M1717" s="326"/>
      <c r="N1717" s="21"/>
      <c r="O1717" s="134" t="s">
        <v>8040</v>
      </c>
      <c r="P1717" s="998">
        <v>5</v>
      </c>
      <c r="Q1717" s="176">
        <v>20</v>
      </c>
      <c r="R1717" s="1005">
        <f>COUNTIF(PoderesDeCriatura_Adquiridos,Tablas!O1717)</f>
        <v>0</v>
      </c>
      <c r="S1717" s="176"/>
      <c r="T1717" s="996"/>
    </row>
    <row r="1718" spans="1:20" ht="12.75" customHeight="1" x14ac:dyDescent="0.2">
      <c r="A1718" s="227">
        <v>1718</v>
      </c>
      <c r="B1718" s="5988"/>
      <c r="C1718" s="559"/>
      <c r="H1718"/>
      <c r="M1718" s="326"/>
      <c r="N1718" s="21"/>
      <c r="O1718" s="134" t="s">
        <v>8041</v>
      </c>
      <c r="P1718" s="998">
        <v>10</v>
      </c>
      <c r="Q1718" s="176">
        <v>30</v>
      </c>
      <c r="R1718" s="1005">
        <f>COUNTIF(PoderesDeCriatura_Adquiridos,Tablas!O1718)</f>
        <v>0</v>
      </c>
      <c r="S1718" s="176"/>
      <c r="T1718" s="996"/>
    </row>
    <row r="1719" spans="1:20" ht="12.75" customHeight="1" x14ac:dyDescent="0.2">
      <c r="A1719" s="227">
        <v>1719</v>
      </c>
      <c r="B1719" s="5988"/>
      <c r="C1719" s="559"/>
      <c r="H1719"/>
      <c r="M1719" s="326"/>
      <c r="N1719" s="21"/>
      <c r="O1719" s="134" t="s">
        <v>8042</v>
      </c>
      <c r="P1719" s="998">
        <v>15</v>
      </c>
      <c r="Q1719" s="176">
        <v>40</v>
      </c>
      <c r="R1719" s="1005">
        <f>COUNTIF(PoderesDeCriatura_Adquiridos,Tablas!O1719)</f>
        <v>0</v>
      </c>
      <c r="S1719" s="176"/>
      <c r="T1719" s="996"/>
    </row>
    <row r="1720" spans="1:20" ht="12.75" customHeight="1" x14ac:dyDescent="0.2">
      <c r="A1720" s="227">
        <v>1720</v>
      </c>
      <c r="B1720" s="5988"/>
      <c r="C1720" s="559"/>
      <c r="H1720"/>
      <c r="M1720" s="326"/>
      <c r="N1720" s="21"/>
      <c r="O1720" s="134" t="s">
        <v>8043</v>
      </c>
      <c r="P1720" s="998">
        <v>25</v>
      </c>
      <c r="Q1720" s="176">
        <v>50</v>
      </c>
      <c r="R1720" s="1005">
        <f>COUNTIF(PoderesDeCriatura_Adquiridos,Tablas!O1720)</f>
        <v>0</v>
      </c>
      <c r="S1720" s="176"/>
      <c r="T1720" s="996"/>
    </row>
    <row r="1721" spans="1:20" ht="12.75" customHeight="1" x14ac:dyDescent="0.2">
      <c r="A1721" s="227">
        <v>1721</v>
      </c>
      <c r="B1721" s="5988"/>
      <c r="C1721" s="559"/>
      <c r="H1721"/>
      <c r="M1721" s="326"/>
      <c r="N1721" s="21"/>
      <c r="O1721" s="1" t="s">
        <v>18</v>
      </c>
      <c r="P1721" s="998"/>
      <c r="Q1721" s="176"/>
      <c r="R1721" s="1005"/>
      <c r="S1721" s="176"/>
      <c r="T1721" s="996"/>
    </row>
    <row r="1722" spans="1:20" ht="12.75" customHeight="1" x14ac:dyDescent="0.2">
      <c r="A1722" s="227">
        <v>1722</v>
      </c>
      <c r="B1722" s="5988"/>
      <c r="C1722" s="559"/>
      <c r="H1722"/>
      <c r="M1722" s="326"/>
      <c r="N1722" s="21"/>
      <c r="O1722" s="134" t="s">
        <v>8044</v>
      </c>
      <c r="P1722" s="998">
        <v>5</v>
      </c>
      <c r="Q1722" s="176">
        <v>20</v>
      </c>
      <c r="R1722" s="1005">
        <f>COUNTIF(PoderesDeCriatura_Adquiridos,Tablas!O1722)</f>
        <v>0</v>
      </c>
      <c r="S1722" s="176"/>
      <c r="T1722" s="996"/>
    </row>
    <row r="1723" spans="1:20" ht="12.75" customHeight="1" x14ac:dyDescent="0.2">
      <c r="A1723" s="227">
        <v>1723</v>
      </c>
      <c r="B1723" s="5988"/>
      <c r="C1723" s="559"/>
      <c r="H1723"/>
      <c r="M1723" s="326"/>
      <c r="N1723" s="21"/>
      <c r="O1723" s="134" t="s">
        <v>8045</v>
      </c>
      <c r="P1723" s="998">
        <v>20</v>
      </c>
      <c r="Q1723" s="176">
        <v>30</v>
      </c>
      <c r="R1723" s="1005">
        <f>COUNTIF(PoderesDeCriatura_Adquiridos,Tablas!O1723)</f>
        <v>0</v>
      </c>
      <c r="S1723" s="176"/>
      <c r="T1723" s="996"/>
    </row>
    <row r="1724" spans="1:20" ht="12.75" customHeight="1" x14ac:dyDescent="0.2">
      <c r="A1724" s="227">
        <v>1724</v>
      </c>
      <c r="B1724" s="5988"/>
      <c r="C1724" s="559"/>
      <c r="H1724"/>
      <c r="M1724" s="326"/>
      <c r="N1724" s="21"/>
      <c r="O1724" s="134" t="s">
        <v>8046</v>
      </c>
      <c r="P1724" s="998">
        <v>15</v>
      </c>
      <c r="Q1724" s="176">
        <v>10</v>
      </c>
      <c r="R1724" s="1005">
        <f>COUNTIF(PoderesDeCriatura_Adquiridos,Tablas!O1724)</f>
        <v>0</v>
      </c>
      <c r="S1724" s="176"/>
      <c r="T1724" s="996"/>
    </row>
    <row r="1725" spans="1:20" ht="12.75" customHeight="1" x14ac:dyDescent="0.2">
      <c r="A1725" s="227">
        <v>1725</v>
      </c>
      <c r="B1725" s="5988"/>
      <c r="C1725" s="559"/>
      <c r="H1725"/>
      <c r="M1725" s="326"/>
      <c r="N1725" s="21"/>
      <c r="O1725" s="1" t="s">
        <v>22</v>
      </c>
      <c r="P1725" s="998">
        <v>0</v>
      </c>
      <c r="Q1725" s="176">
        <v>20</v>
      </c>
      <c r="R1725" s="1005">
        <f>COUNTIF(PoderesDeCriatura_Adquiridos,Tablas!O1725)</f>
        <v>0</v>
      </c>
      <c r="S1725" s="176"/>
      <c r="T1725" s="996"/>
    </row>
    <row r="1726" spans="1:20" ht="12.75" customHeight="1" x14ac:dyDescent="0.2">
      <c r="A1726" s="227">
        <v>1726</v>
      </c>
      <c r="B1726" s="5988"/>
      <c r="C1726" s="559"/>
      <c r="H1726"/>
      <c r="M1726" s="326"/>
      <c r="N1726" s="21"/>
      <c r="O1726" s="134" t="s">
        <v>8047</v>
      </c>
      <c r="P1726" s="998">
        <v>15</v>
      </c>
      <c r="Q1726" s="176">
        <v>30</v>
      </c>
      <c r="R1726" s="1005">
        <f>COUNTIF(PoderesDeCriatura_Adquiridos,Tablas!O1726)</f>
        <v>0</v>
      </c>
      <c r="S1726" s="176"/>
      <c r="T1726" s="996"/>
    </row>
    <row r="1727" spans="1:20" ht="12.75" customHeight="1" x14ac:dyDescent="0.2">
      <c r="A1727" s="227">
        <v>1727</v>
      </c>
      <c r="B1727" s="5988"/>
      <c r="C1727" s="559"/>
      <c r="H1727"/>
      <c r="M1727" s="326"/>
      <c r="N1727" s="21"/>
      <c r="O1727" s="134" t="s">
        <v>8048</v>
      </c>
      <c r="P1727" s="998">
        <v>30</v>
      </c>
      <c r="Q1727" s="176">
        <v>60</v>
      </c>
      <c r="R1727" s="1005">
        <f>COUNTIF(PoderesDeCriatura_Adquiridos,Tablas!O1727)</f>
        <v>0</v>
      </c>
      <c r="S1727" s="176"/>
      <c r="T1727" s="996"/>
    </row>
    <row r="1728" spans="1:20" ht="12.75" customHeight="1" x14ac:dyDescent="0.2">
      <c r="A1728" s="227">
        <v>1728</v>
      </c>
      <c r="B1728" s="5988"/>
      <c r="C1728" s="559"/>
      <c r="H1728"/>
      <c r="M1728" s="326"/>
      <c r="N1728" s="21"/>
      <c r="O1728" s="134" t="s">
        <v>8062</v>
      </c>
      <c r="P1728" s="998">
        <v>20</v>
      </c>
      <c r="Q1728" s="176">
        <v>40</v>
      </c>
      <c r="R1728" s="1005">
        <f>COUNTIF(PoderesDeCriatura_Adquiridos,Tablas!O1728)</f>
        <v>0</v>
      </c>
      <c r="S1728" s="176"/>
      <c r="T1728" s="996"/>
    </row>
    <row r="1729" spans="1:20" ht="12.75" customHeight="1" x14ac:dyDescent="0.2">
      <c r="A1729" s="227">
        <v>1729</v>
      </c>
      <c r="B1729" s="5988"/>
      <c r="C1729" s="559"/>
      <c r="H1729"/>
      <c r="M1729" s="326"/>
      <c r="N1729" s="21"/>
      <c r="O1729" s="134" t="s">
        <v>8063</v>
      </c>
      <c r="P1729" s="998">
        <v>25</v>
      </c>
      <c r="Q1729" s="176">
        <v>60</v>
      </c>
      <c r="R1729" s="1005">
        <f>COUNTIF(PoderesDeCriatura_Adquiridos,Tablas!O1729)</f>
        <v>0</v>
      </c>
      <c r="S1729" s="176"/>
      <c r="T1729" s="996"/>
    </row>
    <row r="1730" spans="1:20" ht="12.75" customHeight="1" x14ac:dyDescent="0.2">
      <c r="A1730" s="227">
        <v>1730</v>
      </c>
      <c r="B1730" s="5988"/>
      <c r="C1730" s="559"/>
      <c r="H1730"/>
      <c r="M1730" s="326"/>
      <c r="N1730" s="21"/>
      <c r="O1730" s="134" t="s">
        <v>8064</v>
      </c>
      <c r="P1730" s="998">
        <v>30</v>
      </c>
      <c r="Q1730" s="176">
        <v>50</v>
      </c>
      <c r="R1730" s="1005">
        <f>COUNTIF(PoderesDeCriatura_Adquiridos,Tablas!O1730)</f>
        <v>0</v>
      </c>
      <c r="S1730" s="176"/>
      <c r="T1730" s="996"/>
    </row>
    <row r="1731" spans="1:20" ht="12.75" customHeight="1" x14ac:dyDescent="0.2">
      <c r="A1731" s="227">
        <v>1731</v>
      </c>
      <c r="B1731" s="5988"/>
      <c r="C1731" s="559"/>
      <c r="H1731"/>
      <c r="M1731" s="326"/>
      <c r="N1731" s="21"/>
      <c r="O1731" s="134" t="s">
        <v>8065</v>
      </c>
      <c r="P1731" s="998">
        <v>20</v>
      </c>
      <c r="Q1731" s="176">
        <v>-20</v>
      </c>
      <c r="R1731" s="1005">
        <f>COUNTIF(PoderesDeCriatura_Adquiridos,Tablas!O1731)</f>
        <v>0</v>
      </c>
      <c r="S1731" s="176"/>
      <c r="T1731" s="996"/>
    </row>
    <row r="1732" spans="1:20" ht="12.75" customHeight="1" x14ac:dyDescent="0.2">
      <c r="A1732" s="227">
        <v>1732</v>
      </c>
      <c r="B1732" s="5988"/>
      <c r="C1732" s="559"/>
      <c r="H1732"/>
      <c r="M1732" s="326"/>
      <c r="N1732" s="21"/>
      <c r="O1732" s="134" t="s">
        <v>8066</v>
      </c>
      <c r="P1732" s="998">
        <v>20</v>
      </c>
      <c r="Q1732" s="176">
        <v>-20</v>
      </c>
      <c r="R1732" s="1005">
        <f>COUNTIF(PoderesDeCriatura_Adquiridos,Tablas!O1732)</f>
        <v>0</v>
      </c>
      <c r="S1732" s="176"/>
      <c r="T1732" s="996"/>
    </row>
    <row r="1733" spans="1:20" ht="12.75" customHeight="1" x14ac:dyDescent="0.2">
      <c r="A1733" s="227">
        <v>1733</v>
      </c>
      <c r="B1733" s="5988"/>
      <c r="C1733" s="559"/>
      <c r="H1733"/>
      <c r="M1733" s="326"/>
      <c r="N1733" s="21"/>
      <c r="O1733" s="1" t="s">
        <v>23</v>
      </c>
      <c r="P1733" s="998"/>
      <c r="Q1733" s="176"/>
      <c r="R1733" s="1005"/>
      <c r="S1733" s="176"/>
      <c r="T1733" s="996"/>
    </row>
    <row r="1734" spans="1:20" ht="12.75" customHeight="1" x14ac:dyDescent="0.2">
      <c r="A1734" s="227">
        <v>1734</v>
      </c>
      <c r="B1734" s="5988"/>
      <c r="C1734" s="559"/>
      <c r="H1734"/>
      <c r="M1734" s="326"/>
      <c r="N1734" s="21"/>
      <c r="O1734" s="134" t="s">
        <v>8049</v>
      </c>
      <c r="P1734" s="998">
        <v>10</v>
      </c>
      <c r="Q1734" s="176">
        <v>20</v>
      </c>
      <c r="R1734" s="1005">
        <f>COUNTIF(PoderesDeCriatura_Adquiridos,Tablas!O1734)</f>
        <v>0</v>
      </c>
      <c r="S1734" s="176"/>
      <c r="T1734" s="996"/>
    </row>
    <row r="1735" spans="1:20" ht="12.75" customHeight="1" x14ac:dyDescent="0.2">
      <c r="A1735" s="227">
        <v>1735</v>
      </c>
      <c r="B1735" s="5988"/>
      <c r="C1735" s="559"/>
      <c r="H1735"/>
      <c r="M1735" s="326"/>
      <c r="N1735" s="21"/>
      <c r="O1735" s="134" t="s">
        <v>8050</v>
      </c>
      <c r="P1735" s="998">
        <v>20</v>
      </c>
      <c r="Q1735" s="176">
        <v>30</v>
      </c>
      <c r="R1735" s="1005">
        <f>COUNTIF(PoderesDeCriatura_Adquiridos,Tablas!O1735)</f>
        <v>0</v>
      </c>
      <c r="S1735" s="176"/>
      <c r="T1735" s="996"/>
    </row>
    <row r="1736" spans="1:20" ht="12.75" customHeight="1" x14ac:dyDescent="0.2">
      <c r="A1736" s="227">
        <v>1736</v>
      </c>
      <c r="B1736" s="5988"/>
      <c r="C1736" s="559"/>
      <c r="H1736"/>
      <c r="M1736" s="326"/>
      <c r="N1736" s="21"/>
      <c r="O1736" s="134" t="s">
        <v>8051</v>
      </c>
      <c r="P1736" s="998">
        <v>25</v>
      </c>
      <c r="Q1736" s="176">
        <v>40</v>
      </c>
      <c r="R1736" s="1005">
        <f>COUNTIF(PoderesDeCriatura_Adquiridos,Tablas!O1736)</f>
        <v>0</v>
      </c>
      <c r="S1736" s="176"/>
      <c r="T1736" s="996"/>
    </row>
    <row r="1737" spans="1:20" ht="12.75" customHeight="1" x14ac:dyDescent="0.2">
      <c r="A1737" s="227">
        <v>1737</v>
      </c>
      <c r="B1737" s="5988"/>
      <c r="C1737" s="559"/>
      <c r="H1737"/>
      <c r="M1737" s="326"/>
      <c r="N1737" s="21"/>
      <c r="O1737" s="134" t="s">
        <v>8052</v>
      </c>
      <c r="P1737" s="998">
        <v>30</v>
      </c>
      <c r="Q1737" s="176">
        <v>60</v>
      </c>
      <c r="R1737" s="1005">
        <f>COUNTIF(PoderesDeCriatura_Adquiridos,Tablas!O1737)</f>
        <v>0</v>
      </c>
      <c r="S1737" s="176"/>
      <c r="T1737" s="996"/>
    </row>
    <row r="1738" spans="1:20" ht="12.75" customHeight="1" x14ac:dyDescent="0.2">
      <c r="A1738" s="227">
        <v>1738</v>
      </c>
      <c r="B1738" s="5988"/>
      <c r="C1738" s="559"/>
      <c r="H1738"/>
      <c r="M1738" s="326"/>
      <c r="N1738" s="21"/>
      <c r="O1738" s="134" t="s">
        <v>8053</v>
      </c>
      <c r="P1738" s="998">
        <v>35</v>
      </c>
      <c r="Q1738" s="176">
        <v>80</v>
      </c>
      <c r="R1738" s="1005">
        <f>COUNTIF(PoderesDeCriatura_Adquiridos,Tablas!O1738)</f>
        <v>0</v>
      </c>
      <c r="S1738" s="176"/>
      <c r="T1738" s="996"/>
    </row>
    <row r="1739" spans="1:20" ht="12.75" customHeight="1" x14ac:dyDescent="0.2">
      <c r="A1739" s="227">
        <v>1739</v>
      </c>
      <c r="B1739" s="5988"/>
      <c r="C1739" s="559"/>
      <c r="H1739"/>
      <c r="M1739" s="326"/>
      <c r="N1739" s="21"/>
      <c r="O1739" s="134" t="s">
        <v>8054</v>
      </c>
      <c r="P1739" s="998">
        <v>10</v>
      </c>
      <c r="Q1739" s="176">
        <v>-20</v>
      </c>
      <c r="R1739" s="1005">
        <f>COUNTIF(PoderesDeCriatura_Adquiridos,Tablas!O1739)</f>
        <v>0</v>
      </c>
      <c r="S1739" s="176"/>
      <c r="T1739" s="996"/>
    </row>
    <row r="1740" spans="1:20" ht="12.75" customHeight="1" x14ac:dyDescent="0.2">
      <c r="A1740" s="227">
        <v>1740</v>
      </c>
      <c r="B1740" s="5988"/>
      <c r="C1740" s="559"/>
      <c r="H1740"/>
      <c r="M1740" s="326"/>
      <c r="N1740" s="21"/>
      <c r="O1740" s="134" t="s">
        <v>8055</v>
      </c>
      <c r="P1740" s="998">
        <v>30</v>
      </c>
      <c r="Q1740" s="176">
        <v>100</v>
      </c>
      <c r="R1740" s="1005">
        <f>COUNTIF(PoderesDeCriatura_Adquiridos,Tablas!O1740)</f>
        <v>0</v>
      </c>
      <c r="S1740" s="176"/>
      <c r="T1740" s="996"/>
    </row>
    <row r="1741" spans="1:20" ht="12.75" customHeight="1" x14ac:dyDescent="0.2">
      <c r="A1741" s="227">
        <v>1741</v>
      </c>
      <c r="B1741" s="5988"/>
      <c r="H1741"/>
      <c r="M1741" s="326"/>
      <c r="N1741" s="21"/>
      <c r="O1741" s="134" t="s">
        <v>8056</v>
      </c>
      <c r="P1741" s="998">
        <v>35</v>
      </c>
      <c r="Q1741" s="176">
        <v>150</v>
      </c>
      <c r="R1741" s="1005">
        <f>COUNTIF(PoderesDeCriatura_Adquiridos,Tablas!O1741)</f>
        <v>0</v>
      </c>
      <c r="S1741" s="176"/>
      <c r="T1741" s="996"/>
    </row>
    <row r="1742" spans="1:20" ht="12.75" customHeight="1" x14ac:dyDescent="0.2">
      <c r="A1742" s="227">
        <v>1742</v>
      </c>
      <c r="B1742" s="5988"/>
      <c r="H1742"/>
      <c r="M1742" s="326"/>
      <c r="N1742" s="21"/>
      <c r="O1742" s="1" t="s">
        <v>24</v>
      </c>
      <c r="P1742" s="998">
        <v>30</v>
      </c>
      <c r="Q1742" s="176">
        <v>150</v>
      </c>
      <c r="R1742" s="1005">
        <f>COUNTIF(PoderesDeCriatura_Adquiridos,Tablas!O1742)</f>
        <v>0</v>
      </c>
      <c r="S1742" s="176"/>
      <c r="T1742" s="996"/>
    </row>
    <row r="1743" spans="1:20" ht="12.75" customHeight="1" x14ac:dyDescent="0.2">
      <c r="A1743" s="227">
        <v>1743</v>
      </c>
      <c r="B1743" s="5988"/>
      <c r="H1743"/>
      <c r="M1743" s="326"/>
      <c r="N1743" s="21"/>
      <c r="O1743" s="134" t="s">
        <v>25</v>
      </c>
      <c r="P1743" s="998"/>
      <c r="Q1743" s="176"/>
      <c r="R1743" s="1005"/>
      <c r="S1743" s="176"/>
      <c r="T1743" s="996"/>
    </row>
    <row r="1744" spans="1:20" ht="12.75" customHeight="1" x14ac:dyDescent="0.2">
      <c r="A1744" s="227">
        <v>1744</v>
      </c>
      <c r="B1744" s="5988"/>
      <c r="H1744"/>
      <c r="M1744" s="326"/>
      <c r="N1744" s="21"/>
      <c r="O1744" s="1" t="s">
        <v>26</v>
      </c>
      <c r="P1744" s="998">
        <v>35</v>
      </c>
      <c r="Q1744" s="176">
        <v>40</v>
      </c>
      <c r="R1744" s="1005">
        <f>COUNTIF(PoderesDeCriatura_Adquiridos,Tablas!O1744)</f>
        <v>0</v>
      </c>
      <c r="S1744" s="176"/>
      <c r="T1744" s="996"/>
    </row>
    <row r="1745" spans="1:41" ht="12.75" customHeight="1" x14ac:dyDescent="0.2">
      <c r="A1745" s="227">
        <v>1745</v>
      </c>
      <c r="B1745" s="5988"/>
      <c r="H1745"/>
      <c r="M1745" s="326"/>
      <c r="N1745" s="21"/>
      <c r="O1745" s="134" t="s">
        <v>8057</v>
      </c>
      <c r="P1745" s="998">
        <v>35</v>
      </c>
      <c r="Q1745" s="176">
        <v>40</v>
      </c>
      <c r="R1745" s="1005">
        <f>COUNTIF(PoderesDeCriatura_Adquiridos,Tablas!O1745)</f>
        <v>0</v>
      </c>
      <c r="S1745" s="176"/>
      <c r="T1745" s="996"/>
    </row>
    <row r="1746" spans="1:41" ht="12.75" customHeight="1" x14ac:dyDescent="0.2">
      <c r="A1746" s="227">
        <v>1746</v>
      </c>
      <c r="B1746" s="5988"/>
      <c r="H1746"/>
      <c r="M1746" s="326"/>
      <c r="N1746" s="21"/>
      <c r="O1746" s="134" t="s">
        <v>8058</v>
      </c>
      <c r="P1746" s="998">
        <v>40</v>
      </c>
      <c r="Q1746" s="176">
        <v>60</v>
      </c>
      <c r="R1746" s="1005">
        <f>COUNTIF(PoderesDeCriatura_Adquiridos,Tablas!O1746)</f>
        <v>0</v>
      </c>
      <c r="S1746" s="176">
        <f>IF(R1745,15,IF(R1746,20,0))</f>
        <v>0</v>
      </c>
      <c r="T1746" s="996" t="s">
        <v>1961</v>
      </c>
    </row>
    <row r="1747" spans="1:41" ht="12.75" customHeight="1" x14ac:dyDescent="0.2">
      <c r="A1747" s="227">
        <v>1747</v>
      </c>
      <c r="B1747" s="5988"/>
      <c r="H1747"/>
      <c r="M1747" s="326"/>
      <c r="N1747" s="21"/>
      <c r="O1747" s="134" t="s">
        <v>8059</v>
      </c>
      <c r="P1747" s="998">
        <v>35</v>
      </c>
      <c r="Q1747" s="176">
        <v>40</v>
      </c>
      <c r="R1747" s="1005">
        <f>COUNTIF(PoderesDeCriatura_Adquiridos,Tablas!O1747)</f>
        <v>0</v>
      </c>
      <c r="S1747" s="176"/>
      <c r="T1747" s="996"/>
    </row>
    <row r="1748" spans="1:41" ht="12.75" customHeight="1" x14ac:dyDescent="0.2">
      <c r="A1748" s="227">
        <v>1748</v>
      </c>
      <c r="B1748" s="5988"/>
      <c r="H1748"/>
      <c r="M1748" s="326"/>
      <c r="N1748" s="21"/>
      <c r="O1748" s="134" t="s">
        <v>8060</v>
      </c>
      <c r="P1748" s="998">
        <v>35</v>
      </c>
      <c r="Q1748" s="176">
        <v>40</v>
      </c>
      <c r="R1748" s="1005">
        <f>COUNTIF(PoderesDeCriatura_Adquiridos,Tablas!O1748)</f>
        <v>0</v>
      </c>
      <c r="S1748" s="176"/>
      <c r="T1748" s="996"/>
    </row>
    <row r="1749" spans="1:41" ht="12.75" customHeight="1" x14ac:dyDescent="0.2">
      <c r="A1749" s="227">
        <v>1749</v>
      </c>
      <c r="B1749" s="5988"/>
      <c r="H1749"/>
      <c r="M1749" s="326"/>
      <c r="N1749" s="21"/>
      <c r="O1749" s="134" t="s">
        <v>8061</v>
      </c>
      <c r="P1749" s="998">
        <v>40</v>
      </c>
      <c r="Q1749" s="176">
        <v>20</v>
      </c>
      <c r="R1749" s="1005">
        <f>COUNTIF(PoderesDeCriatura_Adquiridos,Tablas!O1749)</f>
        <v>0</v>
      </c>
      <c r="S1749" s="176"/>
      <c r="T1749" s="996"/>
    </row>
    <row r="1750" spans="1:41" ht="12.75" customHeight="1" x14ac:dyDescent="0.2">
      <c r="A1750" s="227">
        <v>1750</v>
      </c>
      <c r="B1750" s="5988"/>
      <c r="H1750"/>
      <c r="M1750" s="326"/>
      <c r="N1750" s="21"/>
      <c r="O1750" s="1" t="s">
        <v>27</v>
      </c>
      <c r="P1750" s="998">
        <v>35</v>
      </c>
      <c r="Q1750" s="176">
        <v>50</v>
      </c>
      <c r="R1750" s="1005">
        <f>COUNTIF(PoderesDeCriatura_Adquiridos,Tablas!O1750)</f>
        <v>0</v>
      </c>
      <c r="S1750" s="176"/>
      <c r="T1750" s="996"/>
    </row>
    <row r="1751" spans="1:41" ht="12.75" customHeight="1" x14ac:dyDescent="0.2">
      <c r="A1751" s="227">
        <v>1751</v>
      </c>
      <c r="B1751" s="5988"/>
      <c r="H1751"/>
      <c r="M1751" s="326"/>
      <c r="N1751" s="21"/>
      <c r="O1751" s="1" t="s">
        <v>28</v>
      </c>
      <c r="P1751" s="998">
        <v>30</v>
      </c>
      <c r="Q1751" s="176">
        <v>40</v>
      </c>
      <c r="R1751" s="1005">
        <f>COUNTIF(PoderesDeCriatura_Adquiridos,Tablas!O1751)</f>
        <v>0</v>
      </c>
      <c r="S1751" s="176"/>
      <c r="T1751" s="996"/>
    </row>
    <row r="1752" spans="1:41" ht="12.75" customHeight="1" x14ac:dyDescent="0.2">
      <c r="A1752" s="227">
        <v>1752</v>
      </c>
      <c r="B1752" s="5988"/>
      <c r="H1752"/>
      <c r="M1752" s="326"/>
      <c r="N1752" s="21"/>
      <c r="O1752" s="1" t="s">
        <v>29</v>
      </c>
      <c r="P1752" s="998"/>
      <c r="Q1752" s="176"/>
      <c r="R1752" s="1005"/>
      <c r="S1752" s="176"/>
      <c r="T1752" s="996"/>
    </row>
    <row r="1753" spans="1:41" ht="12.75" customHeight="1" x14ac:dyDescent="0.2">
      <c r="A1753" s="227">
        <v>1753</v>
      </c>
      <c r="B1753" s="5988"/>
      <c r="H1753"/>
      <c r="M1753" s="326"/>
      <c r="N1753" s="21"/>
      <c r="O1753" s="1" t="str">
        <f>IF(Personalización!I38=0,"Poder #1",Personalización!I38)</f>
        <v>Poder #1</v>
      </c>
      <c r="P1753" s="998">
        <f>Personalización!P38</f>
        <v>0</v>
      </c>
      <c r="Q1753" s="176">
        <f>Personalización!Q38</f>
        <v>0</v>
      </c>
      <c r="R1753" s="1005">
        <f>COUNTIF(PoderesDeCriatura_Adquiridos,Tablas!O1753)</f>
        <v>0</v>
      </c>
      <c r="S1753" s="176"/>
      <c r="T1753" s="996"/>
    </row>
    <row r="1754" spans="1:41" ht="12.75" customHeight="1" x14ac:dyDescent="0.2">
      <c r="A1754" s="227">
        <v>1754</v>
      </c>
      <c r="B1754" s="5988"/>
      <c r="H1754"/>
      <c r="M1754" s="326"/>
      <c r="N1754" s="21"/>
      <c r="O1754" s="1" t="str">
        <f>IF(Personalización!I39=0,"Poder #2",Personalización!I39)</f>
        <v>Poder #2</v>
      </c>
      <c r="P1754" s="998">
        <f>Personalización!P39</f>
        <v>0</v>
      </c>
      <c r="Q1754" s="176">
        <f>Personalización!Q39</f>
        <v>0</v>
      </c>
      <c r="R1754" s="1005">
        <f>COUNTIF(PoderesDeCriatura_Adquiridos,Tablas!O1754)</f>
        <v>0</v>
      </c>
      <c r="S1754" s="176"/>
      <c r="T1754" s="996"/>
    </row>
    <row r="1755" spans="1:41" ht="12.75" customHeight="1" x14ac:dyDescent="0.2">
      <c r="A1755" s="227">
        <v>1755</v>
      </c>
      <c r="B1755" s="5988"/>
      <c r="H1755"/>
      <c r="M1755" s="326"/>
      <c r="N1755" s="21"/>
      <c r="O1755" s="1" t="str">
        <f>IF(Personalización!I40=0,"Poder #3",Personalización!I40)</f>
        <v>Poder #3</v>
      </c>
      <c r="P1755" s="998">
        <f>Personalización!P40</f>
        <v>0</v>
      </c>
      <c r="Q1755" s="176">
        <f>Personalización!Q40</f>
        <v>0</v>
      </c>
      <c r="R1755" s="1005">
        <f>COUNTIF(PoderesDeCriatura_Adquiridos,Tablas!O1755)</f>
        <v>0</v>
      </c>
      <c r="S1755" s="176"/>
      <c r="T1755" s="996"/>
    </row>
    <row r="1756" spans="1:41" ht="12.75" customHeight="1" x14ac:dyDescent="0.2">
      <c r="A1756" s="227">
        <v>1756</v>
      </c>
      <c r="B1756" s="5988"/>
      <c r="H1756"/>
      <c r="M1756" s="326"/>
      <c r="N1756" s="21"/>
      <c r="O1756" s="1" t="str">
        <f>IF(Personalización!I41=0,"Poder #4",Personalización!I41)</f>
        <v>Poder #4</v>
      </c>
      <c r="P1756" s="998">
        <f>Personalización!P41</f>
        <v>0</v>
      </c>
      <c r="Q1756" s="176">
        <f>Personalización!Q41</f>
        <v>0</v>
      </c>
      <c r="R1756" s="1005">
        <f>COUNTIF(PoderesDeCriatura_Adquiridos,Tablas!O1756)</f>
        <v>0</v>
      </c>
      <c r="S1756" s="176"/>
      <c r="T1756" s="996"/>
      <c r="Y1756" s="2856"/>
      <c r="Z1756" s="2856"/>
      <c r="AA1756" s="2856"/>
      <c r="AB1756" s="2856"/>
      <c r="AC1756" s="2856"/>
      <c r="AD1756" s="2856"/>
      <c r="AE1756" s="2856"/>
      <c r="AF1756" s="2856"/>
      <c r="AG1756" s="2856"/>
      <c r="AH1756" s="2856"/>
      <c r="AI1756" s="2856"/>
      <c r="AJ1756" s="2856"/>
      <c r="AK1756" s="2856"/>
      <c r="AL1756" s="2856"/>
      <c r="AM1756" s="2856"/>
      <c r="AN1756" s="2856"/>
      <c r="AO1756" s="2856"/>
    </row>
    <row r="1757" spans="1:41" ht="12.75" customHeight="1" x14ac:dyDescent="0.2">
      <c r="A1757" s="227">
        <v>1757</v>
      </c>
      <c r="B1757" s="5988"/>
      <c r="H1757"/>
      <c r="M1757" s="326"/>
      <c r="N1757" s="21"/>
      <c r="O1757" s="1" t="str">
        <f>IF(Personalización!I42=0,"Poder #5",Personalización!I42)</f>
        <v>Poder #5</v>
      </c>
      <c r="P1757" s="998">
        <f>Personalización!P42</f>
        <v>0</v>
      </c>
      <c r="Q1757" s="176">
        <f>Personalización!Q42</f>
        <v>0</v>
      </c>
      <c r="R1757" s="1005">
        <f>COUNTIF(PoderesDeCriatura_Adquiridos,Tablas!O1757)</f>
        <v>0</v>
      </c>
      <c r="S1757" s="176"/>
      <c r="T1757" s="996"/>
      <c r="Y1757" s="2856"/>
      <c r="Z1757" s="2856"/>
      <c r="AA1757" s="2856"/>
      <c r="AB1757" s="2856"/>
      <c r="AC1757" s="2856"/>
      <c r="AD1757" s="2856"/>
      <c r="AE1757" s="2856"/>
      <c r="AF1757" s="2856"/>
      <c r="AG1757" s="2856"/>
      <c r="AH1757" s="2856"/>
      <c r="AI1757" s="2856"/>
      <c r="AJ1757" s="2856"/>
      <c r="AK1757" s="2856"/>
      <c r="AL1757" s="2856"/>
      <c r="AM1757" s="2856"/>
      <c r="AN1757" s="2856"/>
      <c r="AO1757" s="2856"/>
    </row>
    <row r="1758" spans="1:41" ht="12.75" customHeight="1" x14ac:dyDescent="0.2">
      <c r="A1758" s="227">
        <v>1758</v>
      </c>
      <c r="B1758" s="5988"/>
      <c r="H1758"/>
      <c r="M1758" s="326"/>
      <c r="N1758" s="21"/>
      <c r="O1758" s="1" t="str">
        <f>IF(Personalización!I43=0,"Poder #6",Personalización!I43)</f>
        <v>Poder #6</v>
      </c>
      <c r="P1758" s="998">
        <f>Personalización!P43</f>
        <v>0</v>
      </c>
      <c r="Q1758" s="176">
        <f>Personalización!Q43</f>
        <v>0</v>
      </c>
      <c r="R1758" s="1005">
        <f>COUNTIF(PoderesDeCriatura_Adquiridos,Tablas!O1758)</f>
        <v>0</v>
      </c>
      <c r="S1758" s="176"/>
      <c r="T1758" s="996"/>
      <c r="Y1758" s="2856"/>
      <c r="Z1758" s="2856"/>
      <c r="AA1758" s="2856"/>
      <c r="AB1758" s="2856"/>
      <c r="AC1758" s="2856"/>
      <c r="AD1758" s="2856"/>
      <c r="AE1758" s="2856"/>
      <c r="AF1758" s="2856"/>
      <c r="AG1758" s="2856"/>
      <c r="AH1758" s="2856"/>
      <c r="AI1758" s="2856"/>
      <c r="AJ1758" s="2856"/>
      <c r="AK1758" s="2856"/>
      <c r="AL1758" s="2856"/>
      <c r="AM1758" s="2856"/>
      <c r="AN1758" s="2856"/>
      <c r="AO1758" s="2856"/>
    </row>
    <row r="1759" spans="1:41" ht="12.75" customHeight="1" x14ac:dyDescent="0.2">
      <c r="A1759" s="227">
        <v>1759</v>
      </c>
      <c r="B1759" s="5988"/>
      <c r="H1759"/>
      <c r="M1759" s="326"/>
      <c r="N1759" s="21"/>
      <c r="O1759" s="1" t="str">
        <f>IF(Personalización!I44=0,"Poder #7",Personalización!I44)</f>
        <v>Poder #7</v>
      </c>
      <c r="P1759" s="998">
        <f>Personalización!P44</f>
        <v>0</v>
      </c>
      <c r="Q1759" s="176">
        <f>Personalización!Q44</f>
        <v>0</v>
      </c>
      <c r="R1759" s="1005">
        <f>COUNTIF(PoderesDeCriatura_Adquiridos,Tablas!O1759)</f>
        <v>0</v>
      </c>
      <c r="S1759" s="176"/>
      <c r="T1759" s="996"/>
      <c r="Y1759" s="2856"/>
      <c r="Z1759" s="2856"/>
      <c r="AA1759" s="2856"/>
      <c r="AB1759" s="2856"/>
      <c r="AC1759" s="2856"/>
      <c r="AD1759" s="2856"/>
      <c r="AE1759" s="2856"/>
      <c r="AF1759" s="2856"/>
      <c r="AG1759" s="2856"/>
      <c r="AH1759" s="2856"/>
      <c r="AI1759" s="2856"/>
      <c r="AJ1759" s="2856"/>
      <c r="AK1759" s="2856"/>
      <c r="AL1759" s="2856"/>
      <c r="AM1759" s="2856"/>
      <c r="AN1759" s="2856"/>
      <c r="AO1759" s="2856"/>
    </row>
    <row r="1760" spans="1:41" ht="12.75" customHeight="1" x14ac:dyDescent="0.2">
      <c r="A1760" s="227">
        <v>1760</v>
      </c>
      <c r="B1760" s="5988"/>
      <c r="H1760"/>
      <c r="M1760" s="326"/>
      <c r="N1760" s="21"/>
      <c r="O1760" s="1" t="str">
        <f>IF(Personalización!I45=0,"Poder #8",Personalización!I45)</f>
        <v>Poder #8</v>
      </c>
      <c r="P1760" s="998">
        <f>Personalización!P45</f>
        <v>0</v>
      </c>
      <c r="Q1760" s="176">
        <f>Personalización!Q45</f>
        <v>0</v>
      </c>
      <c r="R1760" s="1005">
        <f>COUNTIF(PoderesDeCriatura_Adquiridos,Tablas!O1760)</f>
        <v>0</v>
      </c>
      <c r="S1760" s="176"/>
      <c r="T1760" s="996"/>
      <c r="Y1760" s="2856"/>
      <c r="Z1760" s="2856"/>
      <c r="AA1760" s="2856"/>
      <c r="AB1760" s="2856"/>
      <c r="AC1760" s="2856"/>
      <c r="AD1760" s="2856"/>
      <c r="AE1760" s="2856"/>
      <c r="AF1760" s="2856"/>
      <c r="AG1760" s="2856"/>
      <c r="AH1760" s="2856"/>
      <c r="AI1760" s="2856"/>
      <c r="AJ1760" s="2856"/>
      <c r="AK1760" s="2856"/>
      <c r="AL1760" s="2856"/>
      <c r="AM1760" s="2856"/>
      <c r="AN1760" s="2856"/>
      <c r="AO1760" s="2856"/>
    </row>
    <row r="1761" spans="1:41" ht="12.75" customHeight="1" x14ac:dyDescent="0.2">
      <c r="A1761" s="227">
        <v>1761</v>
      </c>
      <c r="B1761" s="5988"/>
      <c r="H1761"/>
      <c r="M1761" s="326"/>
      <c r="N1761" s="21"/>
      <c r="O1761" s="1" t="str">
        <f>IF(Personalización!I46=0,"Poder #9",Personalización!I46)</f>
        <v>Poder #9</v>
      </c>
      <c r="P1761" s="998">
        <f>Personalización!P46</f>
        <v>0</v>
      </c>
      <c r="Q1761" s="176">
        <f>Personalización!Q46</f>
        <v>0</v>
      </c>
      <c r="R1761" s="1005">
        <f>COUNTIF(PoderesDeCriatura_Adquiridos,Tablas!O1761)</f>
        <v>0</v>
      </c>
      <c r="S1761" s="176"/>
      <c r="T1761" s="996"/>
      <c r="Y1761" s="2856"/>
      <c r="Z1761" s="2856"/>
      <c r="AA1761" s="2856"/>
      <c r="AB1761" s="2856"/>
      <c r="AC1761" s="2856"/>
      <c r="AD1761" s="2856"/>
      <c r="AE1761" s="2856"/>
      <c r="AF1761" s="2856"/>
      <c r="AG1761" s="2856"/>
      <c r="AH1761" s="2856"/>
      <c r="AI1761" s="2856"/>
      <c r="AJ1761" s="2856"/>
      <c r="AK1761" s="2856"/>
      <c r="AL1761" s="2856"/>
      <c r="AM1761" s="2856"/>
      <c r="AN1761" s="2856"/>
      <c r="AO1761" s="2856"/>
    </row>
    <row r="1762" spans="1:41" ht="12.75" customHeight="1" thickBot="1" x14ac:dyDescent="0.25">
      <c r="A1762" s="227">
        <v>1762</v>
      </c>
      <c r="B1762" s="5988"/>
      <c r="H1762"/>
      <c r="I1762" s="559"/>
      <c r="M1762" s="664"/>
      <c r="N1762" s="577"/>
      <c r="O1762" s="1012" t="str">
        <f>IF(Personalización!I47=0,"Poder #10",Personalización!I47)</f>
        <v>Poder #10</v>
      </c>
      <c r="P1762" s="999">
        <f>Personalización!P47</f>
        <v>0</v>
      </c>
      <c r="Q1762" s="814">
        <f>Personalización!Q47</f>
        <v>0</v>
      </c>
      <c r="R1762" s="1006">
        <f>COUNTIF(PoderesDeCriatura_Adquiridos,Tablas!O1762)</f>
        <v>0</v>
      </c>
      <c r="S1762" s="814"/>
      <c r="T1762" s="997"/>
    </row>
    <row r="1763" spans="1:41" ht="12.75" customHeight="1" x14ac:dyDescent="0.2">
      <c r="A1763" s="227">
        <v>1763</v>
      </c>
      <c r="B1763" s="5988"/>
      <c r="H1763"/>
      <c r="I1763" s="2856"/>
      <c r="M1763" s="2673"/>
      <c r="N1763" s="2673"/>
      <c r="O1763" s="2874"/>
      <c r="P1763" s="2875"/>
      <c r="Q1763" s="2875"/>
      <c r="R1763" s="2876"/>
      <c r="S1763" s="2875"/>
      <c r="T1763" s="2875"/>
      <c r="Y1763" s="2856"/>
      <c r="Z1763" s="2856"/>
      <c r="AA1763" s="2856"/>
      <c r="AB1763" s="2856"/>
      <c r="AC1763" s="2856"/>
      <c r="AD1763" s="2856"/>
      <c r="AE1763" s="2856"/>
      <c r="AF1763" s="2856"/>
      <c r="AG1763" s="2856"/>
      <c r="AH1763" s="2856"/>
      <c r="AI1763" s="2856"/>
      <c r="AJ1763" s="2856"/>
      <c r="AK1763" s="2856"/>
      <c r="AL1763" s="2856"/>
      <c r="AM1763" s="2856"/>
      <c r="AN1763" s="2856"/>
      <c r="AO1763" s="2856"/>
    </row>
    <row r="1764" spans="1:41" ht="12.75" customHeight="1" x14ac:dyDescent="0.2">
      <c r="A1764" s="227">
        <v>1764</v>
      </c>
      <c r="B1764" s="5988"/>
      <c r="C1764" s="6003" t="s">
        <v>7316</v>
      </c>
      <c r="D1764" s="6003"/>
      <c r="E1764" s="6003"/>
      <c r="F1764" s="6003"/>
      <c r="G1764" s="6003"/>
      <c r="H1764" s="6003"/>
      <c r="I1764" s="6003"/>
      <c r="J1764" s="6003"/>
      <c r="K1764" s="6003"/>
      <c r="L1764" s="6003"/>
      <c r="M1764" s="6003"/>
      <c r="N1764" s="6003"/>
      <c r="O1764" s="6003"/>
      <c r="P1764" s="6003"/>
      <c r="Q1764" s="6003"/>
      <c r="R1764" s="6003"/>
      <c r="S1764" s="6003"/>
      <c r="T1764" s="6003"/>
      <c r="U1764" s="6003"/>
      <c r="V1764" s="6003"/>
      <c r="W1764" s="6003"/>
      <c r="X1764" s="6003"/>
      <c r="Y1764" s="6003"/>
    </row>
    <row r="1765" spans="1:41" ht="12.75" customHeight="1" x14ac:dyDescent="0.2">
      <c r="A1765" s="227">
        <v>1765</v>
      </c>
      <c r="B1765" s="5988"/>
      <c r="C1765" s="6003"/>
      <c r="D1765" s="6003"/>
      <c r="E1765" s="6003"/>
      <c r="F1765" s="6003"/>
      <c r="G1765" s="6003"/>
      <c r="H1765" s="6003"/>
      <c r="I1765" s="6003"/>
      <c r="J1765" s="6003"/>
      <c r="K1765" s="6003"/>
      <c r="L1765" s="6003"/>
      <c r="M1765" s="6003"/>
      <c r="N1765" s="6003"/>
      <c r="O1765" s="6003"/>
      <c r="P1765" s="6003"/>
      <c r="Q1765" s="6003"/>
      <c r="R1765" s="6003"/>
      <c r="S1765" s="6003"/>
      <c r="T1765" s="6003"/>
      <c r="U1765" s="6003"/>
      <c r="V1765" s="6003"/>
      <c r="W1765" s="6003"/>
      <c r="X1765" s="6003"/>
      <c r="Y1765" s="6003"/>
    </row>
    <row r="1766" spans="1:41" ht="12.75" customHeight="1" x14ac:dyDescent="0.2">
      <c r="A1766" s="227">
        <v>1766</v>
      </c>
      <c r="B1766" s="5988"/>
      <c r="C1766" s="6003"/>
      <c r="D1766" s="6003"/>
      <c r="E1766" s="6003"/>
      <c r="F1766" s="6003"/>
      <c r="G1766" s="6003"/>
      <c r="H1766" s="6003"/>
      <c r="I1766" s="6003"/>
      <c r="J1766" s="6003"/>
      <c r="K1766" s="6003"/>
      <c r="L1766" s="6003"/>
      <c r="M1766" s="6003"/>
      <c r="N1766" s="6003"/>
      <c r="O1766" s="6003"/>
      <c r="P1766" s="6003"/>
      <c r="Q1766" s="6003"/>
      <c r="R1766" s="6003"/>
      <c r="S1766" s="6003"/>
      <c r="T1766" s="6003"/>
      <c r="U1766" s="6003"/>
      <c r="V1766" s="6003"/>
      <c r="W1766" s="6003"/>
      <c r="X1766" s="6003"/>
      <c r="Y1766" s="6003"/>
    </row>
    <row r="1767" spans="1:41" ht="12.75" customHeight="1" thickBot="1" x14ac:dyDescent="0.25">
      <c r="A1767" s="227">
        <v>1767</v>
      </c>
      <c r="B1767" s="5988"/>
      <c r="H1767"/>
      <c r="I1767" s="559"/>
      <c r="N1767"/>
      <c r="O1767" s="559"/>
    </row>
    <row r="1768" spans="1:41" ht="12.75" customHeight="1" x14ac:dyDescent="0.2">
      <c r="A1768" s="227">
        <v>1768</v>
      </c>
      <c r="B1768" s="5988"/>
      <c r="C1768" s="6138" t="s">
        <v>6404</v>
      </c>
      <c r="D1768" s="6139"/>
      <c r="E1768" s="6138" t="s">
        <v>1820</v>
      </c>
      <c r="F1768" s="6333"/>
      <c r="G1768" s="6333"/>
      <c r="H1768" s="6333"/>
      <c r="I1768" s="6333"/>
      <c r="J1768" s="6333"/>
      <c r="K1768" s="6333"/>
      <c r="L1768" s="6333"/>
      <c r="M1768" s="6333"/>
      <c r="N1768" s="6333"/>
      <c r="O1768" s="963"/>
      <c r="P1768" s="963"/>
      <c r="Q1768" s="965"/>
      <c r="R1768" s="964"/>
      <c r="T1768" s="6190" t="s">
        <v>7304</v>
      </c>
      <c r="U1768" s="6191"/>
      <c r="V1768" s="6191"/>
      <c r="W1768" s="6191"/>
      <c r="X1768" s="6191"/>
      <c r="Y1768" s="6192"/>
    </row>
    <row r="1769" spans="1:41" ht="12.75" customHeight="1" x14ac:dyDescent="0.2">
      <c r="A1769" s="227">
        <v>1769</v>
      </c>
      <c r="B1769" s="5988"/>
      <c r="C1769" s="6140"/>
      <c r="D1769" s="6141"/>
      <c r="E1769" s="6140"/>
      <c r="F1769" s="6334"/>
      <c r="G1769" s="6334"/>
      <c r="H1769" s="6334"/>
      <c r="I1769" s="6334"/>
      <c r="J1769" s="6334"/>
      <c r="K1769" s="6334"/>
      <c r="L1769" s="6334"/>
      <c r="M1769" s="6334"/>
      <c r="N1769" s="6334"/>
      <c r="O1769" s="6279" t="s">
        <v>7300</v>
      </c>
      <c r="P1769" s="6335">
        <f>COUNTIF(J1772:J1964,"&gt;0")</f>
        <v>0</v>
      </c>
      <c r="Q1769" s="966"/>
      <c r="R1769" s="595"/>
      <c r="T1769" s="6193"/>
      <c r="U1769" s="6194"/>
      <c r="V1769" s="6194"/>
      <c r="W1769" s="6194"/>
      <c r="X1769" s="6194"/>
      <c r="Y1769" s="6195"/>
    </row>
    <row r="1770" spans="1:41" ht="12.75" customHeight="1" x14ac:dyDescent="0.2">
      <c r="A1770" s="227">
        <v>1770</v>
      </c>
      <c r="B1770" s="5988"/>
      <c r="C1770" s="616" t="s">
        <v>6405</v>
      </c>
      <c r="D1770" s="591"/>
      <c r="E1770" s="967"/>
      <c r="F1770" s="962" t="s">
        <v>7301</v>
      </c>
      <c r="G1770" s="594">
        <v>3</v>
      </c>
      <c r="H1770" s="594">
        <v>4</v>
      </c>
      <c r="I1770" s="594">
        <v>5</v>
      </c>
      <c r="J1770" s="594">
        <v>6</v>
      </c>
      <c r="K1770" s="594">
        <v>7</v>
      </c>
      <c r="L1770" s="594">
        <v>8</v>
      </c>
      <c r="M1770" s="594">
        <v>9</v>
      </c>
      <c r="N1770" s="594">
        <v>10</v>
      </c>
      <c r="O1770" s="6279"/>
      <c r="P1770" s="6335"/>
      <c r="Q1770" s="966">
        <v>13</v>
      </c>
      <c r="R1770" s="595">
        <v>14</v>
      </c>
      <c r="T1770" s="6277" t="s">
        <v>7302</v>
      </c>
      <c r="U1770" s="6132"/>
      <c r="V1770" s="6132" t="s">
        <v>7303</v>
      </c>
      <c r="W1770" s="6132"/>
      <c r="X1770" s="6132" t="s">
        <v>1207</v>
      </c>
      <c r="Y1770" s="6278"/>
    </row>
    <row r="1771" spans="1:41" ht="12.75" customHeight="1" x14ac:dyDescent="0.2">
      <c r="A1771" s="227">
        <v>1771</v>
      </c>
      <c r="B1771" s="5988"/>
      <c r="C1771" s="616" t="s">
        <v>6406</v>
      </c>
      <c r="D1771" s="591"/>
      <c r="E1771" s="968" t="s">
        <v>6405</v>
      </c>
      <c r="F1771" s="1383">
        <f>IF(Elan!$C$11=Tablas!$E1771,Elan!$G$11,IF(Elan!$U$11=Tablas!$E1771,Elan!$Y$11,0))</f>
        <v>0</v>
      </c>
      <c r="G1771" s="961" t="s">
        <v>1820</v>
      </c>
      <c r="H1771" s="961" t="s">
        <v>8309</v>
      </c>
      <c r="I1771" s="961" t="s">
        <v>1490</v>
      </c>
      <c r="J1771" s="961" t="s">
        <v>6418</v>
      </c>
      <c r="K1771" s="961" t="s">
        <v>7078</v>
      </c>
      <c r="L1771" s="961" t="s">
        <v>1549</v>
      </c>
      <c r="M1771" s="594"/>
      <c r="N1771" s="594"/>
      <c r="O1771" s="594"/>
      <c r="P1771" s="594"/>
      <c r="Q1771" s="966"/>
      <c r="R1771" s="715" t="s">
        <v>2637</v>
      </c>
      <c r="T1771" s="1090" t="s">
        <v>6405</v>
      </c>
      <c r="U1771" s="1091">
        <v>2</v>
      </c>
      <c r="V1771" s="1091">
        <v>3</v>
      </c>
      <c r="W1771" s="1091">
        <v>4</v>
      </c>
      <c r="X1771" s="1091">
        <v>5</v>
      </c>
      <c r="Y1771" s="1280">
        <v>6</v>
      </c>
    </row>
    <row r="1772" spans="1:41" ht="12.75" customHeight="1" x14ac:dyDescent="0.2">
      <c r="A1772" s="227">
        <v>1772</v>
      </c>
      <c r="B1772" s="5988"/>
      <c r="C1772" s="616" t="s">
        <v>6407</v>
      </c>
      <c r="D1772" s="591"/>
      <c r="E1772" s="969" t="s">
        <v>6419</v>
      </c>
      <c r="F1772" s="593"/>
      <c r="G1772" s="593">
        <v>10</v>
      </c>
      <c r="H1772" s="593">
        <v>1</v>
      </c>
      <c r="I1772" s="593">
        <v>5</v>
      </c>
      <c r="J1772" s="593">
        <f>COUNTIF(Elan!$C$13:$F$25,Tablas!E1772)+COUNTIF(Elan!$U$13:$X$25,Tablas!E1772)</f>
        <v>0</v>
      </c>
      <c r="K1772" s="593"/>
      <c r="L1772" s="5989" t="s">
        <v>6607</v>
      </c>
      <c r="M1772" s="5989"/>
      <c r="N1772" s="5989"/>
      <c r="O1772" s="5989"/>
      <c r="P1772" s="5989"/>
      <c r="Q1772" s="5990"/>
      <c r="R1772" s="972">
        <f>IF(OR($J1772=0,$J1772="Aprendida"),0,SUM($J$1772:$J1772))</f>
        <v>0</v>
      </c>
      <c r="T1772" s="1092" t="s">
        <v>6608</v>
      </c>
      <c r="U1772" s="1093">
        <v>1</v>
      </c>
      <c r="V1772" s="1094" t="s">
        <v>6609</v>
      </c>
      <c r="W1772" s="1093">
        <v>1</v>
      </c>
      <c r="X1772" s="1093" t="s">
        <v>6610</v>
      </c>
      <c r="Y1772" s="1281">
        <v>-5</v>
      </c>
    </row>
    <row r="1773" spans="1:41" ht="12.75" customHeight="1" x14ac:dyDescent="0.2">
      <c r="A1773" s="227">
        <v>1773</v>
      </c>
      <c r="B1773" s="5988"/>
      <c r="C1773" s="616" t="s">
        <v>6408</v>
      </c>
      <c r="D1773" s="591"/>
      <c r="E1773" s="969" t="s">
        <v>6420</v>
      </c>
      <c r="F1773" s="593"/>
      <c r="G1773" s="593">
        <v>20</v>
      </c>
      <c r="H1773" s="593">
        <v>1</v>
      </c>
      <c r="I1773" s="593">
        <v>10</v>
      </c>
      <c r="J1773" s="593">
        <f>COUNTIF(Elan!$C$13:$F$25,Tablas!E1773)+COUNTIF(Elan!$U$13:$X$25,Tablas!E1773)</f>
        <v>0</v>
      </c>
      <c r="K1773" s="593"/>
      <c r="L1773" s="5989" t="str">
        <f>"Permite extripar cualquier enfermedad de nivel igual o inferior a "&amp;F1771&amp;"."</f>
        <v>Permite extripar cualquier enfermedad de nivel igual o inferior a 0.</v>
      </c>
      <c r="M1773" s="5989"/>
      <c r="N1773" s="5989"/>
      <c r="O1773" s="5989"/>
      <c r="P1773" s="5989"/>
      <c r="Q1773" s="5990"/>
      <c r="R1773" s="972">
        <f>IF(OR($J1773=0,$J1773="Aprendida"),0,SUM($J$1772:$J1773))</f>
        <v>0</v>
      </c>
      <c r="T1773" s="1092" t="s">
        <v>6611</v>
      </c>
      <c r="U1773" s="1093">
        <v>5</v>
      </c>
      <c r="V1773" s="1094" t="s">
        <v>6612</v>
      </c>
      <c r="W1773" s="1093">
        <v>3</v>
      </c>
      <c r="X1773" s="1093" t="s">
        <v>6613</v>
      </c>
      <c r="Y1773" s="1281">
        <v>-3</v>
      </c>
    </row>
    <row r="1774" spans="1:41" ht="12.75" customHeight="1" x14ac:dyDescent="0.2">
      <c r="A1774" s="227">
        <v>1774</v>
      </c>
      <c r="B1774" s="5988"/>
      <c r="C1774" s="616" t="s">
        <v>6316</v>
      </c>
      <c r="D1774" s="591"/>
      <c r="E1774" s="969" t="s">
        <v>6421</v>
      </c>
      <c r="F1774" s="593"/>
      <c r="G1774" s="593">
        <v>30</v>
      </c>
      <c r="H1774" s="593">
        <v>1</v>
      </c>
      <c r="I1774" s="593">
        <v>5</v>
      </c>
      <c r="J1774" s="593">
        <f>COUNTIF(Elan!$C$13:$F$25,Tablas!E1774)+COUNTIF(Elan!$U$13:$X$25,Tablas!E1774)</f>
        <v>0</v>
      </c>
      <c r="K1774" s="593"/>
      <c r="L1774" s="5989" t="s">
        <v>6614</v>
      </c>
      <c r="M1774" s="5989"/>
      <c r="N1774" s="5989"/>
      <c r="O1774" s="5989"/>
      <c r="P1774" s="5989"/>
      <c r="Q1774" s="5990"/>
      <c r="R1774" s="972">
        <f>IF(OR($J1774=0,$J1774="Aprendida"),0,SUM($J$1772:$J1774))</f>
        <v>0</v>
      </c>
      <c r="T1774" s="1092" t="s">
        <v>6615</v>
      </c>
      <c r="U1774" s="1093">
        <v>3</v>
      </c>
      <c r="V1774" s="1094" t="s">
        <v>6616</v>
      </c>
      <c r="W1774" s="1093">
        <v>1</v>
      </c>
      <c r="X1774" s="1093" t="s">
        <v>6617</v>
      </c>
      <c r="Y1774" s="1281">
        <v>-10</v>
      </c>
    </row>
    <row r="1775" spans="1:41" ht="12.75" customHeight="1" x14ac:dyDescent="0.2">
      <c r="A1775" s="227">
        <v>1775</v>
      </c>
      <c r="B1775" s="5988"/>
      <c r="C1775" s="616" t="s">
        <v>6409</v>
      </c>
      <c r="D1775" s="591"/>
      <c r="E1775" s="969" t="s">
        <v>6422</v>
      </c>
      <c r="F1775" s="593"/>
      <c r="G1775" s="593">
        <v>40</v>
      </c>
      <c r="H1775" s="593">
        <v>1</v>
      </c>
      <c r="I1775" s="593">
        <v>20</v>
      </c>
      <c r="J1775" s="593">
        <f>COUNTIF(Elan!$C$13:$F$25,Tablas!E1775)+COUNTIF(Elan!$U$13:$X$25,Tablas!E1775)</f>
        <v>0</v>
      </c>
      <c r="K1775" s="593">
        <f>FLOOR($F$1771/2*J1775,1)</f>
        <v>0</v>
      </c>
      <c r="L1775" s="5989" t="str">
        <f>"Otorga un bonificador especial a todas las resistencias de "&amp;K1775&amp;"."</f>
        <v>Otorga un bonificador especial a todas las resistencias de 0.</v>
      </c>
      <c r="M1775" s="5989"/>
      <c r="N1775" s="5989"/>
      <c r="O1775" s="5989"/>
      <c r="P1775" s="5989"/>
      <c r="Q1775" s="5990"/>
      <c r="R1775" s="972">
        <f>IF(OR($J1775=0,$J1775="Aprendida"),0,SUM($J$1772:$J1775))</f>
        <v>0</v>
      </c>
      <c r="T1775" s="1092" t="s">
        <v>6618</v>
      </c>
      <c r="U1775" s="1093">
        <v>3</v>
      </c>
      <c r="V1775" s="1094" t="s">
        <v>6619</v>
      </c>
      <c r="W1775" s="1093">
        <v>1</v>
      </c>
      <c r="X1775" s="1093"/>
      <c r="Y1775" s="1281"/>
    </row>
    <row r="1776" spans="1:41" ht="12.75" customHeight="1" x14ac:dyDescent="0.2">
      <c r="A1776" s="227">
        <v>1776</v>
      </c>
      <c r="B1776" s="5988"/>
      <c r="C1776" s="616" t="s">
        <v>6410</v>
      </c>
      <c r="D1776" s="591"/>
      <c r="E1776" s="969" t="s">
        <v>6423</v>
      </c>
      <c r="F1776" s="593"/>
      <c r="G1776" s="593">
        <v>50</v>
      </c>
      <c r="H1776" s="593">
        <v>1</v>
      </c>
      <c r="I1776" s="593">
        <v>15</v>
      </c>
      <c r="J1776" s="593">
        <f>COUNTIF(Elan!$C$13:$F$25,Tablas!E1776)+COUNTIF(Elan!$U$13:$X$25,Tablas!E1776)</f>
        <v>0</v>
      </c>
      <c r="K1776" s="593"/>
      <c r="L1776" s="5989" t="str">
        <f>"Permite desconvocar a un ser sobrenatural maligno si no supera un control de RM de "&amp;F1771*2&amp;"."</f>
        <v>Permite desconvocar a un ser sobrenatural maligno si no supera un control de RM de 0.</v>
      </c>
      <c r="M1776" s="5989"/>
      <c r="N1776" s="5989"/>
      <c r="O1776" s="5989"/>
      <c r="P1776" s="5989"/>
      <c r="Q1776" s="5990"/>
      <c r="R1776" s="972">
        <f>IF(OR($J1776=0,$J1776="Aprendida"),0,SUM($J$1772:$J1776))</f>
        <v>0</v>
      </c>
      <c r="T1776" s="1092" t="s">
        <v>6620</v>
      </c>
      <c r="U1776" s="1093">
        <v>1</v>
      </c>
      <c r="V1776" s="1094"/>
      <c r="W1776" s="1093"/>
      <c r="X1776" s="1093"/>
      <c r="Y1776" s="1281"/>
    </row>
    <row r="1777" spans="1:25" ht="12.75" customHeight="1" x14ac:dyDescent="0.2">
      <c r="A1777" s="227">
        <v>1777</v>
      </c>
      <c r="B1777" s="5988"/>
      <c r="C1777" s="616" t="s">
        <v>6411</v>
      </c>
      <c r="D1777" s="591"/>
      <c r="E1777" s="969" t="s">
        <v>2720</v>
      </c>
      <c r="F1777" s="593"/>
      <c r="G1777" s="593">
        <v>50</v>
      </c>
      <c r="H1777" s="593">
        <f>IF(J1775=1,1,0)</f>
        <v>0</v>
      </c>
      <c r="I1777" s="593">
        <v>10</v>
      </c>
      <c r="J1777" s="593">
        <f>COUNTIF(Elan!$C$13:$F$25,Tablas!E1777)+COUNTIF(Elan!$U$13:$X$25,Tablas!E1777)</f>
        <v>0</v>
      </c>
      <c r="K1777" s="593"/>
      <c r="L1777" s="5989" t="str">
        <f>"Extiende el bono a las resistencias de Resistencia Celestial en un radio de "&amp;F1771/2&amp;" metros."</f>
        <v>Extiende el bono a las resistencias de Resistencia Celestial en un radio de 0 metros.</v>
      </c>
      <c r="M1777" s="5989"/>
      <c r="N1777" s="5989"/>
      <c r="O1777" s="5989"/>
      <c r="P1777" s="5989"/>
      <c r="Q1777" s="5990"/>
      <c r="R1777" s="972">
        <f>IF(OR($J1777=0,$J1777="Aprendida"),0,SUM($J$1772:$J1777))</f>
        <v>0</v>
      </c>
      <c r="T1777" s="1092" t="s">
        <v>6612</v>
      </c>
      <c r="U1777" s="1093">
        <v>5</v>
      </c>
      <c r="V1777" s="1094"/>
      <c r="W1777" s="1093"/>
      <c r="X1777" s="1093"/>
      <c r="Y1777" s="1281"/>
    </row>
    <row r="1778" spans="1:25" ht="12.75" customHeight="1" x14ac:dyDescent="0.2">
      <c r="A1778" s="227">
        <v>1778</v>
      </c>
      <c r="B1778" s="5988"/>
      <c r="C1778" s="616" t="s">
        <v>6412</v>
      </c>
      <c r="D1778" s="591"/>
      <c r="E1778" s="969" t="s">
        <v>6424</v>
      </c>
      <c r="F1778" s="593"/>
      <c r="G1778" s="593">
        <v>60</v>
      </c>
      <c r="H1778" s="593">
        <v>1</v>
      </c>
      <c r="I1778" s="593">
        <v>10</v>
      </c>
      <c r="J1778" s="593">
        <f>COUNTIF(Elan!$C$13:$F$25,Tablas!E1778)+COUNTIF(Elan!$U$13:$X$25,Tablas!E1778)</f>
        <v>0</v>
      </c>
      <c r="K1778" s="593"/>
      <c r="L1778" s="5989" t="s">
        <v>6621</v>
      </c>
      <c r="M1778" s="5989"/>
      <c r="N1778" s="5989"/>
      <c r="O1778" s="5989"/>
      <c r="P1778" s="5989"/>
      <c r="Q1778" s="5990"/>
      <c r="R1778" s="972">
        <f>IF(OR($J1778=0,$J1778="Aprendida"),0,SUM($J$1772:$J1778))</f>
        <v>0</v>
      </c>
      <c r="T1778" s="1095"/>
      <c r="U1778" s="1096"/>
      <c r="V1778" s="1096"/>
      <c r="W1778" s="1096"/>
      <c r="X1778" s="1096"/>
      <c r="Y1778" s="1282"/>
    </row>
    <row r="1779" spans="1:25" ht="12.75" customHeight="1" x14ac:dyDescent="0.2">
      <c r="A1779" s="227">
        <v>1779</v>
      </c>
      <c r="B1779" s="5988"/>
      <c r="C1779" s="616" t="s">
        <v>6413</v>
      </c>
      <c r="D1779" s="591"/>
      <c r="E1779" s="969" t="s">
        <v>6425</v>
      </c>
      <c r="F1779" s="593"/>
      <c r="G1779" s="593">
        <v>70</v>
      </c>
      <c r="H1779" s="593">
        <v>1</v>
      </c>
      <c r="I1779" s="593">
        <v>10</v>
      </c>
      <c r="J1779" s="593">
        <f>COUNTIF(Elan!$C$13:$F$25,Tablas!E1779)+COUNTIF(Elan!$U$13:$X$25,Tablas!E1779)</f>
        <v>0</v>
      </c>
      <c r="K1779" s="593"/>
      <c r="L1779" s="5989" t="s">
        <v>6622</v>
      </c>
      <c r="M1779" s="5989"/>
      <c r="N1779" s="5989"/>
      <c r="O1779" s="5989"/>
      <c r="P1779" s="5989"/>
      <c r="Q1779" s="5990"/>
      <c r="R1779" s="972">
        <f>IF(OR($J1779=0,$J1779="Aprendida"),0,SUM($J$1772:$J1779))</f>
        <v>0</v>
      </c>
      <c r="T1779" s="1090" t="str">
        <f>E1784</f>
        <v>Zemial</v>
      </c>
      <c r="U1779" s="1091"/>
      <c r="V1779" s="1097"/>
      <c r="W1779" s="1091"/>
      <c r="X1779" s="1091"/>
      <c r="Y1779" s="1280"/>
    </row>
    <row r="1780" spans="1:25" ht="12.75" customHeight="1" x14ac:dyDescent="0.2">
      <c r="A1780" s="227">
        <v>1780</v>
      </c>
      <c r="B1780" s="5988"/>
      <c r="C1780" s="616" t="s">
        <v>6414</v>
      </c>
      <c r="D1780" s="591"/>
      <c r="E1780" s="969" t="s">
        <v>6426</v>
      </c>
      <c r="F1780" s="593"/>
      <c r="G1780" s="593">
        <v>70</v>
      </c>
      <c r="H1780" s="593">
        <v>1</v>
      </c>
      <c r="I1780" s="593">
        <v>10</v>
      </c>
      <c r="J1780" s="593">
        <f>COUNTIF(Elan!$C$13:$F$25,Tablas!E1780)+COUNTIF(Elan!$U$13:$X$25,Tablas!E1780)</f>
        <v>0</v>
      </c>
      <c r="K1780" s="593"/>
      <c r="L1780" s="5989" t="s">
        <v>10374</v>
      </c>
      <c r="M1780" s="5989"/>
      <c r="N1780" s="5989"/>
      <c r="O1780" s="5989"/>
      <c r="P1780" s="5989"/>
      <c r="Q1780" s="5990"/>
      <c r="R1780" s="972">
        <f>IF(OR($J1780=0,$J1780="Aprendida"),0,SUM($J$1772:$J1780))</f>
        <v>0</v>
      </c>
      <c r="T1780" s="1092" t="s">
        <v>6626</v>
      </c>
      <c r="U1780" s="1093">
        <v>1</v>
      </c>
      <c r="V1780" s="1094" t="s">
        <v>6627</v>
      </c>
      <c r="W1780" s="1093">
        <v>5</v>
      </c>
      <c r="X1780" s="1093" t="s">
        <v>6628</v>
      </c>
      <c r="Y1780" s="1281">
        <v>-3</v>
      </c>
    </row>
    <row r="1781" spans="1:25" ht="12.75" customHeight="1" x14ac:dyDescent="0.2">
      <c r="A1781" s="227">
        <v>1781</v>
      </c>
      <c r="B1781" s="5988"/>
      <c r="C1781" s="616" t="s">
        <v>6415</v>
      </c>
      <c r="D1781" s="591"/>
      <c r="E1781" s="969" t="s">
        <v>6427</v>
      </c>
      <c r="F1781" s="593"/>
      <c r="G1781" s="593">
        <v>80</v>
      </c>
      <c r="H1781" s="593">
        <v>1</v>
      </c>
      <c r="I1781" s="593">
        <v>15</v>
      </c>
      <c r="J1781" s="593">
        <f>COUNTIF(Elan!$C$13:$F$25,Tablas!E1781)+COUNTIF(Elan!$U$13:$X$25,Tablas!E1781)</f>
        <v>0</v>
      </c>
      <c r="K1781" s="593"/>
      <c r="L1781" s="5989" t="s">
        <v>10375</v>
      </c>
      <c r="M1781" s="5989"/>
      <c r="N1781" s="5989"/>
      <c r="O1781" s="5989"/>
      <c r="P1781" s="5989"/>
      <c r="Q1781" s="5990"/>
      <c r="R1781" s="972">
        <f>IF(OR($J1781=0,$J1781="Aprendida"),0,SUM($J$1772:$J1781))</f>
        <v>0</v>
      </c>
      <c r="T1781" s="1092" t="s">
        <v>6846</v>
      </c>
      <c r="U1781" s="1093">
        <v>5</v>
      </c>
      <c r="V1781" s="1094" t="s">
        <v>6630</v>
      </c>
      <c r="W1781" s="1093">
        <v>2</v>
      </c>
      <c r="X1781" s="1093" t="s">
        <v>6631</v>
      </c>
      <c r="Y1781" s="1281">
        <v>-5</v>
      </c>
    </row>
    <row r="1782" spans="1:25" ht="12.75" customHeight="1" x14ac:dyDescent="0.2">
      <c r="A1782" s="227">
        <v>1782</v>
      </c>
      <c r="B1782" s="5988"/>
      <c r="C1782" s="616" t="s">
        <v>6416</v>
      </c>
      <c r="D1782" s="591"/>
      <c r="E1782" s="969" t="s">
        <v>6428</v>
      </c>
      <c r="F1782" s="593"/>
      <c r="G1782" s="593">
        <v>90</v>
      </c>
      <c r="H1782" s="593">
        <v>1</v>
      </c>
      <c r="I1782" s="593">
        <v>20</v>
      </c>
      <c r="J1782" s="593">
        <f>COUNTIF(Elan!$C$13:$F$25,Tablas!E1782)+COUNTIF(Elan!$U$13:$X$25,Tablas!E1782)</f>
        <v>0</v>
      </c>
      <c r="K1782" s="593"/>
      <c r="L1782" s="5989" t="s">
        <v>6623</v>
      </c>
      <c r="M1782" s="5989"/>
      <c r="N1782" s="5989"/>
      <c r="O1782" s="5989"/>
      <c r="P1782" s="5989"/>
      <c r="Q1782" s="5990"/>
      <c r="R1782" s="972">
        <f>IF(OR($J1782=0,$J1782="Aprendida"),0,SUM($J$1772:$J1782))</f>
        <v>0</v>
      </c>
      <c r="T1782" s="1092" t="s">
        <v>6844</v>
      </c>
      <c r="U1782" s="1093">
        <v>2</v>
      </c>
      <c r="V1782" s="1094" t="s">
        <v>6632</v>
      </c>
      <c r="W1782" s="1093">
        <v>3</v>
      </c>
      <c r="X1782" s="1093" t="s">
        <v>6633</v>
      </c>
      <c r="Y1782" s="1281">
        <v>-2</v>
      </c>
    </row>
    <row r="1783" spans="1:25" ht="12.75" customHeight="1" thickBot="1" x14ac:dyDescent="0.25">
      <c r="A1783" s="227">
        <v>1783</v>
      </c>
      <c r="B1783" s="5988"/>
      <c r="C1783" s="617" t="s">
        <v>6417</v>
      </c>
      <c r="D1783" s="592"/>
      <c r="E1783" s="969" t="s">
        <v>6429</v>
      </c>
      <c r="F1783" s="593"/>
      <c r="G1783" s="593">
        <v>100</v>
      </c>
      <c r="H1783" s="593">
        <v>1</v>
      </c>
      <c r="I1783" s="593">
        <v>10</v>
      </c>
      <c r="J1783" s="593">
        <f>COUNTIF(Elan!$C$13:$F$25,Tablas!E1783)+COUNTIF(Elan!$U$13:$X$25,Tablas!E1783)</f>
        <v>0</v>
      </c>
      <c r="K1783" s="593"/>
      <c r="L1783" s="5989" t="s">
        <v>6624</v>
      </c>
      <c r="M1783" s="5989"/>
      <c r="N1783" s="5989"/>
      <c r="O1783" s="5989"/>
      <c r="P1783" s="5989"/>
      <c r="Q1783" s="5990"/>
      <c r="R1783" s="972">
        <f>IF(OR($J1783=0,$J1783="Aprendida"),0,SUM($J$1772:$J1783))</f>
        <v>0</v>
      </c>
      <c r="T1783" s="1092" t="s">
        <v>6845</v>
      </c>
      <c r="U1783" s="1093">
        <v>5</v>
      </c>
      <c r="V1783" s="1094" t="s">
        <v>6635</v>
      </c>
      <c r="W1783" s="1093">
        <v>1</v>
      </c>
      <c r="X1783" s="1093"/>
      <c r="Y1783" s="1281"/>
    </row>
    <row r="1784" spans="1:25" ht="12.75" customHeight="1" thickBot="1" x14ac:dyDescent="0.25">
      <c r="A1784" s="227">
        <v>1784</v>
      </c>
      <c r="B1784" s="5988"/>
      <c r="C1784" s="617" t="str">
        <f>$E$1954</f>
        <v>Elan Personalizado</v>
      </c>
      <c r="D1784" s="592"/>
      <c r="E1784" s="968" t="s">
        <v>6406</v>
      </c>
      <c r="F1784" s="1383">
        <f>IF(Elan!$C$11=Tablas!$E1784,Elan!$G$11,IF(Elan!$U$11=Tablas!$E1784,Elan!$Y$11,0))</f>
        <v>0</v>
      </c>
      <c r="G1784" s="961" t="s">
        <v>1820</v>
      </c>
      <c r="H1784" s="961" t="s">
        <v>8309</v>
      </c>
      <c r="I1784" s="961" t="s">
        <v>1490</v>
      </c>
      <c r="J1784" s="961" t="s">
        <v>6418</v>
      </c>
      <c r="K1784" s="961" t="s">
        <v>7078</v>
      </c>
      <c r="L1784" s="961" t="s">
        <v>1549</v>
      </c>
      <c r="M1784" s="594"/>
      <c r="N1784" s="594"/>
      <c r="O1784" s="594"/>
      <c r="P1784" s="594"/>
      <c r="Q1784" s="966"/>
      <c r="R1784" s="972">
        <f>IF(OR($J1784=0,$J1784="Aprendida"),0,SUM($J$1772:$J1784))</f>
        <v>0</v>
      </c>
      <c r="T1784" s="1092" t="s">
        <v>6636</v>
      </c>
      <c r="U1784" s="1093">
        <v>1</v>
      </c>
      <c r="V1784" s="1094"/>
      <c r="W1784" s="1093"/>
      <c r="X1784" s="1093"/>
      <c r="Y1784" s="1281"/>
    </row>
    <row r="1785" spans="1:25" ht="12.75" customHeight="1" x14ac:dyDescent="0.2">
      <c r="A1785" s="227">
        <v>1785</v>
      </c>
      <c r="B1785" s="5988"/>
      <c r="E1785" s="969" t="s">
        <v>6430</v>
      </c>
      <c r="F1785" s="593"/>
      <c r="G1785" s="593">
        <v>10</v>
      </c>
      <c r="H1785" s="593">
        <v>1</v>
      </c>
      <c r="I1785" s="593">
        <v>5</v>
      </c>
      <c r="J1785" s="593">
        <f>COUNTIF(Elan!$C$13:$F$25,Tablas!E1785)+COUNTIF(Elan!$U$13:$X$25,Tablas!E1785)</f>
        <v>0</v>
      </c>
      <c r="K1785" s="593"/>
      <c r="L1785" s="5989" t="s">
        <v>6625</v>
      </c>
      <c r="M1785" s="5989"/>
      <c r="N1785" s="5989"/>
      <c r="O1785" s="5989"/>
      <c r="P1785" s="5989"/>
      <c r="Q1785" s="5990"/>
      <c r="R1785" s="972">
        <f>IF(OR($J1785=0,$J1785="Aprendida"),0,SUM($J$1772:$J1785))</f>
        <v>0</v>
      </c>
      <c r="T1785" s="1092" t="s">
        <v>6637</v>
      </c>
      <c r="U1785" s="1093">
        <v>2</v>
      </c>
      <c r="V1785" s="1094"/>
      <c r="W1785" s="1093"/>
      <c r="X1785" s="1093"/>
      <c r="Y1785" s="1281"/>
    </row>
    <row r="1786" spans="1:25" ht="12.75" customHeight="1" x14ac:dyDescent="0.2">
      <c r="A1786" s="227">
        <v>1786</v>
      </c>
      <c r="B1786" s="5988"/>
      <c r="E1786" s="969" t="s">
        <v>6431</v>
      </c>
      <c r="F1786" s="593"/>
      <c r="G1786" s="593">
        <v>20</v>
      </c>
      <c r="H1786" s="593">
        <v>1</v>
      </c>
      <c r="I1786" s="593">
        <v>5</v>
      </c>
      <c r="J1786" s="593">
        <f>COUNTIF(Elan!$C$13:$F$25,Tablas!E1786)+COUNTIF(Elan!$U$13:$X$25,Tablas!E1786)</f>
        <v>0</v>
      </c>
      <c r="K1786" s="593"/>
      <c r="L1786" s="5989" t="s">
        <v>6629</v>
      </c>
      <c r="M1786" s="5989"/>
      <c r="N1786" s="5989"/>
      <c r="O1786" s="5989"/>
      <c r="P1786" s="5989"/>
      <c r="Q1786" s="5990"/>
      <c r="R1786" s="972">
        <f>IF(OR($J1786=0,$J1786="Aprendida"),0,SUM($J$1772:$J1786))</f>
        <v>0</v>
      </c>
      <c r="T1786" s="1095"/>
      <c r="U1786" s="1096"/>
      <c r="V1786" s="1096"/>
      <c r="W1786" s="1096"/>
      <c r="X1786" s="1096"/>
      <c r="Y1786" s="1282"/>
    </row>
    <row r="1787" spans="1:25" ht="12.75" customHeight="1" x14ac:dyDescent="0.2">
      <c r="A1787" s="227">
        <v>1787</v>
      </c>
      <c r="B1787" s="5988"/>
      <c r="E1787" s="969" t="s">
        <v>1637</v>
      </c>
      <c r="F1787" s="593"/>
      <c r="G1787" s="593">
        <v>30</v>
      </c>
      <c r="H1787" s="593">
        <v>1</v>
      </c>
      <c r="I1787" s="593">
        <v>10</v>
      </c>
      <c r="J1787" s="593">
        <f>COUNTIF(Elan!$C$13:$F$25,Tablas!E1787)+COUNTIF(Elan!$U$13:$X$25,Tablas!E1787)</f>
        <v>0</v>
      </c>
      <c r="K1787" s="593">
        <f>_xlfn.FLOOR.MATH($F$1784/2,5)*J1787</f>
        <v>0</v>
      </c>
      <c r="L1787" s="5989" t="str">
        <f>"Incrementa el daño base de sus ataques en "&amp;K1787&amp;"."</f>
        <v>Incrementa el daño base de sus ataques en 0.</v>
      </c>
      <c r="M1787" s="5989"/>
      <c r="N1787" s="5989"/>
      <c r="O1787" s="5989"/>
      <c r="P1787" s="5989"/>
      <c r="Q1787" s="5990"/>
      <c r="R1787" s="972">
        <f>IF(OR($J1787=0,$J1787="Aprendida"),0,SUM($J$1772:$J1787))</f>
        <v>0</v>
      </c>
      <c r="T1787" s="1090" t="str">
        <f>E1797</f>
        <v>Uriel</v>
      </c>
      <c r="U1787" s="1091"/>
      <c r="V1787" s="1097"/>
      <c r="W1787" s="1091"/>
      <c r="X1787" s="1091"/>
      <c r="Y1787" s="1280"/>
    </row>
    <row r="1788" spans="1:25" ht="12.75" customHeight="1" x14ac:dyDescent="0.2">
      <c r="A1788" s="227">
        <v>1788</v>
      </c>
      <c r="B1788" s="5988"/>
      <c r="E1788" s="969" t="s">
        <v>6432</v>
      </c>
      <c r="F1788" s="593"/>
      <c r="G1788" s="593">
        <v>40</v>
      </c>
      <c r="H1788" s="593">
        <f>IF(J1785,1,0)</f>
        <v>0</v>
      </c>
      <c r="I1788" s="593">
        <v>10</v>
      </c>
      <c r="J1788" s="593">
        <f>COUNTIF(Elan!$C$13:$F$25,Tablas!E1788)+COUNTIF(Elan!$U$13:$X$25,Tablas!E1788)</f>
        <v>0</v>
      </c>
      <c r="K1788" s="593"/>
      <c r="L1788" s="5989" t="s">
        <v>6634</v>
      </c>
      <c r="M1788" s="5989"/>
      <c r="N1788" s="5989"/>
      <c r="O1788" s="5989"/>
      <c r="P1788" s="5989"/>
      <c r="Q1788" s="5990"/>
      <c r="R1788" s="972">
        <f>IF(OR($J1788=0,$J1788="Aprendida"),0,SUM($J$1772:$J1788))</f>
        <v>0</v>
      </c>
      <c r="T1788" s="1092" t="s">
        <v>6642</v>
      </c>
      <c r="U1788" s="1093">
        <v>2</v>
      </c>
      <c r="V1788" s="1094" t="s">
        <v>6643</v>
      </c>
      <c r="W1788" s="1093">
        <v>3</v>
      </c>
      <c r="X1788" s="1093" t="s">
        <v>6644</v>
      </c>
      <c r="Y1788" s="1281">
        <v>-1</v>
      </c>
    </row>
    <row r="1789" spans="1:25" ht="12.75" customHeight="1" x14ac:dyDescent="0.2">
      <c r="A1789" s="227">
        <v>1789</v>
      </c>
      <c r="B1789" s="5988"/>
      <c r="E1789" s="969" t="s">
        <v>6433</v>
      </c>
      <c r="F1789" s="593"/>
      <c r="G1789" s="593">
        <v>50</v>
      </c>
      <c r="H1789" s="593">
        <v>1</v>
      </c>
      <c r="I1789" s="593">
        <v>15</v>
      </c>
      <c r="J1789" s="593">
        <f>COUNTIF(Elan!$C$13:$F$25,Tablas!E1789)+COUNTIF(Elan!$U$13:$X$25,Tablas!E1789)</f>
        <v>0</v>
      </c>
      <c r="K1789" s="593"/>
      <c r="L1789" s="5989" t="str">
        <f>"Desintegra cualquier objeto que toque cuya presencia sea inferior a "&amp;FLOOR(F1784/2,1)+10&amp;"."</f>
        <v>Desintegra cualquier objeto que toque cuya presencia sea inferior a 10.</v>
      </c>
      <c r="M1789" s="5989"/>
      <c r="N1789" s="5989"/>
      <c r="O1789" s="5989"/>
      <c r="P1789" s="5989"/>
      <c r="Q1789" s="5990"/>
      <c r="R1789" s="972">
        <f>IF(OR($J1789=0,$J1789="Aprendida"),0,SUM($J$1772:$J1789))</f>
        <v>0</v>
      </c>
      <c r="T1789" s="1092" t="s">
        <v>6646</v>
      </c>
      <c r="U1789" s="1093">
        <v>5</v>
      </c>
      <c r="V1789" s="1094" t="s">
        <v>6647</v>
      </c>
      <c r="W1789" s="1093">
        <v>2</v>
      </c>
      <c r="X1789" s="1093" t="s">
        <v>6648</v>
      </c>
      <c r="Y1789" s="1281">
        <v>-2</v>
      </c>
    </row>
    <row r="1790" spans="1:25" ht="12.75" customHeight="1" x14ac:dyDescent="0.2">
      <c r="A1790" s="227">
        <v>1790</v>
      </c>
      <c r="B1790" s="5988"/>
      <c r="E1790" s="969" t="s">
        <v>6434</v>
      </c>
      <c r="F1790" s="593"/>
      <c r="G1790" s="593">
        <v>50</v>
      </c>
      <c r="H1790" s="593">
        <v>1</v>
      </c>
      <c r="I1790" s="593">
        <v>10</v>
      </c>
      <c r="J1790" s="593">
        <f>COUNTIF(Elan!$C$13:$F$25,Tablas!E1790)+COUNTIF(Elan!$U$13:$X$25,Tablas!E1790)</f>
        <v>0</v>
      </c>
      <c r="K1790" s="593"/>
      <c r="L1790" s="5989" t="str">
        <f>"A quien toque debe superar un control de RM o RF contra "&amp;F1784+80&amp;", o sufrir una pérdida de puntos de vida equivalente a su nivel de fracaso."</f>
        <v>A quien toque debe superar un control de RM o RF contra 80, o sufrir una pérdida de puntos de vida equivalente a su nivel de fracaso.</v>
      </c>
      <c r="M1790" s="5989"/>
      <c r="N1790" s="5989"/>
      <c r="O1790" s="5989"/>
      <c r="P1790" s="5989"/>
      <c r="Q1790" s="5990"/>
      <c r="R1790" s="972">
        <f>IF(OR($J1790=0,$J1790="Aprendida"),0,SUM($J$1772:$J1790))</f>
        <v>0</v>
      </c>
      <c r="T1790" s="1092" t="s">
        <v>6649</v>
      </c>
      <c r="U1790" s="1093">
        <v>2</v>
      </c>
      <c r="V1790" s="1094" t="s">
        <v>6650</v>
      </c>
      <c r="W1790" s="1093">
        <v>1</v>
      </c>
      <c r="X1790" s="1093" t="s">
        <v>6651</v>
      </c>
      <c r="Y1790" s="1281">
        <v>-1</v>
      </c>
    </row>
    <row r="1791" spans="1:25" ht="12.75" customHeight="1" x14ac:dyDescent="0.2">
      <c r="A1791" s="227">
        <v>1791</v>
      </c>
      <c r="B1791" s="5988"/>
      <c r="E1791" s="969" t="s">
        <v>6435</v>
      </c>
      <c r="F1791" s="593"/>
      <c r="G1791" s="593">
        <v>60</v>
      </c>
      <c r="H1791" s="593">
        <v>1</v>
      </c>
      <c r="I1791" s="593">
        <v>10</v>
      </c>
      <c r="J1791" s="593">
        <f>COUNTIF(Elan!$C$13:$F$25,Tablas!E1791)+COUNTIF(Elan!$U$13:$X$25,Tablas!E1791)</f>
        <v>0</v>
      </c>
      <c r="K1791" s="593"/>
      <c r="L1791" s="5989" t="s">
        <v>10376</v>
      </c>
      <c r="M1791" s="5989"/>
      <c r="N1791" s="5989"/>
      <c r="O1791" s="5989"/>
      <c r="P1791" s="5989"/>
      <c r="Q1791" s="5990"/>
      <c r="R1791" s="972">
        <f>IF(OR($J1791=0,$J1791="Aprendida"),0,SUM($J$1772:$J1791))</f>
        <v>0</v>
      </c>
      <c r="T1791" s="1092" t="s">
        <v>6652</v>
      </c>
      <c r="U1791" s="1093">
        <v>2</v>
      </c>
      <c r="V1791" s="1094"/>
      <c r="W1791" s="1093"/>
      <c r="X1791" s="1093" t="s">
        <v>6653</v>
      </c>
      <c r="Y1791" s="1281">
        <v>-2</v>
      </c>
    </row>
    <row r="1792" spans="1:25" ht="12.75" customHeight="1" x14ac:dyDescent="0.2">
      <c r="A1792" s="227">
        <v>1792</v>
      </c>
      <c r="B1792" s="5988"/>
      <c r="E1792" s="969" t="s">
        <v>6436</v>
      </c>
      <c r="F1792" s="593"/>
      <c r="G1792" s="593">
        <v>60</v>
      </c>
      <c r="H1792" s="593">
        <f>IF(J1790,1,0)</f>
        <v>0</v>
      </c>
      <c r="I1792" s="593">
        <v>10</v>
      </c>
      <c r="J1792" s="593">
        <f>COUNTIF(Elan!$C$13:$F$25,Tablas!E1792)+COUNTIF(Elan!$U$13:$X$25,Tablas!E1792)</f>
        <v>0</v>
      </c>
      <c r="K1792" s="593"/>
      <c r="L1792" s="5989" t="str">
        <f>"A quien mire debe superar un control de RM o RF contra "&amp;F1784+60&amp;", o sufrir una pérdida de puntos de vida equivalente a su nivel de fracaso."</f>
        <v>A quien mire debe superar un control de RM o RF contra 60, o sufrir una pérdida de puntos de vida equivalente a su nivel de fracaso.</v>
      </c>
      <c r="M1792" s="5989"/>
      <c r="N1792" s="5989"/>
      <c r="O1792" s="5989"/>
      <c r="P1792" s="5989"/>
      <c r="Q1792" s="5990"/>
      <c r="R1792" s="972">
        <f>IF(OR($J1792=0,$J1792="Aprendida"),0,SUM($J$1772:$J1792))</f>
        <v>0</v>
      </c>
      <c r="T1792" s="1092" t="s">
        <v>6655</v>
      </c>
      <c r="U1792" s="1093">
        <v>1</v>
      </c>
      <c r="V1792" s="1094"/>
      <c r="W1792" s="1093"/>
      <c r="X1792" s="1093" t="s">
        <v>6656</v>
      </c>
      <c r="Y1792" s="1281">
        <v>-10</v>
      </c>
    </row>
    <row r="1793" spans="1:25" ht="12.75" customHeight="1" x14ac:dyDescent="0.2">
      <c r="A1793" s="227">
        <v>1793</v>
      </c>
      <c r="B1793" s="5988"/>
      <c r="E1793" s="969" t="s">
        <v>6437</v>
      </c>
      <c r="F1793" s="593"/>
      <c r="G1793" s="593">
        <v>70</v>
      </c>
      <c r="H1793" s="593">
        <f>IF(J1792,1,0)</f>
        <v>0</v>
      </c>
      <c r="I1793" s="593">
        <v>10</v>
      </c>
      <c r="J1793" s="593">
        <f>COUNTIF(Elan!$C$13:$F$25,Tablas!E1793)+COUNTIF(Elan!$U$13:$X$25,Tablas!E1793)</f>
        <v>0</v>
      </c>
      <c r="K1793" s="593"/>
      <c r="L1793" s="5989" t="str">
        <f>"Quien se encuentre a menos de 10 metros debe superar un control de RM o RF contra "&amp;F1784+40&amp;", o sufrir una pérdida de puntos de vida equivalente a su nivel de fracaso."</f>
        <v>Quien se encuentre a menos de 10 metros debe superar un control de RM o RF contra 40, o sufrir una pérdida de puntos de vida equivalente a su nivel de fracaso.</v>
      </c>
      <c r="M1793" s="5989"/>
      <c r="N1793" s="5989"/>
      <c r="O1793" s="5989"/>
      <c r="P1793" s="5989"/>
      <c r="Q1793" s="5990"/>
      <c r="R1793" s="972">
        <f>IF(OR($J1793=0,$J1793="Aprendida"),0,SUM($J$1772:$J1793))</f>
        <v>0</v>
      </c>
      <c r="T1793" s="1092" t="s">
        <v>6657</v>
      </c>
      <c r="U1793" s="1093">
        <v>2</v>
      </c>
      <c r="V1793" s="1094"/>
      <c r="W1793" s="1093"/>
      <c r="X1793" s="1093"/>
      <c r="Y1793" s="1281"/>
    </row>
    <row r="1794" spans="1:25" ht="12.75" customHeight="1" x14ac:dyDescent="0.2">
      <c r="A1794" s="227">
        <v>1794</v>
      </c>
      <c r="B1794" s="5988"/>
      <c r="E1794" s="969" t="s">
        <v>6438</v>
      </c>
      <c r="F1794" s="593"/>
      <c r="G1794" s="593">
        <v>80</v>
      </c>
      <c r="H1794" s="593">
        <v>1</v>
      </c>
      <c r="I1794" s="593">
        <v>15</v>
      </c>
      <c r="J1794" s="593">
        <f>COUNTIF(Elan!$C$13:$F$25,Tablas!E1794)+COUNTIF(Elan!$U$13:$X$25,Tablas!E1794)</f>
        <v>0</v>
      </c>
      <c r="K1794" s="593"/>
      <c r="L1794" s="5989" t="s">
        <v>6638</v>
      </c>
      <c r="M1794" s="5989"/>
      <c r="N1794" s="5989"/>
      <c r="O1794" s="5989"/>
      <c r="P1794" s="5989"/>
      <c r="Q1794" s="5990"/>
      <c r="R1794" s="972">
        <f>IF(OR($J1794=0,$J1794="Aprendida"),0,SUM($J$1772:$J1794))</f>
        <v>0</v>
      </c>
      <c r="T1794" s="1095"/>
      <c r="U1794" s="1096"/>
      <c r="V1794" s="1096"/>
      <c r="W1794" s="1096"/>
      <c r="X1794" s="1096"/>
      <c r="Y1794" s="1282"/>
    </row>
    <row r="1795" spans="1:25" ht="12.75" customHeight="1" x14ac:dyDescent="0.2">
      <c r="A1795" s="227">
        <v>1795</v>
      </c>
      <c r="B1795" s="5988"/>
      <c r="E1795" s="969" t="s">
        <v>6439</v>
      </c>
      <c r="F1795" s="593"/>
      <c r="G1795" s="593">
        <v>90</v>
      </c>
      <c r="H1795" s="593">
        <v>1</v>
      </c>
      <c r="I1795" s="593">
        <v>20</v>
      </c>
      <c r="J1795" s="593">
        <f>COUNTIF(Elan!$C$13:$F$25,Tablas!E1795)+COUNTIF(Elan!$U$13:$X$25,Tablas!E1795)</f>
        <v>0</v>
      </c>
      <c r="K1795" s="593"/>
      <c r="L1795" s="5989" t="s">
        <v>6639</v>
      </c>
      <c r="M1795" s="5989"/>
      <c r="N1795" s="5989"/>
      <c r="O1795" s="5989"/>
      <c r="P1795" s="5989"/>
      <c r="Q1795" s="5990"/>
      <c r="R1795" s="972">
        <f>IF(OR($J1795=0,$J1795="Aprendida"),0,SUM($J$1772:$J1795))</f>
        <v>0</v>
      </c>
      <c r="T1795" s="1090" t="str">
        <f>E1811</f>
        <v>Jedah</v>
      </c>
      <c r="U1795" s="1091"/>
      <c r="V1795" s="1097"/>
      <c r="W1795" s="1091"/>
      <c r="X1795" s="1091"/>
      <c r="Y1795" s="1280"/>
    </row>
    <row r="1796" spans="1:25" ht="12.75" customHeight="1" x14ac:dyDescent="0.2">
      <c r="A1796" s="227">
        <v>1796</v>
      </c>
      <c r="B1796" s="5988"/>
      <c r="E1796" s="969" t="s">
        <v>6440</v>
      </c>
      <c r="F1796" s="593"/>
      <c r="G1796" s="593">
        <v>100</v>
      </c>
      <c r="H1796" s="593">
        <v>1</v>
      </c>
      <c r="I1796" s="593">
        <v>10</v>
      </c>
      <c r="J1796" s="593">
        <f>COUNTIF(Elan!$C$13:$F$25,Tablas!E1796)+COUNTIF(Elan!$U$13:$X$25,Tablas!E1796)</f>
        <v>0</v>
      </c>
      <c r="K1796" s="593"/>
      <c r="L1796" s="5989" t="s">
        <v>6640</v>
      </c>
      <c r="M1796" s="5989"/>
      <c r="N1796" s="5989"/>
      <c r="O1796" s="5989"/>
      <c r="P1796" s="5989"/>
      <c r="Q1796" s="5990"/>
      <c r="R1796" s="972">
        <f>IF(OR($J1796=0,$J1796="Aprendida"),0,SUM($J$1772:$J1796))</f>
        <v>0</v>
      </c>
      <c r="T1796" s="1092" t="s">
        <v>6847</v>
      </c>
      <c r="U1796" s="1093">
        <v>1</v>
      </c>
      <c r="V1796" s="1094" t="s">
        <v>6662</v>
      </c>
      <c r="W1796" s="1093">
        <v>1</v>
      </c>
      <c r="X1796" s="1093" t="s">
        <v>6663</v>
      </c>
      <c r="Y1796" s="1281">
        <v>-2</v>
      </c>
    </row>
    <row r="1797" spans="1:25" ht="12.75" customHeight="1" x14ac:dyDescent="0.2">
      <c r="A1797" s="227">
        <v>1797</v>
      </c>
      <c r="B1797" s="5988"/>
      <c r="E1797" s="968" t="s">
        <v>6407</v>
      </c>
      <c r="F1797" s="1383">
        <f>IF(Elan!$C$11=Tablas!$E1797,Elan!$G$11,IF(Elan!$U$11=Tablas!$E1797,Elan!$Y$11,0))</f>
        <v>0</v>
      </c>
      <c r="G1797" s="961" t="s">
        <v>1820</v>
      </c>
      <c r="H1797" s="961" t="s">
        <v>8309</v>
      </c>
      <c r="I1797" s="961" t="s">
        <v>1490</v>
      </c>
      <c r="J1797" s="961" t="s">
        <v>6418</v>
      </c>
      <c r="K1797" s="961" t="s">
        <v>7078</v>
      </c>
      <c r="L1797" s="961" t="s">
        <v>1549</v>
      </c>
      <c r="M1797" s="594"/>
      <c r="N1797" s="594"/>
      <c r="O1797" s="594"/>
      <c r="P1797" s="594"/>
      <c r="Q1797" s="966"/>
      <c r="R1797" s="972">
        <f>IF(OR($J1797=0,$J1797="Aprendida"),0,SUM($J$1772:$J1797))</f>
        <v>0</v>
      </c>
      <c r="T1797" s="1092" t="s">
        <v>6664</v>
      </c>
      <c r="U1797" s="1093">
        <v>3</v>
      </c>
      <c r="V1797" s="1094" t="s">
        <v>6665</v>
      </c>
      <c r="W1797" s="1093">
        <v>3</v>
      </c>
      <c r="X1797" s="1093" t="s">
        <v>6666</v>
      </c>
      <c r="Y1797" s="1281">
        <v>-3</v>
      </c>
    </row>
    <row r="1798" spans="1:25" ht="12.75" customHeight="1" x14ac:dyDescent="0.2">
      <c r="A1798" s="227">
        <v>1798</v>
      </c>
      <c r="B1798" s="5988"/>
      <c r="E1798" s="969" t="s">
        <v>6441</v>
      </c>
      <c r="F1798" s="593"/>
      <c r="G1798" s="593">
        <v>10</v>
      </c>
      <c r="H1798" s="593">
        <v>1</v>
      </c>
      <c r="I1798" s="593">
        <v>5</v>
      </c>
      <c r="J1798" s="593">
        <f>COUNTIF(Elan!$C$13:$F$25,Tablas!E1798)+COUNTIF(Elan!$U$13:$X$25,Tablas!E1798)</f>
        <v>0</v>
      </c>
      <c r="K1798" s="593"/>
      <c r="L1798" s="5989" t="s">
        <v>6641</v>
      </c>
      <c r="M1798" s="5989"/>
      <c r="N1798" s="5989"/>
      <c r="O1798" s="5989"/>
      <c r="P1798" s="5989"/>
      <c r="Q1798" s="5990"/>
      <c r="R1798" s="972">
        <f>IF(OR($J1798=0,$J1798="Aprendida"),0,SUM($J$1772:$J1798))</f>
        <v>0</v>
      </c>
      <c r="T1798" s="1092" t="s">
        <v>6668</v>
      </c>
      <c r="U1798" s="1093">
        <v>2</v>
      </c>
      <c r="V1798" s="1094" t="s">
        <v>6669</v>
      </c>
      <c r="W1798" s="1093">
        <v>3</v>
      </c>
      <c r="X1798" s="1093" t="s">
        <v>6670</v>
      </c>
      <c r="Y1798" s="1281">
        <v>-2</v>
      </c>
    </row>
    <row r="1799" spans="1:25" ht="12.75" customHeight="1" x14ac:dyDescent="0.2">
      <c r="A1799" s="227">
        <v>1799</v>
      </c>
      <c r="B1799" s="5988"/>
      <c r="E1799" s="969" t="s">
        <v>6442</v>
      </c>
      <c r="F1799" s="593"/>
      <c r="G1799" s="593">
        <v>20</v>
      </c>
      <c r="H1799" s="593">
        <v>1</v>
      </c>
      <c r="I1799" s="593">
        <v>5</v>
      </c>
      <c r="J1799" s="593">
        <f>COUNTIF(Elan!$C$13:$F$25,Tablas!E1799)+COUNTIF(Elan!$U$13:$X$25,Tablas!E1799)</f>
        <v>0</v>
      </c>
      <c r="K1799" s="593"/>
      <c r="L1799" s="5989" t="s">
        <v>6645</v>
      </c>
      <c r="M1799" s="5989"/>
      <c r="N1799" s="5989"/>
      <c r="O1799" s="5989"/>
      <c r="P1799" s="5989"/>
      <c r="Q1799" s="5990"/>
      <c r="R1799" s="972">
        <f>IF(OR($J1799=0,$J1799="Aprendida"),0,SUM($J$1772:$J1799))</f>
        <v>0</v>
      </c>
      <c r="T1799" s="1092" t="s">
        <v>6672</v>
      </c>
      <c r="U1799" s="1093">
        <v>3</v>
      </c>
      <c r="V1799" s="1094"/>
      <c r="W1799" s="1093"/>
      <c r="X1799" s="1093" t="s">
        <v>6673</v>
      </c>
      <c r="Y1799" s="1281">
        <v>-4</v>
      </c>
    </row>
    <row r="1800" spans="1:25" ht="12.75" customHeight="1" x14ac:dyDescent="0.2">
      <c r="A1800" s="227">
        <v>1800</v>
      </c>
      <c r="B1800" s="5988"/>
      <c r="E1800" s="969" t="s">
        <v>6443</v>
      </c>
      <c r="F1800" s="593"/>
      <c r="G1800" s="593">
        <v>20</v>
      </c>
      <c r="H1800" s="593">
        <v>1</v>
      </c>
      <c r="I1800" s="593">
        <v>10</v>
      </c>
      <c r="J1800" s="593">
        <f>COUNTIF(Elan!$C$13:$F$25,Tablas!E1800)+COUNTIF(Elan!$U$13:$X$25,Tablas!E1800)</f>
        <v>0</v>
      </c>
      <c r="K1800" s="593"/>
      <c r="L1800" s="5989" t="str">
        <f>"El PJ añade un bono especial a sus controles de Resistencias contra cualquier clase de dominación de +"&amp;F1797&amp;"."</f>
        <v>El PJ añade un bono especial a sus controles de Resistencias contra cualquier clase de dominación de +0.</v>
      </c>
      <c r="M1800" s="5989"/>
      <c r="N1800" s="5989"/>
      <c r="O1800" s="5989"/>
      <c r="P1800" s="5989"/>
      <c r="Q1800" s="5990"/>
      <c r="R1800" s="972">
        <f>IF(OR($J1800=0,$J1800="Aprendida"),0,SUM($J$1772:$J1800))</f>
        <v>0</v>
      </c>
      <c r="T1800" s="1092" t="s">
        <v>6674</v>
      </c>
      <c r="U1800" s="1093">
        <v>3</v>
      </c>
      <c r="V1800" s="1094"/>
      <c r="W1800" s="1093"/>
      <c r="X1800" s="1093"/>
      <c r="Y1800" s="1281"/>
    </row>
    <row r="1801" spans="1:25" ht="12.75" customHeight="1" x14ac:dyDescent="0.2">
      <c r="A1801" s="227">
        <v>1801</v>
      </c>
      <c r="B1801" s="5988"/>
      <c r="E1801" s="969" t="s">
        <v>6444</v>
      </c>
      <c r="F1801" s="593"/>
      <c r="G1801" s="593">
        <v>30</v>
      </c>
      <c r="H1801" s="593">
        <v>1</v>
      </c>
      <c r="I1801" s="593">
        <v>5</v>
      </c>
      <c r="J1801" s="593">
        <f>COUNTIF(Elan!$C$13:$F$25,Tablas!E1801)+COUNTIF(Elan!$U$13:$X$25,Tablas!E1801)</f>
        <v>0</v>
      </c>
      <c r="K1801" s="593"/>
      <c r="L1801" s="5989" t="s">
        <v>10377</v>
      </c>
      <c r="M1801" s="5989"/>
      <c r="N1801" s="5989"/>
      <c r="O1801" s="5989"/>
      <c r="P1801" s="5989"/>
      <c r="Q1801" s="5990"/>
      <c r="R1801" s="972">
        <f>IF(OR($J1801=0,$J1801="Aprendida"),0,SUM($J$1772:$J1801))</f>
        <v>0</v>
      </c>
      <c r="T1801" s="1092" t="s">
        <v>6675</v>
      </c>
      <c r="U1801" s="1093">
        <v>2</v>
      </c>
      <c r="V1801" s="1094"/>
      <c r="W1801" s="1093"/>
      <c r="X1801" s="1093"/>
      <c r="Y1801" s="1281"/>
    </row>
    <row r="1802" spans="1:25" ht="12.75" customHeight="1" x14ac:dyDescent="0.2">
      <c r="A1802" s="227">
        <v>1802</v>
      </c>
      <c r="B1802" s="5988"/>
      <c r="E1802" s="969" t="s">
        <v>6445</v>
      </c>
      <c r="F1802" s="593"/>
      <c r="G1802" s="593">
        <v>40</v>
      </c>
      <c r="H1802" s="593">
        <v>1</v>
      </c>
      <c r="I1802" s="593">
        <v>10</v>
      </c>
      <c r="J1802" s="593">
        <f>COUNTIF(Elan!$C$13:$F$25,Tablas!E1802)+COUNTIF(Elan!$U$13:$X$25,Tablas!E1802)</f>
        <v>0</v>
      </c>
      <c r="K1802" s="593"/>
      <c r="L1802" s="5989" t="s">
        <v>6654</v>
      </c>
      <c r="M1802" s="5989"/>
      <c r="N1802" s="5989"/>
      <c r="O1802" s="5989"/>
      <c r="P1802" s="5989"/>
      <c r="Q1802" s="5990"/>
      <c r="R1802" s="972">
        <f>IF(OR($J1802=0,$J1802="Aprendida"),0,SUM($J$1772:$J1802))</f>
        <v>0</v>
      </c>
      <c r="T1802" s="1095"/>
      <c r="U1802" s="1096"/>
      <c r="V1802" s="1096"/>
      <c r="W1802" s="1096"/>
      <c r="X1802" s="1096"/>
      <c r="Y1802" s="1282"/>
    </row>
    <row r="1803" spans="1:25" ht="12.75" customHeight="1" x14ac:dyDescent="0.2">
      <c r="A1803" s="227">
        <v>1803</v>
      </c>
      <c r="B1803" s="5988"/>
      <c r="E1803" s="969" t="s">
        <v>6446</v>
      </c>
      <c r="F1803" s="593"/>
      <c r="G1803" s="593">
        <v>40</v>
      </c>
      <c r="H1803" s="593">
        <v>1</v>
      </c>
      <c r="I1803" s="593">
        <v>5</v>
      </c>
      <c r="J1803" s="593">
        <f>COUNTIF(Elan!$C$13:$F$25,Tablas!E1803)+COUNTIF(Elan!$U$13:$X$25,Tablas!E1803)</f>
        <v>0</v>
      </c>
      <c r="K1803" s="593"/>
      <c r="L1803" s="5989" t="s">
        <v>8646</v>
      </c>
      <c r="M1803" s="5989"/>
      <c r="N1803" s="5989"/>
      <c r="O1803" s="5989"/>
      <c r="P1803" s="5989"/>
      <c r="Q1803" s="5990"/>
      <c r="R1803" s="972">
        <f>IF(OR($J1803=0,$J1803="Aprendida"),0,SUM($J$1772:$J1803))</f>
        <v>0</v>
      </c>
      <c r="T1803" s="1095"/>
      <c r="U1803" s="1096"/>
      <c r="V1803" s="1096"/>
      <c r="W1803" s="1096"/>
      <c r="X1803" s="1096"/>
      <c r="Y1803" s="1282"/>
    </row>
    <row r="1804" spans="1:25" ht="12.75" customHeight="1" x14ac:dyDescent="0.2">
      <c r="A1804" s="227">
        <v>1804</v>
      </c>
      <c r="B1804" s="5988"/>
      <c r="E1804" s="969" t="s">
        <v>6447</v>
      </c>
      <c r="F1804" s="593"/>
      <c r="G1804" s="593">
        <v>50</v>
      </c>
      <c r="H1804" s="593">
        <v>1</v>
      </c>
      <c r="I1804" s="593">
        <v>10</v>
      </c>
      <c r="J1804" s="593">
        <f>COUNTIF(Elan!$C$13:$F$25,Tablas!E1804)+COUNTIF(Elan!$U$13:$X$25,Tablas!E1804)</f>
        <v>0</v>
      </c>
      <c r="K1804" s="593"/>
      <c r="L1804" s="5989" t="str">
        <f>"Permite obligar una vez por individuo a liberar los esclavos que tenga bajo su control si no supera una RM de "&amp;F1797*2&amp;"."</f>
        <v>Permite obligar una vez por individuo a liberar los esclavos que tenga bajo su control si no supera una RM de 0.</v>
      </c>
      <c r="M1804" s="5989"/>
      <c r="N1804" s="5989"/>
      <c r="O1804" s="5989"/>
      <c r="P1804" s="5989"/>
      <c r="Q1804" s="5990"/>
      <c r="R1804" s="972">
        <f>IF(OR($J1804=0,$J1804="Aprendida"),0,SUM($J$1772:$J1804))</f>
        <v>0</v>
      </c>
      <c r="T1804" s="1090" t="str">
        <f>E1825</f>
        <v>Gabriel</v>
      </c>
      <c r="U1804" s="1091"/>
      <c r="V1804" s="1097"/>
      <c r="W1804" s="1091"/>
      <c r="X1804" s="1091"/>
      <c r="Y1804" s="1280"/>
    </row>
    <row r="1805" spans="1:25" ht="12.75" customHeight="1" x14ac:dyDescent="0.2">
      <c r="A1805" s="227">
        <v>1805</v>
      </c>
      <c r="B1805" s="5988"/>
      <c r="E1805" s="969" t="s">
        <v>6448</v>
      </c>
      <c r="F1805" s="593"/>
      <c r="G1805" s="593">
        <v>60</v>
      </c>
      <c r="H1805" s="593">
        <f>IF(J1802,1,0)</f>
        <v>0</v>
      </c>
      <c r="I1805" s="593">
        <v>20</v>
      </c>
      <c r="J1805" s="593">
        <f>COUNTIF(Elan!$C$13:$F$25,Tablas!E1805)+COUNTIF(Elan!$U$13:$X$25,Tablas!E1805)</f>
        <v>0</v>
      </c>
      <c r="K1805" s="593"/>
      <c r="L1805" s="5989" t="str">
        <f>"Obtiene un bono de +30 en un control enfrentado que puede usarse "&amp;IF(F1797&lt;20,"1 vez",_xlfn.FLOOR.MATH(F1797/10,1)&amp;" veces")&amp;" al día. Se puede utilizar para eliminar una sorpresa pero cuenta como dos usos."</f>
        <v>Obtiene un bono de +30 en un control enfrentado que puede usarse 1 vez al día. Se puede utilizar para eliminar una sorpresa pero cuenta como dos usos.</v>
      </c>
      <c r="M1805" s="5989"/>
      <c r="N1805" s="5989"/>
      <c r="O1805" s="5989"/>
      <c r="P1805" s="5989"/>
      <c r="Q1805" s="5990"/>
      <c r="R1805" s="972">
        <f>IF(OR($J1805=0,$J1805="Aprendida"),0,SUM($J$1772:$J1805))</f>
        <v>0</v>
      </c>
      <c r="T1805" s="1092" t="s">
        <v>6678</v>
      </c>
      <c r="U1805" s="1093">
        <v>3</v>
      </c>
      <c r="V1805" s="1094" t="s">
        <v>6679</v>
      </c>
      <c r="W1805" s="1093">
        <v>3</v>
      </c>
      <c r="X1805" s="1093" t="s">
        <v>6680</v>
      </c>
      <c r="Y1805" s="1281">
        <v>-2</v>
      </c>
    </row>
    <row r="1806" spans="1:25" ht="12.75" customHeight="1" x14ac:dyDescent="0.2">
      <c r="A1806" s="227">
        <v>1806</v>
      </c>
      <c r="B1806" s="5988"/>
      <c r="E1806" s="969" t="s">
        <v>6449</v>
      </c>
      <c r="F1806" s="593"/>
      <c r="G1806" s="593">
        <v>60</v>
      </c>
      <c r="H1806" s="593">
        <v>1</v>
      </c>
      <c r="I1806" s="593">
        <v>15</v>
      </c>
      <c r="J1806" s="593">
        <f>COUNTIF(Elan!$C$13:$F$25,Tablas!E1806)+COUNTIF(Elan!$U$13:$X$25,Tablas!E1806)</f>
        <v>0</v>
      </c>
      <c r="K1806" s="593"/>
      <c r="L1806" s="5989" t="s">
        <v>10424</v>
      </c>
      <c r="M1806" s="5989"/>
      <c r="N1806" s="5989"/>
      <c r="O1806" s="5989"/>
      <c r="P1806" s="5989"/>
      <c r="Q1806" s="5990"/>
      <c r="R1806" s="972">
        <f>IF(OR($J1806=0,$J1806="Aprendida"),0,SUM($J$1772:$J1806))</f>
        <v>0</v>
      </c>
      <c r="T1806" s="1092" t="s">
        <v>6682</v>
      </c>
      <c r="U1806" s="1093">
        <v>1</v>
      </c>
      <c r="V1806" s="1094" t="s">
        <v>6683</v>
      </c>
      <c r="W1806" s="1093">
        <v>2</v>
      </c>
      <c r="X1806" s="1093" t="s">
        <v>6684</v>
      </c>
      <c r="Y1806" s="1281">
        <v>-3</v>
      </c>
    </row>
    <row r="1807" spans="1:25" ht="12.75" customHeight="1" x14ac:dyDescent="0.2">
      <c r="A1807" s="227">
        <v>1807</v>
      </c>
      <c r="B1807" s="5988"/>
      <c r="E1807" s="969" t="s">
        <v>6450</v>
      </c>
      <c r="F1807" s="593"/>
      <c r="G1807" s="593">
        <v>70</v>
      </c>
      <c r="H1807" s="593">
        <v>1</v>
      </c>
      <c r="I1807" s="593">
        <v>10</v>
      </c>
      <c r="J1807" s="593">
        <f>COUNTIF(Elan!$C$13:$F$25,Tablas!E1807)+COUNTIF(Elan!$U$13:$X$25,Tablas!E1807)</f>
        <v>0</v>
      </c>
      <c r="K1807" s="593">
        <f>IF(J1807&gt;0,1,0)</f>
        <v>0</v>
      </c>
      <c r="L1807" s="5989" t="s">
        <v>6658</v>
      </c>
      <c r="M1807" s="5989"/>
      <c r="N1807" s="5989"/>
      <c r="O1807" s="5989"/>
      <c r="P1807" s="5989"/>
      <c r="Q1807" s="5990"/>
      <c r="R1807" s="972">
        <f>IF(OR($J1807=0,$J1807="Aprendida"),0,SUM($J$1772:$J1807))</f>
        <v>0</v>
      </c>
      <c r="T1807" s="1092" t="s">
        <v>6615</v>
      </c>
      <c r="U1807" s="1093">
        <v>2</v>
      </c>
      <c r="V1807" s="1094" t="s">
        <v>6686</v>
      </c>
      <c r="W1807" s="1093">
        <v>1</v>
      </c>
      <c r="X1807" s="1093" t="s">
        <v>6687</v>
      </c>
      <c r="Y1807" s="1281">
        <v>-2</v>
      </c>
    </row>
    <row r="1808" spans="1:25" ht="12.75" customHeight="1" x14ac:dyDescent="0.2">
      <c r="A1808" s="227">
        <v>1808</v>
      </c>
      <c r="B1808" s="5988"/>
      <c r="E1808" s="969" t="s">
        <v>10378</v>
      </c>
      <c r="F1808" s="593"/>
      <c r="G1808" s="593">
        <v>80</v>
      </c>
      <c r="H1808" s="593">
        <v>1</v>
      </c>
      <c r="I1808" s="593">
        <v>10</v>
      </c>
      <c r="J1808" s="593">
        <f>COUNTIF(Elan!$C$13:$F$25,Tablas!E1808)+COUNTIF(Elan!$U$13:$X$25,Tablas!E1808)</f>
        <v>0</v>
      </c>
      <c r="K1808" s="593"/>
      <c r="L1808" s="5989" t="s">
        <v>6659</v>
      </c>
      <c r="M1808" s="5989"/>
      <c r="N1808" s="5989"/>
      <c r="O1808" s="5989"/>
      <c r="P1808" s="5989"/>
      <c r="Q1808" s="5990"/>
      <c r="R1808" s="972">
        <f>IF(OR($J1808=0,$J1808="Aprendida"),0,SUM($J$1772:$J1808))</f>
        <v>0</v>
      </c>
      <c r="T1808" s="1092" t="s">
        <v>6689</v>
      </c>
      <c r="U1808" s="1093">
        <v>3</v>
      </c>
      <c r="V1808" s="1094" t="s">
        <v>6690</v>
      </c>
      <c r="W1808" s="1093">
        <v>2</v>
      </c>
      <c r="X1808" s="1093" t="s">
        <v>6691</v>
      </c>
      <c r="Y1808" s="1281">
        <v>-1</v>
      </c>
    </row>
    <row r="1809" spans="1:25" ht="12.75" customHeight="1" x14ac:dyDescent="0.2">
      <c r="A1809" s="227">
        <v>1809</v>
      </c>
      <c r="B1809" s="5988"/>
      <c r="E1809" s="969" t="s">
        <v>6451</v>
      </c>
      <c r="F1809" s="593"/>
      <c r="G1809" s="593">
        <v>90</v>
      </c>
      <c r="H1809" s="593">
        <v>1</v>
      </c>
      <c r="I1809" s="593">
        <v>20</v>
      </c>
      <c r="J1809" s="593">
        <f>COUNTIF(Elan!$C$13:$F$25,Tablas!E1809)+COUNTIF(Elan!$U$13:$X$25,Tablas!E1809)</f>
        <v>0</v>
      </c>
      <c r="K1809" s="593"/>
      <c r="L1809" s="5989" t="s">
        <v>6660</v>
      </c>
      <c r="M1809" s="5989"/>
      <c r="N1809" s="5989"/>
      <c r="O1809" s="5989"/>
      <c r="P1809" s="5989"/>
      <c r="Q1809" s="5990"/>
      <c r="R1809" s="972">
        <f>IF(OR($J1809=0,$J1809="Aprendida"),0,SUM($J$1772:$J1809))</f>
        <v>0</v>
      </c>
      <c r="T1809" s="1092" t="s">
        <v>6692</v>
      </c>
      <c r="U1809" s="1093">
        <v>1</v>
      </c>
      <c r="V1809" s="1094"/>
      <c r="W1809" s="1093"/>
      <c r="X1809" s="1093" t="s">
        <v>6693</v>
      </c>
      <c r="Y1809" s="1281">
        <v>-5</v>
      </c>
    </row>
    <row r="1810" spans="1:25" ht="12.75" customHeight="1" x14ac:dyDescent="0.2">
      <c r="A1810" s="227">
        <v>1810</v>
      </c>
      <c r="B1810" s="5988"/>
      <c r="E1810" s="969" t="s">
        <v>6452</v>
      </c>
      <c r="F1810" s="593"/>
      <c r="G1810" s="593">
        <v>100</v>
      </c>
      <c r="H1810" s="593">
        <v>1</v>
      </c>
      <c r="I1810" s="593">
        <v>10</v>
      </c>
      <c r="J1810" s="593">
        <f>COUNTIF(Elan!$C$13:$F$25,Tablas!E1810)+COUNTIF(Elan!$U$13:$X$25,Tablas!E1810)</f>
        <v>0</v>
      </c>
      <c r="K1810" s="593"/>
      <c r="L1810" s="5989" t="s">
        <v>6661</v>
      </c>
      <c r="M1810" s="5989"/>
      <c r="N1810" s="5989"/>
      <c r="O1810" s="5989"/>
      <c r="P1810" s="5989"/>
      <c r="Q1810" s="5990"/>
      <c r="R1810" s="972">
        <f>IF(OR($J1810=0,$J1810="Aprendida"),0,SUM($J$1772:$J1810))</f>
        <v>0</v>
      </c>
      <c r="T1810" s="1095"/>
      <c r="U1810" s="1096"/>
      <c r="V1810" s="1096"/>
      <c r="W1810" s="1096"/>
      <c r="X1810" s="1096"/>
      <c r="Y1810" s="1282"/>
    </row>
    <row r="1811" spans="1:25" ht="12.75" customHeight="1" x14ac:dyDescent="0.2">
      <c r="A1811" s="227">
        <v>1811</v>
      </c>
      <c r="B1811" s="5988"/>
      <c r="E1811" s="968" t="s">
        <v>6408</v>
      </c>
      <c r="F1811" s="1383">
        <f>IF(Elan!$C$11=Tablas!$E1811,Elan!$G$11,IF(Elan!$U$11=Tablas!$E1811,Elan!$Y$11,0))</f>
        <v>0</v>
      </c>
      <c r="G1811" s="961" t="s">
        <v>1820</v>
      </c>
      <c r="H1811" s="961" t="s">
        <v>8309</v>
      </c>
      <c r="I1811" s="961" t="s">
        <v>1490</v>
      </c>
      <c r="J1811" s="961" t="s">
        <v>6418</v>
      </c>
      <c r="K1811" s="961" t="s">
        <v>7078</v>
      </c>
      <c r="L1811" s="961" t="s">
        <v>1549</v>
      </c>
      <c r="M1811" s="594"/>
      <c r="N1811" s="594"/>
      <c r="O1811" s="594"/>
      <c r="P1811" s="594"/>
      <c r="Q1811" s="966"/>
      <c r="R1811" s="972">
        <f>IF(OR($J1811=0,$J1811="Aprendida"),0,SUM($J$1772:$J1811))</f>
        <v>0</v>
      </c>
      <c r="T1811" s="1095"/>
      <c r="U1811" s="1096"/>
      <c r="V1811" s="1096"/>
      <c r="W1811" s="1096"/>
      <c r="X1811" s="1096"/>
      <c r="Y1811" s="1282"/>
    </row>
    <row r="1812" spans="1:25" ht="12.75" customHeight="1" x14ac:dyDescent="0.2">
      <c r="A1812" s="227">
        <v>1812</v>
      </c>
      <c r="B1812" s="5988"/>
      <c r="E1812" s="969" t="s">
        <v>6453</v>
      </c>
      <c r="F1812" s="593"/>
      <c r="G1812" s="593">
        <v>10</v>
      </c>
      <c r="H1812" s="593">
        <v>1</v>
      </c>
      <c r="I1812" s="593">
        <v>5</v>
      </c>
      <c r="J1812" s="593">
        <f>COUNTIF(Elan!$C$13:$F$25,Tablas!E1812)+COUNTIF(Elan!$U$13:$X$25,Tablas!E1812)</f>
        <v>0</v>
      </c>
      <c r="K1812" s="593">
        <f>F$1811*J1812</f>
        <v>0</v>
      </c>
      <c r="L1812" s="5989" t="str">
        <f>"Otorga un bono especial a Persuasión y Liderazgo de +"&amp;K1812&amp;"."</f>
        <v>Otorga un bono especial a Persuasión y Liderazgo de +0.</v>
      </c>
      <c r="M1812" s="5989"/>
      <c r="N1812" s="5989"/>
      <c r="O1812" s="5989"/>
      <c r="P1812" s="5989"/>
      <c r="Q1812" s="5990"/>
      <c r="R1812" s="972">
        <f>IF(OR($J1812=0,$J1812="Aprendida"),0,SUM($J$1772:$J1812))</f>
        <v>0</v>
      </c>
      <c r="T1812" s="1090" t="str">
        <f>E1838</f>
        <v>Noah</v>
      </c>
      <c r="U1812" s="1091"/>
      <c r="V1812" s="1097"/>
      <c r="W1812" s="1091"/>
      <c r="X1812" s="1091"/>
      <c r="Y1812" s="1280"/>
    </row>
    <row r="1813" spans="1:25" ht="12.75" customHeight="1" x14ac:dyDescent="0.2">
      <c r="A1813" s="227">
        <v>1813</v>
      </c>
      <c r="B1813" s="5988"/>
      <c r="E1813" s="969" t="s">
        <v>6454</v>
      </c>
      <c r="F1813" s="593"/>
      <c r="G1813" s="593">
        <v>20</v>
      </c>
      <c r="H1813" s="593">
        <v>1</v>
      </c>
      <c r="I1813" s="593">
        <v>10</v>
      </c>
      <c r="J1813" s="593">
        <f>COUNTIF(Elan!$C$13:$F$25,Tablas!E1813)+COUNTIF(Elan!$U$13:$X$25,Tablas!E1813)</f>
        <v>0</v>
      </c>
      <c r="K1813" s="593">
        <f>ROUNDDOWN(F$1811/2,0)*J1813</f>
        <v>0</v>
      </c>
      <c r="L1813" s="5989" t="str">
        <f>"Aplica un bono especial a su habilidad de convocatoria Dominación de +"&amp;K1813&amp;". Este don no funciona contra seres basados en luz."</f>
        <v>Aplica un bono especial a su habilidad de convocatoria Dominación de +0. Este don no funciona contra seres basados en luz.</v>
      </c>
      <c r="M1813" s="5989"/>
      <c r="N1813" s="5989"/>
      <c r="O1813" s="5989"/>
      <c r="P1813" s="5989"/>
      <c r="Q1813" s="5990"/>
      <c r="R1813" s="972">
        <f>IF(OR($J1813=0,$J1813="Aprendida"),0,SUM($J$1772:$J1813))</f>
        <v>0</v>
      </c>
      <c r="T1813" s="1092" t="s">
        <v>6697</v>
      </c>
      <c r="U1813" s="1093">
        <v>2</v>
      </c>
      <c r="V1813" s="1094" t="s">
        <v>6698</v>
      </c>
      <c r="W1813" s="1093">
        <v>1</v>
      </c>
      <c r="X1813" s="1093" t="s">
        <v>6699</v>
      </c>
      <c r="Y1813" s="1281">
        <v>-2</v>
      </c>
    </row>
    <row r="1814" spans="1:25" ht="12.75" customHeight="1" x14ac:dyDescent="0.2">
      <c r="A1814" s="227">
        <v>1814</v>
      </c>
      <c r="B1814" s="5988"/>
      <c r="E1814" s="969" t="s">
        <v>2060</v>
      </c>
      <c r="F1814" s="593"/>
      <c r="G1814" s="593">
        <v>30</v>
      </c>
      <c r="H1814" s="593">
        <v>1</v>
      </c>
      <c r="I1814" s="593">
        <v>5</v>
      </c>
      <c r="J1814" s="593">
        <f>COUNTIF(Elan!$C$13:$F$25,Tablas!E1814)+COUNTIF(Elan!$U$13:$X$25,Tablas!E1814)</f>
        <v>0</v>
      </c>
      <c r="K1814" s="593"/>
      <c r="L1814" s="5989" t="s">
        <v>6667</v>
      </c>
      <c r="M1814" s="5989"/>
      <c r="N1814" s="5989"/>
      <c r="O1814" s="5989"/>
      <c r="P1814" s="5989"/>
      <c r="Q1814" s="5990"/>
      <c r="R1814" s="972">
        <f>IF(OR($J1814=0,$J1814="Aprendida"),0,SUM($J$1772:$J1814))</f>
        <v>0</v>
      </c>
      <c r="T1814" s="1092" t="s">
        <v>6701</v>
      </c>
      <c r="U1814" s="1093">
        <v>3</v>
      </c>
      <c r="V1814" s="1094" t="s">
        <v>6702</v>
      </c>
      <c r="W1814" s="1093">
        <v>2</v>
      </c>
      <c r="X1814" s="1093" t="s">
        <v>6703</v>
      </c>
      <c r="Y1814" s="1281">
        <v>-5</v>
      </c>
    </row>
    <row r="1815" spans="1:25" ht="12.75" customHeight="1" x14ac:dyDescent="0.2">
      <c r="A1815" s="227">
        <v>1815</v>
      </c>
      <c r="B1815" s="5988"/>
      <c r="E1815" s="969" t="s">
        <v>6455</v>
      </c>
      <c r="F1815" s="593"/>
      <c r="G1815" s="593">
        <v>40</v>
      </c>
      <c r="H1815" s="593">
        <v>1</v>
      </c>
      <c r="I1815" s="593">
        <v>5</v>
      </c>
      <c r="J1815" s="593">
        <f>COUNTIF(Elan!$C$13:$F$25,Tablas!E1815)+COUNTIF(Elan!$U$13:$X$25,Tablas!E1815)</f>
        <v>0</v>
      </c>
      <c r="K1815" s="593"/>
      <c r="L1815" s="5989" t="s">
        <v>6671</v>
      </c>
      <c r="M1815" s="5989"/>
      <c r="N1815" s="5989"/>
      <c r="O1815" s="5989"/>
      <c r="P1815" s="5989"/>
      <c r="Q1815" s="5990"/>
      <c r="R1815" s="972">
        <f>IF(OR($J1815=0,$J1815="Aprendida"),0,SUM($J$1772:$J1815))</f>
        <v>0</v>
      </c>
      <c r="T1815" s="1092" t="s">
        <v>6704</v>
      </c>
      <c r="U1815" s="1093">
        <v>3</v>
      </c>
      <c r="V1815" s="1094" t="s">
        <v>6705</v>
      </c>
      <c r="W1815" s="1093">
        <v>4</v>
      </c>
      <c r="X1815" s="1093" t="s">
        <v>6706</v>
      </c>
      <c r="Y1815" s="1281">
        <v>-10</v>
      </c>
    </row>
    <row r="1816" spans="1:25" ht="12.75" customHeight="1" x14ac:dyDescent="0.2">
      <c r="A1816" s="227">
        <v>1816</v>
      </c>
      <c r="B1816" s="5988"/>
      <c r="E1816" s="969" t="s">
        <v>6456</v>
      </c>
      <c r="F1816" s="593"/>
      <c r="G1816" s="593">
        <v>50</v>
      </c>
      <c r="H1816" s="593">
        <v>1</v>
      </c>
      <c r="I1816" s="593">
        <v>10</v>
      </c>
      <c r="J1816" s="593">
        <f>COUNTIF(Elan!$C$13:$F$25,Tablas!E1816)+COUNTIF(Elan!$U$13:$X$25,Tablas!E1816)</f>
        <v>0</v>
      </c>
      <c r="K1816" s="593">
        <f>ROUNDDOWN(F$1811/2,0)*J1816</f>
        <v>0</v>
      </c>
      <c r="L1816" s="5989" t="str">
        <f>"Obtiene un bono especial en todas las habilidades secundarias intelecuales de +"&amp;K1816&amp;"."</f>
        <v>Obtiene un bono especial en todas las habilidades secundarias intelecuales de +0.</v>
      </c>
      <c r="M1816" s="5989"/>
      <c r="N1816" s="5989"/>
      <c r="O1816" s="5989"/>
      <c r="P1816" s="5989"/>
      <c r="Q1816" s="5990"/>
      <c r="R1816" s="972">
        <f>IF(OR($J1816=0,$J1816="Aprendida"),0,SUM($J$1772:$J1816))</f>
        <v>0</v>
      </c>
      <c r="T1816" s="1092" t="s">
        <v>6708</v>
      </c>
      <c r="U1816" s="1093">
        <v>3</v>
      </c>
      <c r="V1816" s="1094"/>
      <c r="W1816" s="1093"/>
      <c r="X1816" s="1093" t="s">
        <v>6709</v>
      </c>
      <c r="Y1816" s="1281">
        <v>-2</v>
      </c>
    </row>
    <row r="1817" spans="1:25" ht="12.75" customHeight="1" x14ac:dyDescent="0.2">
      <c r="A1817" s="227">
        <v>1817</v>
      </c>
      <c r="B1817" s="5988"/>
      <c r="E1817" s="969" t="s">
        <v>6457</v>
      </c>
      <c r="F1817" s="593"/>
      <c r="G1817" s="593">
        <v>50</v>
      </c>
      <c r="H1817" s="593">
        <v>1</v>
      </c>
      <c r="I1817" s="593">
        <v>10</v>
      </c>
      <c r="J1817" s="593">
        <f>COUNTIF(Elan!$C$13:$F$25,Tablas!E1817)+COUNTIF(Elan!$U$13:$X$25,Tablas!E1817)</f>
        <v>0</v>
      </c>
      <c r="K1817" s="593"/>
      <c r="L1817" s="5989" t="str">
        <f>"Todo aquel que le escuche hablar durante más de cinco asaltos debe de realizar un control de RM o RP contra "&amp;F1811+60&amp;", o será controlado."</f>
        <v>Todo aquel que le escuche hablar durante más de cinco asaltos debe de realizar un control de RM o RP contra 60, o será controlado.</v>
      </c>
      <c r="M1817" s="5989"/>
      <c r="N1817" s="5989"/>
      <c r="O1817" s="5989"/>
      <c r="P1817" s="5989"/>
      <c r="Q1817" s="5990"/>
      <c r="R1817" s="972">
        <f>IF(OR($J1817=0,$J1817="Aprendida"),0,SUM($J$1772:$J1817))</f>
        <v>0</v>
      </c>
      <c r="T1817" s="1092" t="s">
        <v>6710</v>
      </c>
      <c r="U1817" s="1093">
        <v>2</v>
      </c>
      <c r="V1817" s="1094"/>
      <c r="W1817" s="1093"/>
      <c r="X1817" s="1093"/>
      <c r="Y1817" s="1281"/>
    </row>
    <row r="1818" spans="1:25" ht="12.75" customHeight="1" x14ac:dyDescent="0.2">
      <c r="A1818" s="227">
        <v>1818</v>
      </c>
      <c r="B1818" s="5988"/>
      <c r="E1818" s="969" t="s">
        <v>6458</v>
      </c>
      <c r="F1818" s="593"/>
      <c r="G1818" s="593">
        <v>60</v>
      </c>
      <c r="H1818" s="593">
        <v>1</v>
      </c>
      <c r="I1818" s="593">
        <v>10</v>
      </c>
      <c r="J1818" s="593">
        <f>COUNTIF(Elan!$C$13:$F$25,Tablas!E1818)+COUNTIF(Elan!$U$13:$X$25,Tablas!E1818)</f>
        <v>0</v>
      </c>
      <c r="K1818" s="593"/>
      <c r="L1818" s="5989" t="str">
        <f>"Permite conferir parte de su poder a un solo subordinado, quien actúa como si tuviese "&amp;F1811-20&amp;" puntos de Elan."</f>
        <v>Permite conferir parte de su poder a un solo subordinado, quien actúa como si tuviese -20 puntos de Elan.</v>
      </c>
      <c r="M1818" s="5989"/>
      <c r="N1818" s="5989"/>
      <c r="O1818" s="5989"/>
      <c r="P1818" s="5989"/>
      <c r="Q1818" s="5990"/>
      <c r="R1818" s="972">
        <f>IF(OR($J1818=0,$J1818="Aprendida"),0,SUM($J$1772:$J1818))</f>
        <v>0</v>
      </c>
      <c r="T1818" s="1095"/>
      <c r="U1818" s="1096"/>
      <c r="V1818" s="1096"/>
      <c r="W1818" s="1096"/>
      <c r="X1818" s="1096"/>
      <c r="Y1818" s="1282"/>
    </row>
    <row r="1819" spans="1:25" ht="12.75" customHeight="1" x14ac:dyDescent="0.2">
      <c r="A1819" s="227">
        <v>1819</v>
      </c>
      <c r="B1819" s="5988"/>
      <c r="E1819" s="969" t="s">
        <v>6459</v>
      </c>
      <c r="F1819" s="593"/>
      <c r="G1819" s="593">
        <v>65</v>
      </c>
      <c r="H1819" s="593">
        <f>IF(J1815,1,0)</f>
        <v>0</v>
      </c>
      <c r="I1819" s="593">
        <v>15</v>
      </c>
      <c r="J1819" s="593">
        <f>COUNTIF(Elan!$C$13:$F$25,Tablas!E1819)+COUNTIF(Elan!$U$13:$X$25,Tablas!E1819)</f>
        <v>0</v>
      </c>
      <c r="K1819" s="593"/>
      <c r="L1819" s="5989" t="str">
        <f>"Permite invocar y mantener el control sobre hasta "&amp;FLOOR(F1811/2,1)&amp;" criaturas oscuras. Si alguna de ellas es destruida debe esperar un día para que aparezca otra."</f>
        <v>Permite invocar y mantener el control sobre hasta 0 criaturas oscuras. Si alguna de ellas es destruida debe esperar un día para que aparezca otra.</v>
      </c>
      <c r="M1819" s="5989"/>
      <c r="N1819" s="5989"/>
      <c r="O1819" s="5989"/>
      <c r="P1819" s="5989"/>
      <c r="Q1819" s="5990"/>
      <c r="R1819" s="972">
        <f>IF(OR($J1819=0,$J1819="Aprendida"),0,SUM($J$1772:$J1819))</f>
        <v>0</v>
      </c>
      <c r="T1819" s="1095"/>
      <c r="U1819" s="1096"/>
      <c r="V1819" s="1096"/>
      <c r="W1819" s="1096"/>
      <c r="X1819" s="1096"/>
      <c r="Y1819" s="1282"/>
    </row>
    <row r="1820" spans="1:25" ht="12.75" customHeight="1" x14ac:dyDescent="0.2">
      <c r="A1820" s="227">
        <v>1820</v>
      </c>
      <c r="B1820" s="5988"/>
      <c r="E1820" s="969" t="s">
        <v>6460</v>
      </c>
      <c r="F1820" s="593"/>
      <c r="G1820" s="593">
        <v>70</v>
      </c>
      <c r="H1820" s="593">
        <v>1</v>
      </c>
      <c r="I1820" s="593">
        <v>15</v>
      </c>
      <c r="J1820" s="593">
        <f>COUNTIF(Elan!$C$13:$F$25,Tablas!E1820)+COUNTIF(Elan!$U$13:$X$25,Tablas!E1820)</f>
        <v>0</v>
      </c>
      <c r="K1820" s="593">
        <f>IF(J1820&gt;0,1,0)</f>
        <v>0</v>
      </c>
      <c r="L1820" s="5989" t="s">
        <v>6676</v>
      </c>
      <c r="M1820" s="5989"/>
      <c r="N1820" s="5989"/>
      <c r="O1820" s="5989"/>
      <c r="P1820" s="5989"/>
      <c r="Q1820" s="5990"/>
      <c r="R1820" s="972">
        <f>IF(OR($J1820=0,$J1820="Aprendida"),0,SUM($J$1772:$J1820))</f>
        <v>0</v>
      </c>
      <c r="T1820" s="1090" t="str">
        <f>E1851</f>
        <v>Rafael</v>
      </c>
      <c r="U1820" s="1091"/>
      <c r="V1820" s="1097"/>
      <c r="W1820" s="1091"/>
      <c r="X1820" s="1091"/>
      <c r="Y1820" s="1280"/>
    </row>
    <row r="1821" spans="1:25" ht="12.75" customHeight="1" x14ac:dyDescent="0.2">
      <c r="A1821" s="227">
        <v>1821</v>
      </c>
      <c r="B1821" s="5988"/>
      <c r="E1821" s="969" t="s">
        <v>6461</v>
      </c>
      <c r="F1821" s="593"/>
      <c r="G1821" s="593">
        <v>70</v>
      </c>
      <c r="H1821" s="593">
        <f>IF(J1817,1,0)</f>
        <v>0</v>
      </c>
      <c r="I1821" s="593">
        <v>10</v>
      </c>
      <c r="J1821" s="593">
        <f>COUNTIF(Elan!$C$13:$F$25,Tablas!E1821)+COUNTIF(Elan!$U$13:$X$25,Tablas!E1821)</f>
        <v>0</v>
      </c>
      <c r="K1821" s="593"/>
      <c r="L1821" s="5989" t="str">
        <f>"Todo aquel a quien mire a los ojos durante más de dos asaltos debe de realizar un control de RM o RP contra "&amp;F1811+40&amp;", o será controlado."</f>
        <v>Todo aquel a quien mire a los ojos durante más de dos asaltos debe de realizar un control de RM o RP contra 40, o será controlado.</v>
      </c>
      <c r="M1821" s="5989"/>
      <c r="N1821" s="5989"/>
      <c r="O1821" s="5989"/>
      <c r="P1821" s="5989"/>
      <c r="Q1821" s="5990"/>
      <c r="R1821" s="972">
        <f>IF(OR($J1821=0,$J1821="Aprendida"),0,SUM($J$1772:$J1821))</f>
        <v>0</v>
      </c>
      <c r="T1821" s="1092" t="s">
        <v>6715</v>
      </c>
      <c r="U1821" s="1093">
        <v>1</v>
      </c>
      <c r="V1821" s="1094" t="s">
        <v>6716</v>
      </c>
      <c r="W1821" s="1093">
        <v>2</v>
      </c>
      <c r="X1821" s="1093" t="s">
        <v>6717</v>
      </c>
      <c r="Y1821" s="1281">
        <v>-5</v>
      </c>
    </row>
    <row r="1822" spans="1:25" ht="12.75" customHeight="1" x14ac:dyDescent="0.2">
      <c r="A1822" s="227">
        <v>1822</v>
      </c>
      <c r="B1822" s="5988"/>
      <c r="E1822" s="969" t="s">
        <v>10379</v>
      </c>
      <c r="F1822" s="593"/>
      <c r="G1822" s="593">
        <v>80</v>
      </c>
      <c r="H1822" s="593">
        <v>1</v>
      </c>
      <c r="I1822" s="593">
        <v>15</v>
      </c>
      <c r="J1822" s="593">
        <f>COUNTIF(Elan!$C$13:$F$25,Tablas!E1822)+COUNTIF(Elan!$U$13:$X$25,Tablas!E1822)</f>
        <v>0</v>
      </c>
      <c r="K1822" s="593"/>
      <c r="L1822" s="5989" t="s">
        <v>6659</v>
      </c>
      <c r="M1822" s="5989"/>
      <c r="N1822" s="5989"/>
      <c r="O1822" s="5989"/>
      <c r="P1822" s="5989"/>
      <c r="Q1822" s="5990"/>
      <c r="R1822" s="972">
        <f>IF(OR($J1822=0,$J1822="Aprendida"),0,SUM($J$1772:$J1822))</f>
        <v>0</v>
      </c>
      <c r="T1822" s="1092" t="s">
        <v>6718</v>
      </c>
      <c r="U1822" s="1093">
        <v>5</v>
      </c>
      <c r="V1822" s="1094" t="s">
        <v>6718</v>
      </c>
      <c r="W1822" s="1093">
        <v>1</v>
      </c>
      <c r="X1822" s="1093" t="s">
        <v>6719</v>
      </c>
      <c r="Y1822" s="1281">
        <v>-3</v>
      </c>
    </row>
    <row r="1823" spans="1:25" ht="12.75" customHeight="1" x14ac:dyDescent="0.2">
      <c r="A1823" s="227">
        <v>1823</v>
      </c>
      <c r="B1823" s="5988"/>
      <c r="E1823" s="969" t="s">
        <v>6462</v>
      </c>
      <c r="F1823" s="593"/>
      <c r="G1823" s="593">
        <v>90</v>
      </c>
      <c r="H1823" s="593">
        <f>IF(J1821,1,0)</f>
        <v>0</v>
      </c>
      <c r="I1823" s="593">
        <v>10</v>
      </c>
      <c r="J1823" s="593">
        <f>COUNTIF(Elan!$C$13:$F$25,Tablas!E1823)+COUNTIF(Elan!$U$13:$X$25,Tablas!E1823)</f>
        <v>0</v>
      </c>
      <c r="K1823" s="593"/>
      <c r="L1823" s="5989" t="str">
        <f>"Todo aquel que se encuentre a menos de 10 metros del PJ debe de realizar un control de RM o RP contra "&amp;F1811+20&amp;", o será controlado."</f>
        <v>Todo aquel que se encuentre a menos de 10 metros del PJ debe de realizar un control de RM o RP contra 20, o será controlado.</v>
      </c>
      <c r="M1823" s="5989"/>
      <c r="N1823" s="5989"/>
      <c r="O1823" s="5989"/>
      <c r="P1823" s="5989"/>
      <c r="Q1823" s="5990"/>
      <c r="R1823" s="972">
        <f>IF(OR($J1823=0,$J1823="Aprendida"),0,SUM($J$1772:$J1823))</f>
        <v>0</v>
      </c>
      <c r="T1823" s="1092" t="s">
        <v>6720</v>
      </c>
      <c r="U1823" s="1093">
        <v>3</v>
      </c>
      <c r="V1823" s="1094" t="s">
        <v>6721</v>
      </c>
      <c r="W1823" s="1093">
        <v>2</v>
      </c>
      <c r="X1823" s="1093" t="s">
        <v>6722</v>
      </c>
      <c r="Y1823" s="1281">
        <v>-10</v>
      </c>
    </row>
    <row r="1824" spans="1:25" ht="12.75" customHeight="1" x14ac:dyDescent="0.2">
      <c r="A1824" s="227">
        <v>1824</v>
      </c>
      <c r="B1824" s="5988"/>
      <c r="E1824" s="969" t="s">
        <v>6463</v>
      </c>
      <c r="F1824" s="593"/>
      <c r="G1824" s="593">
        <v>100</v>
      </c>
      <c r="H1824" s="593">
        <v>1</v>
      </c>
      <c r="I1824" s="593">
        <v>10</v>
      </c>
      <c r="J1824" s="593">
        <f>COUNTIF(Elan!$C$13:$F$25,Tablas!E1824)+COUNTIF(Elan!$U$13:$X$25,Tablas!E1824)</f>
        <v>0</v>
      </c>
      <c r="K1824" s="593"/>
      <c r="L1824" s="5989" t="s">
        <v>6677</v>
      </c>
      <c r="M1824" s="5989"/>
      <c r="N1824" s="5989"/>
      <c r="O1824" s="5989"/>
      <c r="P1824" s="5989"/>
      <c r="Q1824" s="5990"/>
      <c r="R1824" s="972">
        <f>IF(OR($J1824=0,$J1824="Aprendida"),0,SUM($J$1772:$J1824))</f>
        <v>0</v>
      </c>
      <c r="T1824" s="1092" t="s">
        <v>6724</v>
      </c>
      <c r="U1824" s="1093">
        <v>1</v>
      </c>
      <c r="V1824" s="1094"/>
      <c r="W1824" s="1093"/>
      <c r="X1824" s="1093"/>
      <c r="Y1824" s="1281"/>
    </row>
    <row r="1825" spans="1:25" ht="12.75" customHeight="1" x14ac:dyDescent="0.2">
      <c r="A1825" s="227">
        <v>1825</v>
      </c>
      <c r="B1825" s="5988"/>
      <c r="E1825" s="968" t="s">
        <v>6316</v>
      </c>
      <c r="F1825" s="1383">
        <f>IF(Elan!$C$11=Tablas!$E1825,Elan!$G$11,IF(Elan!$U$11=Tablas!$E1825,Elan!$Y$11,0))</f>
        <v>0</v>
      </c>
      <c r="G1825" s="961" t="s">
        <v>1820</v>
      </c>
      <c r="H1825" s="961" t="s">
        <v>8309</v>
      </c>
      <c r="I1825" s="961" t="s">
        <v>1490</v>
      </c>
      <c r="J1825" s="961" t="s">
        <v>6418</v>
      </c>
      <c r="K1825" s="961" t="s">
        <v>7078</v>
      </c>
      <c r="L1825" s="961" t="s">
        <v>1549</v>
      </c>
      <c r="M1825" s="594"/>
      <c r="N1825" s="594"/>
      <c r="O1825" s="594"/>
      <c r="P1825" s="594"/>
      <c r="Q1825" s="966"/>
      <c r="R1825" s="972">
        <f>IF(OR($J1825=0,$J1825="Aprendida"),0,SUM($J$1772:$J1825))</f>
        <v>0</v>
      </c>
      <c r="T1825" s="1092" t="s">
        <v>6725</v>
      </c>
      <c r="U1825" s="1093">
        <v>5</v>
      </c>
      <c r="V1825" s="1094"/>
      <c r="W1825" s="1093"/>
      <c r="X1825" s="1093"/>
      <c r="Y1825" s="1281"/>
    </row>
    <row r="1826" spans="1:25" ht="12.75" customHeight="1" x14ac:dyDescent="0.2">
      <c r="A1826" s="227">
        <v>1826</v>
      </c>
      <c r="B1826" s="5988"/>
      <c r="E1826" s="969" t="s">
        <v>6464</v>
      </c>
      <c r="F1826" s="593"/>
      <c r="G1826" s="593">
        <v>10</v>
      </c>
      <c r="H1826" s="593">
        <v>1</v>
      </c>
      <c r="I1826" s="593">
        <v>5</v>
      </c>
      <c r="J1826" s="593">
        <f>COUNTIF(Elan!$C$13:$F$25,Tablas!E1826)+COUNTIF(Elan!$U$13:$X$25,Tablas!E1826)</f>
        <v>0</v>
      </c>
      <c r="K1826" s="593">
        <f>F$1825*J1826</f>
        <v>0</v>
      </c>
      <c r="L1826" s="5989" t="str">
        <f>"Otorga un bono especial a sus habilidades secundarias Arte y Música de +"&amp;K1826&amp;"."</f>
        <v>Otorga un bono especial a sus habilidades secundarias Arte y Música de +0.</v>
      </c>
      <c r="M1826" s="5989"/>
      <c r="N1826" s="5989"/>
      <c r="O1826" s="5989"/>
      <c r="P1826" s="5989"/>
      <c r="Q1826" s="5990"/>
      <c r="R1826" s="972">
        <f>IF(OR($J1826=0,$J1826="Aprendida"),0,SUM($J$1772:$J1826))</f>
        <v>0</v>
      </c>
      <c r="T1826" s="1095"/>
      <c r="U1826" s="1096"/>
      <c r="V1826" s="1096"/>
      <c r="W1826" s="1096"/>
      <c r="X1826" s="1096"/>
      <c r="Y1826" s="1282"/>
    </row>
    <row r="1827" spans="1:25" ht="12.75" customHeight="1" x14ac:dyDescent="0.2">
      <c r="A1827" s="227">
        <v>1827</v>
      </c>
      <c r="B1827" s="5988"/>
      <c r="E1827" s="969" t="s">
        <v>6465</v>
      </c>
      <c r="F1827" s="593"/>
      <c r="G1827" s="593">
        <v>20</v>
      </c>
      <c r="H1827" s="593">
        <v>1</v>
      </c>
      <c r="I1827" s="593">
        <v>5</v>
      </c>
      <c r="J1827" s="593">
        <f>COUNTIF(Elan!$C$13:$F$25,Tablas!E1827)+COUNTIF(Elan!$U$13:$X$25,Tablas!E1827)</f>
        <v>0</v>
      </c>
      <c r="K1827" s="593"/>
      <c r="L1827" s="5989" t="s">
        <v>6681</v>
      </c>
      <c r="M1827" s="5989"/>
      <c r="N1827" s="5989"/>
      <c r="O1827" s="5989"/>
      <c r="P1827" s="5989"/>
      <c r="Q1827" s="5990"/>
      <c r="R1827" s="972">
        <f>IF(OR($J1827=0,$J1827="Aprendida"),0,SUM($J$1772:$J1827))</f>
        <v>0</v>
      </c>
      <c r="T1827" s="1095"/>
      <c r="U1827" s="1096"/>
      <c r="V1827" s="1096"/>
      <c r="W1827" s="1096"/>
      <c r="X1827" s="1096"/>
      <c r="Y1827" s="1282"/>
    </row>
    <row r="1828" spans="1:25" ht="12.75" customHeight="1" x14ac:dyDescent="0.2">
      <c r="A1828" s="227">
        <v>1828</v>
      </c>
      <c r="B1828" s="5988"/>
      <c r="E1828" s="969" t="s">
        <v>6466</v>
      </c>
      <c r="F1828" s="593"/>
      <c r="G1828" s="593">
        <v>30</v>
      </c>
      <c r="H1828" s="593">
        <v>1</v>
      </c>
      <c r="I1828" s="593">
        <v>10</v>
      </c>
      <c r="J1828" s="593">
        <f>COUNTIF(Elan!$C$13:$F$25,Tablas!E1828)+COUNTIF(Elan!$U$13:$X$25,Tablas!E1828)</f>
        <v>0</v>
      </c>
      <c r="K1828" s="593"/>
      <c r="L1828" s="5989" t="s">
        <v>6685</v>
      </c>
      <c r="M1828" s="5989"/>
      <c r="N1828" s="5989"/>
      <c r="O1828" s="5989"/>
      <c r="P1828" s="5989"/>
      <c r="Q1828" s="5990"/>
      <c r="R1828" s="972">
        <f>IF(OR($J1828=0,$J1828="Aprendida"),0,SUM($J$1772:$J1828))</f>
        <v>0</v>
      </c>
      <c r="T1828" s="1090" t="str">
        <f>E1865</f>
        <v>Erebus</v>
      </c>
      <c r="U1828" s="1091"/>
      <c r="V1828" s="1097"/>
      <c r="W1828" s="1091"/>
      <c r="X1828" s="1091"/>
      <c r="Y1828" s="1280"/>
    </row>
    <row r="1829" spans="1:25" ht="12.75" customHeight="1" x14ac:dyDescent="0.2">
      <c r="A1829" s="227">
        <v>1829</v>
      </c>
      <c r="B1829" s="5988"/>
      <c r="E1829" s="969" t="s">
        <v>6467</v>
      </c>
      <c r="F1829" s="593"/>
      <c r="G1829" s="593">
        <v>40</v>
      </c>
      <c r="H1829" s="593">
        <v>1</v>
      </c>
      <c r="I1829" s="593">
        <v>10</v>
      </c>
      <c r="J1829" s="593">
        <f>COUNTIF(Elan!$C$13:$F$25,Tablas!E1829)+COUNTIF(Elan!$U$13:$X$25,Tablas!E1829)</f>
        <v>0</v>
      </c>
      <c r="K1829" s="593"/>
      <c r="L1829" s="5989" t="s">
        <v>6688</v>
      </c>
      <c r="M1829" s="5989"/>
      <c r="N1829" s="5989"/>
      <c r="O1829" s="5989"/>
      <c r="P1829" s="5989"/>
      <c r="Q1829" s="5990"/>
      <c r="R1829" s="972">
        <f>IF(OR($J1829=0,$J1829="Aprendida"),0,SUM($J$1772:$J1829))</f>
        <v>0</v>
      </c>
      <c r="T1829" s="1092" t="s">
        <v>6726</v>
      </c>
      <c r="U1829" s="1093">
        <v>2</v>
      </c>
      <c r="V1829" s="1094" t="s">
        <v>6727</v>
      </c>
      <c r="W1829" s="1093">
        <v>2</v>
      </c>
      <c r="X1829" s="1093" t="s">
        <v>6728</v>
      </c>
      <c r="Y1829" s="1281">
        <v>-3</v>
      </c>
    </row>
    <row r="1830" spans="1:25" ht="12.75" customHeight="1" x14ac:dyDescent="0.2">
      <c r="A1830" s="227">
        <v>1830</v>
      </c>
      <c r="B1830" s="5988"/>
      <c r="E1830" s="969" t="s">
        <v>1274</v>
      </c>
      <c r="F1830" s="593"/>
      <c r="G1830" s="593">
        <v>40</v>
      </c>
      <c r="H1830" s="593">
        <v>1</v>
      </c>
      <c r="I1830" s="593">
        <v>10</v>
      </c>
      <c r="J1830" s="593">
        <f>COUNTIF(Elan!$C$13:$F$25,Tablas!E1830)+COUNTIF(Elan!$U$13:$X$25,Tablas!E1830)</f>
        <v>0</v>
      </c>
      <c r="K1830" s="593"/>
      <c r="L1830" s="5989" t="str">
        <f>"El PJ se vuelve inmune a cualquier estado psicológico negativo, como miedo, rabia o tristeza. Si se le inducen sobrenaturalmente suma +"&amp;F1825&amp;" a su RM."</f>
        <v>El PJ se vuelve inmune a cualquier estado psicológico negativo, como miedo, rabia o tristeza. Si se le inducen sobrenaturalmente suma +0 a su RM.</v>
      </c>
      <c r="M1830" s="5989"/>
      <c r="N1830" s="5989"/>
      <c r="O1830" s="5989"/>
      <c r="P1830" s="5989"/>
      <c r="Q1830" s="5990"/>
      <c r="R1830" s="972">
        <f>IF(OR($J1830=0,$J1830="Aprendida"),0,SUM($J$1772:$J1830))</f>
        <v>0</v>
      </c>
      <c r="T1830" s="1092" t="s">
        <v>6729</v>
      </c>
      <c r="U1830" s="1093">
        <v>3</v>
      </c>
      <c r="V1830" s="1094" t="s">
        <v>6730</v>
      </c>
      <c r="W1830" s="1093">
        <v>2</v>
      </c>
      <c r="X1830" s="1093" t="s">
        <v>6731</v>
      </c>
      <c r="Y1830" s="1281">
        <v>-2</v>
      </c>
    </row>
    <row r="1831" spans="1:25" ht="12.75" customHeight="1" x14ac:dyDescent="0.2">
      <c r="A1831" s="227">
        <v>1831</v>
      </c>
      <c r="B1831" s="5988"/>
      <c r="E1831" s="969" t="s">
        <v>6468</v>
      </c>
      <c r="F1831" s="593"/>
      <c r="G1831" s="593">
        <v>50</v>
      </c>
      <c r="H1831" s="593">
        <v>1</v>
      </c>
      <c r="I1831" s="593">
        <v>10</v>
      </c>
      <c r="J1831" s="593">
        <f>COUNTIF(Elan!$C$13:$F$25,Tablas!E1831)+COUNTIF(Elan!$U$13:$X$25,Tablas!E1831)</f>
        <v>0</v>
      </c>
      <c r="K1831" s="593"/>
      <c r="L1831" s="5989" t="s">
        <v>6694</v>
      </c>
      <c r="M1831" s="5989"/>
      <c r="N1831" s="5989"/>
      <c r="O1831" s="5989"/>
      <c r="P1831" s="5989"/>
      <c r="Q1831" s="5990"/>
      <c r="R1831" s="972">
        <f>IF(OR($J1831=0,$J1831="Aprendida"),0,SUM($J$1772:$J1831))</f>
        <v>0</v>
      </c>
      <c r="T1831" s="1092" t="s">
        <v>6733</v>
      </c>
      <c r="U1831" s="1093">
        <v>2</v>
      </c>
      <c r="V1831" s="1094" t="s">
        <v>6734</v>
      </c>
      <c r="W1831" s="1093">
        <v>2</v>
      </c>
      <c r="X1831" s="1093"/>
      <c r="Y1831" s="1281"/>
    </row>
    <row r="1832" spans="1:25" ht="12.75" customHeight="1" x14ac:dyDescent="0.2">
      <c r="A1832" s="227">
        <v>1832</v>
      </c>
      <c r="B1832" s="5988"/>
      <c r="E1832" s="969" t="s">
        <v>6469</v>
      </c>
      <c r="F1832" s="593"/>
      <c r="G1832" s="593">
        <v>50</v>
      </c>
      <c r="H1832" s="593">
        <v>1</v>
      </c>
      <c r="I1832" s="593">
        <v>15</v>
      </c>
      <c r="J1832" s="593">
        <f>COUNTIF(Elan!$C$13:$F$25,Tablas!E1832)+COUNTIF(Elan!$U$13:$X$25,Tablas!E1832)</f>
        <v>0</v>
      </c>
      <c r="K1832" s="593"/>
      <c r="L1832" s="5989" t="str">
        <f>"Permite inducir un sentimiento positivo si el objetivo no supera una RM contra "&amp;F1825*2&amp;"."</f>
        <v>Permite inducir un sentimiento positivo si el objetivo no supera una RM contra 0.</v>
      </c>
      <c r="M1832" s="5989"/>
      <c r="N1832" s="5989"/>
      <c r="O1832" s="5989"/>
      <c r="P1832" s="5989"/>
      <c r="Q1832" s="5990"/>
      <c r="R1832" s="972">
        <f>IF(OR($J1832=0,$J1832="Aprendida"),0,SUM($J$1772:$J1832))</f>
        <v>0</v>
      </c>
      <c r="T1832" s="1092" t="s">
        <v>6736</v>
      </c>
      <c r="U1832" s="1093">
        <v>3</v>
      </c>
      <c r="V1832" s="1094"/>
      <c r="W1832" s="1093"/>
      <c r="X1832" s="1093"/>
      <c r="Y1832" s="1281"/>
    </row>
    <row r="1833" spans="1:25" ht="12.75" customHeight="1" x14ac:dyDescent="0.2">
      <c r="A1833" s="227">
        <v>1833</v>
      </c>
      <c r="B1833" s="5988"/>
      <c r="E1833" s="969" t="s">
        <v>2154</v>
      </c>
      <c r="F1833" s="593"/>
      <c r="G1833" s="593">
        <v>60</v>
      </c>
      <c r="H1833" s="593">
        <v>1</v>
      </c>
      <c r="I1833" s="593">
        <v>15</v>
      </c>
      <c r="J1833" s="593">
        <f>COUNTIF(Elan!$C$13:$F$25,Tablas!E1833)+COUNTIF(Elan!$U$13:$X$25,Tablas!E1833)</f>
        <v>0</v>
      </c>
      <c r="K1833" s="593"/>
      <c r="L1833" s="5989" t="s">
        <v>6695</v>
      </c>
      <c r="M1833" s="5989"/>
      <c r="N1833" s="5989"/>
      <c r="O1833" s="5989"/>
      <c r="P1833" s="5989"/>
      <c r="Q1833" s="5990"/>
      <c r="R1833" s="972">
        <f>IF(OR($J1833=0,$J1833="Aprendida"),0,SUM($J$1772:$J1833))</f>
        <v>0</v>
      </c>
      <c r="T1833" s="1092" t="s">
        <v>6737</v>
      </c>
      <c r="U1833" s="1093">
        <v>2</v>
      </c>
      <c r="V1833" s="1094"/>
      <c r="W1833" s="1093"/>
      <c r="X1833" s="1093"/>
      <c r="Y1833" s="1281"/>
    </row>
    <row r="1834" spans="1:25" ht="12.75" customHeight="1" x14ac:dyDescent="0.2">
      <c r="A1834" s="227">
        <v>1834</v>
      </c>
      <c r="B1834" s="5988"/>
      <c r="E1834" s="969" t="s">
        <v>6470</v>
      </c>
      <c r="F1834" s="593"/>
      <c r="G1834" s="593">
        <v>70</v>
      </c>
      <c r="H1834" s="593">
        <v>1</v>
      </c>
      <c r="I1834" s="593">
        <v>10</v>
      </c>
      <c r="J1834" s="593">
        <f>COUNTIF(Elan!$C$13:$F$25,Tablas!E1834)+COUNTIF(Elan!$U$13:$X$25,Tablas!E1834)</f>
        <v>0</v>
      </c>
      <c r="K1834" s="593"/>
      <c r="L1834" s="5989" t="s">
        <v>10380</v>
      </c>
      <c r="M1834" s="5989"/>
      <c r="N1834" s="5989"/>
      <c r="O1834" s="5989"/>
      <c r="P1834" s="5989"/>
      <c r="Q1834" s="5990"/>
      <c r="R1834" s="972">
        <f>IF(OR($J1834=0,$J1834="Aprendida"),0,SUM($J$1772:$J1834))</f>
        <v>0</v>
      </c>
      <c r="T1834" s="1092" t="s">
        <v>6738</v>
      </c>
      <c r="U1834" s="1093">
        <v>2</v>
      </c>
      <c r="V1834" s="1094"/>
      <c r="W1834" s="1093"/>
      <c r="X1834" s="1093"/>
      <c r="Y1834" s="1281"/>
    </row>
    <row r="1835" spans="1:25" ht="12.75" customHeight="1" x14ac:dyDescent="0.2">
      <c r="A1835" s="227">
        <v>1835</v>
      </c>
      <c r="B1835" s="5988"/>
      <c r="E1835" s="969" t="s">
        <v>6471</v>
      </c>
      <c r="F1835" s="593"/>
      <c r="G1835" s="593">
        <v>80</v>
      </c>
      <c r="H1835" s="593">
        <v>1</v>
      </c>
      <c r="I1835" s="593">
        <v>15</v>
      </c>
      <c r="J1835" s="593">
        <f>COUNTIF(Elan!$C$13:$F$25,Tablas!E1835)+COUNTIF(Elan!$U$13:$X$25,Tablas!E1835)</f>
        <v>0</v>
      </c>
      <c r="K1835" s="593"/>
      <c r="L1835" s="5989" t="str">
        <f>"La canción se oye en un radio de "&amp;F1825*100&amp;" metros. Quien la escuche por más de medio minuto deberá superar una RM contra "&amp;F1825*2&amp;"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35" s="5989"/>
      <c r="N1835" s="5989"/>
      <c r="O1835" s="5989"/>
      <c r="P1835" s="5989"/>
      <c r="Q1835" s="5990"/>
      <c r="R1835" s="972">
        <f>IF(OR($J1835=0,$J1835="Aprendida"),0,SUM($J$1772:$J1835))</f>
        <v>0</v>
      </c>
      <c r="T1835" s="1095"/>
      <c r="U1835" s="1096"/>
      <c r="V1835" s="1096"/>
      <c r="W1835" s="1096"/>
      <c r="X1835" s="1096"/>
      <c r="Y1835" s="1282"/>
    </row>
    <row r="1836" spans="1:25" ht="12.75" customHeight="1" x14ac:dyDescent="0.2">
      <c r="A1836" s="227">
        <v>1836</v>
      </c>
      <c r="B1836" s="5988"/>
      <c r="E1836" s="969" t="s">
        <v>6472</v>
      </c>
      <c r="F1836" s="593"/>
      <c r="G1836" s="593">
        <v>90</v>
      </c>
      <c r="H1836" s="593">
        <v>1</v>
      </c>
      <c r="I1836" s="593">
        <v>20</v>
      </c>
      <c r="J1836" s="593">
        <f>COUNTIF(Elan!$C$13:$F$25,Tablas!E1836)+COUNTIF(Elan!$U$13:$X$25,Tablas!E1836)</f>
        <v>0</v>
      </c>
      <c r="K1836" s="593"/>
      <c r="L1836" s="5989" t="str">
        <f>"Todo ser capaz de albergar sentimientos se ve obligado a realizar una RM contra "&amp;F1825*2&amp;" o, de lo contrario, se sentirá incapaz de perjudicarle."</f>
        <v>Todo ser capaz de albergar sentimientos se ve obligado a realizar una RM contra 0 o, de lo contrario, se sentirá incapaz de perjudicarle.</v>
      </c>
      <c r="M1836" s="5989"/>
      <c r="N1836" s="5989"/>
      <c r="O1836" s="5989"/>
      <c r="P1836" s="5989"/>
      <c r="Q1836" s="5990"/>
      <c r="R1836" s="972">
        <f>IF(OR($J1836=0,$J1836="Aprendida"),0,SUM($J$1772:$J1836))</f>
        <v>0</v>
      </c>
      <c r="T1836" s="1090" t="str">
        <f>E1877</f>
        <v>Azrael</v>
      </c>
      <c r="U1836" s="1091"/>
      <c r="V1836" s="1097"/>
      <c r="W1836" s="1091"/>
      <c r="X1836" s="1091"/>
      <c r="Y1836" s="1280"/>
    </row>
    <row r="1837" spans="1:25" ht="12.75" customHeight="1" x14ac:dyDescent="0.2">
      <c r="A1837" s="227">
        <v>1837</v>
      </c>
      <c r="B1837" s="5988"/>
      <c r="E1837" s="969" t="s">
        <v>6473</v>
      </c>
      <c r="F1837" s="593"/>
      <c r="G1837" s="593">
        <v>100</v>
      </c>
      <c r="H1837" s="593">
        <v>1</v>
      </c>
      <c r="I1837" s="593">
        <v>10</v>
      </c>
      <c r="J1837" s="593">
        <f>COUNTIF(Elan!$C$13:$F$25,Tablas!E1837)+COUNTIF(Elan!$U$13:$X$25,Tablas!E1837)</f>
        <v>0</v>
      </c>
      <c r="K1837" s="593"/>
      <c r="L1837" s="5989" t="s">
        <v>10381</v>
      </c>
      <c r="M1837" s="5989"/>
      <c r="N1837" s="5989"/>
      <c r="O1837" s="5989"/>
      <c r="P1837" s="5989"/>
      <c r="Q1837" s="5990"/>
      <c r="R1837" s="972">
        <f>IF(OR($J1837=0,$J1837="Aprendida"),0,SUM($J$1772:$J1837))</f>
        <v>0</v>
      </c>
      <c r="T1837" s="1092" t="s">
        <v>6742</v>
      </c>
      <c r="U1837" s="1093">
        <v>3</v>
      </c>
      <c r="V1837" s="1094" t="s">
        <v>6743</v>
      </c>
      <c r="W1837" s="1093">
        <v>1</v>
      </c>
      <c r="X1837" s="1093" t="s">
        <v>6744</v>
      </c>
      <c r="Y1837" s="1281">
        <v>-2</v>
      </c>
    </row>
    <row r="1838" spans="1:25" ht="12.75" customHeight="1" x14ac:dyDescent="0.2">
      <c r="A1838" s="227">
        <v>1838</v>
      </c>
      <c r="B1838" s="5988"/>
      <c r="E1838" s="968" t="s">
        <v>6409</v>
      </c>
      <c r="F1838" s="1383">
        <f>IF(Elan!$C$11=Tablas!$E1838,Elan!$G$11,IF(Elan!$U$11=Tablas!$E1838,Elan!$Y$11,0))</f>
        <v>0</v>
      </c>
      <c r="G1838" s="961" t="s">
        <v>1820</v>
      </c>
      <c r="H1838" s="961" t="s">
        <v>8309</v>
      </c>
      <c r="I1838" s="961" t="s">
        <v>1490</v>
      </c>
      <c r="J1838" s="961" t="s">
        <v>6418</v>
      </c>
      <c r="K1838" s="961" t="s">
        <v>7078</v>
      </c>
      <c r="L1838" s="961" t="s">
        <v>1549</v>
      </c>
      <c r="M1838" s="594"/>
      <c r="N1838" s="594"/>
      <c r="O1838" s="594"/>
      <c r="P1838" s="594"/>
      <c r="Q1838" s="966"/>
      <c r="R1838" s="972">
        <f>IF(OR($J1838=0,$J1838="Aprendida"),0,SUM($J$1772:$J1838))</f>
        <v>0</v>
      </c>
      <c r="T1838" s="1092" t="s">
        <v>6745</v>
      </c>
      <c r="U1838" s="1093">
        <v>2</v>
      </c>
      <c r="V1838" s="1094" t="s">
        <v>6746</v>
      </c>
      <c r="W1838" s="1093">
        <v>2</v>
      </c>
      <c r="X1838" s="1093" t="s">
        <v>6747</v>
      </c>
      <c r="Y1838" s="1281">
        <v>-8</v>
      </c>
    </row>
    <row r="1839" spans="1:25" ht="12.75" customHeight="1" x14ac:dyDescent="0.2">
      <c r="A1839" s="227">
        <v>1839</v>
      </c>
      <c r="B1839" s="5988"/>
      <c r="E1839" s="969" t="s">
        <v>6474</v>
      </c>
      <c r="F1839" s="593"/>
      <c r="G1839" s="593">
        <v>10</v>
      </c>
      <c r="H1839" s="593">
        <v>1</v>
      </c>
      <c r="I1839" s="593">
        <v>5</v>
      </c>
      <c r="J1839" s="593">
        <f>COUNTIF(Elan!$C$13:$F$25,Tablas!E1839)+COUNTIF(Elan!$U$13:$X$25,Tablas!E1839)</f>
        <v>0</v>
      </c>
      <c r="K1839" s="593"/>
      <c r="L1839" s="5989" t="s">
        <v>6696</v>
      </c>
      <c r="M1839" s="5989"/>
      <c r="N1839" s="5989"/>
      <c r="O1839" s="5989"/>
      <c r="P1839" s="5989"/>
      <c r="Q1839" s="5990"/>
      <c r="R1839" s="972">
        <f>IF(OR($J1839=0,$J1839="Aprendida"),0,SUM($J$1772:$J1839))</f>
        <v>0</v>
      </c>
      <c r="T1839" s="1092" t="s">
        <v>6749</v>
      </c>
      <c r="U1839" s="1093">
        <v>5</v>
      </c>
      <c r="V1839" s="1094" t="s">
        <v>6750</v>
      </c>
      <c r="W1839" s="1093">
        <v>2</v>
      </c>
      <c r="X1839" s="1093" t="s">
        <v>6751</v>
      </c>
      <c r="Y1839" s="1281">
        <v>-2</v>
      </c>
    </row>
    <row r="1840" spans="1:25" ht="12.75" customHeight="1" x14ac:dyDescent="0.2">
      <c r="A1840" s="227">
        <v>1840</v>
      </c>
      <c r="B1840" s="5988"/>
      <c r="E1840" s="969" t="s">
        <v>6475</v>
      </c>
      <c r="F1840" s="593"/>
      <c r="G1840" s="593">
        <v>20</v>
      </c>
      <c r="H1840" s="593">
        <v>1</v>
      </c>
      <c r="I1840" s="593">
        <v>10</v>
      </c>
      <c r="J1840" s="593">
        <f>COUNTIF(Elan!$C$13:$F$25,Tablas!E1840)+COUNTIF(Elan!$U$13:$X$25,Tablas!E1840)</f>
        <v>0</v>
      </c>
      <c r="K1840" s="593"/>
      <c r="L1840" s="5989" t="s">
        <v>6700</v>
      </c>
      <c r="M1840" s="5989"/>
      <c r="N1840" s="5989"/>
      <c r="O1840" s="5989"/>
      <c r="P1840" s="5989"/>
      <c r="Q1840" s="5990"/>
      <c r="R1840" s="972">
        <f>IF(OR($J1840=0,$J1840="Aprendida"),0,SUM($J$1772:$J1840))</f>
        <v>0</v>
      </c>
      <c r="T1840" s="1092" t="s">
        <v>6752</v>
      </c>
      <c r="U1840" s="1093">
        <v>2</v>
      </c>
      <c r="V1840" s="1094" t="s">
        <v>6753</v>
      </c>
      <c r="W1840" s="1093">
        <v>3</v>
      </c>
      <c r="X1840" s="1093"/>
      <c r="Y1840" s="1281"/>
    </row>
    <row r="1841" spans="1:25" ht="12.75" customHeight="1" x14ac:dyDescent="0.2">
      <c r="A1841" s="227">
        <v>1841</v>
      </c>
      <c r="B1841" s="5988"/>
      <c r="E1841" s="969" t="s">
        <v>6476</v>
      </c>
      <c r="F1841" s="593"/>
      <c r="G1841" s="593">
        <v>20</v>
      </c>
      <c r="H1841" s="593">
        <v>1</v>
      </c>
      <c r="I1841" s="593">
        <v>5</v>
      </c>
      <c r="J1841" s="593">
        <f>COUNTIF(Elan!$C$13:$F$25,Tablas!E1841)+COUNTIF(Elan!$U$13:$X$25,Tablas!E1841)</f>
        <v>0</v>
      </c>
      <c r="K1841" s="593">
        <f>ROUNDDOWN(F$1838/2,0)*J1841</f>
        <v>0</v>
      </c>
      <c r="L1841" s="5989" t="str">
        <f>"El PJ obtiene un bono a su RF de +"&amp;K1841&amp;"."</f>
        <v>El PJ obtiene un bono a su RF de +0.</v>
      </c>
      <c r="M1841" s="5989"/>
      <c r="N1841" s="5989"/>
      <c r="O1841" s="5989"/>
      <c r="P1841" s="5989"/>
      <c r="Q1841" s="5990"/>
      <c r="R1841" s="972">
        <f>IF(OR($J1841=0,$J1841="Aprendida"),0,SUM($J$1772:$J1841))</f>
        <v>0</v>
      </c>
      <c r="T1841" s="1092" t="s">
        <v>6755</v>
      </c>
      <c r="U1841" s="1093">
        <v>2</v>
      </c>
      <c r="V1841" s="1094"/>
      <c r="W1841" s="1093"/>
      <c r="X1841" s="1093"/>
      <c r="Y1841" s="1281"/>
    </row>
    <row r="1842" spans="1:25" ht="12.75" customHeight="1" x14ac:dyDescent="0.2">
      <c r="A1842" s="227">
        <v>1842</v>
      </c>
      <c r="B1842" s="5988"/>
      <c r="E1842" s="969" t="s">
        <v>1740</v>
      </c>
      <c r="F1842" s="593"/>
      <c r="G1842" s="593">
        <v>30</v>
      </c>
      <c r="H1842" s="593">
        <v>1</v>
      </c>
      <c r="I1842" s="593">
        <v>5</v>
      </c>
      <c r="J1842" s="593">
        <f>COUNTIF(Elan!$C$13:$F$25,Tablas!E1842)+COUNTIF(Elan!$U$13:$X$25,Tablas!E1842)</f>
        <v>0</v>
      </c>
      <c r="K1842" s="593"/>
      <c r="L1842" s="5989" t="s">
        <v>6707</v>
      </c>
      <c r="M1842" s="5989"/>
      <c r="N1842" s="5989"/>
      <c r="O1842" s="5989"/>
      <c r="P1842" s="5989"/>
      <c r="Q1842" s="5990"/>
      <c r="R1842" s="972">
        <f>IF(OR($J1842=0,$J1842="Aprendida"),0,SUM($J$1772:$J1842))</f>
        <v>0</v>
      </c>
      <c r="T1842" s="1092" t="s">
        <v>6756</v>
      </c>
      <c r="U1842" s="1093">
        <v>3</v>
      </c>
      <c r="V1842" s="1094"/>
      <c r="W1842" s="1093"/>
      <c r="X1842" s="1093"/>
      <c r="Y1842" s="1281"/>
    </row>
    <row r="1843" spans="1:25" ht="12.75" customHeight="1" x14ac:dyDescent="0.2">
      <c r="A1843" s="227">
        <v>1843</v>
      </c>
      <c r="B1843" s="5988"/>
      <c r="E1843" s="969" t="s">
        <v>6477</v>
      </c>
      <c r="F1843" s="593"/>
      <c r="G1843" s="593">
        <v>40</v>
      </c>
      <c r="H1843" s="593">
        <v>1</v>
      </c>
      <c r="I1843" s="593">
        <v>10</v>
      </c>
      <c r="J1843" s="593">
        <f>COUNTIF(Elan!$C$13:$F$25,Tablas!E1843)+COUNTIF(Elan!$U$13:$X$25,Tablas!E1843)</f>
        <v>0</v>
      </c>
      <c r="K1843" s="593"/>
      <c r="L1843" s="5989" t="str">
        <f>"El PJ puede anular, automáticamente, una cantidad de negativos a la acción de -"&amp;FLOOR(F1838/2,1)&amp;"."</f>
        <v>El PJ puede anular, automáticamente, una cantidad de negativos a la acción de -0.</v>
      </c>
      <c r="M1843" s="5989"/>
      <c r="N1843" s="5989"/>
      <c r="O1843" s="5989"/>
      <c r="P1843" s="5989"/>
      <c r="Q1843" s="5990"/>
      <c r="R1843" s="972">
        <f>IF(OR($J1843=0,$J1843="Aprendida"),0,SUM($J$1772:$J1843))</f>
        <v>0</v>
      </c>
      <c r="T1843" s="1092" t="s">
        <v>6757</v>
      </c>
      <c r="U1843" s="1093">
        <v>5</v>
      </c>
      <c r="V1843" s="1094"/>
      <c r="W1843" s="1093"/>
      <c r="X1843" s="1093"/>
      <c r="Y1843" s="1281"/>
    </row>
    <row r="1844" spans="1:25" ht="12.75" customHeight="1" x14ac:dyDescent="0.2">
      <c r="A1844" s="227">
        <v>1844</v>
      </c>
      <c r="B1844" s="5988"/>
      <c r="E1844" s="969" t="s">
        <v>6478</v>
      </c>
      <c r="F1844" s="593"/>
      <c r="G1844" s="593">
        <v>50</v>
      </c>
      <c r="H1844" s="593">
        <v>1</v>
      </c>
      <c r="I1844" s="593">
        <v>15</v>
      </c>
      <c r="J1844" s="593">
        <f>COUNTIF(Elan!$C$13:$F$25,Tablas!E1844)+COUNTIF(Elan!$U$13:$X$25,Tablas!E1844)</f>
        <v>0</v>
      </c>
      <c r="K1844" s="593"/>
      <c r="L1844" s="5989" t="str">
        <f>"El PJ obtiene "&amp;F1838*2&amp;"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44" s="5989"/>
      <c r="N1844" s="5989"/>
      <c r="O1844" s="5989"/>
      <c r="P1844" s="5989"/>
      <c r="Q1844" s="5990"/>
      <c r="R1844" s="972">
        <f>IF(OR($J1844=0,$J1844="Aprendida"),0,SUM($J$1772:$J1844))</f>
        <v>0</v>
      </c>
      <c r="T1844" s="1090" t="str">
        <f>E1890</f>
        <v>Abbadon</v>
      </c>
      <c r="U1844" s="1091"/>
      <c r="V1844" s="1097"/>
      <c r="W1844" s="1091"/>
      <c r="X1844" s="1091"/>
      <c r="Y1844" s="1280"/>
    </row>
    <row r="1845" spans="1:25" ht="12.75" customHeight="1" x14ac:dyDescent="0.2">
      <c r="A1845" s="227">
        <v>1845</v>
      </c>
      <c r="B1845" s="5988"/>
      <c r="E1845" s="969" t="s">
        <v>6479</v>
      </c>
      <c r="F1845" s="593"/>
      <c r="G1845" s="593">
        <v>60</v>
      </c>
      <c r="H1845" s="593">
        <v>1</v>
      </c>
      <c r="I1845" s="593">
        <v>10</v>
      </c>
      <c r="J1845" s="593">
        <f>COUNTIF(Elan!$C$13:$F$25,Tablas!E1845)+COUNTIF(Elan!$U$13:$X$25,Tablas!E1845)</f>
        <v>0</v>
      </c>
      <c r="K1845" s="593"/>
      <c r="L1845" s="5989" t="s">
        <v>6711</v>
      </c>
      <c r="M1845" s="5989"/>
      <c r="N1845" s="5989"/>
      <c r="O1845" s="5989"/>
      <c r="P1845" s="5989"/>
      <c r="Q1845" s="5990"/>
      <c r="R1845" s="972">
        <f>IF(OR($J1845=0,$J1845="Aprendida"),0,SUM($J$1772:$J1845))</f>
        <v>0</v>
      </c>
      <c r="T1845" s="1092" t="s">
        <v>6687</v>
      </c>
      <c r="U1845" s="1093">
        <v>1</v>
      </c>
      <c r="V1845" s="1094" t="s">
        <v>6762</v>
      </c>
      <c r="W1845" s="1093">
        <v>2</v>
      </c>
      <c r="X1845" s="1093" t="s">
        <v>6763</v>
      </c>
      <c r="Y1845" s="1281">
        <v>-1</v>
      </c>
    </row>
    <row r="1846" spans="1:25" ht="12.75" customHeight="1" x14ac:dyDescent="0.2">
      <c r="A1846" s="227">
        <v>1846</v>
      </c>
      <c r="B1846" s="5988"/>
      <c r="E1846" s="969" t="s">
        <v>6480</v>
      </c>
      <c r="F1846" s="593"/>
      <c r="G1846" s="593">
        <v>70</v>
      </c>
      <c r="H1846" s="593">
        <v>1</v>
      </c>
      <c r="I1846" s="593">
        <v>15</v>
      </c>
      <c r="J1846" s="593">
        <f>COUNTIF(Elan!$C$13:$F$25,Tablas!E1846)+COUNTIF(Elan!$U$13:$X$25,Tablas!E1846)</f>
        <v>0</v>
      </c>
      <c r="K1846" s="593"/>
      <c r="L1846" s="5989" t="s">
        <v>6712</v>
      </c>
      <c r="M1846" s="5989"/>
      <c r="N1846" s="5989"/>
      <c r="O1846" s="5989"/>
      <c r="P1846" s="5989"/>
      <c r="Q1846" s="5990"/>
      <c r="R1846" s="972">
        <f>IF(OR($J1846=0,$J1846="Aprendida"),0,SUM($J$1772:$J1846))</f>
        <v>0</v>
      </c>
      <c r="T1846" s="1092" t="s">
        <v>6765</v>
      </c>
      <c r="U1846" s="1093">
        <v>4</v>
      </c>
      <c r="V1846" s="1094" t="s">
        <v>6766</v>
      </c>
      <c r="W1846" s="1093">
        <v>3</v>
      </c>
      <c r="X1846" s="1093" t="s">
        <v>6767</v>
      </c>
      <c r="Y1846" s="1281">
        <v>-6</v>
      </c>
    </row>
    <row r="1847" spans="1:25" ht="12.75" customHeight="1" x14ac:dyDescent="0.2">
      <c r="A1847" s="227">
        <v>1847</v>
      </c>
      <c r="B1847" s="5988"/>
      <c r="E1847" s="969" t="s">
        <v>6481</v>
      </c>
      <c r="F1847" s="593"/>
      <c r="G1847" s="593">
        <v>70</v>
      </c>
      <c r="H1847" s="593">
        <v>1</v>
      </c>
      <c r="I1847" s="593">
        <v>10</v>
      </c>
      <c r="J1847" s="593">
        <f>COUNTIF(Elan!$C$13:$F$25,Tablas!E1847)+COUNTIF(Elan!$U$13:$X$25,Tablas!E1847)</f>
        <v>0</v>
      </c>
      <c r="K1847" s="593"/>
      <c r="L1847" s="5989" t="str">
        <f>"En un radio de "&amp;F1838&amp;" metros todos los subordinados al PJ reciben un bono de +10 a su ataque y defensa, siempre que no superen al PJ."</f>
        <v>En un radio de 0 metros todos los subordinados al PJ reciben un bono de +10 a su ataque y defensa, siempre que no superen al PJ.</v>
      </c>
      <c r="M1847" s="5989"/>
      <c r="N1847" s="5989"/>
      <c r="O1847" s="5989"/>
      <c r="P1847" s="5989"/>
      <c r="Q1847" s="5990"/>
      <c r="R1847" s="972">
        <f>IF(OR($J1847=0,$J1847="Aprendida"),0,SUM($J$1772:$J1847))</f>
        <v>0</v>
      </c>
      <c r="T1847" s="1092" t="s">
        <v>6768</v>
      </c>
      <c r="U1847" s="1093">
        <v>3</v>
      </c>
      <c r="V1847" s="1094"/>
      <c r="W1847" s="1093"/>
      <c r="X1847" s="1093"/>
      <c r="Y1847" s="1281"/>
    </row>
    <row r="1848" spans="1:25" ht="12.75" customHeight="1" x14ac:dyDescent="0.2">
      <c r="A1848" s="227">
        <v>1848</v>
      </c>
      <c r="B1848" s="5988"/>
      <c r="E1848" s="969" t="s">
        <v>6482</v>
      </c>
      <c r="F1848" s="593"/>
      <c r="G1848" s="593">
        <v>80</v>
      </c>
      <c r="H1848" s="593">
        <f>IF(J1842,1,0)</f>
        <v>0</v>
      </c>
      <c r="I1848" s="593">
        <v>20</v>
      </c>
      <c r="J1848" s="593">
        <f>COUNTIF(Elan!$C$13:$F$25,Tablas!E1848)+COUNTIF(Elan!$U$13:$X$25,Tablas!E1848)</f>
        <v>0</v>
      </c>
      <c r="K1848" s="593"/>
      <c r="L1848" s="5989" t="str">
        <f>"El PJ obtiene armas naturales, un bono de +30 a toda acción así como un +3 a sus características y Zen durante "&amp;F1838&amp;"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8" s="5989"/>
      <c r="N1848" s="5989"/>
      <c r="O1848" s="5989"/>
      <c r="P1848" s="5989"/>
      <c r="Q1848" s="5990"/>
      <c r="R1848" s="972">
        <f>IF(OR($J1848=0,$J1848="Aprendida"),0,SUM($J$1772:$J1848))</f>
        <v>0</v>
      </c>
      <c r="T1848" s="1092" t="s">
        <v>6770</v>
      </c>
      <c r="U1848" s="1093">
        <v>2</v>
      </c>
      <c r="V1848" s="1094"/>
      <c r="W1848" s="1093"/>
      <c r="X1848" s="1093"/>
      <c r="Y1848" s="1281"/>
    </row>
    <row r="1849" spans="1:25" ht="12.75" customHeight="1" x14ac:dyDescent="0.2">
      <c r="A1849" s="227">
        <v>1849</v>
      </c>
      <c r="B1849" s="5988"/>
      <c r="E1849" s="969" t="s">
        <v>6483</v>
      </c>
      <c r="F1849" s="593"/>
      <c r="G1849" s="593">
        <v>90</v>
      </c>
      <c r="H1849" s="593">
        <v>1</v>
      </c>
      <c r="I1849" s="593">
        <v>15</v>
      </c>
      <c r="J1849" s="593">
        <f>COUNTIF(Elan!$C$13:$F$25,Tablas!E1849)+COUNTIF(Elan!$U$13:$X$25,Tablas!E1849)</f>
        <v>0</v>
      </c>
      <c r="K1849" s="593"/>
      <c r="L1849" s="5989" t="s">
        <v>6713</v>
      </c>
      <c r="M1849" s="5989"/>
      <c r="N1849" s="5989"/>
      <c r="O1849" s="5989"/>
      <c r="P1849" s="5989"/>
      <c r="Q1849" s="5990"/>
      <c r="R1849" s="972">
        <f>IF(OR($J1849=0,$J1849="Aprendida"),0,SUM($J$1772:$J1849))</f>
        <v>0</v>
      </c>
      <c r="T1849" s="1092" t="s">
        <v>6771</v>
      </c>
      <c r="U1849" s="1093">
        <v>2</v>
      </c>
      <c r="V1849" s="1094"/>
      <c r="W1849" s="1093"/>
      <c r="X1849" s="1093"/>
      <c r="Y1849" s="1281"/>
    </row>
    <row r="1850" spans="1:25" ht="12.75" customHeight="1" x14ac:dyDescent="0.2">
      <c r="A1850" s="227">
        <v>1850</v>
      </c>
      <c r="B1850" s="5988"/>
      <c r="E1850" s="969" t="s">
        <v>6484</v>
      </c>
      <c r="F1850" s="593"/>
      <c r="G1850" s="593">
        <v>100</v>
      </c>
      <c r="H1850" s="593">
        <v>1</v>
      </c>
      <c r="I1850" s="593">
        <v>10</v>
      </c>
      <c r="J1850" s="593">
        <f>COUNTIF(Elan!$C$13:$F$25,Tablas!E1850)+COUNTIF(Elan!$U$13:$X$25,Tablas!E1850)</f>
        <v>0</v>
      </c>
      <c r="K1850" s="593"/>
      <c r="L1850" s="5989" t="s">
        <v>6714</v>
      </c>
      <c r="M1850" s="5989"/>
      <c r="N1850" s="5989"/>
      <c r="O1850" s="5989"/>
      <c r="P1850" s="5989"/>
      <c r="Q1850" s="5990"/>
      <c r="R1850" s="972">
        <f>IF(OR($J1850=0,$J1850="Aprendida"),0,SUM($J$1772:$J1850))</f>
        <v>0</v>
      </c>
      <c r="T1850" s="1095"/>
      <c r="U1850" s="1096"/>
      <c r="V1850" s="1096"/>
      <c r="W1850" s="1096"/>
      <c r="X1850" s="1096"/>
      <c r="Y1850" s="1282"/>
    </row>
    <row r="1851" spans="1:25" ht="12.75" customHeight="1" x14ac:dyDescent="0.2">
      <c r="A1851" s="227">
        <v>1851</v>
      </c>
      <c r="B1851" s="5988"/>
      <c r="E1851" s="968" t="s">
        <v>6410</v>
      </c>
      <c r="F1851" s="1383">
        <f>IF(Elan!$C$11=Tablas!$E1851,Elan!$G$11,IF(Elan!$U$11=Tablas!$E1851,Elan!$Y$11,0))</f>
        <v>0</v>
      </c>
      <c r="G1851" s="961" t="s">
        <v>1820</v>
      </c>
      <c r="H1851" s="961" t="s">
        <v>8309</v>
      </c>
      <c r="I1851" s="961" t="s">
        <v>1490</v>
      </c>
      <c r="J1851" s="961" t="s">
        <v>6418</v>
      </c>
      <c r="K1851" s="961" t="s">
        <v>7078</v>
      </c>
      <c r="L1851" s="961" t="s">
        <v>1549</v>
      </c>
      <c r="M1851" s="594"/>
      <c r="N1851" s="594"/>
      <c r="O1851" s="594"/>
      <c r="P1851" s="594"/>
      <c r="Q1851" s="966"/>
      <c r="R1851" s="972">
        <f>IF(OR($J1851=0,$J1851="Aprendida"),0,SUM($J$1772:$J1851))</f>
        <v>0</v>
      </c>
      <c r="T1851" s="1095"/>
      <c r="U1851" s="1096"/>
      <c r="V1851" s="1096"/>
      <c r="W1851" s="1096"/>
      <c r="X1851" s="1096"/>
      <c r="Y1851" s="1282"/>
    </row>
    <row r="1852" spans="1:25" ht="12.75" customHeight="1" x14ac:dyDescent="0.2">
      <c r="A1852" s="227">
        <v>1852</v>
      </c>
      <c r="B1852" s="5988"/>
      <c r="E1852" s="969" t="s">
        <v>6485</v>
      </c>
      <c r="F1852" s="593"/>
      <c r="G1852" s="593">
        <v>10</v>
      </c>
      <c r="H1852" s="593">
        <v>1</v>
      </c>
      <c r="I1852" s="593">
        <v>5</v>
      </c>
      <c r="J1852" s="593">
        <f>COUNTIF(Elan!$C$13:$F$25,Tablas!E1852)+COUNTIF(Elan!$U$13:$X$25,Tablas!E1852)</f>
        <v>0</v>
      </c>
      <c r="K1852" s="593">
        <f>F$1851*J1852</f>
        <v>0</v>
      </c>
      <c r="L1852" s="5989" t="str">
        <f>"Obtiene un bonificador especial a la habilidad secundaria Herbolaria de +"&amp;F1851&amp;"."</f>
        <v>Obtiene un bonificador especial a la habilidad secundaria Herbolaria de +0.</v>
      </c>
      <c r="M1852" s="5989"/>
      <c r="N1852" s="5989"/>
      <c r="O1852" s="5989"/>
      <c r="P1852" s="5989"/>
      <c r="Q1852" s="5990"/>
      <c r="R1852" s="972">
        <f>IF(OR($J1852=0,$J1852="Aprendida"),0,SUM($J$1772:$J1852))</f>
        <v>0</v>
      </c>
      <c r="T1852" s="1090" t="str">
        <f>E1902</f>
        <v>Barakiel</v>
      </c>
      <c r="U1852" s="1091"/>
      <c r="V1852" s="1097"/>
      <c r="W1852" s="1091"/>
      <c r="X1852" s="1091"/>
      <c r="Y1852" s="1280"/>
    </row>
    <row r="1853" spans="1:25" ht="12.75" customHeight="1" x14ac:dyDescent="0.2">
      <c r="A1853" s="227">
        <v>1853</v>
      </c>
      <c r="B1853" s="5988"/>
      <c r="E1853" s="969" t="s">
        <v>6486</v>
      </c>
      <c r="F1853" s="593"/>
      <c r="G1853" s="593">
        <v>20</v>
      </c>
      <c r="H1853" s="593">
        <v>1</v>
      </c>
      <c r="I1853" s="593">
        <v>5</v>
      </c>
      <c r="J1853" s="593">
        <f>COUNTIF(Elan!$C$13:$F$25,Tablas!E1853)+COUNTIF(Elan!$U$13:$X$25,Tablas!E1853)</f>
        <v>0</v>
      </c>
      <c r="K1853" s="593">
        <f>F$1851*J1853</f>
        <v>0</v>
      </c>
      <c r="L1853" s="5989" t="str">
        <f>"Obtiene un bonificador especial a la habilidad secundaria Animales de +"&amp;F1851&amp;"."</f>
        <v>Obtiene un bonificador especial a la habilidad secundaria Animales de +0.</v>
      </c>
      <c r="M1853" s="5989"/>
      <c r="N1853" s="5989"/>
      <c r="O1853" s="5989"/>
      <c r="P1853" s="5989"/>
      <c r="Q1853" s="5990"/>
      <c r="R1853" s="972">
        <f>IF(OR($J1853=0,$J1853="Aprendida"),0,SUM($J$1772:$J1853))</f>
        <v>0</v>
      </c>
      <c r="T1853" s="1092" t="s">
        <v>6775</v>
      </c>
      <c r="U1853" s="1093">
        <v>1</v>
      </c>
      <c r="V1853" s="1094" t="s">
        <v>6776</v>
      </c>
      <c r="W1853" s="1093">
        <v>2</v>
      </c>
      <c r="X1853" s="1093" t="s">
        <v>6777</v>
      </c>
      <c r="Y1853" s="1281">
        <v>-2</v>
      </c>
    </row>
    <row r="1854" spans="1:25" ht="12.75" customHeight="1" x14ac:dyDescent="0.2">
      <c r="A1854" s="227">
        <v>1854</v>
      </c>
      <c r="B1854" s="5988"/>
      <c r="E1854" s="969" t="s">
        <v>6487</v>
      </c>
      <c r="F1854" s="593"/>
      <c r="G1854" s="593">
        <v>20</v>
      </c>
      <c r="H1854" s="593">
        <v>1</v>
      </c>
      <c r="I1854" s="593">
        <v>10</v>
      </c>
      <c r="J1854" s="593">
        <f>COUNTIF(Elan!$C$13:$F$25,Tablas!E1854)+COUNTIF(Elan!$U$13:$X$25,Tablas!E1854)</f>
        <v>0</v>
      </c>
      <c r="K1854" s="593"/>
      <c r="L1854" s="5989" t="str">
        <f>"Puede curar una cantidad de "&amp;F1851&amp;" PVs, a ritmo de 5 PV por asalto. Contra seres no muertos, estos deben superar una RM contra "&amp;F1851*2&amp;" o recibir un daño equivalente al nivel de fracaso."</f>
        <v>Puede curar una cantidad de 0 PVs, a ritmo de 5 PV por asalto. Contra seres no muertos, estos deben superar una RM contra 0 o recibir un daño equivalente al nivel de fracaso.</v>
      </c>
      <c r="M1854" s="5989"/>
      <c r="N1854" s="5989"/>
      <c r="O1854" s="5989"/>
      <c r="P1854" s="5989"/>
      <c r="Q1854" s="5990"/>
      <c r="R1854" s="972">
        <f>IF(OR($J1854=0,$J1854="Aprendida"),0,SUM($J$1772:$J1854))</f>
        <v>0</v>
      </c>
      <c r="T1854" s="1092" t="s">
        <v>6779</v>
      </c>
      <c r="U1854" s="1093">
        <v>2</v>
      </c>
      <c r="V1854" s="1094" t="s">
        <v>6780</v>
      </c>
      <c r="W1854" s="1093">
        <v>3</v>
      </c>
      <c r="X1854" s="1093" t="s">
        <v>6781</v>
      </c>
      <c r="Y1854" s="1281">
        <v>-2</v>
      </c>
    </row>
    <row r="1855" spans="1:25" ht="12.75" customHeight="1" x14ac:dyDescent="0.2">
      <c r="A1855" s="227">
        <v>1855</v>
      </c>
      <c r="B1855" s="5988"/>
      <c r="E1855" s="969" t="s">
        <v>6488</v>
      </c>
      <c r="F1855" s="593"/>
      <c r="G1855" s="593">
        <v>30</v>
      </c>
      <c r="H1855" s="593">
        <v>1</v>
      </c>
      <c r="I1855" s="593">
        <v>5</v>
      </c>
      <c r="J1855" s="593">
        <f>COUNTIF(Elan!$C$13:$F$25,Tablas!E1855)+COUNTIF(Elan!$U$13:$X$25,Tablas!E1855)</f>
        <v>0</v>
      </c>
      <c r="K1855" s="593"/>
      <c r="L1855" s="5989" t="s">
        <v>6723</v>
      </c>
      <c r="M1855" s="5989"/>
      <c r="N1855" s="5989"/>
      <c r="O1855" s="5989"/>
      <c r="P1855" s="5989"/>
      <c r="Q1855" s="5990"/>
      <c r="R1855" s="972">
        <f>IF(OR($J1855=0,$J1855="Aprendida"),0,SUM($J$1772:$J1855))</f>
        <v>0</v>
      </c>
      <c r="T1855" s="1092" t="s">
        <v>6782</v>
      </c>
      <c r="U1855" s="1093">
        <v>2</v>
      </c>
      <c r="V1855" s="1094" t="s">
        <v>6783</v>
      </c>
      <c r="W1855" s="1093">
        <v>1</v>
      </c>
      <c r="X1855" s="1093" t="s">
        <v>6784</v>
      </c>
      <c r="Y1855" s="1281">
        <v>-5</v>
      </c>
    </row>
    <row r="1856" spans="1:25" ht="12.75" customHeight="1" x14ac:dyDescent="0.2">
      <c r="A1856" s="227">
        <v>1856</v>
      </c>
      <c r="B1856" s="5988"/>
      <c r="E1856" s="969" t="s">
        <v>6489</v>
      </c>
      <c r="F1856" s="593"/>
      <c r="G1856" s="593">
        <v>40</v>
      </c>
      <c r="H1856" s="593">
        <v>1</v>
      </c>
      <c r="I1856" s="593">
        <v>10</v>
      </c>
      <c r="J1856" s="593">
        <f>COUNTIF(Elan!$C$13:$F$25,Tablas!E1856)+COUNTIF(Elan!$U$13:$X$25,Tablas!E1856)</f>
        <v>0</v>
      </c>
      <c r="K1856" s="593"/>
      <c r="L1856" s="5989" t="str">
        <f>"Permite extripar cualquier veneno de nivel igual o inferior a "&amp;F1851&amp;"."</f>
        <v>Permite extripar cualquier veneno de nivel igual o inferior a 0.</v>
      </c>
      <c r="M1856" s="5989"/>
      <c r="N1856" s="5989"/>
      <c r="O1856" s="5989"/>
      <c r="P1856" s="5989"/>
      <c r="Q1856" s="5990"/>
      <c r="R1856" s="972">
        <f>IF(OR($J1856=0,$J1856="Aprendida"),0,SUM($J$1772:$J1856))</f>
        <v>0</v>
      </c>
      <c r="T1856" s="1092" t="s">
        <v>6786</v>
      </c>
      <c r="U1856" s="1093">
        <v>3</v>
      </c>
      <c r="V1856" s="1094"/>
      <c r="W1856" s="1093"/>
      <c r="X1856" s="1093" t="s">
        <v>6787</v>
      </c>
      <c r="Y1856" s="1281">
        <v>-10</v>
      </c>
    </row>
    <row r="1857" spans="1:25" ht="12.75" customHeight="1" x14ac:dyDescent="0.2">
      <c r="A1857" s="227">
        <v>1857</v>
      </c>
      <c r="B1857" s="5988"/>
      <c r="E1857" s="969" t="s">
        <v>6490</v>
      </c>
      <c r="F1857" s="593"/>
      <c r="G1857" s="593">
        <v>50</v>
      </c>
      <c r="H1857" s="593">
        <v>1</v>
      </c>
      <c r="I1857" s="593">
        <v>20</v>
      </c>
      <c r="J1857" s="593">
        <f>COUNTIF(Elan!$C$13:$F$25,Tablas!E1857)+COUNTIF(Elan!$U$13:$X$25,Tablas!E1857)</f>
        <v>0</v>
      </c>
      <c r="K1857" s="593"/>
      <c r="L1857" s="5989" t="s">
        <v>10383</v>
      </c>
      <c r="M1857" s="5989"/>
      <c r="N1857" s="5989"/>
      <c r="O1857" s="5989"/>
      <c r="P1857" s="5989"/>
      <c r="Q1857" s="5990"/>
      <c r="R1857" s="972">
        <f>IF(OR($J1857=0,$J1857="Aprendida"),0,SUM($J$1772:$J1857))</f>
        <v>0</v>
      </c>
      <c r="T1857" s="1092" t="s">
        <v>6789</v>
      </c>
      <c r="U1857" s="1093">
        <v>5</v>
      </c>
      <c r="V1857" s="1094"/>
      <c r="W1857" s="1093"/>
      <c r="X1857" s="1093"/>
      <c r="Y1857" s="1281"/>
    </row>
    <row r="1858" spans="1:25" ht="12.75" customHeight="1" x14ac:dyDescent="0.2">
      <c r="A1858" s="227">
        <v>1858</v>
      </c>
      <c r="B1858" s="5988"/>
      <c r="E1858" s="969" t="s">
        <v>6491</v>
      </c>
      <c r="F1858" s="593"/>
      <c r="G1858" s="593">
        <v>50</v>
      </c>
      <c r="H1858" s="593">
        <f>IF(J1854,1,0)</f>
        <v>0</v>
      </c>
      <c r="I1858" s="593">
        <v>15</v>
      </c>
      <c r="J1858" s="593">
        <f>COUNTIF(Elan!$C$13:$F$25,Tablas!E1858)+COUNTIF(Elan!$U$13:$X$25,Tablas!E1858)</f>
        <v>0</v>
      </c>
      <c r="K1858" s="593"/>
      <c r="L1858" s="5989" t="str">
        <f>"Puede curar una cantidad de "&amp;F1851*10&amp;" PV al día, a ritmo de 5 PV por asalto. Contra seres no muertos, estos deben superar una RM contra "&amp;F1851*2&amp;" o recibir un daño equivalente al nivel de fracaso."</f>
        <v>Puede curar una cantidad de 0 PV al día, a ritmo de 5 PV por asalto. Contra seres no muertos, estos deben superar una RM contra 0 o recibir un daño equivalente al nivel de fracaso.</v>
      </c>
      <c r="M1858" s="5989"/>
      <c r="N1858" s="5989"/>
      <c r="O1858" s="5989"/>
      <c r="P1858" s="5989"/>
      <c r="Q1858" s="5990"/>
      <c r="R1858" s="972">
        <f>IF(OR($J1858=0,$J1858="Aprendida"),0,SUM($J$1772:$J1858))</f>
        <v>0</v>
      </c>
      <c r="T1858" s="1092" t="s">
        <v>6791</v>
      </c>
      <c r="U1858" s="1093">
        <v>2</v>
      </c>
      <c r="V1858" s="1094"/>
      <c r="W1858" s="1093"/>
      <c r="X1858" s="1093"/>
      <c r="Y1858" s="1281"/>
    </row>
    <row r="1859" spans="1:25" ht="12.75" customHeight="1" x14ac:dyDescent="0.2">
      <c r="A1859" s="227">
        <v>1859</v>
      </c>
      <c r="B1859" s="5988"/>
      <c r="E1859" s="969" t="s">
        <v>6492</v>
      </c>
      <c r="F1859" s="593"/>
      <c r="G1859" s="593">
        <v>60</v>
      </c>
      <c r="H1859" s="593">
        <v>1</v>
      </c>
      <c r="I1859" s="593">
        <v>10</v>
      </c>
      <c r="J1859" s="593">
        <f>COUNTIF(Elan!$C$13:$F$25,Tablas!E1859)+COUNTIF(Elan!$U$13:$X$25,Tablas!E1859)</f>
        <v>0</v>
      </c>
      <c r="K1859" s="593"/>
      <c r="L1859" s="5989" t="str">
        <f>"El PJ puede unir sus sentidos con un animal, obteniendo la capacidad de ver y oír a través de él. Este poder puede usarse "&amp;FLOOR(F1851/10,1)&amp;" veces al día."</f>
        <v>El PJ puede unir sus sentidos con un animal, obteniendo la capacidad de ver y oír a través de él. Este poder puede usarse 0 veces al día.</v>
      </c>
      <c r="M1859" s="5989"/>
      <c r="N1859" s="5989"/>
      <c r="O1859" s="5989"/>
      <c r="P1859" s="5989"/>
      <c r="Q1859" s="5990"/>
      <c r="R1859" s="972">
        <f>IF(OR($J1859=0,$J1859="Aprendida"),0,SUM($J$1772:$J1859))</f>
        <v>0</v>
      </c>
      <c r="T1859" s="1095"/>
      <c r="U1859" s="1096"/>
      <c r="V1859" s="1096"/>
      <c r="W1859" s="1096"/>
      <c r="X1859" s="1096"/>
      <c r="Y1859" s="1282"/>
    </row>
    <row r="1860" spans="1:25" ht="12.75" customHeight="1" x14ac:dyDescent="0.2">
      <c r="A1860" s="227">
        <v>1860</v>
      </c>
      <c r="B1860" s="5988"/>
      <c r="E1860" s="969" t="s">
        <v>6493</v>
      </c>
      <c r="F1860" s="593"/>
      <c r="G1860" s="593">
        <v>60</v>
      </c>
      <c r="H1860" s="593">
        <v>1</v>
      </c>
      <c r="I1860" s="593">
        <v>10</v>
      </c>
      <c r="J1860" s="593">
        <f>COUNTIF(Elan!$C$13:$F$25,Tablas!E1860)+COUNTIF(Elan!$U$13:$X$25,Tablas!E1860)</f>
        <v>0</v>
      </c>
      <c r="K1860" s="593"/>
      <c r="L1860" s="5989" t="str">
        <f>"El PJ puede invocar una vez al día hasta "&amp;F1851&amp;" seres si son pequeños, o "&amp;FLOOR(F1851/5,1)&amp;" si son grandes. Sólo es posible invocar animales de una determinada especie."</f>
        <v>El PJ puede invocar una vez al día hasta 0 seres si son pequeños, o 0 si son grandes. Sólo es posible invocar animales de una determinada especie.</v>
      </c>
      <c r="M1860" s="5989"/>
      <c r="N1860" s="5989"/>
      <c r="O1860" s="5989"/>
      <c r="P1860" s="5989"/>
      <c r="Q1860" s="5990"/>
      <c r="R1860" s="972">
        <f>IF(OR($J1860=0,$J1860="Aprendida"),0,SUM($J$1772:$J1860))</f>
        <v>0</v>
      </c>
      <c r="T1860" s="1090" t="str">
        <f>E1916</f>
        <v>Eriol</v>
      </c>
      <c r="U1860" s="1091"/>
      <c r="V1860" s="1097"/>
      <c r="W1860" s="1091"/>
      <c r="X1860" s="1091"/>
      <c r="Y1860" s="1280"/>
    </row>
    <row r="1861" spans="1:25" ht="12.75" customHeight="1" x14ac:dyDescent="0.2">
      <c r="A1861" s="227">
        <v>1861</v>
      </c>
      <c r="B1861" s="5988"/>
      <c r="E1861" s="969" t="s">
        <v>6494</v>
      </c>
      <c r="F1861" s="593"/>
      <c r="G1861" s="593">
        <v>70</v>
      </c>
      <c r="H1861" s="593">
        <v>1</v>
      </c>
      <c r="I1861" s="593">
        <v>10</v>
      </c>
      <c r="J1861" s="593">
        <f>COUNTIF(Elan!$C$13:$F$25,Tablas!E1861)+COUNTIF(Elan!$U$13:$X$25,Tablas!E1861)</f>
        <v>0</v>
      </c>
      <c r="K1861" s="593"/>
      <c r="L1861" s="5989" t="str">
        <f>"El PJ puede transformarse en un animal natural, obteniendo todas las características y habilidades físicas de este, si son mayores a las suyas. Puede elegir hasta "&amp;FLOOR(F1851/10,1)&amp;" especies distintas."</f>
        <v>El PJ puede transformarse en un animal natural, obteniendo todas las características y habilidades físicas de este, si son mayores a las suyas. Puede elegir hasta 0 especies distintas.</v>
      </c>
      <c r="M1861" s="5989"/>
      <c r="N1861" s="5989"/>
      <c r="O1861" s="5989"/>
      <c r="P1861" s="5989"/>
      <c r="Q1861" s="5990"/>
      <c r="R1861" s="972">
        <f>IF(OR($J1861=0,$J1861="Aprendida"),0,SUM($J$1772:$J1861))</f>
        <v>0</v>
      </c>
      <c r="T1861" s="1092" t="s">
        <v>6798</v>
      </c>
      <c r="U1861" s="1093">
        <v>2</v>
      </c>
      <c r="V1861" s="1094" t="s">
        <v>6799</v>
      </c>
      <c r="W1861" s="1093">
        <v>2</v>
      </c>
      <c r="X1861" s="1093" t="s">
        <v>6800</v>
      </c>
      <c r="Y1861" s="1281">
        <v>-2</v>
      </c>
    </row>
    <row r="1862" spans="1:25" ht="12.75" customHeight="1" x14ac:dyDescent="0.2">
      <c r="A1862" s="227">
        <v>1862</v>
      </c>
      <c r="B1862" s="5988"/>
      <c r="E1862" s="969" t="s">
        <v>6495</v>
      </c>
      <c r="F1862" s="593"/>
      <c r="G1862" s="593">
        <v>80</v>
      </c>
      <c r="H1862" s="593">
        <f>IF(J1861,1,0)</f>
        <v>0</v>
      </c>
      <c r="I1862" s="593">
        <v>10</v>
      </c>
      <c r="J1862" s="593">
        <f>COUNTIF(Elan!$C$13:$F$25,Tablas!E1862)+COUNTIF(Elan!$U$13:$X$25,Tablas!E1862)</f>
        <v>0</v>
      </c>
      <c r="K1862" s="593"/>
      <c r="L1862" s="5989" t="str">
        <f>"El PJ puede elegir invocar "&amp;FLOOR(F1851/5,1)&amp;" razas adicionales o, en su defecto, multiplicar por diez el número de la especie por la que optó originariamente."</f>
        <v>El PJ puede elegir invocar 0 razas adicionales o, en su defecto, multiplicar por diez el número de la especie por la que optó originariamente.</v>
      </c>
      <c r="M1862" s="5989"/>
      <c r="N1862" s="5989"/>
      <c r="O1862" s="5989"/>
      <c r="P1862" s="5989"/>
      <c r="Q1862" s="5990"/>
      <c r="R1862" s="972">
        <f>IF(OR($J1862=0,$J1862="Aprendida"),0,SUM($J$1772:$J1862))</f>
        <v>0</v>
      </c>
      <c r="T1862" s="1092" t="s">
        <v>6801</v>
      </c>
      <c r="U1862" s="1093">
        <v>2</v>
      </c>
      <c r="V1862" s="1094" t="s">
        <v>6802</v>
      </c>
      <c r="W1862" s="1093">
        <v>2</v>
      </c>
      <c r="X1862" s="1093" t="s">
        <v>6803</v>
      </c>
      <c r="Y1862" s="1281">
        <v>-3</v>
      </c>
    </row>
    <row r="1863" spans="1:25" ht="12.75" customHeight="1" x14ac:dyDescent="0.2">
      <c r="A1863" s="227">
        <v>1863</v>
      </c>
      <c r="B1863" s="5988"/>
      <c r="E1863" s="969" t="s">
        <v>6496</v>
      </c>
      <c r="F1863" s="593"/>
      <c r="G1863" s="593">
        <v>90</v>
      </c>
      <c r="H1863" s="593">
        <f>IF(J1858,1,0)</f>
        <v>0</v>
      </c>
      <c r="I1863" s="593">
        <v>20</v>
      </c>
      <c r="J1863" s="593">
        <f>COUNTIF(Elan!$C$13:$F$25,Tablas!E1863)+COUNTIF(Elan!$U$13:$X$25,Tablas!E1863)</f>
        <v>0</v>
      </c>
      <c r="K1863" s="593"/>
      <c r="L1863" s="5989" t="str">
        <f>"Puede curar una cantidad de PV ilimitada al día, a ritmo de 5 PV por asalto. Contra seres no muertos, estos deben superar una RM contra "&amp;F1851*2&amp;" o recibir un daño equivalente al nivel de fracaso."</f>
        <v>Puede curar una cantidad de PV ilimitada al día, a ritmo de 5 PV por asalto. Contra seres no muertos, estos deben superar una RM contra 0 o recibir un daño equivalente al nivel de fracaso.</v>
      </c>
      <c r="M1863" s="5989"/>
      <c r="N1863" s="5989"/>
      <c r="O1863" s="5989"/>
      <c r="P1863" s="5989"/>
      <c r="Q1863" s="5990"/>
      <c r="R1863" s="972">
        <f>IF(OR($J1863=0,$J1863="Aprendida"),0,SUM($J$1772:$J1863))</f>
        <v>0</v>
      </c>
      <c r="T1863" s="1092" t="s">
        <v>6805</v>
      </c>
      <c r="U1863" s="1093">
        <v>5</v>
      </c>
      <c r="V1863" s="1094" t="s">
        <v>6806</v>
      </c>
      <c r="W1863" s="1093">
        <v>1</v>
      </c>
      <c r="X1863" s="1093" t="s">
        <v>6807</v>
      </c>
      <c r="Y1863" s="1281">
        <v>-2</v>
      </c>
    </row>
    <row r="1864" spans="1:25" ht="12.75" customHeight="1" x14ac:dyDescent="0.2">
      <c r="A1864" s="227">
        <v>1864</v>
      </c>
      <c r="B1864" s="5988"/>
      <c r="E1864" s="969" t="s">
        <v>6497</v>
      </c>
      <c r="F1864" s="593"/>
      <c r="G1864" s="593">
        <v>100</v>
      </c>
      <c r="H1864" s="593">
        <v>1</v>
      </c>
      <c r="I1864" s="593">
        <v>10</v>
      </c>
      <c r="J1864" s="593">
        <f>COUNTIF(Elan!$C$13:$F$25,Tablas!E1864)+COUNTIF(Elan!$U$13:$X$25,Tablas!E1864)</f>
        <v>0</v>
      </c>
      <c r="K1864" s="593"/>
      <c r="L1864" s="5989" t="s">
        <v>10382</v>
      </c>
      <c r="M1864" s="5989"/>
      <c r="N1864" s="5989"/>
      <c r="O1864" s="5989"/>
      <c r="P1864" s="5989"/>
      <c r="Q1864" s="5990"/>
      <c r="R1864" s="972">
        <f>IF(OR($J1864=0,$J1864="Aprendida"),0,SUM($J$1772:$J1864))</f>
        <v>0</v>
      </c>
      <c r="T1864" s="1092" t="s">
        <v>6808</v>
      </c>
      <c r="U1864" s="1093">
        <v>1</v>
      </c>
      <c r="V1864" s="1094"/>
      <c r="W1864" s="1093"/>
      <c r="X1864" s="1093"/>
      <c r="Y1864" s="1281"/>
    </row>
    <row r="1865" spans="1:25" ht="12.75" customHeight="1" x14ac:dyDescent="0.2">
      <c r="A1865" s="227">
        <v>1865</v>
      </c>
      <c r="B1865" s="5988"/>
      <c r="E1865" s="968" t="s">
        <v>6411</v>
      </c>
      <c r="F1865" s="1383">
        <f>IF(Elan!$C$11=Tablas!$E1865,Elan!$G$11,IF(Elan!$U$11=Tablas!$E1865,Elan!$Y$11,0))</f>
        <v>0</v>
      </c>
      <c r="G1865" s="961" t="s">
        <v>1820</v>
      </c>
      <c r="H1865" s="961" t="s">
        <v>8309</v>
      </c>
      <c r="I1865" s="961" t="s">
        <v>1490</v>
      </c>
      <c r="J1865" s="961" t="s">
        <v>6418</v>
      </c>
      <c r="K1865" s="961" t="s">
        <v>7078</v>
      </c>
      <c r="L1865" s="961" t="s">
        <v>1549</v>
      </c>
      <c r="M1865" s="594"/>
      <c r="N1865" s="594"/>
      <c r="O1865" s="594"/>
      <c r="P1865" s="594"/>
      <c r="Q1865" s="966"/>
      <c r="R1865" s="972">
        <f>IF(OR($J1865=0,$J1865="Aprendida"),0,SUM($J$1772:$J1865))</f>
        <v>0</v>
      </c>
      <c r="T1865" s="1092" t="s">
        <v>6809</v>
      </c>
      <c r="U1865" s="1093">
        <v>2</v>
      </c>
      <c r="V1865" s="1094"/>
      <c r="W1865" s="1093"/>
      <c r="X1865" s="1093"/>
      <c r="Y1865" s="1281"/>
    </row>
    <row r="1866" spans="1:25" ht="12.75" customHeight="1" x14ac:dyDescent="0.2">
      <c r="A1866" s="227">
        <v>1866</v>
      </c>
      <c r="B1866" s="5988"/>
      <c r="E1866" s="969" t="s">
        <v>6498</v>
      </c>
      <c r="F1866" s="593"/>
      <c r="G1866" s="593">
        <v>10</v>
      </c>
      <c r="H1866" s="593">
        <v>1</v>
      </c>
      <c r="I1866" s="593">
        <v>5</v>
      </c>
      <c r="J1866" s="593">
        <f>COUNTIF(Elan!$C$13:$F$25,Tablas!E1866)+COUNTIF(Elan!$U$13:$X$25,Tablas!E1866)</f>
        <v>0</v>
      </c>
      <c r="K1866" s="593">
        <f>F$1865*J1866</f>
        <v>0</v>
      </c>
      <c r="L1866" s="5989" t="str">
        <f>"Obtiene un bonificador especial a la habilidad secundaria Ocultismo de +"&amp;K1866&amp;"."</f>
        <v>Obtiene un bonificador especial a la habilidad secundaria Ocultismo de +0.</v>
      </c>
      <c r="M1866" s="5989"/>
      <c r="N1866" s="5989"/>
      <c r="O1866" s="5989"/>
      <c r="P1866" s="5989"/>
      <c r="Q1866" s="5990"/>
      <c r="R1866" s="972">
        <f>IF(OR($J1866=0,$J1866="Aprendida"),0,SUM($J$1772:$J1866))</f>
        <v>0</v>
      </c>
      <c r="T1866" s="1095"/>
      <c r="U1866" s="1096"/>
      <c r="V1866" s="1096"/>
      <c r="W1866" s="1096"/>
      <c r="X1866" s="1096"/>
      <c r="Y1866" s="1282"/>
    </row>
    <row r="1867" spans="1:25" ht="12.75" customHeight="1" x14ac:dyDescent="0.2">
      <c r="A1867" s="227">
        <v>1867</v>
      </c>
      <c r="B1867" s="5988"/>
      <c r="E1867" s="969" t="s">
        <v>6499</v>
      </c>
      <c r="F1867" s="593"/>
      <c r="G1867" s="593">
        <v>20</v>
      </c>
      <c r="H1867" s="593">
        <v>1</v>
      </c>
      <c r="I1867" s="593">
        <v>5</v>
      </c>
      <c r="J1867" s="593">
        <f>COUNTIF(Elan!$C$13:$F$25,Tablas!E1867)+COUNTIF(Elan!$U$13:$X$25,Tablas!E1867)</f>
        <v>0</v>
      </c>
      <c r="K1867" s="593">
        <f>F$1865*J1867</f>
        <v>0</v>
      </c>
      <c r="L1867" s="5989" t="str">
        <f>"Obtiene un bonificador especial a la habilidad secundaria Intimidar de +"&amp;K1867&amp;"."</f>
        <v>Obtiene un bonificador especial a la habilidad secundaria Intimidar de +0.</v>
      </c>
      <c r="M1867" s="5989"/>
      <c r="N1867" s="5989"/>
      <c r="O1867" s="5989"/>
      <c r="P1867" s="5989"/>
      <c r="Q1867" s="5990"/>
      <c r="R1867" s="972">
        <f>IF(OR($J1867=0,$J1867="Aprendida"),0,SUM($J$1772:$J1867))</f>
        <v>0</v>
      </c>
      <c r="T1867" s="1095"/>
      <c r="U1867" s="1096"/>
      <c r="V1867" s="1096"/>
      <c r="W1867" s="1096"/>
      <c r="X1867" s="1096"/>
      <c r="Y1867" s="1282"/>
    </row>
    <row r="1868" spans="1:25" ht="12.75" customHeight="1" x14ac:dyDescent="0.2">
      <c r="A1868" s="227">
        <v>1868</v>
      </c>
      <c r="B1868" s="5988"/>
      <c r="E1868" s="969" t="s">
        <v>6500</v>
      </c>
      <c r="F1868" s="593"/>
      <c r="G1868" s="593">
        <v>30</v>
      </c>
      <c r="H1868" s="593">
        <v>1</v>
      </c>
      <c r="I1868" s="593">
        <v>5</v>
      </c>
      <c r="J1868" s="593">
        <f>COUNTIF(Elan!$C$13:$F$25,Tablas!E1868)+COUNTIF(Elan!$U$13:$X$25,Tablas!E1868)</f>
        <v>0</v>
      </c>
      <c r="K1868" s="593"/>
      <c r="L1868" s="5989" t="s">
        <v>6732</v>
      </c>
      <c r="M1868" s="5989"/>
      <c r="N1868" s="5989"/>
      <c r="O1868" s="5989"/>
      <c r="P1868" s="5989"/>
      <c r="Q1868" s="5990"/>
      <c r="R1868" s="972">
        <f>IF(OR($J1868=0,$J1868="Aprendida"),0,SUM($J$1772:$J1868))</f>
        <v>0</v>
      </c>
      <c r="T1868" s="1090" t="str">
        <f>E1928</f>
        <v>Edamiel</v>
      </c>
      <c r="U1868" s="1091"/>
      <c r="V1868" s="1097"/>
      <c r="W1868" s="1091"/>
      <c r="X1868" s="1091"/>
      <c r="Y1868" s="1280"/>
    </row>
    <row r="1869" spans="1:25" ht="12.75" customHeight="1" x14ac:dyDescent="0.2">
      <c r="A1869" s="227">
        <v>1869</v>
      </c>
      <c r="B1869" s="5988"/>
      <c r="E1869" s="969" t="s">
        <v>6501</v>
      </c>
      <c r="F1869" s="593"/>
      <c r="G1869" s="593">
        <v>40</v>
      </c>
      <c r="H1869" s="593">
        <v>1</v>
      </c>
      <c r="I1869" s="593">
        <v>10</v>
      </c>
      <c r="J1869" s="593">
        <f>COUNTIF(Elan!$C$13:$F$25,Tablas!E1869)+COUNTIF(Elan!$U$13:$X$25,Tablas!E1869)</f>
        <v>0</v>
      </c>
      <c r="K1869" s="593"/>
      <c r="L1869" s="5989" t="s">
        <v>6735</v>
      </c>
      <c r="M1869" s="5989"/>
      <c r="N1869" s="5989"/>
      <c r="O1869" s="5989"/>
      <c r="P1869" s="5989"/>
      <c r="Q1869" s="5990"/>
      <c r="R1869" s="972">
        <f>IF(OR($J1869=0,$J1869="Aprendida"),0,SUM($J$1772:$J1869))</f>
        <v>0</v>
      </c>
      <c r="T1869" s="1092" t="s">
        <v>6814</v>
      </c>
      <c r="U1869" s="1093">
        <v>3</v>
      </c>
      <c r="V1869" s="1094" t="s">
        <v>6815</v>
      </c>
      <c r="W1869" s="1093">
        <v>2</v>
      </c>
      <c r="X1869" s="1093" t="s">
        <v>6816</v>
      </c>
      <c r="Y1869" s="1281">
        <v>-2</v>
      </c>
    </row>
    <row r="1870" spans="1:25" ht="12.75" customHeight="1" x14ac:dyDescent="0.2">
      <c r="A1870" s="227">
        <v>1870</v>
      </c>
      <c r="B1870" s="5988"/>
      <c r="E1870" s="969" t="s">
        <v>6502</v>
      </c>
      <c r="F1870" s="593"/>
      <c r="G1870" s="593">
        <v>50</v>
      </c>
      <c r="H1870" s="593">
        <v>1</v>
      </c>
      <c r="I1870" s="593">
        <v>15</v>
      </c>
      <c r="J1870" s="593">
        <f>COUNTIF(Elan!$C$13:$F$25,Tablas!E1870)+COUNTIF(Elan!$U$13:$X$25,Tablas!E1870)</f>
        <v>0</v>
      </c>
      <c r="K1870" s="593"/>
      <c r="L1870" s="5989" t="str">
        <f>"Cada día el PJ dispondrá de "&amp;F1865*2&amp;" puntos de Zeon para lanzar cualquier hechizo de libre acceso que desee. El nivel máximo de los sortilegios es "&amp;F1865&amp;"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70" s="5989"/>
      <c r="N1870" s="5989"/>
      <c r="O1870" s="5989"/>
      <c r="P1870" s="5989"/>
      <c r="Q1870" s="5990"/>
      <c r="R1870" s="972">
        <f>IF(OR($J1870=0,$J1870="Aprendida"),0,SUM($J$1772:$J1870))</f>
        <v>0</v>
      </c>
      <c r="T1870" s="1092" t="s">
        <v>6818</v>
      </c>
      <c r="U1870" s="1093">
        <v>3</v>
      </c>
      <c r="V1870" s="1094" t="s">
        <v>6819</v>
      </c>
      <c r="W1870" s="1093">
        <v>3</v>
      </c>
      <c r="X1870" s="1093" t="s">
        <v>6820</v>
      </c>
      <c r="Y1870" s="1281">
        <v>-2</v>
      </c>
    </row>
    <row r="1871" spans="1:25" ht="12.75" customHeight="1" x14ac:dyDescent="0.2">
      <c r="A1871" s="227">
        <v>1871</v>
      </c>
      <c r="B1871" s="5988"/>
      <c r="E1871" s="969" t="s">
        <v>6503</v>
      </c>
      <c r="F1871" s="593"/>
      <c r="G1871" s="593">
        <v>60</v>
      </c>
      <c r="H1871" s="593">
        <v>1</v>
      </c>
      <c r="I1871" s="593">
        <v>10</v>
      </c>
      <c r="J1871" s="593">
        <f>COUNTIF(Elan!$C$13:$F$25,Tablas!E1871)+COUNTIF(Elan!$U$13:$X$25,Tablas!E1871)</f>
        <v>0</v>
      </c>
      <c r="K1871" s="593"/>
      <c r="L1871" s="5989" t="s">
        <v>10384</v>
      </c>
      <c r="M1871" s="5989"/>
      <c r="N1871" s="5989"/>
      <c r="O1871" s="5989"/>
      <c r="P1871" s="5989"/>
      <c r="Q1871" s="5990"/>
      <c r="R1871" s="972">
        <f>IF(OR($J1871=0,$J1871="Aprendida"),0,SUM($J$1772:$J1871))</f>
        <v>0</v>
      </c>
      <c r="T1871" s="1092" t="s">
        <v>6821</v>
      </c>
      <c r="U1871" s="1093">
        <v>2</v>
      </c>
      <c r="V1871" s="1094" t="s">
        <v>6822</v>
      </c>
      <c r="W1871" s="1093">
        <v>1</v>
      </c>
      <c r="X1871" s="1093"/>
      <c r="Y1871" s="1281"/>
    </row>
    <row r="1872" spans="1:25" ht="12.75" customHeight="1" x14ac:dyDescent="0.2">
      <c r="A1872" s="227">
        <v>1872</v>
      </c>
      <c r="B1872" s="5988"/>
      <c r="E1872" s="969" t="s">
        <v>6504</v>
      </c>
      <c r="F1872" s="593"/>
      <c r="G1872" s="593">
        <v>60</v>
      </c>
      <c r="H1872" s="593">
        <v>1</v>
      </c>
      <c r="I1872" s="593">
        <v>10</v>
      </c>
      <c r="J1872" s="593">
        <f>COUNTIF(Elan!$C$13:$F$25,Tablas!E1872)+COUNTIF(Elan!$U$13:$X$25,Tablas!E1872)</f>
        <v>0</v>
      </c>
      <c r="K1872" s="593"/>
      <c r="L1872" s="5989" t="s">
        <v>6739</v>
      </c>
      <c r="M1872" s="5989"/>
      <c r="N1872" s="5989"/>
      <c r="O1872" s="5989"/>
      <c r="P1872" s="5989"/>
      <c r="Q1872" s="5990"/>
      <c r="R1872" s="972">
        <f>IF(OR($J1872=0,$J1872="Aprendida"),0,SUM($J$1772:$J1872))</f>
        <v>0</v>
      </c>
      <c r="T1872" s="1092" t="s">
        <v>6824</v>
      </c>
      <c r="U1872" s="1093">
        <v>5</v>
      </c>
      <c r="V1872" s="1094" t="s">
        <v>6825</v>
      </c>
      <c r="W1872" s="1093">
        <v>4</v>
      </c>
      <c r="X1872" s="1093"/>
      <c r="Y1872" s="1281"/>
    </row>
    <row r="1873" spans="1:25" ht="12.75" customHeight="1" x14ac:dyDescent="0.2">
      <c r="A1873" s="227">
        <v>1873</v>
      </c>
      <c r="B1873" s="5988"/>
      <c r="E1873" s="969" t="s">
        <v>6505</v>
      </c>
      <c r="F1873" s="593"/>
      <c r="G1873" s="593">
        <v>70</v>
      </c>
      <c r="H1873" s="593">
        <v>1</v>
      </c>
      <c r="I1873" s="593">
        <v>20</v>
      </c>
      <c r="J1873" s="593">
        <f>COUNTIF(Elan!$C$13:$F$25,Tablas!E1873)+COUNTIF(Elan!$U$13:$X$25,Tablas!E1873)</f>
        <v>0</v>
      </c>
      <c r="K1873" s="593"/>
      <c r="L1873" s="5989" t="s">
        <v>10385</v>
      </c>
      <c r="M1873" s="5989"/>
      <c r="N1873" s="5989"/>
      <c r="O1873" s="5989"/>
      <c r="P1873" s="5989"/>
      <c r="Q1873" s="5990"/>
      <c r="R1873" s="972">
        <f>IF(OR($J1873=0,$J1873="Aprendida"),0,SUM($J$1772:$J1873))</f>
        <v>0</v>
      </c>
      <c r="T1873" s="1092" t="s">
        <v>6826</v>
      </c>
      <c r="U1873" s="1093">
        <v>4</v>
      </c>
      <c r="V1873" s="1094"/>
      <c r="W1873" s="1093"/>
      <c r="X1873" s="1093"/>
      <c r="Y1873" s="1281"/>
    </row>
    <row r="1874" spans="1:25" ht="12.75" customHeight="1" x14ac:dyDescent="0.2">
      <c r="A1874" s="227">
        <v>1874</v>
      </c>
      <c r="B1874" s="5988"/>
      <c r="E1874" s="969" t="s">
        <v>6506</v>
      </c>
      <c r="F1874" s="593"/>
      <c r="G1874" s="593">
        <v>80</v>
      </c>
      <c r="H1874" s="593">
        <v>1</v>
      </c>
      <c r="I1874" s="593">
        <v>15</v>
      </c>
      <c r="J1874" s="593">
        <f>COUNTIF(Elan!$C$13:$F$25,Tablas!E1874)+COUNTIF(Elan!$U$13:$X$25,Tablas!E1874)</f>
        <v>0</v>
      </c>
      <c r="K1874" s="593"/>
      <c r="L1874" s="5989" t="s">
        <v>6740</v>
      </c>
      <c r="M1874" s="5989"/>
      <c r="N1874" s="5989"/>
      <c r="O1874" s="5989"/>
      <c r="P1874" s="5989"/>
      <c r="Q1874" s="5990"/>
      <c r="R1874" s="972">
        <f>IF(OR($J1874=0,$J1874="Aprendida"),0,SUM($J$1772:$J1874))</f>
        <v>0</v>
      </c>
      <c r="T1874" s="1095"/>
      <c r="U1874" s="1096"/>
      <c r="V1874" s="1096"/>
      <c r="W1874" s="1096"/>
      <c r="X1874" s="1096"/>
      <c r="Y1874" s="1282"/>
    </row>
    <row r="1875" spans="1:25" ht="12.75" customHeight="1" x14ac:dyDescent="0.2">
      <c r="A1875" s="227">
        <v>1875</v>
      </c>
      <c r="B1875" s="5988"/>
      <c r="E1875" s="969" t="s">
        <v>6507</v>
      </c>
      <c r="F1875" s="593"/>
      <c r="G1875" s="593">
        <v>90</v>
      </c>
      <c r="H1875" s="593">
        <f>IF(J1873,1,0)</f>
        <v>0</v>
      </c>
      <c r="I1875" s="593">
        <v>10</v>
      </c>
      <c r="J1875" s="593">
        <f>COUNTIF(Elan!$C$13:$F$25,Tablas!E1875)+COUNTIF(Elan!$U$13:$X$25,Tablas!E1875)</f>
        <v>0</v>
      </c>
      <c r="K1875" s="593"/>
      <c r="L1875" s="5989" t="s">
        <v>6741</v>
      </c>
      <c r="M1875" s="5989"/>
      <c r="N1875" s="5989"/>
      <c r="O1875" s="5989"/>
      <c r="P1875" s="5989"/>
      <c r="Q1875" s="5990"/>
      <c r="R1875" s="972">
        <f>IF(OR($J1875=0,$J1875="Aprendida"),0,SUM($J$1772:$J1875))</f>
        <v>0</v>
      </c>
      <c r="T1875" s="1095"/>
      <c r="U1875" s="1096"/>
      <c r="V1875" s="1096"/>
      <c r="W1875" s="1096"/>
      <c r="X1875" s="1096"/>
      <c r="Y1875" s="1282"/>
    </row>
    <row r="1876" spans="1:25" ht="12.75" customHeight="1" x14ac:dyDescent="0.2">
      <c r="A1876" s="227">
        <v>1876</v>
      </c>
      <c r="B1876" s="5988"/>
      <c r="E1876" s="969" t="s">
        <v>6508</v>
      </c>
      <c r="F1876" s="593"/>
      <c r="G1876" s="593">
        <v>100</v>
      </c>
      <c r="H1876" s="593">
        <v>1</v>
      </c>
      <c r="I1876" s="593">
        <v>10</v>
      </c>
      <c r="J1876" s="593">
        <f>COUNTIF(Elan!$C$13:$F$25,Tablas!E1876)+COUNTIF(Elan!$U$13:$X$25,Tablas!E1876)</f>
        <v>0</v>
      </c>
      <c r="K1876" s="593"/>
      <c r="L1876" s="5989" t="s">
        <v>10386</v>
      </c>
      <c r="M1876" s="5989"/>
      <c r="N1876" s="5989"/>
      <c r="O1876" s="5989"/>
      <c r="P1876" s="5989"/>
      <c r="Q1876" s="5990"/>
      <c r="R1876" s="972">
        <f>IF(OR($J1876=0,$J1876="Aprendida"),0,SUM($J$1772:$J1876))</f>
        <v>0</v>
      </c>
      <c r="T1876" s="1090" t="str">
        <f>E1940</f>
        <v>Meseguis</v>
      </c>
      <c r="U1876" s="1091"/>
      <c r="V1876" s="1097"/>
      <c r="W1876" s="1091"/>
      <c r="X1876" s="1091"/>
      <c r="Y1876" s="1280"/>
    </row>
    <row r="1877" spans="1:25" ht="12.75" customHeight="1" x14ac:dyDescent="0.2">
      <c r="A1877" s="227">
        <v>1877</v>
      </c>
      <c r="B1877" s="5988"/>
      <c r="E1877" s="968" t="s">
        <v>6412</v>
      </c>
      <c r="F1877" s="1383">
        <f>IF(Elan!$C$11=Tablas!$E1877,Elan!$G$11,IF(Elan!$U$11=Tablas!$E1877,Elan!$Y$11,0))</f>
        <v>0</v>
      </c>
      <c r="G1877" s="961" t="s">
        <v>1820</v>
      </c>
      <c r="H1877" s="961" t="s">
        <v>8309</v>
      </c>
      <c r="I1877" s="961" t="s">
        <v>1490</v>
      </c>
      <c r="J1877" s="961" t="s">
        <v>6418</v>
      </c>
      <c r="K1877" s="961" t="s">
        <v>7078</v>
      </c>
      <c r="L1877" s="961" t="s">
        <v>1549</v>
      </c>
      <c r="M1877" s="594"/>
      <c r="N1877" s="594"/>
      <c r="O1877" s="594"/>
      <c r="P1877" s="594"/>
      <c r="Q1877" s="966"/>
      <c r="R1877" s="972">
        <f>IF(OR($J1877=0,$J1877="Aprendida"),0,SUM($J$1772:$J1877))</f>
        <v>0</v>
      </c>
      <c r="T1877" s="1092" t="s">
        <v>6830</v>
      </c>
      <c r="U1877" s="1093">
        <v>8</v>
      </c>
      <c r="V1877" s="1094" t="s">
        <v>6831</v>
      </c>
      <c r="W1877" s="1093">
        <v>2</v>
      </c>
      <c r="X1877" s="1093" t="s">
        <v>6832</v>
      </c>
      <c r="Y1877" s="1281">
        <v>-3</v>
      </c>
    </row>
    <row r="1878" spans="1:25" ht="12.75" customHeight="1" x14ac:dyDescent="0.2">
      <c r="A1878" s="227">
        <v>1878</v>
      </c>
      <c r="B1878" s="5988"/>
      <c r="E1878" s="969" t="s">
        <v>6509</v>
      </c>
      <c r="F1878" s="593"/>
      <c r="G1878" s="593">
        <v>10</v>
      </c>
      <c r="H1878" s="593">
        <v>1</v>
      </c>
      <c r="I1878" s="593">
        <v>5</v>
      </c>
      <c r="J1878" s="593">
        <f>COUNTIF(Elan!$C$13:$F$25,Tablas!E1878)+COUNTIF(Elan!$U$13:$X$25,Tablas!E1878)</f>
        <v>0</v>
      </c>
      <c r="K1878" s="593">
        <f>F$1877*J1878</f>
        <v>0</v>
      </c>
      <c r="L1878" s="5989" t="str">
        <f>"Obtiene un bonificador especial a la habilidad secundaria Liderazgo de +"&amp;K1878&amp;"."</f>
        <v>Obtiene un bonificador especial a la habilidad secundaria Liderazgo de +0.</v>
      </c>
      <c r="M1878" s="5989"/>
      <c r="N1878" s="5989"/>
      <c r="O1878" s="5989"/>
      <c r="P1878" s="5989"/>
      <c r="Q1878" s="5990"/>
      <c r="R1878" s="972">
        <f>IF(OR($J1878=0,$J1878="Aprendida"),0,SUM($J$1772:$J1878))</f>
        <v>0</v>
      </c>
      <c r="T1878" s="1092" t="s">
        <v>6834</v>
      </c>
      <c r="U1878" s="1093">
        <v>8</v>
      </c>
      <c r="V1878" s="1094" t="s">
        <v>6835</v>
      </c>
      <c r="W1878" s="1093">
        <v>1</v>
      </c>
      <c r="X1878" s="1093" t="s">
        <v>6836</v>
      </c>
      <c r="Y1878" s="1281">
        <v>-4</v>
      </c>
    </row>
    <row r="1879" spans="1:25" ht="12.75" customHeight="1" x14ac:dyDescent="0.2">
      <c r="A1879" s="227">
        <v>1879</v>
      </c>
      <c r="B1879" s="5988"/>
      <c r="E1879" s="969" t="s">
        <v>6510</v>
      </c>
      <c r="F1879" s="593"/>
      <c r="G1879" s="593">
        <v>20</v>
      </c>
      <c r="H1879" s="593">
        <v>1</v>
      </c>
      <c r="I1879" s="593">
        <v>5</v>
      </c>
      <c r="J1879" s="593">
        <f>COUNTIF(Elan!$C$13:$F$25,Tablas!E1879)+COUNTIF(Elan!$U$13:$X$25,Tablas!E1879)</f>
        <v>0</v>
      </c>
      <c r="K1879" s="593">
        <f>F$1877*J1879</f>
        <v>0</v>
      </c>
      <c r="L1879" s="5989" t="str">
        <f>"Obtiene un bonificador especial a la habilidad secundaria Frialdad de +"&amp;K1879&amp;"."</f>
        <v>Obtiene un bonificador especial a la habilidad secundaria Frialdad de +0.</v>
      </c>
      <c r="M1879" s="5989"/>
      <c r="N1879" s="5989"/>
      <c r="O1879" s="5989"/>
      <c r="P1879" s="5989"/>
      <c r="Q1879" s="5990"/>
      <c r="R1879" s="972">
        <f>IF(OR($J1879=0,$J1879="Aprendida"),0,SUM($J$1772:$J1879))</f>
        <v>0</v>
      </c>
      <c r="T1879" s="1092"/>
      <c r="U1879" s="1093"/>
      <c r="V1879" s="1094" t="s">
        <v>6838</v>
      </c>
      <c r="W1879" s="1093">
        <v>4</v>
      </c>
      <c r="X1879" s="1093"/>
      <c r="Y1879" s="1281"/>
    </row>
    <row r="1880" spans="1:25" ht="12.75" customHeight="1" x14ac:dyDescent="0.2">
      <c r="A1880" s="227">
        <v>1880</v>
      </c>
      <c r="B1880" s="5988"/>
      <c r="E1880" s="969" t="s">
        <v>6511</v>
      </c>
      <c r="F1880" s="593"/>
      <c r="G1880" s="593">
        <v>30</v>
      </c>
      <c r="H1880" s="593">
        <v>1</v>
      </c>
      <c r="I1880" s="593">
        <v>10</v>
      </c>
      <c r="J1880" s="593">
        <f>COUNTIF(Elan!$C$13:$F$25,Tablas!E1880)+COUNTIF(Elan!$U$13:$X$25,Tablas!E1880)</f>
        <v>0</v>
      </c>
      <c r="K1880" s="593"/>
      <c r="L1880" s="5989" t="s">
        <v>6748</v>
      </c>
      <c r="M1880" s="5989"/>
      <c r="N1880" s="5989"/>
      <c r="O1880" s="5989"/>
      <c r="P1880" s="5989"/>
      <c r="Q1880" s="5990"/>
      <c r="R1880" s="972">
        <f>IF(OR($J1880=0,$J1880="Aprendida"),0,SUM($J$1772:$J1880))</f>
        <v>0</v>
      </c>
      <c r="T1880" s="1095"/>
      <c r="U1880" s="1096"/>
      <c r="V1880" s="1096"/>
      <c r="W1880" s="1096"/>
      <c r="X1880" s="1096"/>
      <c r="Y1880" s="1282"/>
    </row>
    <row r="1881" spans="1:25" ht="12.75" customHeight="1" x14ac:dyDescent="0.2">
      <c r="A1881" s="227">
        <v>1881</v>
      </c>
      <c r="B1881" s="5988"/>
      <c r="E1881" s="969" t="s">
        <v>6512</v>
      </c>
      <c r="F1881" s="593"/>
      <c r="G1881" s="593">
        <v>40</v>
      </c>
      <c r="H1881" s="593">
        <v>1</v>
      </c>
      <c r="I1881" s="593">
        <v>10</v>
      </c>
      <c r="J1881" s="593">
        <f>COUNTIF(Elan!$C$13:$F$25,Tablas!E1881)+COUNTIF(Elan!$U$13:$X$25,Tablas!E1881)</f>
        <v>0</v>
      </c>
      <c r="K1881" s="593"/>
      <c r="L1881" s="5989" t="s">
        <v>10387</v>
      </c>
      <c r="M1881" s="5989"/>
      <c r="N1881" s="5989"/>
      <c r="O1881" s="5989"/>
      <c r="P1881" s="5989"/>
      <c r="Q1881" s="5990"/>
      <c r="R1881" s="972">
        <f>IF(OR($J1881=0,$J1881="Aprendida"),0,SUM($J$1772:$J1881))</f>
        <v>0</v>
      </c>
      <c r="T1881" s="1095"/>
      <c r="U1881" s="1096"/>
      <c r="V1881" s="1096"/>
      <c r="W1881" s="1096"/>
      <c r="X1881" s="1096"/>
      <c r="Y1881" s="1282"/>
    </row>
    <row r="1882" spans="1:25" ht="12.75" customHeight="1" x14ac:dyDescent="0.2">
      <c r="A1882" s="227">
        <v>1882</v>
      </c>
      <c r="B1882" s="5988"/>
      <c r="E1882" s="969" t="s">
        <v>6513</v>
      </c>
      <c r="F1882" s="593"/>
      <c r="G1882" s="593">
        <v>50</v>
      </c>
      <c r="H1882" s="593">
        <v>1</v>
      </c>
      <c r="I1882" s="593">
        <v>5</v>
      </c>
      <c r="J1882" s="593">
        <f>COUNTIF(Elan!$C$13:$F$25,Tablas!E1882)+COUNTIF(Elan!$U$13:$X$25,Tablas!E1882)</f>
        <v>0</v>
      </c>
      <c r="K1882" s="593"/>
      <c r="L1882" s="5989" t="s">
        <v>6754</v>
      </c>
      <c r="M1882" s="5989"/>
      <c r="N1882" s="5989"/>
      <c r="O1882" s="5989"/>
      <c r="P1882" s="5989"/>
      <c r="Q1882" s="5990"/>
      <c r="R1882" s="972">
        <f>IF(OR($J1882=0,$J1882="Aprendida"),0,SUM($J$1772:$J1882))</f>
        <v>0</v>
      </c>
      <c r="T1882" s="1095"/>
      <c r="U1882" s="1096"/>
      <c r="V1882" s="1096"/>
      <c r="W1882" s="1096"/>
      <c r="X1882" s="1096"/>
      <c r="Y1882" s="1282"/>
    </row>
    <row r="1883" spans="1:25" ht="12.75" customHeight="1" x14ac:dyDescent="0.2">
      <c r="A1883" s="227">
        <v>1883</v>
      </c>
      <c r="B1883" s="5988"/>
      <c r="E1883" s="969" t="s">
        <v>6514</v>
      </c>
      <c r="F1883" s="593"/>
      <c r="G1883" s="593">
        <v>60</v>
      </c>
      <c r="H1883" s="593">
        <f>IF(J1882,1,0)</f>
        <v>0</v>
      </c>
      <c r="I1883" s="593">
        <v>10</v>
      </c>
      <c r="J1883" s="593">
        <f>COUNTIF(Elan!$C$13:$F$25,Tablas!E1883)+COUNTIF(Elan!$U$13:$X$25,Tablas!E1883)</f>
        <v>0</v>
      </c>
      <c r="K1883" s="593"/>
      <c r="L1883" s="5989" t="str">
        <f>"En un radio de "&amp;F1877/2&amp;" metros todo ser de naturaleza negativa está obligado a superar automáticamente, cada cinco asaltos, un control de RM o RF contra "&amp;F1877*2&amp;"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83" s="5989"/>
      <c r="N1883" s="5989"/>
      <c r="O1883" s="5989"/>
      <c r="P1883" s="5989"/>
      <c r="Q1883" s="5990"/>
      <c r="R1883" s="972">
        <f>IF(OR($J1883=0,$J1883="Aprendida"),0,SUM($J$1772:$J1883))</f>
        <v>0</v>
      </c>
      <c r="T1883" s="1095"/>
      <c r="U1883" s="1096"/>
      <c r="V1883" s="1096"/>
      <c r="W1883" s="1096"/>
      <c r="X1883" s="1096"/>
      <c r="Y1883" s="1282"/>
    </row>
    <row r="1884" spans="1:25" ht="12.75" customHeight="1" x14ac:dyDescent="0.2">
      <c r="A1884" s="227">
        <v>1884</v>
      </c>
      <c r="B1884" s="5988"/>
      <c r="E1884" s="969" t="s">
        <v>195</v>
      </c>
      <c r="F1884" s="593"/>
      <c r="G1884" s="593">
        <v>60</v>
      </c>
      <c r="H1884" s="593">
        <v>1</v>
      </c>
      <c r="I1884" s="593">
        <v>15</v>
      </c>
      <c r="J1884" s="593">
        <f>COUNTIF(Elan!$C$13:$F$25,Tablas!E1884)+COUNTIF(Elan!$U$13:$X$25,Tablas!E1884)</f>
        <v>0</v>
      </c>
      <c r="K1884" s="593"/>
      <c r="L1884" s="5989" t="str">
        <f>"El PJ ignora cualquier habilidad mística o psíquica que le obligue a realizar un control de Resistencia inferior a "&amp;F1877+40&amp;"."</f>
        <v>El PJ ignora cualquier habilidad mística o psíquica que le obligue a realizar un control de Resistencia inferior a 40.</v>
      </c>
      <c r="M1884" s="5989"/>
      <c r="N1884" s="5989"/>
      <c r="O1884" s="5989"/>
      <c r="P1884" s="5989"/>
      <c r="Q1884" s="5990"/>
      <c r="R1884" s="972">
        <f>IF(OR($J1884=0,$J1884="Aprendida"),0,SUM($J$1772:$J1884))</f>
        <v>0</v>
      </c>
      <c r="T1884" s="1098" t="str">
        <f>E1954</f>
        <v>Elan Personalizado</v>
      </c>
      <c r="U1884" s="1091"/>
      <c r="V1884" s="1097"/>
      <c r="W1884" s="1091"/>
      <c r="X1884" s="1091"/>
      <c r="Y1884" s="1280"/>
    </row>
    <row r="1885" spans="1:25" ht="12.75" customHeight="1" x14ac:dyDescent="0.2">
      <c r="A1885" s="227">
        <v>1885</v>
      </c>
      <c r="B1885" s="5988"/>
      <c r="E1885" s="969" t="s">
        <v>6515</v>
      </c>
      <c r="F1885" s="593"/>
      <c r="G1885" s="593">
        <v>70</v>
      </c>
      <c r="H1885" s="593">
        <v>1</v>
      </c>
      <c r="I1885" s="593">
        <v>15</v>
      </c>
      <c r="J1885" s="593">
        <f>COUNTIF(Elan!$C$13:$F$25,Tablas!E1885)+COUNTIF(Elan!$U$13:$X$25,Tablas!E1885)</f>
        <v>0</v>
      </c>
      <c r="K1885" s="593"/>
      <c r="L1885" s="5989" t="s">
        <v>6758</v>
      </c>
      <c r="M1885" s="5989"/>
      <c r="N1885" s="5989"/>
      <c r="O1885" s="5989"/>
      <c r="P1885" s="5989"/>
      <c r="Q1885" s="5990"/>
      <c r="R1885" s="972">
        <f>IF(OR($J1885=0,$J1885="Aprendida"),0,SUM($J$1772:$J1885))</f>
        <v>0</v>
      </c>
      <c r="T1885" s="1092">
        <f>Personalización!E113</f>
        <v>0</v>
      </c>
      <c r="U1885" s="1093">
        <f>Personalización!K113</f>
        <v>0</v>
      </c>
      <c r="V1885" s="1094">
        <f>Personalización!E121</f>
        <v>0</v>
      </c>
      <c r="W1885" s="1093">
        <f>Personalización!K121</f>
        <v>0</v>
      </c>
      <c r="X1885" s="1093">
        <f>Personalización!L113</f>
        <v>0</v>
      </c>
      <c r="Y1885" s="1281">
        <f>Personalización!O113</f>
        <v>0</v>
      </c>
    </row>
    <row r="1886" spans="1:25" ht="12.75" customHeight="1" x14ac:dyDescent="0.2">
      <c r="A1886" s="227">
        <v>1886</v>
      </c>
      <c r="B1886" s="5988"/>
      <c r="E1886" s="969" t="s">
        <v>6516</v>
      </c>
      <c r="F1886" s="593"/>
      <c r="G1886" s="593">
        <v>70</v>
      </c>
      <c r="H1886" s="593">
        <v>1</v>
      </c>
      <c r="I1886" s="593">
        <v>20</v>
      </c>
      <c r="J1886" s="593">
        <f>COUNTIF(Elan!$C$13:$F$25,Tablas!E1886)+COUNTIF(Elan!$U$13:$X$25,Tablas!E1886)</f>
        <v>0</v>
      </c>
      <c r="K1886" s="593"/>
      <c r="L1886" s="5989" t="s">
        <v>6759</v>
      </c>
      <c r="M1886" s="5989"/>
      <c r="N1886" s="5989"/>
      <c r="O1886" s="5989"/>
      <c r="P1886" s="5989"/>
      <c r="Q1886" s="5990"/>
      <c r="R1886" s="972">
        <f>IF(OR($J1886=0,$J1886="Aprendida"),0,SUM($J$1772:$J1886))</f>
        <v>0</v>
      </c>
      <c r="T1886" s="1092">
        <f>Personalización!E114</f>
        <v>0</v>
      </c>
      <c r="U1886" s="1093">
        <f>Personalización!K114</f>
        <v>0</v>
      </c>
      <c r="V1886" s="1094">
        <f>Personalización!E122</f>
        <v>0</v>
      </c>
      <c r="W1886" s="1093">
        <f>Personalización!K122</f>
        <v>0</v>
      </c>
      <c r="X1886" s="1093">
        <f>Personalización!L116</f>
        <v>0</v>
      </c>
      <c r="Y1886" s="1281">
        <f>Personalización!O116</f>
        <v>0</v>
      </c>
    </row>
    <row r="1887" spans="1:25" ht="12.75" customHeight="1" x14ac:dyDescent="0.2">
      <c r="A1887" s="227">
        <v>1887</v>
      </c>
      <c r="B1887" s="5988"/>
      <c r="E1887" s="969" t="s">
        <v>10388</v>
      </c>
      <c r="F1887" s="593"/>
      <c r="G1887" s="593">
        <v>80</v>
      </c>
      <c r="H1887" s="593">
        <v>1</v>
      </c>
      <c r="I1887" s="593">
        <v>10</v>
      </c>
      <c r="J1887" s="593">
        <f>COUNTIF(Elan!$C$13:$F$25,Tablas!E1887)+COUNTIF(Elan!$U$13:$X$25,Tablas!E1887)</f>
        <v>0</v>
      </c>
      <c r="K1887" s="593">
        <f>IF(J1887&gt;0,1,0)</f>
        <v>0</v>
      </c>
      <c r="L1887" s="5989" t="s">
        <v>6760</v>
      </c>
      <c r="M1887" s="5989"/>
      <c r="N1887" s="5989"/>
      <c r="O1887" s="5989"/>
      <c r="P1887" s="5989"/>
      <c r="Q1887" s="5990"/>
      <c r="R1887" s="972">
        <f>IF(OR($J1887=0,$J1887="Aprendida"),0,SUM($J$1772:$J1887))</f>
        <v>0</v>
      </c>
      <c r="T1887" s="1092">
        <f>Personalización!E115</f>
        <v>0</v>
      </c>
      <c r="U1887" s="1093">
        <f>Personalización!K115</f>
        <v>0</v>
      </c>
      <c r="V1887" s="1094">
        <f>Personalización!E123</f>
        <v>0</v>
      </c>
      <c r="W1887" s="1093">
        <f>Personalización!K123</f>
        <v>0</v>
      </c>
      <c r="X1887" s="1093">
        <f>Personalización!L119</f>
        <v>0</v>
      </c>
      <c r="Y1887" s="1281">
        <f>Personalización!O119</f>
        <v>0</v>
      </c>
    </row>
    <row r="1888" spans="1:25" ht="12.75" customHeight="1" x14ac:dyDescent="0.2">
      <c r="A1888" s="227">
        <v>1888</v>
      </c>
      <c r="B1888" s="5988"/>
      <c r="E1888" s="969" t="s">
        <v>6517</v>
      </c>
      <c r="F1888" s="593"/>
      <c r="G1888" s="593">
        <v>90</v>
      </c>
      <c r="H1888" s="593">
        <f>IF(J1883,1,0)</f>
        <v>0</v>
      </c>
      <c r="I1888" s="593">
        <v>15</v>
      </c>
      <c r="J1888" s="593">
        <f>COUNTIF(Elan!$C$13:$F$25,Tablas!E1888)+COUNTIF(Elan!$U$13:$X$25,Tablas!E1888)</f>
        <v>0</v>
      </c>
      <c r="K1888" s="593"/>
      <c r="L1888" s="5989" t="str">
        <f>"El PJ bendice contra criaturas oscuras o malignas, durante "&amp;FLOOR(F1877/10,1)&amp;"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8" s="5989"/>
      <c r="N1888" s="5989"/>
      <c r="O1888" s="5989"/>
      <c r="P1888" s="5989"/>
      <c r="Q1888" s="5990"/>
      <c r="R1888" s="972">
        <f>IF(OR($J1888=0,$J1888="Aprendida"),0,SUM($J$1772:$J1888))</f>
        <v>0</v>
      </c>
      <c r="T1888" s="1092">
        <f>Personalización!E116</f>
        <v>0</v>
      </c>
      <c r="U1888" s="1093">
        <f>Personalización!K116</f>
        <v>0</v>
      </c>
      <c r="V1888" s="1094">
        <f>Personalización!E124</f>
        <v>0</v>
      </c>
      <c r="W1888" s="1093">
        <f>Personalización!K124</f>
        <v>0</v>
      </c>
      <c r="X1888" s="1093">
        <f>Personalización!L122</f>
        <v>0</v>
      </c>
      <c r="Y1888" s="1281">
        <f>Personalización!O122</f>
        <v>0</v>
      </c>
    </row>
    <row r="1889" spans="1:25" ht="12.75" customHeight="1" x14ac:dyDescent="0.2">
      <c r="A1889" s="227">
        <v>1889</v>
      </c>
      <c r="B1889" s="5988"/>
      <c r="E1889" s="969" t="s">
        <v>6518</v>
      </c>
      <c r="F1889" s="593"/>
      <c r="G1889" s="593">
        <v>100</v>
      </c>
      <c r="H1889" s="593">
        <v>1</v>
      </c>
      <c r="I1889" s="593">
        <v>10</v>
      </c>
      <c r="J1889" s="593">
        <f>COUNTIF(Elan!$C$13:$F$25,Tablas!E1889)+COUNTIF(Elan!$U$13:$X$25,Tablas!E1889)</f>
        <v>0</v>
      </c>
      <c r="K1889" s="593"/>
      <c r="L1889" s="5989" t="s">
        <v>10389</v>
      </c>
      <c r="M1889" s="5989"/>
      <c r="N1889" s="5989"/>
      <c r="O1889" s="5989"/>
      <c r="P1889" s="5989"/>
      <c r="Q1889" s="5990"/>
      <c r="R1889" s="972">
        <f>IF(OR($J1889=0,$J1889="Aprendida"),0,SUM($J$1772:$J1889))</f>
        <v>0</v>
      </c>
      <c r="T1889" s="1092">
        <f>Personalización!E117</f>
        <v>0</v>
      </c>
      <c r="U1889" s="1093">
        <f>Personalización!K117</f>
        <v>0</v>
      </c>
      <c r="V1889" s="1094">
        <f>Personalización!E125</f>
        <v>0</v>
      </c>
      <c r="W1889" s="1093">
        <f>Personalización!K125</f>
        <v>0</v>
      </c>
      <c r="X1889" s="1093">
        <f>Personalización!L125</f>
        <v>0</v>
      </c>
      <c r="Y1889" s="1281">
        <f>Personalización!O125</f>
        <v>0</v>
      </c>
    </row>
    <row r="1890" spans="1:25" ht="12.75" customHeight="1" x14ac:dyDescent="0.2">
      <c r="A1890" s="227">
        <v>1890</v>
      </c>
      <c r="B1890" s="5988"/>
      <c r="E1890" s="968" t="s">
        <v>6413</v>
      </c>
      <c r="F1890" s="1383">
        <f>IF(Elan!$C$11=Tablas!$E1890,Elan!$G$11,IF(Elan!$U$11=Tablas!$E1890,Elan!$Y$11,0))</f>
        <v>0</v>
      </c>
      <c r="G1890" s="961" t="s">
        <v>1820</v>
      </c>
      <c r="H1890" s="961" t="s">
        <v>8309</v>
      </c>
      <c r="I1890" s="961" t="s">
        <v>1490</v>
      </c>
      <c r="J1890" s="961" t="s">
        <v>6418</v>
      </c>
      <c r="K1890" s="961" t="s">
        <v>7078</v>
      </c>
      <c r="L1890" s="961" t="s">
        <v>1549</v>
      </c>
      <c r="M1890" s="594"/>
      <c r="N1890" s="594"/>
      <c r="O1890" s="594"/>
      <c r="P1890" s="594"/>
      <c r="Q1890" s="966"/>
      <c r="R1890" s="972">
        <f>IF(OR($J1890=0,$J1890="Aprendida"),0,SUM($J$1772:$J1890))</f>
        <v>0</v>
      </c>
      <c r="T1890" s="1092">
        <f>Personalización!E118</f>
        <v>0</v>
      </c>
      <c r="U1890" s="1093">
        <f>Personalización!K118</f>
        <v>0</v>
      </c>
      <c r="V1890" s="1094">
        <f>Personalización!E126</f>
        <v>0</v>
      </c>
      <c r="W1890" s="1093">
        <f>Personalización!K126</f>
        <v>0</v>
      </c>
      <c r="X1890" s="1093"/>
      <c r="Y1890" s="1281"/>
    </row>
    <row r="1891" spans="1:25" ht="12.75" customHeight="1" thickBot="1" x14ac:dyDescent="0.25">
      <c r="A1891" s="227">
        <v>1891</v>
      </c>
      <c r="B1891" s="5988"/>
      <c r="E1891" s="969" t="s">
        <v>6519</v>
      </c>
      <c r="F1891" s="593"/>
      <c r="G1891" s="593">
        <v>10</v>
      </c>
      <c r="H1891" s="593">
        <v>1</v>
      </c>
      <c r="I1891" s="593">
        <v>10</v>
      </c>
      <c r="J1891" s="593">
        <f>COUNTIF(Elan!$C$13:$F$25,Tablas!E1891)+COUNTIF(Elan!$U$13:$X$25,Tablas!E1891)</f>
        <v>0</v>
      </c>
      <c r="K1891" s="593"/>
      <c r="L1891" s="5989" t="s">
        <v>6761</v>
      </c>
      <c r="M1891" s="5989"/>
      <c r="N1891" s="5989"/>
      <c r="O1891" s="5989"/>
      <c r="P1891" s="5989"/>
      <c r="Q1891" s="5990"/>
      <c r="R1891" s="972">
        <f>IF(OR($J1891=0,$J1891="Aprendida"),0,SUM($J$1772:$J1891))</f>
        <v>0</v>
      </c>
      <c r="T1891" s="1099">
        <f>Personalización!E119</f>
        <v>0</v>
      </c>
      <c r="U1891" s="1100">
        <f>Personalización!K119</f>
        <v>0</v>
      </c>
      <c r="V1891" s="1101">
        <f>Personalización!E127</f>
        <v>0</v>
      </c>
      <c r="W1891" s="1100">
        <f>Personalización!K127</f>
        <v>0</v>
      </c>
      <c r="X1891" s="1100"/>
      <c r="Y1891" s="1283"/>
    </row>
    <row r="1892" spans="1:25" ht="12.75" customHeight="1" x14ac:dyDescent="0.2">
      <c r="A1892" s="227">
        <v>1892</v>
      </c>
      <c r="B1892" s="5988"/>
      <c r="E1892" s="969" t="s">
        <v>6520</v>
      </c>
      <c r="F1892" s="593"/>
      <c r="G1892" s="593">
        <v>20</v>
      </c>
      <c r="H1892" s="593">
        <v>1</v>
      </c>
      <c r="I1892" s="593">
        <v>5</v>
      </c>
      <c r="J1892" s="593">
        <f>COUNTIF(Elan!$C$13:$F$25,Tablas!E1892)+COUNTIF(Elan!$U$13:$X$25,Tablas!E1892)</f>
        <v>0</v>
      </c>
      <c r="K1892" s="593"/>
      <c r="L1892" s="5989" t="s">
        <v>6764</v>
      </c>
      <c r="M1892" s="5989"/>
      <c r="N1892" s="5989"/>
      <c r="O1892" s="5989"/>
      <c r="P1892" s="5989"/>
      <c r="Q1892" s="5990"/>
      <c r="R1892" s="972">
        <f>IF(OR($J1892=0,$J1892="Aprendida"),0,SUM($J$1772:$J1892))</f>
        <v>0</v>
      </c>
    </row>
    <row r="1893" spans="1:25" ht="12.75" customHeight="1" x14ac:dyDescent="0.2">
      <c r="A1893" s="227">
        <v>1893</v>
      </c>
      <c r="B1893" s="5988"/>
      <c r="E1893" s="969" t="s">
        <v>6521</v>
      </c>
      <c r="F1893" s="593"/>
      <c r="G1893" s="593">
        <v>30</v>
      </c>
      <c r="H1893" s="593">
        <v>1</v>
      </c>
      <c r="I1893" s="593">
        <v>10</v>
      </c>
      <c r="J1893" s="593">
        <f>COUNTIF(Elan!$C$13:$F$25,Tablas!E1893)+COUNTIF(Elan!$U$13:$X$25,Tablas!E1893)</f>
        <v>0</v>
      </c>
      <c r="K1893" s="593"/>
      <c r="L1893" s="5989" t="str">
        <f>"El PJ aviva el pecado capital que más profundamente se halle arraigado en el interior de un individuo, si este no supera un control de RM o RP contra "&amp;F1890*2&amp;"."</f>
        <v>El PJ aviva el pecado capital que más profundamente se halle arraigado en el interior de un individuo, si este no supera un control de RM o RP contra 0.</v>
      </c>
      <c r="M1893" s="5989"/>
      <c r="N1893" s="5989"/>
      <c r="O1893" s="5989"/>
      <c r="P1893" s="5989"/>
      <c r="Q1893" s="5990"/>
      <c r="R1893" s="972">
        <f>IF(OR($J1893=0,$J1893="Aprendida"),0,SUM($J$1772:$J1893))</f>
        <v>0</v>
      </c>
    </row>
    <row r="1894" spans="1:25" ht="12.75" customHeight="1" x14ac:dyDescent="0.2">
      <c r="A1894" s="227">
        <v>1894</v>
      </c>
      <c r="B1894" s="5988"/>
      <c r="E1894" s="969" t="s">
        <v>6522</v>
      </c>
      <c r="F1894" s="593"/>
      <c r="G1894" s="593">
        <v>40</v>
      </c>
      <c r="H1894" s="593">
        <v>1</v>
      </c>
      <c r="I1894" s="593">
        <v>5</v>
      </c>
      <c r="J1894" s="593">
        <f>COUNTIF(Elan!$C$13:$F$25,Tablas!E1894)+COUNTIF(Elan!$U$13:$X$25,Tablas!E1894)</f>
        <v>0</v>
      </c>
      <c r="K1894" s="593"/>
      <c r="L1894" s="5989" t="s">
        <v>6769</v>
      </c>
      <c r="M1894" s="5989"/>
      <c r="N1894" s="5989"/>
      <c r="O1894" s="5989"/>
      <c r="P1894" s="5989"/>
      <c r="Q1894" s="5990"/>
      <c r="R1894" s="972">
        <f>IF(OR($J1894=0,$J1894="Aprendida"),0,SUM($J$1772:$J1894))</f>
        <v>0</v>
      </c>
    </row>
    <row r="1895" spans="1:25" ht="12.75" customHeight="1" x14ac:dyDescent="0.2">
      <c r="A1895" s="227">
        <v>1895</v>
      </c>
      <c r="B1895" s="5988"/>
      <c r="E1895" s="969" t="s">
        <v>6523</v>
      </c>
      <c r="F1895" s="593"/>
      <c r="G1895" s="593">
        <v>50</v>
      </c>
      <c r="H1895" s="593">
        <v>1</v>
      </c>
      <c r="I1895" s="593">
        <v>15</v>
      </c>
      <c r="J1895" s="593">
        <f>COUNTIF(Elan!$C$13:$F$25,Tablas!E1895)+COUNTIF(Elan!$U$13:$X$25,Tablas!E1895)</f>
        <v>0</v>
      </c>
      <c r="K1895" s="593"/>
      <c r="L1895" s="5989" t="str">
        <f>"El PJ puede obligar a alguien a superar un control de RM contra "&amp;F1890+60&amp;"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95" s="5989"/>
      <c r="N1895" s="5989"/>
      <c r="O1895" s="5989"/>
      <c r="P1895" s="5989"/>
      <c r="Q1895" s="5990"/>
      <c r="R1895" s="972">
        <f>IF(OR($J1895=0,$J1895="Aprendida"),0,SUM($J$1772:$J1895))</f>
        <v>0</v>
      </c>
    </row>
    <row r="1896" spans="1:25" ht="12.75" customHeight="1" x14ac:dyDescent="0.2">
      <c r="A1896" s="227">
        <v>1896</v>
      </c>
      <c r="B1896" s="5988"/>
      <c r="E1896" s="969" t="s">
        <v>6524</v>
      </c>
      <c r="F1896" s="593"/>
      <c r="G1896" s="593">
        <v>60</v>
      </c>
      <c r="H1896" s="593">
        <f>IF(J1894,1,0)</f>
        <v>0</v>
      </c>
      <c r="I1896" s="593">
        <v>10</v>
      </c>
      <c r="J1896" s="593">
        <f>COUNTIF(Elan!$C$13:$F$25,Tablas!E1896)+COUNTIF(Elan!$U$13:$X$25,Tablas!E1896)</f>
        <v>0</v>
      </c>
      <c r="K1896" s="593">
        <f>2*J1896*F1890</f>
        <v>0</v>
      </c>
      <c r="L1896" s="5989" t="str">
        <f>"El PJ recibe "&amp;K1896&amp;" PDs para gastar en cualquier poder sobrenatural como si tuviera Gnosis 25."</f>
        <v>El PJ recibe 0 PDs para gastar en cualquier poder sobrenatural como si tuviera Gnosis 25.</v>
      </c>
      <c r="M1896" s="5989"/>
      <c r="N1896" s="5989"/>
      <c r="O1896" s="5989"/>
      <c r="P1896" s="5989"/>
      <c r="Q1896" s="5990"/>
      <c r="R1896" s="972">
        <f>IF(OR($J1896=0,$J1896="Aprendida"),0,SUM($J$1772:$J1896))</f>
        <v>0</v>
      </c>
    </row>
    <row r="1897" spans="1:25" ht="12.75" customHeight="1" x14ac:dyDescent="0.2">
      <c r="A1897" s="227">
        <v>1897</v>
      </c>
      <c r="B1897" s="5988"/>
      <c r="E1897" s="969" t="s">
        <v>6525</v>
      </c>
      <c r="F1897" s="593"/>
      <c r="G1897" s="593">
        <v>70</v>
      </c>
      <c r="H1897" s="593">
        <v>1</v>
      </c>
      <c r="I1897" s="593">
        <v>15</v>
      </c>
      <c r="J1897" s="593">
        <f>COUNTIF(Elan!$C$13:$F$25,Tablas!E1897)+COUNTIF(Elan!$U$13:$X$25,Tablas!E1897)</f>
        <v>0</v>
      </c>
      <c r="K1897" s="593"/>
      <c r="L1897" s="5989" t="s">
        <v>6772</v>
      </c>
      <c r="M1897" s="5989"/>
      <c r="N1897" s="5989"/>
      <c r="O1897" s="5989"/>
      <c r="P1897" s="5989"/>
      <c r="Q1897" s="5990"/>
      <c r="R1897" s="972">
        <f>IF(OR($J1897=0,$J1897="Aprendida"),0,SUM($J$1772:$J1897))</f>
        <v>0</v>
      </c>
    </row>
    <row r="1898" spans="1:25" ht="12.75" customHeight="1" x14ac:dyDescent="0.2">
      <c r="A1898" s="227">
        <v>1898</v>
      </c>
      <c r="B1898" s="5988"/>
      <c r="E1898" s="969" t="s">
        <v>6526</v>
      </c>
      <c r="F1898" s="593"/>
      <c r="G1898" s="593">
        <v>80</v>
      </c>
      <c r="H1898" s="593">
        <f>IF(J1894,1,0)</f>
        <v>0</v>
      </c>
      <c r="I1898" s="593">
        <v>10</v>
      </c>
      <c r="J1898" s="593">
        <f>COUNTIF(Elan!$C$13:$F$25,Tablas!E1898)+COUNTIF(Elan!$U$13:$X$25,Tablas!E1898)</f>
        <v>0</v>
      </c>
      <c r="K1898" s="593"/>
      <c r="L1898" s="5989" t="s">
        <v>6773</v>
      </c>
      <c r="M1898" s="5989"/>
      <c r="N1898" s="5989"/>
      <c r="O1898" s="5989"/>
      <c r="P1898" s="5989"/>
      <c r="Q1898" s="5990"/>
      <c r="R1898" s="972">
        <f>IF(OR($J1898=0,$J1898="Aprendida"),0,SUM($J$1772:$J1898))</f>
        <v>0</v>
      </c>
    </row>
    <row r="1899" spans="1:25" ht="12.75" customHeight="1" x14ac:dyDescent="0.2">
      <c r="A1899" s="227">
        <v>1899</v>
      </c>
      <c r="B1899" s="5988"/>
      <c r="E1899" s="969" t="s">
        <v>6527</v>
      </c>
      <c r="F1899" s="593"/>
      <c r="G1899" s="593">
        <v>80</v>
      </c>
      <c r="H1899" s="593">
        <v>1</v>
      </c>
      <c r="I1899" s="593">
        <v>15</v>
      </c>
      <c r="J1899" s="593">
        <f>COUNTIF(Elan!$C$13:$F$25,Tablas!E1899)+COUNTIF(Elan!$U$13:$X$25,Tablas!E1899)</f>
        <v>0</v>
      </c>
      <c r="K1899" s="593"/>
      <c r="L1899" s="5989" t="s">
        <v>6774</v>
      </c>
      <c r="M1899" s="5989"/>
      <c r="N1899" s="5989"/>
      <c r="O1899" s="5989"/>
      <c r="P1899" s="5989"/>
      <c r="Q1899" s="5990"/>
      <c r="R1899" s="972">
        <f>IF(OR($J1899=0,$J1899="Aprendida"),0,SUM($J$1772:$J1899))</f>
        <v>0</v>
      </c>
    </row>
    <row r="1900" spans="1:25" ht="12.75" customHeight="1" x14ac:dyDescent="0.2">
      <c r="A1900" s="227">
        <v>1900</v>
      </c>
      <c r="B1900" s="5988"/>
      <c r="E1900" s="969" t="s">
        <v>6528</v>
      </c>
      <c r="F1900" s="593"/>
      <c r="G1900" s="593">
        <v>90</v>
      </c>
      <c r="H1900" s="593">
        <v>1</v>
      </c>
      <c r="I1900" s="593">
        <v>15</v>
      </c>
      <c r="J1900" s="593">
        <f>COUNTIF(Elan!$C$13:$F$25,Tablas!E1900)+COUNTIF(Elan!$U$13:$X$25,Tablas!E1900)</f>
        <v>0</v>
      </c>
      <c r="K1900" s="593"/>
      <c r="L1900" s="5989" t="s">
        <v>10390</v>
      </c>
      <c r="M1900" s="5989"/>
      <c r="N1900" s="5989"/>
      <c r="O1900" s="5989"/>
      <c r="P1900" s="5989"/>
      <c r="Q1900" s="5990"/>
      <c r="R1900" s="972">
        <f>IF(OR($J1900=0,$J1900="Aprendida"),0,SUM($J$1772:$J1900))</f>
        <v>0</v>
      </c>
    </row>
    <row r="1901" spans="1:25" ht="12.75" customHeight="1" x14ac:dyDescent="0.2">
      <c r="A1901" s="227">
        <v>1901</v>
      </c>
      <c r="B1901" s="5988"/>
      <c r="E1901" s="969" t="s">
        <v>6529</v>
      </c>
      <c r="F1901" s="593"/>
      <c r="G1901" s="593">
        <v>100</v>
      </c>
      <c r="H1901" s="593">
        <v>1</v>
      </c>
      <c r="I1901" s="593">
        <v>10</v>
      </c>
      <c r="J1901" s="593">
        <f>COUNTIF(Elan!$C$13:$F$25,Tablas!E1901)+COUNTIF(Elan!$U$13:$X$25,Tablas!E1901)</f>
        <v>0</v>
      </c>
      <c r="K1901" s="593"/>
      <c r="L1901" s="5989" t="s">
        <v>10391</v>
      </c>
      <c r="M1901" s="5989"/>
      <c r="N1901" s="5989"/>
      <c r="O1901" s="5989"/>
      <c r="P1901" s="5989"/>
      <c r="Q1901" s="5990"/>
      <c r="R1901" s="972">
        <f>IF(OR($J1901=0,$J1901="Aprendida"),0,SUM($J$1772:$J1901))</f>
        <v>0</v>
      </c>
    </row>
    <row r="1902" spans="1:25" ht="12.75" customHeight="1" x14ac:dyDescent="0.2">
      <c r="A1902" s="227">
        <v>1902</v>
      </c>
      <c r="B1902" s="5988"/>
      <c r="E1902" s="968" t="s">
        <v>6414</v>
      </c>
      <c r="F1902" s="1383">
        <f>IF(Elan!$C$11=Tablas!$E1902,Elan!$G$11,IF(Elan!$U$11=Tablas!$E1902,Elan!$Y$11,0))</f>
        <v>0</v>
      </c>
      <c r="G1902" s="961" t="s">
        <v>1820</v>
      </c>
      <c r="H1902" s="961" t="s">
        <v>8309</v>
      </c>
      <c r="I1902" s="961" t="s">
        <v>1490</v>
      </c>
      <c r="J1902" s="961" t="s">
        <v>6418</v>
      </c>
      <c r="K1902" s="961" t="s">
        <v>7078</v>
      </c>
      <c r="L1902" s="961" t="s">
        <v>1549</v>
      </c>
      <c r="M1902" s="594"/>
      <c r="N1902" s="594"/>
      <c r="O1902" s="594"/>
      <c r="P1902" s="594"/>
      <c r="Q1902" s="966"/>
      <c r="R1902" s="972">
        <f>IF(OR($J1902=0,$J1902="Aprendida"),0,SUM($J$1772:$J1902))</f>
        <v>0</v>
      </c>
    </row>
    <row r="1903" spans="1:25" ht="12.75" customHeight="1" x14ac:dyDescent="0.2">
      <c r="A1903" s="227">
        <v>1903</v>
      </c>
      <c r="B1903" s="5988"/>
      <c r="E1903" s="969" t="s">
        <v>6530</v>
      </c>
      <c r="F1903" s="593"/>
      <c r="G1903" s="593">
        <v>10</v>
      </c>
      <c r="H1903" s="593">
        <v>1</v>
      </c>
      <c r="I1903" s="593">
        <v>5</v>
      </c>
      <c r="J1903" s="593">
        <f>COUNTIF(Elan!$C$13:$F$25,Tablas!E1903)+COUNTIF(Elan!$U$13:$X$25,Tablas!E1903)</f>
        <v>0</v>
      </c>
      <c r="K1903" s="593">
        <f>F$1902*J1903</f>
        <v>0</v>
      </c>
      <c r="L1903" s="5989" t="str">
        <f>"Obtiene un bonificador especial a la habilidad secundaria Estilo de +"&amp;K1903&amp;"."</f>
        <v>Obtiene un bonificador especial a la habilidad secundaria Estilo de +0.</v>
      </c>
      <c r="M1903" s="5989"/>
      <c r="N1903" s="5989"/>
      <c r="O1903" s="5989"/>
      <c r="P1903" s="5989"/>
      <c r="Q1903" s="5990"/>
      <c r="R1903" s="972">
        <f>IF(OR($J1903=0,$J1903="Aprendida"),0,SUM($J$1772:$J1903))</f>
        <v>0</v>
      </c>
    </row>
    <row r="1904" spans="1:25" ht="12.75" customHeight="1" x14ac:dyDescent="0.2">
      <c r="A1904" s="227">
        <v>1904</v>
      </c>
      <c r="B1904" s="5988"/>
      <c r="E1904" s="969" t="s">
        <v>6531</v>
      </c>
      <c r="F1904" s="593"/>
      <c r="G1904" s="593">
        <v>20</v>
      </c>
      <c r="H1904" s="593">
        <v>1</v>
      </c>
      <c r="I1904" s="593">
        <v>10</v>
      </c>
      <c r="J1904" s="593">
        <f>COUNTIF(Elan!$C$13:$F$25,Tablas!E1904)+COUNTIF(Elan!$U$13:$X$25,Tablas!E1904)</f>
        <v>0</v>
      </c>
      <c r="K1904" s="593"/>
      <c r="L1904" s="5989" t="s">
        <v>6778</v>
      </c>
      <c r="M1904" s="5989"/>
      <c r="N1904" s="5989"/>
      <c r="O1904" s="5989"/>
      <c r="P1904" s="5989"/>
      <c r="Q1904" s="5990"/>
      <c r="R1904" s="972">
        <f>IF(OR($J1904=0,$J1904="Aprendida"),0,SUM($J$1772:$J1904))</f>
        <v>0</v>
      </c>
    </row>
    <row r="1905" spans="1:18" ht="12.75" customHeight="1" x14ac:dyDescent="0.2">
      <c r="A1905" s="227">
        <v>1905</v>
      </c>
      <c r="B1905" s="5988"/>
      <c r="E1905" s="969" t="s">
        <v>6532</v>
      </c>
      <c r="F1905" s="593"/>
      <c r="G1905" s="593">
        <v>30</v>
      </c>
      <c r="H1905" s="593">
        <v>1</v>
      </c>
      <c r="I1905" s="593">
        <v>10</v>
      </c>
      <c r="J1905" s="593">
        <f>COUNTIF(Elan!$C$13:$F$25,Tablas!E1905)+COUNTIF(Elan!$U$13:$X$25,Tablas!E1905)</f>
        <v>0</v>
      </c>
      <c r="K1905" s="593">
        <f>F$1902*J1905</f>
        <v>0</v>
      </c>
      <c r="L1905" s="5989" t="str">
        <f>"Obtiene un bonificador especial a la habilidad secundaria Ciencia de +"&amp;K1905&amp;"."</f>
        <v>Obtiene un bonificador especial a la habilidad secundaria Ciencia de +0.</v>
      </c>
      <c r="M1905" s="5989"/>
      <c r="N1905" s="5989"/>
      <c r="O1905" s="5989"/>
      <c r="P1905" s="5989"/>
      <c r="Q1905" s="5990"/>
      <c r="R1905" s="972">
        <f>IF(OR($J1905=0,$J1905="Aprendida"),0,SUM($J$1772:$J1905))</f>
        <v>0</v>
      </c>
    </row>
    <row r="1906" spans="1:18" ht="12.75" customHeight="1" x14ac:dyDescent="0.2">
      <c r="A1906" s="227">
        <v>1906</v>
      </c>
      <c r="B1906" s="5988"/>
      <c r="E1906" s="969" t="s">
        <v>6533</v>
      </c>
      <c r="F1906" s="593"/>
      <c r="G1906" s="593">
        <v>40</v>
      </c>
      <c r="H1906" s="593">
        <v>1</v>
      </c>
      <c r="I1906" s="593">
        <v>10</v>
      </c>
      <c r="J1906" s="593">
        <f>COUNTIF(Elan!$C$13:$F$25,Tablas!E1906)+COUNTIF(Elan!$U$13:$X$25,Tablas!E1906)</f>
        <v>0</v>
      </c>
      <c r="K1906" s="593"/>
      <c r="L1906" s="5989" t="s">
        <v>6785</v>
      </c>
      <c r="M1906" s="5989"/>
      <c r="N1906" s="5989"/>
      <c r="O1906" s="5989"/>
      <c r="P1906" s="5989"/>
      <c r="Q1906" s="5990"/>
      <c r="R1906" s="972">
        <f>IF(OR($J1906=0,$J1906="Aprendida"),0,SUM($J$1772:$J1906))</f>
        <v>0</v>
      </c>
    </row>
    <row r="1907" spans="1:18" ht="12.75" customHeight="1" x14ac:dyDescent="0.2">
      <c r="A1907" s="227">
        <v>1907</v>
      </c>
      <c r="B1907" s="5988"/>
      <c r="E1907" s="969" t="s">
        <v>6534</v>
      </c>
      <c r="F1907" s="593"/>
      <c r="G1907" s="593">
        <v>40</v>
      </c>
      <c r="H1907" s="593">
        <v>1</v>
      </c>
      <c r="I1907" s="593">
        <v>5</v>
      </c>
      <c r="J1907" s="593">
        <f>COUNTIF(Elan!$C$13:$F$25,Tablas!E1907)+COUNTIF(Elan!$U$13:$X$25,Tablas!E1907)</f>
        <v>0</v>
      </c>
      <c r="K1907" s="593"/>
      <c r="L1907" s="5989" t="s">
        <v>6788</v>
      </c>
      <c r="M1907" s="5989"/>
      <c r="N1907" s="5989"/>
      <c r="O1907" s="5989"/>
      <c r="P1907" s="5989"/>
      <c r="Q1907" s="5990"/>
      <c r="R1907" s="972">
        <f>IF(OR($J1907=0,$J1907="Aprendida"),0,SUM($J$1772:$J1907))</f>
        <v>0</v>
      </c>
    </row>
    <row r="1908" spans="1:18" ht="12.75" customHeight="1" x14ac:dyDescent="0.2">
      <c r="A1908" s="227">
        <v>1908</v>
      </c>
      <c r="B1908" s="5988"/>
      <c r="D1908" s="760"/>
      <c r="E1908" s="969" t="s">
        <v>6535</v>
      </c>
      <c r="F1908" s="593"/>
      <c r="G1908" s="593">
        <v>50</v>
      </c>
      <c r="H1908" s="593">
        <f>IF(J1909,1,0)</f>
        <v>0</v>
      </c>
      <c r="I1908" s="593">
        <v>15</v>
      </c>
      <c r="J1908" s="593">
        <f>COUNTIF(Elan!$C$13:$F$25,Tablas!E1908)+COUNTIF(Elan!$U$13:$X$25,Tablas!E1908)</f>
        <v>0</v>
      </c>
      <c r="K1908" s="593"/>
      <c r="L1908" s="5989" t="s">
        <v>6790</v>
      </c>
      <c r="M1908" s="5989"/>
      <c r="N1908" s="5989"/>
      <c r="O1908" s="5989"/>
      <c r="P1908" s="5989"/>
      <c r="Q1908" s="5990"/>
      <c r="R1908" s="972">
        <f>IF(OR($J1908=0,$J1908="Aprendida"),0,SUM($J$1772:$J1908))</f>
        <v>0</v>
      </c>
    </row>
    <row r="1909" spans="1:18" ht="12.75" customHeight="1" x14ac:dyDescent="0.2">
      <c r="A1909" s="227">
        <v>1909</v>
      </c>
      <c r="B1909" s="5988"/>
      <c r="E1909" s="969" t="s">
        <v>6536</v>
      </c>
      <c r="F1909" s="593"/>
      <c r="G1909" s="593">
        <v>50</v>
      </c>
      <c r="H1909" s="593">
        <v>1</v>
      </c>
      <c r="I1909" s="593">
        <v>5</v>
      </c>
      <c r="J1909" s="593">
        <f>COUNTIF(Elan!$C$13:$F$25,Tablas!E1909)+COUNTIF(Elan!$U$13:$X$25,Tablas!E1909)</f>
        <v>0</v>
      </c>
      <c r="K1909" s="593"/>
      <c r="L1909" s="5989" t="s">
        <v>6792</v>
      </c>
      <c r="M1909" s="5989"/>
      <c r="N1909" s="5989"/>
      <c r="O1909" s="5989"/>
      <c r="P1909" s="5989"/>
      <c r="Q1909" s="5990"/>
      <c r="R1909" s="972">
        <f>IF(OR($J1909=0,$J1909="Aprendida"),0,SUM($J$1772:$J1909))</f>
        <v>0</v>
      </c>
    </row>
    <row r="1910" spans="1:18" ht="12.75" customHeight="1" x14ac:dyDescent="0.2">
      <c r="A1910" s="227">
        <v>1910</v>
      </c>
      <c r="B1910" s="5988"/>
      <c r="E1910" s="969" t="s">
        <v>6537</v>
      </c>
      <c r="F1910" s="593"/>
      <c r="G1910" s="593">
        <v>60</v>
      </c>
      <c r="H1910" s="593">
        <v>1</v>
      </c>
      <c r="I1910" s="593">
        <v>10</v>
      </c>
      <c r="J1910" s="593">
        <f>COUNTIF(Elan!$C$13:$F$25,Tablas!E1910)+COUNTIF(Elan!$U$13:$X$25,Tablas!E1910)</f>
        <v>0</v>
      </c>
      <c r="K1910" s="593"/>
      <c r="L1910" s="5989" t="s">
        <v>10392</v>
      </c>
      <c r="M1910" s="5989"/>
      <c r="N1910" s="5989"/>
      <c r="O1910" s="5989"/>
      <c r="P1910" s="5989"/>
      <c r="Q1910" s="5990"/>
      <c r="R1910" s="972">
        <f>IF(OR($J1910=0,$J1910="Aprendida"),0,SUM($J$1772:$J1910))</f>
        <v>0</v>
      </c>
    </row>
    <row r="1911" spans="1:18" ht="12.75" customHeight="1" x14ac:dyDescent="0.2">
      <c r="A1911" s="227">
        <v>1911</v>
      </c>
      <c r="B1911" s="5988"/>
      <c r="E1911" s="969" t="s">
        <v>6538</v>
      </c>
      <c r="F1911" s="593"/>
      <c r="G1911" s="593">
        <v>70</v>
      </c>
      <c r="H1911" s="593">
        <v>1</v>
      </c>
      <c r="I1911" s="593">
        <v>20</v>
      </c>
      <c r="J1911" s="593">
        <f>COUNTIF(Elan!$C$13:$F$25,Tablas!E1911)+COUNTIF(Elan!$U$13:$X$25,Tablas!E1911)</f>
        <v>0</v>
      </c>
      <c r="K1911" s="593"/>
      <c r="L1911" s="5989" t="s">
        <v>6793</v>
      </c>
      <c r="M1911" s="5989"/>
      <c r="N1911" s="5989"/>
      <c r="O1911" s="5989"/>
      <c r="P1911" s="5989"/>
      <c r="Q1911" s="5990"/>
      <c r="R1911" s="972">
        <f>IF(OR($J1911=0,$J1911="Aprendida"),0,SUM($J$1772:$J1911))</f>
        <v>0</v>
      </c>
    </row>
    <row r="1912" spans="1:18" ht="12.75" customHeight="1" x14ac:dyDescent="0.2">
      <c r="A1912" s="227">
        <v>1912</v>
      </c>
      <c r="B1912" s="5988"/>
      <c r="E1912" s="969" t="s">
        <v>6539</v>
      </c>
      <c r="F1912" s="593"/>
      <c r="G1912" s="593">
        <v>70</v>
      </c>
      <c r="H1912" s="593">
        <v>1</v>
      </c>
      <c r="I1912" s="593">
        <v>10</v>
      </c>
      <c r="J1912" s="593">
        <f>COUNTIF(Elan!$C$13:$F$25,Tablas!E1912)+COUNTIF(Elan!$U$13:$X$25,Tablas!E1912)</f>
        <v>0</v>
      </c>
      <c r="K1912" s="593"/>
      <c r="L1912" s="5989" t="s">
        <v>10393</v>
      </c>
      <c r="M1912" s="5989"/>
      <c r="N1912" s="5989"/>
      <c r="O1912" s="5989"/>
      <c r="P1912" s="5989"/>
      <c r="Q1912" s="5990"/>
      <c r="R1912" s="972">
        <f>IF(OR($J1912=0,$J1912="Aprendida"),0,SUM($J$1772:$J1912))</f>
        <v>0</v>
      </c>
    </row>
    <row r="1913" spans="1:18" ht="12.75" customHeight="1" x14ac:dyDescent="0.2">
      <c r="A1913" s="227">
        <v>1913</v>
      </c>
      <c r="B1913" s="5988"/>
      <c r="E1913" s="969" t="s">
        <v>6540</v>
      </c>
      <c r="F1913" s="593"/>
      <c r="G1913" s="593">
        <v>80</v>
      </c>
      <c r="H1913" s="593">
        <f>IF(J1908,1,0)</f>
        <v>0</v>
      </c>
      <c r="I1913" s="593">
        <v>20</v>
      </c>
      <c r="J1913" s="593">
        <f>COUNTIF(Elan!$C$13:$F$25,Tablas!E1913)+COUNTIF(Elan!$U$13:$X$25,Tablas!E1913)</f>
        <v>0</v>
      </c>
      <c r="K1913" s="593"/>
      <c r="L1913" s="5989" t="s">
        <v>6794</v>
      </c>
      <c r="M1913" s="5989"/>
      <c r="N1913" s="5989"/>
      <c r="O1913" s="5989"/>
      <c r="P1913" s="5989"/>
      <c r="Q1913" s="5990"/>
      <c r="R1913" s="972">
        <f>IF(OR($J1913=0,$J1913="Aprendida"),0,SUM($J$1772:$J1913))</f>
        <v>0</v>
      </c>
    </row>
    <row r="1914" spans="1:18" ht="12.75" customHeight="1" x14ac:dyDescent="0.2">
      <c r="A1914" s="227">
        <v>1914</v>
      </c>
      <c r="B1914" s="5988"/>
      <c r="E1914" s="969" t="s">
        <v>471</v>
      </c>
      <c r="F1914" s="593"/>
      <c r="G1914" s="593">
        <v>90</v>
      </c>
      <c r="H1914" s="593">
        <f>IF(J1908,1,0)</f>
        <v>0</v>
      </c>
      <c r="I1914" s="593">
        <v>10</v>
      </c>
      <c r="J1914" s="593">
        <f>COUNTIF(Elan!$C$13:$F$25,Tablas!E1914)+COUNTIF(Elan!$U$13:$X$25,Tablas!E1914)</f>
        <v>0</v>
      </c>
      <c r="K1914" s="593"/>
      <c r="L1914" s="5989" t="s">
        <v>6795</v>
      </c>
      <c r="M1914" s="5989"/>
      <c r="N1914" s="5989"/>
      <c r="O1914" s="5989"/>
      <c r="P1914" s="5989"/>
      <c r="Q1914" s="5990"/>
      <c r="R1914" s="972">
        <f>IF(OR($J1914=0,$J1914="Aprendida"),0,SUM($J$1772:$J1914))</f>
        <v>0</v>
      </c>
    </row>
    <row r="1915" spans="1:18" ht="12.75" customHeight="1" x14ac:dyDescent="0.2">
      <c r="A1915" s="227">
        <v>1915</v>
      </c>
      <c r="B1915" s="5988"/>
      <c r="E1915" s="969" t="s">
        <v>6541</v>
      </c>
      <c r="F1915" s="593"/>
      <c r="G1915" s="593">
        <v>100</v>
      </c>
      <c r="H1915" s="593">
        <v>1</v>
      </c>
      <c r="I1915" s="593">
        <v>10</v>
      </c>
      <c r="J1915" s="593">
        <f>COUNTIF(Elan!$C$13:$F$25,Tablas!E1915)+COUNTIF(Elan!$U$13:$X$25,Tablas!E1915)</f>
        <v>0</v>
      </c>
      <c r="K1915" s="593"/>
      <c r="L1915" s="5989" t="s">
        <v>6796</v>
      </c>
      <c r="M1915" s="5989"/>
      <c r="N1915" s="5989"/>
      <c r="O1915" s="5989"/>
      <c r="P1915" s="5989"/>
      <c r="Q1915" s="5990"/>
      <c r="R1915" s="972">
        <f>IF(OR($J1915=0,$J1915="Aprendida"),0,SUM($J$1772:$J1915))</f>
        <v>0</v>
      </c>
    </row>
    <row r="1916" spans="1:18" ht="12.75" customHeight="1" x14ac:dyDescent="0.2">
      <c r="A1916" s="227">
        <v>1916</v>
      </c>
      <c r="B1916" s="5988"/>
      <c r="E1916" s="968" t="s">
        <v>6415</v>
      </c>
      <c r="F1916" s="1383">
        <f>IF(Elan!$C$11=Tablas!$E1916,Elan!$G$11,IF(Elan!$U$11=Tablas!$E1916,Elan!$Y$11,0))</f>
        <v>0</v>
      </c>
      <c r="G1916" s="961" t="s">
        <v>1820</v>
      </c>
      <c r="H1916" s="961" t="s">
        <v>8309</v>
      </c>
      <c r="I1916" s="961" t="s">
        <v>1490</v>
      </c>
      <c r="J1916" s="961" t="s">
        <v>6418</v>
      </c>
      <c r="K1916" s="961" t="s">
        <v>7078</v>
      </c>
      <c r="L1916" s="961" t="s">
        <v>1549</v>
      </c>
      <c r="M1916" s="594"/>
      <c r="N1916" s="594"/>
      <c r="O1916" s="594"/>
      <c r="P1916" s="594"/>
      <c r="Q1916" s="966"/>
      <c r="R1916" s="972">
        <f>IF(OR($J1916=0,$J1916="Aprendida"),0,SUM($J$1772:$J1916))</f>
        <v>0</v>
      </c>
    </row>
    <row r="1917" spans="1:18" ht="12.75" customHeight="1" x14ac:dyDescent="0.2">
      <c r="A1917" s="227">
        <v>1917</v>
      </c>
      <c r="B1917" s="5988"/>
      <c r="E1917" s="969" t="s">
        <v>6542</v>
      </c>
      <c r="F1917" s="593"/>
      <c r="G1917" s="593">
        <v>10</v>
      </c>
      <c r="H1917" s="593">
        <v>1</v>
      </c>
      <c r="I1917" s="593">
        <v>10</v>
      </c>
      <c r="J1917" s="593">
        <f>COUNTIF(Elan!$C$13:$F$25,Tablas!E1917)+COUNTIF(Elan!$U$13:$X$25,Tablas!E1917)</f>
        <v>0</v>
      </c>
      <c r="K1917" s="593"/>
      <c r="L1917" s="5989" t="s">
        <v>6797</v>
      </c>
      <c r="M1917" s="5989"/>
      <c r="N1917" s="5989"/>
      <c r="O1917" s="5989"/>
      <c r="P1917" s="5989"/>
      <c r="Q1917" s="5990"/>
      <c r="R1917" s="972">
        <f>IF(OR($J1917=0,$J1917="Aprendida"),0,SUM($J$1772:$J1917))</f>
        <v>0</v>
      </c>
    </row>
    <row r="1918" spans="1:18" ht="12.75" customHeight="1" x14ac:dyDescent="0.2">
      <c r="A1918" s="227">
        <v>1918</v>
      </c>
      <c r="B1918" s="5988"/>
      <c r="E1918" s="969" t="s">
        <v>6543</v>
      </c>
      <c r="F1918" s="593"/>
      <c r="G1918" s="593">
        <v>20</v>
      </c>
      <c r="H1918" s="593">
        <v>1</v>
      </c>
      <c r="I1918" s="593">
        <v>5</v>
      </c>
      <c r="J1918" s="593">
        <f>COUNTIF(Elan!$C$13:$F$25,Tablas!E1918)+COUNTIF(Elan!$U$13:$X$25,Tablas!E1918)</f>
        <v>0</v>
      </c>
      <c r="K1918" s="593"/>
      <c r="L1918" s="5989" t="str">
        <f>"Baja "&amp;FLOOR(F1916/20,1)*2&amp;" grados el resultado necesario para obtener una Tirada Abierta, a la vez que amplía en "&amp;FLOOR(F1916/20,1)&amp;"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8" s="5989"/>
      <c r="N1918" s="5989"/>
      <c r="O1918" s="5989"/>
      <c r="P1918" s="5989"/>
      <c r="Q1918" s="5990"/>
      <c r="R1918" s="972">
        <f>IF(OR($J1918=0,$J1918="Aprendida"),0,SUM($J$1772:$J1918))</f>
        <v>0</v>
      </c>
    </row>
    <row r="1919" spans="1:18" ht="12.75" customHeight="1" x14ac:dyDescent="0.2">
      <c r="A1919" s="227">
        <v>1919</v>
      </c>
      <c r="B1919" s="5988"/>
      <c r="E1919" s="969" t="s">
        <v>495</v>
      </c>
      <c r="F1919" s="593"/>
      <c r="G1919" s="593">
        <v>30</v>
      </c>
      <c r="H1919" s="593">
        <v>1</v>
      </c>
      <c r="I1919" s="593">
        <v>5</v>
      </c>
      <c r="J1919" s="593">
        <f>COUNTIF(Elan!$C$13:$F$25,Tablas!E1919)+COUNTIF(Elan!$U$13:$X$25,Tablas!E1919)</f>
        <v>0</v>
      </c>
      <c r="K1919" s="593"/>
      <c r="L1919" s="5989" t="s">
        <v>6804</v>
      </c>
      <c r="M1919" s="5989"/>
      <c r="N1919" s="5989"/>
      <c r="O1919" s="5989"/>
      <c r="P1919" s="5989"/>
      <c r="Q1919" s="5990"/>
      <c r="R1919" s="972">
        <f>IF(OR($J1919=0,$J1919="Aprendida"),0,SUM($J$1772:$J1919))</f>
        <v>0</v>
      </c>
    </row>
    <row r="1920" spans="1:18" ht="12.75" customHeight="1" x14ac:dyDescent="0.2">
      <c r="A1920" s="227">
        <v>1920</v>
      </c>
      <c r="B1920" s="5988"/>
      <c r="E1920" s="969" t="s">
        <v>6544</v>
      </c>
      <c r="F1920" s="593"/>
      <c r="G1920" s="593">
        <v>40</v>
      </c>
      <c r="H1920" s="593">
        <v>1</v>
      </c>
      <c r="I1920" s="593">
        <v>10</v>
      </c>
      <c r="J1920" s="593">
        <f>COUNTIF(Elan!$C$13:$F$25,Tablas!E1920)+COUNTIF(Elan!$U$13:$X$25,Tablas!E1920)</f>
        <v>0</v>
      </c>
      <c r="K1920" s="593"/>
      <c r="L1920" s="5989" t="str">
        <f>"El PJ tiene el poder de robar la fortuna de otros individuos, obteniendo temporalmente la buena suerte de los demás si estos no superan un control de RM contra "&amp;F1916*2&amp;"."</f>
        <v>El PJ tiene el poder de robar la fortuna de otros individuos, obteniendo temporalmente la buena suerte de los demás si estos no superan un control de RM contra 0.</v>
      </c>
      <c r="M1920" s="5989"/>
      <c r="N1920" s="5989"/>
      <c r="O1920" s="5989"/>
      <c r="P1920" s="5989"/>
      <c r="Q1920" s="5990"/>
      <c r="R1920" s="972">
        <f>IF(OR($J1920=0,$J1920="Aprendida"),0,SUM($J$1772:$J1920))</f>
        <v>0</v>
      </c>
    </row>
    <row r="1921" spans="1:18" ht="12.75" customHeight="1" x14ac:dyDescent="0.2">
      <c r="A1921" s="227">
        <v>1921</v>
      </c>
      <c r="B1921" s="5988"/>
      <c r="E1921" s="969" t="s">
        <v>6545</v>
      </c>
      <c r="F1921" s="593"/>
      <c r="G1921" s="593">
        <v>50</v>
      </c>
      <c r="H1921" s="593">
        <v>1</v>
      </c>
      <c r="I1921" s="593">
        <v>10</v>
      </c>
      <c r="J1921" s="593">
        <f>COUNTIF(Elan!$C$13:$F$25,Tablas!E1921)+COUNTIF(Elan!$U$13:$X$25,Tablas!E1921)</f>
        <v>0</v>
      </c>
      <c r="K1921" s="593"/>
      <c r="L1921" s="5989" t="str">
        <f>"El PJ obtiene la capacidad de repetir una de sus tiradas de dados y quedarse con este nuevo resultado, aunque este sea inferior al primero. Puede usarse "&amp;FLOOR(F1916/10,1)&amp;" veces por sesión de juego."</f>
        <v>El PJ obtiene la capacidad de repetir una de sus tiradas de dados y quedarse con este nuevo resultado, aunque este sea inferior al primero. Puede usarse 0 veces por sesión de juego.</v>
      </c>
      <c r="M1921" s="5989"/>
      <c r="N1921" s="5989"/>
      <c r="O1921" s="5989"/>
      <c r="P1921" s="5989"/>
      <c r="Q1921" s="5990"/>
      <c r="R1921" s="972">
        <f>IF(OR($J1921=0,$J1921="Aprendida"),0,SUM($J$1772:$J1921))</f>
        <v>0</v>
      </c>
    </row>
    <row r="1922" spans="1:18" ht="12.75" customHeight="1" x14ac:dyDescent="0.2">
      <c r="A1922" s="227">
        <v>1922</v>
      </c>
      <c r="B1922" s="5988"/>
      <c r="E1922" s="969" t="s">
        <v>6546</v>
      </c>
      <c r="F1922" s="593"/>
      <c r="G1922" s="593">
        <v>50</v>
      </c>
      <c r="H1922" s="593">
        <v>1</v>
      </c>
      <c r="I1922" s="593">
        <v>15</v>
      </c>
      <c r="J1922" s="593">
        <f>COUNTIF(Elan!$C$13:$F$25,Tablas!E1922)+COUNTIF(Elan!$U$13:$X$25,Tablas!E1922)</f>
        <v>0</v>
      </c>
      <c r="K1922" s="593"/>
      <c r="L1922" s="5989" t="str">
        <f>"El PJ obtiene "&amp;F1916*2&amp;" PDs con los que podrá elegir cualquier poder sobrenatural como si tuviera Gnosis 25."</f>
        <v>El PJ obtiene 0 PDs con los que podrá elegir cualquier poder sobrenatural como si tuviera Gnosis 25.</v>
      </c>
      <c r="M1922" s="5989"/>
      <c r="N1922" s="5989"/>
      <c r="O1922" s="5989"/>
      <c r="P1922" s="5989"/>
      <c r="Q1922" s="5990"/>
      <c r="R1922" s="972">
        <f>IF(OR($J1922=0,$J1922="Aprendida"),0,SUM($J$1772:$J1922))</f>
        <v>0</v>
      </c>
    </row>
    <row r="1923" spans="1:18" ht="12.75" customHeight="1" x14ac:dyDescent="0.2">
      <c r="A1923" s="227">
        <v>1923</v>
      </c>
      <c r="B1923" s="5988"/>
      <c r="E1923" s="969" t="s">
        <v>496</v>
      </c>
      <c r="F1923" s="593"/>
      <c r="G1923" s="593">
        <v>60</v>
      </c>
      <c r="H1923" s="593">
        <v>1</v>
      </c>
      <c r="I1923" s="593">
        <v>10</v>
      </c>
      <c r="J1923" s="593">
        <f>COUNTIF(Elan!$C$13:$F$25,Tablas!E1923)+COUNTIF(Elan!$U$13:$X$25,Tablas!E1923)</f>
        <v>0</v>
      </c>
      <c r="K1923" s="593"/>
      <c r="L1923" s="5989" t="s">
        <v>6810</v>
      </c>
      <c r="M1923" s="5989"/>
      <c r="N1923" s="5989"/>
      <c r="O1923" s="5989"/>
      <c r="P1923" s="5989"/>
      <c r="Q1923" s="5990"/>
      <c r="R1923" s="972">
        <f>IF(OR($J1923=0,$J1923="Aprendida"),0,SUM($J$1772:$J1923))</f>
        <v>0</v>
      </c>
    </row>
    <row r="1924" spans="1:18" ht="12.75" customHeight="1" x14ac:dyDescent="0.2">
      <c r="A1924" s="227">
        <v>1924</v>
      </c>
      <c r="B1924" s="5988"/>
      <c r="E1924" s="969" t="s">
        <v>6547</v>
      </c>
      <c r="F1924" s="593"/>
      <c r="G1924" s="593">
        <v>70</v>
      </c>
      <c r="H1924" s="593">
        <f>IF(J1921,1,0)</f>
        <v>0</v>
      </c>
      <c r="I1924" s="593">
        <v>15</v>
      </c>
      <c r="J1924" s="593">
        <f>COUNTIF(Elan!$C$13:$F$25,Tablas!E1924)+COUNTIF(Elan!$U$13:$X$25,Tablas!E1924)</f>
        <v>0</v>
      </c>
      <c r="K1924" s="593"/>
      <c r="L1924" s="5989" t="s">
        <v>6811</v>
      </c>
      <c r="M1924" s="5989"/>
      <c r="N1924" s="5989"/>
      <c r="O1924" s="5989"/>
      <c r="P1924" s="5989"/>
      <c r="Q1924" s="5990"/>
      <c r="R1924" s="972">
        <f>IF(OR($J1924=0,$J1924="Aprendida"),0,SUM($J$1772:$J1924))</f>
        <v>0</v>
      </c>
    </row>
    <row r="1925" spans="1:18" ht="12.75" customHeight="1" x14ac:dyDescent="0.2">
      <c r="A1925" s="227">
        <v>1925</v>
      </c>
      <c r="B1925" s="5988"/>
      <c r="E1925" s="969" t="s">
        <v>6548</v>
      </c>
      <c r="F1925" s="593"/>
      <c r="G1925" s="593">
        <v>80</v>
      </c>
      <c r="H1925" s="593">
        <v>1</v>
      </c>
      <c r="I1925" s="593">
        <v>15</v>
      </c>
      <c r="J1925" s="593">
        <f>COUNTIF(Elan!$C$13:$F$25,Tablas!E1925)+COUNTIF(Elan!$U$13:$X$25,Tablas!E1925)</f>
        <v>0</v>
      </c>
      <c r="K1925" s="593"/>
      <c r="L1925" s="5989" t="str">
        <f>"El PJ puede provocar que una de sus tiradas sea automáticamente abierta sin importar el resultado obtenido. Puede usarse "&amp;FLOOR(F1916/20,1)&amp;" veces por sesión de juego."</f>
        <v>El PJ puede provocar que una de sus tiradas sea automáticamente abierta sin importar el resultado obtenido. Puede usarse 0 veces por sesión de juego.</v>
      </c>
      <c r="M1925" s="5989"/>
      <c r="N1925" s="5989"/>
      <c r="O1925" s="5989"/>
      <c r="P1925" s="5989"/>
      <c r="Q1925" s="5990"/>
      <c r="R1925" s="972">
        <f>IF(OR($J1925=0,$J1925="Aprendida"),0,SUM($J$1772:$J1925))</f>
        <v>0</v>
      </c>
    </row>
    <row r="1926" spans="1:18" ht="12.75" customHeight="1" x14ac:dyDescent="0.2">
      <c r="A1926" s="227">
        <v>1926</v>
      </c>
      <c r="B1926" s="5988"/>
      <c r="E1926" s="969" t="s">
        <v>6549</v>
      </c>
      <c r="F1926" s="593"/>
      <c r="G1926" s="593">
        <v>90</v>
      </c>
      <c r="H1926" s="593">
        <v>1</v>
      </c>
      <c r="I1926" s="593">
        <v>15</v>
      </c>
      <c r="J1926" s="593">
        <f>COUNTIF(Elan!$C$13:$F$25,Tablas!E1926)+COUNTIF(Elan!$U$13:$X$25,Tablas!E1926)</f>
        <v>0</v>
      </c>
      <c r="K1926" s="593"/>
      <c r="L1926" s="5989" t="str">
        <f>"Una vez al día el PJ puede obligar a un ser a superar un control de RM contra "&amp;F1916*2&amp;"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26" s="5989"/>
      <c r="N1926" s="5989"/>
      <c r="O1926" s="5989"/>
      <c r="P1926" s="5989"/>
      <c r="Q1926" s="5990"/>
      <c r="R1926" s="972">
        <f>IF(OR($J1926=0,$J1926="Aprendida"),0,SUM($J$1772:$J1926))</f>
        <v>0</v>
      </c>
    </row>
    <row r="1927" spans="1:18" ht="12.75" customHeight="1" x14ac:dyDescent="0.2">
      <c r="A1927" s="227">
        <v>1927</v>
      </c>
      <c r="B1927" s="5988"/>
      <c r="E1927" s="969" t="s">
        <v>6550</v>
      </c>
      <c r="F1927" s="593"/>
      <c r="G1927" s="593">
        <v>100</v>
      </c>
      <c r="H1927" s="593">
        <f>IF(J1923,1,0)</f>
        <v>0</v>
      </c>
      <c r="I1927" s="593">
        <v>10</v>
      </c>
      <c r="J1927" s="593">
        <f>COUNTIF(Elan!$C$13:$F$25,Tablas!E1927)+COUNTIF(Elan!$U$13:$X$25,Tablas!E1927)</f>
        <v>0</v>
      </c>
      <c r="K1927" s="593"/>
      <c r="L1927" s="5989" t="s">
        <v>6812</v>
      </c>
      <c r="M1927" s="5989"/>
      <c r="N1927" s="5989"/>
      <c r="O1927" s="5989"/>
      <c r="P1927" s="5989"/>
      <c r="Q1927" s="5990"/>
      <c r="R1927" s="972">
        <f>IF(OR($J1927=0,$J1927="Aprendida"),0,SUM($J$1772:$J1927))</f>
        <v>0</v>
      </c>
    </row>
    <row r="1928" spans="1:18" ht="12.75" customHeight="1" x14ac:dyDescent="0.2">
      <c r="A1928" s="227">
        <v>1928</v>
      </c>
      <c r="B1928" s="5988"/>
      <c r="E1928" s="968" t="s">
        <v>6416</v>
      </c>
      <c r="F1928" s="1383">
        <f>IF(Elan!$C$11=Tablas!$E1928,Elan!$G$11,IF(Elan!$U$11=Tablas!$E1928,Elan!$Y$11,0))</f>
        <v>0</v>
      </c>
      <c r="G1928" s="961" t="s">
        <v>1820</v>
      </c>
      <c r="H1928" s="961" t="s">
        <v>8309</v>
      </c>
      <c r="I1928" s="961" t="s">
        <v>1490</v>
      </c>
      <c r="J1928" s="961" t="s">
        <v>6418</v>
      </c>
      <c r="K1928" s="961" t="s">
        <v>7078</v>
      </c>
      <c r="L1928" s="961" t="s">
        <v>1549</v>
      </c>
      <c r="M1928" s="594"/>
      <c r="N1928" s="594"/>
      <c r="O1928" s="594"/>
      <c r="P1928" s="594"/>
      <c r="Q1928" s="966"/>
      <c r="R1928" s="972">
        <f>IF(OR($J1928=0,$J1928="Aprendida"),0,SUM($J$1772:$J1928))</f>
        <v>0</v>
      </c>
    </row>
    <row r="1929" spans="1:18" ht="12.75" customHeight="1" x14ac:dyDescent="0.2">
      <c r="A1929" s="227">
        <v>1929</v>
      </c>
      <c r="B1929" s="5988"/>
      <c r="E1929" s="969" t="s">
        <v>6551</v>
      </c>
      <c r="F1929" s="593"/>
      <c r="G1929" s="593">
        <v>10</v>
      </c>
      <c r="H1929" s="593">
        <v>1</v>
      </c>
      <c r="I1929" s="593">
        <v>5</v>
      </c>
      <c r="J1929" s="593">
        <f>COUNTIF(Elan!$C$13:$F$25,Tablas!E1929)+COUNTIF(Elan!$U$13:$X$25,Tablas!E1929)</f>
        <v>0</v>
      </c>
      <c r="K1929" s="593"/>
      <c r="L1929" s="5989" t="s">
        <v>6813</v>
      </c>
      <c r="M1929" s="5989"/>
      <c r="N1929" s="5989"/>
      <c r="O1929" s="5989"/>
      <c r="P1929" s="5989"/>
      <c r="Q1929" s="5990"/>
      <c r="R1929" s="972">
        <f>IF(OR($J1929=0,$J1929="Aprendida"),0,SUM($J$1772:$J1929))</f>
        <v>0</v>
      </c>
    </row>
    <row r="1930" spans="1:18" ht="12.75" customHeight="1" x14ac:dyDescent="0.2">
      <c r="A1930" s="227">
        <v>1930</v>
      </c>
      <c r="B1930" s="5988"/>
      <c r="E1930" s="969" t="s">
        <v>6552</v>
      </c>
      <c r="F1930" s="593"/>
      <c r="G1930" s="593">
        <v>20</v>
      </c>
      <c r="H1930" s="593">
        <v>1</v>
      </c>
      <c r="I1930" s="593">
        <v>5</v>
      </c>
      <c r="J1930" s="593">
        <f>COUNTIF(Elan!$C$13:$F$25,Tablas!E1930)+COUNTIF(Elan!$U$13:$X$25,Tablas!E1930)</f>
        <v>0</v>
      </c>
      <c r="K1930" s="593"/>
      <c r="L1930" s="5989" t="s">
        <v>6817</v>
      </c>
      <c r="M1930" s="5989"/>
      <c r="N1930" s="5989"/>
      <c r="O1930" s="5989"/>
      <c r="P1930" s="5989"/>
      <c r="Q1930" s="5990"/>
      <c r="R1930" s="972">
        <f>IF(OR($J1930=0,$J1930="Aprendida"),0,SUM($J$1772:$J1930))</f>
        <v>0</v>
      </c>
    </row>
    <row r="1931" spans="1:18" ht="12.75" customHeight="1" x14ac:dyDescent="0.2">
      <c r="A1931" s="227">
        <v>1931</v>
      </c>
      <c r="B1931" s="5988"/>
      <c r="E1931" s="969" t="s">
        <v>6553</v>
      </c>
      <c r="F1931" s="593"/>
      <c r="G1931" s="593">
        <v>30</v>
      </c>
      <c r="H1931" s="593">
        <v>1</v>
      </c>
      <c r="I1931" s="593">
        <v>5</v>
      </c>
      <c r="J1931" s="593">
        <f>COUNTIF(Elan!$C$13:$F$25,Tablas!E1931)+COUNTIF(Elan!$U$13:$X$25,Tablas!E1931)</f>
        <v>0</v>
      </c>
      <c r="K1931" s="593">
        <f>F1928*J1931</f>
        <v>0</v>
      </c>
      <c r="L1931" s="5989" t="str">
        <f>"Obtiene un bonificador especial a la habilidad secundaria Persuasión (Seducción) de +"&amp;F1928&amp;"."</f>
        <v>Obtiene un bonificador especial a la habilidad secundaria Persuasión (Seducción) de +0.</v>
      </c>
      <c r="M1931" s="5989"/>
      <c r="N1931" s="5989"/>
      <c r="O1931" s="5989"/>
      <c r="P1931" s="5989"/>
      <c r="Q1931" s="5990"/>
      <c r="R1931" s="972">
        <f>IF(OR($J1931=0,$J1931="Aprendida"),0,SUM($J$1772:$J1931))</f>
        <v>0</v>
      </c>
    </row>
    <row r="1932" spans="1:18" ht="12.75" customHeight="1" x14ac:dyDescent="0.2">
      <c r="A1932" s="227">
        <v>1932</v>
      </c>
      <c r="B1932" s="5988"/>
      <c r="E1932" s="969" t="s">
        <v>6554</v>
      </c>
      <c r="F1932" s="593"/>
      <c r="G1932" s="593">
        <v>40</v>
      </c>
      <c r="H1932" s="593">
        <v>1</v>
      </c>
      <c r="I1932" s="593">
        <v>10</v>
      </c>
      <c r="J1932" s="593">
        <f>COUNTIF(Elan!$C$13:$F$25,Tablas!E1932)+COUNTIF(Elan!$U$13:$X$25,Tablas!E1932)</f>
        <v>0</v>
      </c>
      <c r="K1932" s="593"/>
      <c r="L1932" s="5989" t="s">
        <v>6823</v>
      </c>
      <c r="M1932" s="5989"/>
      <c r="N1932" s="5989"/>
      <c r="O1932" s="5989"/>
      <c r="P1932" s="5989"/>
      <c r="Q1932" s="5990"/>
      <c r="R1932" s="972">
        <f>IF(OR($J1932=0,$J1932="Aprendida"),0,SUM($J$1772:$J1932))</f>
        <v>0</v>
      </c>
    </row>
    <row r="1933" spans="1:18" ht="12.75" customHeight="1" x14ac:dyDescent="0.2">
      <c r="A1933" s="227">
        <v>1933</v>
      </c>
      <c r="B1933" s="5988"/>
      <c r="E1933" s="969" t="s">
        <v>8310</v>
      </c>
      <c r="F1933" s="593"/>
      <c r="G1933" s="593">
        <v>50</v>
      </c>
      <c r="H1933" s="593">
        <v>1</v>
      </c>
      <c r="I1933" s="593">
        <v>10</v>
      </c>
      <c r="J1933" s="593">
        <f>COUNTIF(Elan!$C$13:$F$25,Tablas!E1933)+COUNTIF(Elan!$U$13:$X$25,Tablas!E1933)</f>
        <v>0</v>
      </c>
      <c r="K1933" s="593"/>
      <c r="L1933" s="5989" t="str">
        <f>"El PJ se vuelve inmune a los efectos de cualquier estado psicológico. Si se le inducen sobrenaturalmente aplica un bono de +"&amp;F1928&amp;" a su RM."</f>
        <v>El PJ se vuelve inmune a los efectos de cualquier estado psicológico. Si se le inducen sobrenaturalmente aplica un bono de +0 a su RM.</v>
      </c>
      <c r="M1933" s="5989"/>
      <c r="N1933" s="5989"/>
      <c r="O1933" s="5989"/>
      <c r="P1933" s="5989"/>
      <c r="Q1933" s="5990"/>
      <c r="R1933" s="972">
        <f>IF(OR($J1933=0,$J1933="Aprendida"),0,SUM($J$1772:$J1933))</f>
        <v>0</v>
      </c>
    </row>
    <row r="1934" spans="1:18" ht="12.75" customHeight="1" x14ac:dyDescent="0.2">
      <c r="A1934" s="227">
        <v>1934</v>
      </c>
      <c r="B1934" s="5988"/>
      <c r="E1934" s="969" t="s">
        <v>6555</v>
      </c>
      <c r="F1934" s="593"/>
      <c r="G1934" s="593">
        <v>60</v>
      </c>
      <c r="H1934" s="593">
        <v>1</v>
      </c>
      <c r="I1934" s="593">
        <v>10</v>
      </c>
      <c r="J1934" s="593">
        <f>COUNTIF(Elan!$C$13:$F$25,Tablas!E1934)+COUNTIF(Elan!$U$13:$X$25,Tablas!E1934)</f>
        <v>0</v>
      </c>
      <c r="K1934" s="593"/>
      <c r="L1934" s="5989" t="s">
        <v>6827</v>
      </c>
      <c r="M1934" s="5989"/>
      <c r="N1934" s="5989"/>
      <c r="O1934" s="5989"/>
      <c r="P1934" s="5989"/>
      <c r="Q1934" s="5990"/>
      <c r="R1934" s="972">
        <f>IF(OR($J1934=0,$J1934="Aprendida"),0,SUM($J$1772:$J1934))</f>
        <v>0</v>
      </c>
    </row>
    <row r="1935" spans="1:18" ht="12.75" customHeight="1" x14ac:dyDescent="0.2">
      <c r="A1935" s="227">
        <v>1935</v>
      </c>
      <c r="B1935" s="5988"/>
      <c r="E1935" s="969" t="s">
        <v>6556</v>
      </c>
      <c r="F1935" s="593"/>
      <c r="G1935" s="593">
        <v>60</v>
      </c>
      <c r="H1935" s="593">
        <v>1</v>
      </c>
      <c r="I1935" s="593">
        <v>15</v>
      </c>
      <c r="J1935" s="593">
        <f>COUNTIF(Elan!$C$13:$F$25,Tablas!E1935)+COUNTIF(Elan!$U$13:$X$25,Tablas!E1935)</f>
        <v>0</v>
      </c>
      <c r="K1935" s="593"/>
      <c r="L1935" s="5989" t="str">
        <f>"Si algún ser mira o habla con el PJ y no supera un control de RM contra "&amp;F1928*2&amp;",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35" s="5989"/>
      <c r="N1935" s="5989"/>
      <c r="O1935" s="5989"/>
      <c r="P1935" s="5989"/>
      <c r="Q1935" s="5990"/>
      <c r="R1935" s="972">
        <f>IF(OR($J1935=0,$J1935="Aprendida"),0,SUM($J$1772:$J1935))</f>
        <v>0</v>
      </c>
    </row>
    <row r="1936" spans="1:18" ht="12.75" customHeight="1" x14ac:dyDescent="0.2">
      <c r="A1936" s="227">
        <v>1936</v>
      </c>
      <c r="B1936" s="5988"/>
      <c r="E1936" s="969" t="s">
        <v>6557</v>
      </c>
      <c r="F1936" s="593"/>
      <c r="G1936" s="593">
        <v>70</v>
      </c>
      <c r="H1936" s="593">
        <f>IF(J1934,1,0)</f>
        <v>0</v>
      </c>
      <c r="I1936" s="593">
        <v>15</v>
      </c>
      <c r="J1936" s="593">
        <f>COUNTIF(Elan!$C$13:$F$25,Tablas!E1936)+COUNTIF(Elan!$U$13:$X$25,Tablas!E1936)</f>
        <v>0</v>
      </c>
      <c r="K1936" s="593"/>
      <c r="L1936" s="5989" t="str">
        <f>"El PJ puede revocar una acción activa realizada por otro individuo durante ese mismo asalto si este no supera una RM contra 140. Puede usarse "&amp;FLOOR(F1928/10,1)&amp;" veces por semana."</f>
        <v>El PJ puede revocar una acción activa realizada por otro individuo durante ese mismo asalto si este no supera una RM contra 140. Puede usarse 0 veces por semana.</v>
      </c>
      <c r="M1936" s="5989"/>
      <c r="N1936" s="5989"/>
      <c r="O1936" s="5989"/>
      <c r="P1936" s="5989"/>
      <c r="Q1936" s="5990"/>
      <c r="R1936" s="972">
        <f>IF(OR($J1936=0,$J1936="Aprendida"),0,SUM($J$1772:$J1936))</f>
        <v>0</v>
      </c>
    </row>
    <row r="1937" spans="1:18" ht="12.75" customHeight="1" x14ac:dyDescent="0.2">
      <c r="A1937" s="227">
        <v>1937</v>
      </c>
      <c r="B1937" s="5988"/>
      <c r="E1937" s="969" t="s">
        <v>6558</v>
      </c>
      <c r="F1937" s="593"/>
      <c r="G1937" s="593">
        <v>80</v>
      </c>
      <c r="H1937" s="593">
        <v>1</v>
      </c>
      <c r="I1937" s="593">
        <v>15</v>
      </c>
      <c r="J1937" s="593">
        <f>COUNTIF(Elan!$C$13:$F$25,Tablas!E1937)+COUNTIF(Elan!$U$13:$X$25,Tablas!E1937)</f>
        <v>0</v>
      </c>
      <c r="K1937" s="593"/>
      <c r="L1937" s="5989" t="s">
        <v>6828</v>
      </c>
      <c r="M1937" s="5989"/>
      <c r="N1937" s="5989"/>
      <c r="O1937" s="5989"/>
      <c r="P1937" s="5989"/>
      <c r="Q1937" s="5990"/>
      <c r="R1937" s="972">
        <f>IF(OR($J1937=0,$J1937="Aprendida"),0,SUM($J$1772:$J1937))</f>
        <v>0</v>
      </c>
    </row>
    <row r="1938" spans="1:18" ht="12.75" customHeight="1" x14ac:dyDescent="0.2">
      <c r="A1938" s="227">
        <v>1938</v>
      </c>
      <c r="B1938" s="5988"/>
      <c r="E1938" s="969" t="s">
        <v>6559</v>
      </c>
      <c r="F1938" s="593"/>
      <c r="G1938" s="593">
        <v>90</v>
      </c>
      <c r="H1938" s="593">
        <v>1</v>
      </c>
      <c r="I1938" s="593">
        <v>25</v>
      </c>
      <c r="J1938" s="593">
        <f>COUNTIF(Elan!$C$13:$F$25,Tablas!E1938)+COUNTIF(Elan!$U$13:$X$25,Tablas!E1938)</f>
        <v>0</v>
      </c>
      <c r="K1938" s="593"/>
      <c r="L1938" s="5989" t="str">
        <f>"Durante 5 asaltos el PJ lanza innatamente el conjuro ""Vacío"" de nivel 90 de la vía de Destrucción en grado base pero, al contrario de lo que indica el sortilegio, el PJ no será tragado por la apertura. Puede usarse "&amp;FLOOR(F1928/10,1)&amp;" veces al día."</f>
        <v>Durante 5 asaltos el PJ lanza innatamente el conjuro "Vacío" de nivel 90 de la vía de Destrucción en grado base pero, al contrario de lo que indica el sortilegio, el PJ no será tragado por la apertura. Puede usarse 0 veces al día.</v>
      </c>
      <c r="M1938" s="5989"/>
      <c r="N1938" s="5989"/>
      <c r="O1938" s="5989"/>
      <c r="P1938" s="5989"/>
      <c r="Q1938" s="5990"/>
      <c r="R1938" s="972">
        <f>IF(OR($J1938=0,$J1938="Aprendida"),0,SUM($J$1772:$J1938))</f>
        <v>0</v>
      </c>
    </row>
    <row r="1939" spans="1:18" ht="12.75" customHeight="1" x14ac:dyDescent="0.2">
      <c r="A1939" s="227">
        <v>1939</v>
      </c>
      <c r="B1939" s="5988"/>
      <c r="E1939" s="969" t="s">
        <v>6560</v>
      </c>
      <c r="F1939" s="593"/>
      <c r="G1939" s="593">
        <v>100</v>
      </c>
      <c r="H1939" s="593">
        <v>1</v>
      </c>
      <c r="I1939" s="593">
        <v>10</v>
      </c>
      <c r="J1939" s="593">
        <f>COUNTIF(Elan!$C$13:$F$25,Tablas!E1939)+COUNTIF(Elan!$U$13:$X$25,Tablas!E1939)</f>
        <v>0</v>
      </c>
      <c r="K1939" s="593"/>
      <c r="L1939" s="5989" t="s">
        <v>6829</v>
      </c>
      <c r="M1939" s="5989"/>
      <c r="N1939" s="5989"/>
      <c r="O1939" s="5989"/>
      <c r="P1939" s="5989"/>
      <c r="Q1939" s="5990"/>
      <c r="R1939" s="972">
        <f>IF(OR($J1939=0,$J1939="Aprendida"),0,SUM($J$1772:$J1939))</f>
        <v>0</v>
      </c>
    </row>
    <row r="1940" spans="1:18" ht="12.75" customHeight="1" x14ac:dyDescent="0.2">
      <c r="A1940" s="227">
        <v>1940</v>
      </c>
      <c r="B1940" s="5988"/>
      <c r="E1940" s="975" t="s">
        <v>6417</v>
      </c>
      <c r="F1940" s="1383">
        <f>IF(Elan!$C$11=Tablas!$E1940,Elan!$G$11,IF(Elan!$U$11=Tablas!$E1940,Elan!$Y$11,0))</f>
        <v>0</v>
      </c>
      <c r="G1940" s="961" t="s">
        <v>1820</v>
      </c>
      <c r="H1940" s="961" t="s">
        <v>8309</v>
      </c>
      <c r="I1940" s="961" t="s">
        <v>1490</v>
      </c>
      <c r="J1940" s="961" t="s">
        <v>6418</v>
      </c>
      <c r="K1940" s="961" t="s">
        <v>7078</v>
      </c>
      <c r="L1940" s="961" t="s">
        <v>1549</v>
      </c>
      <c r="M1940" s="594"/>
      <c r="N1940" s="594"/>
      <c r="O1940" s="594"/>
      <c r="P1940" s="594"/>
      <c r="Q1940" s="966"/>
      <c r="R1940" s="972">
        <f>IF(OR($J1940=0,$J1940="Aprendida"),0,SUM($J$1772:$J1940))</f>
        <v>0</v>
      </c>
    </row>
    <row r="1941" spans="1:18" ht="12.75" customHeight="1" x14ac:dyDescent="0.2">
      <c r="A1941" s="227">
        <v>1941</v>
      </c>
      <c r="B1941" s="5988"/>
      <c r="E1941" s="969" t="s">
        <v>6561</v>
      </c>
      <c r="F1941" s="593"/>
      <c r="G1941" s="593">
        <v>10</v>
      </c>
      <c r="H1941" s="593">
        <v>1</v>
      </c>
      <c r="I1941" s="593">
        <v>5</v>
      </c>
      <c r="J1941" s="593">
        <f>COUNTIF(Elan!$C$13:$F$25,Tablas!E1941)+COUNTIF(Elan!$U$13:$X$25,Tablas!E1941)</f>
        <v>0</v>
      </c>
      <c r="K1941" s="593">
        <f>F1940*J1941</f>
        <v>0</v>
      </c>
      <c r="L1941" s="5989" t="str">
        <f>"Obtiene un bonificador especial a las habilidades secundarias Frialdad y Resistir el dolor de +"&amp;K1941&amp;"."</f>
        <v>Obtiene un bonificador especial a las habilidades secundarias Frialdad y Resistir el dolor de +0.</v>
      </c>
      <c r="M1941" s="5989"/>
      <c r="N1941" s="5989"/>
      <c r="O1941" s="5989"/>
      <c r="P1941" s="5989"/>
      <c r="Q1941" s="5990"/>
      <c r="R1941" s="972">
        <f>IF(OR($J1941=0,$J1941="Aprendida"),0,SUM($J$1772:$J1941))</f>
        <v>0</v>
      </c>
    </row>
    <row r="1942" spans="1:18" ht="12.75" customHeight="1" x14ac:dyDescent="0.2">
      <c r="A1942" s="227">
        <v>1942</v>
      </c>
      <c r="B1942" s="5988"/>
      <c r="E1942" s="969" t="s">
        <v>6562</v>
      </c>
      <c r="F1942" s="593"/>
      <c r="G1942" s="593">
        <v>20</v>
      </c>
      <c r="H1942" s="593">
        <v>1</v>
      </c>
      <c r="I1942" s="593">
        <v>5</v>
      </c>
      <c r="J1942" s="593">
        <f>COUNTIF(Elan!$C$13:$F$25,Tablas!E1942)+COUNTIF(Elan!$U$13:$X$25,Tablas!E1942)</f>
        <v>0</v>
      </c>
      <c r="K1942" s="593"/>
      <c r="L1942" s="5989" t="s">
        <v>6833</v>
      </c>
      <c r="M1942" s="5989"/>
      <c r="N1942" s="5989"/>
      <c r="O1942" s="5989"/>
      <c r="P1942" s="5989"/>
      <c r="Q1942" s="5990"/>
      <c r="R1942" s="972">
        <f>IF(OR($J1942=0,$J1942="Aprendida"),0,SUM($J$1772:$J1942))</f>
        <v>0</v>
      </c>
    </row>
    <row r="1943" spans="1:18" ht="12.75" customHeight="1" x14ac:dyDescent="0.2">
      <c r="A1943" s="227">
        <v>1943</v>
      </c>
      <c r="B1943" s="5988"/>
      <c r="E1943" s="969" t="s">
        <v>6563</v>
      </c>
      <c r="F1943" s="593"/>
      <c r="G1943" s="593">
        <v>30</v>
      </c>
      <c r="H1943" s="593">
        <v>1</v>
      </c>
      <c r="I1943" s="593">
        <v>10</v>
      </c>
      <c r="J1943" s="593">
        <f>COUNTIF(Elan!$C$13:$F$25,Tablas!E1943)+COUNTIF(Elan!$U$13:$X$25,Tablas!E1943)</f>
        <v>0</v>
      </c>
      <c r="K1943" s="593"/>
      <c r="L1943" s="5989" t="s">
        <v>6837</v>
      </c>
      <c r="M1943" s="5989"/>
      <c r="N1943" s="5989"/>
      <c r="O1943" s="5989"/>
      <c r="P1943" s="5989"/>
      <c r="Q1943" s="5990"/>
      <c r="R1943" s="972">
        <f>IF(OR($J1943=0,$J1943="Aprendida"),0,SUM($J$1772:$J1943))</f>
        <v>0</v>
      </c>
    </row>
    <row r="1944" spans="1:18" ht="12.75" customHeight="1" x14ac:dyDescent="0.2">
      <c r="A1944" s="227">
        <v>1944</v>
      </c>
      <c r="B1944" s="5988"/>
      <c r="E1944" s="969" t="s">
        <v>6564</v>
      </c>
      <c r="F1944" s="593"/>
      <c r="G1944" s="593">
        <v>30</v>
      </c>
      <c r="H1944" s="593">
        <v>1</v>
      </c>
      <c r="I1944" s="593">
        <v>5</v>
      </c>
      <c r="J1944" s="593">
        <f>COUNTIF(Elan!$C$13:$F$25,Tablas!E1944)+COUNTIF(Elan!$U$13:$X$25,Tablas!E1944)</f>
        <v>0</v>
      </c>
      <c r="K1944" s="593"/>
      <c r="L1944" s="5989" t="s">
        <v>6839</v>
      </c>
      <c r="M1944" s="5989"/>
      <c r="N1944" s="5989"/>
      <c r="O1944" s="5989"/>
      <c r="P1944" s="5989"/>
      <c r="Q1944" s="5990"/>
      <c r="R1944" s="972">
        <f>IF(OR($J1944=0,$J1944="Aprendida"),0,SUM($J$1772:$J1944))</f>
        <v>0</v>
      </c>
    </row>
    <row r="1945" spans="1:18" ht="12.75" customHeight="1" x14ac:dyDescent="0.2">
      <c r="A1945" s="227">
        <v>1945</v>
      </c>
      <c r="B1945" s="5988"/>
      <c r="E1945" s="969" t="s">
        <v>6565</v>
      </c>
      <c r="F1945" s="593"/>
      <c r="G1945" s="593">
        <v>40</v>
      </c>
      <c r="H1945" s="593">
        <v>1</v>
      </c>
      <c r="I1945" s="593">
        <v>10</v>
      </c>
      <c r="J1945" s="593">
        <f>COUNTIF(Elan!$C$13:$F$25,Tablas!E1945)+COUNTIF(Elan!$U$13:$X$25,Tablas!E1945)</f>
        <v>0</v>
      </c>
      <c r="K1945" s="593"/>
      <c r="L1945" s="5989" t="str">
        <f>"Permite al PJ transmitir sus propios sentimientos de dolor y pesadumbre a un tercero si este no supera una RM o RP contra "&amp;F1940*2&amp;"."</f>
        <v>Permite al PJ transmitir sus propios sentimientos de dolor y pesadumbre a un tercero si este no supera una RM o RP contra 0.</v>
      </c>
      <c r="M1945" s="5989"/>
      <c r="N1945" s="5989"/>
      <c r="O1945" s="5989"/>
      <c r="P1945" s="5989"/>
      <c r="Q1945" s="5990"/>
      <c r="R1945" s="972">
        <f>IF(OR($J1945=0,$J1945="Aprendida"),0,SUM($J$1772:$J1945))</f>
        <v>0</v>
      </c>
    </row>
    <row r="1946" spans="1:18" ht="12.75" customHeight="1" x14ac:dyDescent="0.2">
      <c r="A1946" s="227">
        <v>1946</v>
      </c>
      <c r="B1946" s="5988"/>
      <c r="E1946" s="969" t="s">
        <v>6566</v>
      </c>
      <c r="F1946" s="593"/>
      <c r="G1946" s="593">
        <v>40</v>
      </c>
      <c r="H1946" s="593">
        <v>1</v>
      </c>
      <c r="I1946" s="593">
        <v>10</v>
      </c>
      <c r="J1946" s="593">
        <f>COUNTIF(Elan!$C$13:$F$25,Tablas!E1946)+COUNTIF(Elan!$U$13:$X$25,Tablas!E1946)</f>
        <v>0</v>
      </c>
      <c r="K1946" s="593"/>
      <c r="L1946" s="5989" t="str">
        <f>"La naturaleza del PJ se extiende como un aura, influyendo en las personas con las que conviva durante un tiempo prolongado."&amp;IF(F1940&gt;60," Además, puede intesificar el deseo de venganza en una persona en concreto.","")</f>
        <v>La naturaleza del PJ se extiende como un aura, influyendo en las personas con las que conviva durante un tiempo prolongado.</v>
      </c>
      <c r="M1946" s="5989"/>
      <c r="N1946" s="5989"/>
      <c r="O1946" s="5989"/>
      <c r="P1946" s="5989"/>
      <c r="Q1946" s="5990"/>
      <c r="R1946" s="972">
        <f>IF(OR($J1946=0,$J1946="Aprendida"),0,SUM($J$1772:$J1946))</f>
        <v>0</v>
      </c>
    </row>
    <row r="1947" spans="1:18" ht="12.75" customHeight="1" x14ac:dyDescent="0.2">
      <c r="A1947" s="227">
        <v>1947</v>
      </c>
      <c r="B1947" s="5988"/>
      <c r="E1947" s="969" t="s">
        <v>6567</v>
      </c>
      <c r="F1947" s="593"/>
      <c r="G1947" s="593">
        <v>50</v>
      </c>
      <c r="H1947" s="593">
        <v>1</v>
      </c>
      <c r="I1947" s="593">
        <v>10</v>
      </c>
      <c r="J1947" s="593">
        <f>COUNTIF(Elan!$C$13:$F$25,Tablas!E1947)+COUNTIF(Elan!$U$13:$X$25,Tablas!E1947)</f>
        <v>0</v>
      </c>
      <c r="K1947" s="593"/>
      <c r="L1947" s="5989" t="s">
        <v>10394</v>
      </c>
      <c r="M1947" s="5989"/>
      <c r="N1947" s="5989"/>
      <c r="O1947" s="5989"/>
      <c r="P1947" s="5989"/>
      <c r="Q1947" s="5990"/>
      <c r="R1947" s="972">
        <f>IF(OR($J1947=0,$J1947="Aprendida"),0,SUM($J$1772:$J1947))</f>
        <v>0</v>
      </c>
    </row>
    <row r="1948" spans="1:18" ht="12.75" customHeight="1" x14ac:dyDescent="0.2">
      <c r="A1948" s="227">
        <v>1948</v>
      </c>
      <c r="B1948" s="5988"/>
      <c r="E1948" s="969" t="s">
        <v>6568</v>
      </c>
      <c r="F1948" s="593"/>
      <c r="G1948" s="593">
        <v>60</v>
      </c>
      <c r="H1948" s="593">
        <v>1</v>
      </c>
      <c r="I1948" s="593">
        <v>10</v>
      </c>
      <c r="J1948" s="593">
        <f>COUNTIF(Elan!$C$13:$F$25,Tablas!E1948)+COUNTIF(Elan!$U$13:$X$25,Tablas!E1948)</f>
        <v>0</v>
      </c>
      <c r="K1948" s="593"/>
      <c r="L1948" s="5989" t="s">
        <v>6840</v>
      </c>
      <c r="M1948" s="5989"/>
      <c r="N1948" s="5989"/>
      <c r="O1948" s="5989"/>
      <c r="P1948" s="5989"/>
      <c r="Q1948" s="5990"/>
      <c r="R1948" s="972">
        <f>IF(OR($J1948=0,$J1948="Aprendida"),0,SUM($J$1772:$J1948))</f>
        <v>0</v>
      </c>
    </row>
    <row r="1949" spans="1:18" ht="12.75" customHeight="1" x14ac:dyDescent="0.2">
      <c r="A1949" s="227">
        <v>1949</v>
      </c>
      <c r="B1949" s="5988"/>
      <c r="E1949" s="969" t="s">
        <v>6569</v>
      </c>
      <c r="F1949" s="593"/>
      <c r="G1949" s="593">
        <v>60</v>
      </c>
      <c r="H1949" s="593">
        <f>IF(J1945,1,0)</f>
        <v>0</v>
      </c>
      <c r="I1949" s="593">
        <v>15</v>
      </c>
      <c r="J1949" s="593">
        <f>COUNTIF(Elan!$C$13:$F$25,Tablas!E1949)+COUNTIF(Elan!$U$13:$X$25,Tablas!E1949)</f>
        <v>0</v>
      </c>
      <c r="K1949" s="593"/>
      <c r="L1949" s="5989" t="str">
        <f>"El PJ es capaz de obligar a cualquier oyente a superar un control automático de RM contra "&amp;F1940+60&amp;"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9" s="5989"/>
      <c r="N1949" s="5989"/>
      <c r="O1949" s="5989"/>
      <c r="P1949" s="5989"/>
      <c r="Q1949" s="5990"/>
      <c r="R1949" s="972">
        <f>IF(OR($J1949=0,$J1949="Aprendida"),0,SUM($J$1772:$J1949))</f>
        <v>0</v>
      </c>
    </row>
    <row r="1950" spans="1:18" ht="12.75" customHeight="1" x14ac:dyDescent="0.2">
      <c r="A1950" s="227">
        <v>1950</v>
      </c>
      <c r="B1950" s="5988"/>
      <c r="E1950" s="969" t="s">
        <v>6570</v>
      </c>
      <c r="F1950" s="593"/>
      <c r="G1950" s="593">
        <v>70</v>
      </c>
      <c r="H1950" s="593">
        <v>1</v>
      </c>
      <c r="I1950" s="593">
        <v>10</v>
      </c>
      <c r="J1950" s="593">
        <f>COUNTIF(Elan!$C$13:$F$25,Tablas!E1950)+COUNTIF(Elan!$U$13:$X$25,Tablas!E1950)</f>
        <v>0</v>
      </c>
      <c r="K1950" s="593"/>
      <c r="L1950" s="5989" t="s">
        <v>10395</v>
      </c>
      <c r="M1950" s="5989"/>
      <c r="N1950" s="5989"/>
      <c r="O1950" s="5989"/>
      <c r="P1950" s="5989"/>
      <c r="Q1950" s="5990"/>
      <c r="R1950" s="972">
        <f>IF(OR($J1950=0,$J1950="Aprendida"),0,SUM($J$1772:$J1950))</f>
        <v>0</v>
      </c>
    </row>
    <row r="1951" spans="1:18" ht="12.75" customHeight="1" x14ac:dyDescent="0.2">
      <c r="A1951" s="227">
        <v>1951</v>
      </c>
      <c r="B1951" s="5988"/>
      <c r="E1951" s="969" t="s">
        <v>6571</v>
      </c>
      <c r="F1951" s="593"/>
      <c r="G1951" s="593">
        <v>80</v>
      </c>
      <c r="H1951" s="593">
        <f>IF(J1948,1,0)</f>
        <v>0</v>
      </c>
      <c r="I1951" s="593">
        <v>10</v>
      </c>
      <c r="J1951" s="593">
        <f>COUNTIF(Elan!$C$13:$F$25,Tablas!E1951)+COUNTIF(Elan!$U$13:$X$25,Tablas!E1951)</f>
        <v>0</v>
      </c>
      <c r="K1951" s="593"/>
      <c r="L1951" s="5989" t="s">
        <v>6841</v>
      </c>
      <c r="M1951" s="5989"/>
      <c r="N1951" s="5989"/>
      <c r="O1951" s="5989"/>
      <c r="P1951" s="5989"/>
      <c r="Q1951" s="5990"/>
      <c r="R1951" s="972">
        <f>IF(OR($J1951=0,$J1951="Aprendida"),0,SUM($J$1772:$J1951))</f>
        <v>0</v>
      </c>
    </row>
    <row r="1952" spans="1:18" ht="12.75" customHeight="1" x14ac:dyDescent="0.2">
      <c r="A1952" s="227">
        <v>1952</v>
      </c>
      <c r="B1952" s="5988"/>
      <c r="E1952" s="969" t="s">
        <v>6572</v>
      </c>
      <c r="F1952" s="593"/>
      <c r="G1952" s="593">
        <v>90</v>
      </c>
      <c r="H1952" s="593">
        <v>1</v>
      </c>
      <c r="I1952" s="593">
        <v>15</v>
      </c>
      <c r="J1952" s="593">
        <f>COUNTIF(Elan!$C$13:$F$25,Tablas!E1952)+COUNTIF(Elan!$U$13:$X$25,Tablas!E1952)</f>
        <v>0</v>
      </c>
      <c r="K1952" s="593"/>
      <c r="L1952" s="5989" t="s">
        <v>10396</v>
      </c>
      <c r="M1952" s="5989"/>
      <c r="N1952" s="5989"/>
      <c r="O1952" s="5989"/>
      <c r="P1952" s="5989"/>
      <c r="Q1952" s="5990"/>
      <c r="R1952" s="972">
        <f>IF(OR($J1952=0,$J1952="Aprendida"),0,SUM($J$1772:$J1952))</f>
        <v>0</v>
      </c>
    </row>
    <row r="1953" spans="1:18" ht="12.75" customHeight="1" thickBot="1" x14ac:dyDescent="0.25">
      <c r="A1953" s="227">
        <v>1953</v>
      </c>
      <c r="B1953" s="5988"/>
      <c r="E1953" s="969" t="s">
        <v>6573</v>
      </c>
      <c r="F1953" s="596"/>
      <c r="G1953" s="596">
        <v>100</v>
      </c>
      <c r="H1953" s="596">
        <f>IF(J1947,1,0)</f>
        <v>0</v>
      </c>
      <c r="I1953" s="596">
        <v>10</v>
      </c>
      <c r="J1953" s="596">
        <f>COUNTIF(Elan!$C$13:$F$25,Tablas!E1953)+COUNTIF(Elan!$U$13:$X$25,Tablas!E1953)</f>
        <v>0</v>
      </c>
      <c r="K1953" s="596"/>
      <c r="L1953" s="5989" t="s">
        <v>6842</v>
      </c>
      <c r="M1953" s="5989"/>
      <c r="N1953" s="5989"/>
      <c r="O1953" s="5989"/>
      <c r="P1953" s="5989"/>
      <c r="Q1953" s="5990"/>
      <c r="R1953" s="972">
        <f>IF(OR($J1953=0,$J1953="Aprendida"),0,SUM($J$1772:$J1953))</f>
        <v>0</v>
      </c>
    </row>
    <row r="1954" spans="1:18" ht="12.75" customHeight="1" x14ac:dyDescent="0.2">
      <c r="A1954" s="227">
        <v>1954</v>
      </c>
      <c r="B1954" s="5988"/>
      <c r="E1954" s="970" t="str">
        <f>IF(Personalización!$F$93=0,"Elan Personalizado",Personalización!$F$93)</f>
        <v>Elan Personalizado</v>
      </c>
      <c r="F1954" s="1383">
        <f>IF(Elan!$C$11=Tablas!$E1954,Elan!$G$11,IF(Elan!$U$11=Tablas!$E1954,Elan!$Y$11,0))</f>
        <v>0</v>
      </c>
      <c r="G1954" s="961" t="s">
        <v>1820</v>
      </c>
      <c r="H1954" s="961" t="s">
        <v>8309</v>
      </c>
      <c r="I1954" s="961" t="s">
        <v>1490</v>
      </c>
      <c r="J1954" s="961" t="s">
        <v>6418</v>
      </c>
      <c r="K1954" s="961" t="s">
        <v>7078</v>
      </c>
      <c r="L1954" s="961" t="s">
        <v>1549</v>
      </c>
      <c r="M1954" s="594"/>
      <c r="N1954" s="594"/>
      <c r="O1954" s="594"/>
      <c r="P1954" s="594"/>
      <c r="Q1954" s="966"/>
      <c r="R1954" s="972">
        <f>IF(OR($J1954=0,$J1954="Aprendida"),0,SUM($J$1772:$J1954))</f>
        <v>0</v>
      </c>
    </row>
    <row r="1955" spans="1:18" ht="12.75" customHeight="1" x14ac:dyDescent="0.2">
      <c r="A1955" s="227">
        <v>1955</v>
      </c>
      <c r="B1955" s="5988"/>
      <c r="E1955" s="969" t="str">
        <f>IF(Personalización!D95="","Poder no definido",Personalización!D95)</f>
        <v>Poder no definido</v>
      </c>
      <c r="F1955" s="593"/>
      <c r="G1955" s="593">
        <f>IF(E1955="Poder no definido",0,VLOOKUP(E1955,Personalización!$D$95:$Q$110,4,FALSE))</f>
        <v>0</v>
      </c>
      <c r="H1955" s="593" t="s">
        <v>1456</v>
      </c>
      <c r="I1955" s="593">
        <f>IF(E1955="Poder no definido",0,VLOOKUP(E1955,Personalización!$D$95:$Q$110,5,FALSE))</f>
        <v>0</v>
      </c>
      <c r="J1955" s="593">
        <f>COUNTIF(Elan!$C$13:$F$25,Tablas!E1955)+COUNTIF(Elan!$U$13:$X$25,Tablas!E1955)</f>
        <v>0</v>
      </c>
      <c r="K1955" s="593"/>
      <c r="L1955" s="5989">
        <f>IF(E1955="Poder no definido",0,VLOOKUP(E1955,Personalización!$D$95:$Q$110,6,FALSE))</f>
        <v>0</v>
      </c>
      <c r="M1955" s="5989"/>
      <c r="N1955" s="5989"/>
      <c r="O1955" s="5989"/>
      <c r="P1955" s="5989"/>
      <c r="Q1955" s="5990"/>
      <c r="R1955" s="972">
        <f>IF(OR($J1955=0,$J1955="Aprendida"),0,SUM($J$1772:$J1955))</f>
        <v>0</v>
      </c>
    </row>
    <row r="1956" spans="1:18" ht="12.75" customHeight="1" x14ac:dyDescent="0.2">
      <c r="A1956" s="227">
        <v>1956</v>
      </c>
      <c r="B1956" s="5988"/>
      <c r="E1956" s="969" t="str">
        <f>IF(Personalización!D96="","Poder no definido",Personalización!D96)</f>
        <v>Poder no definido</v>
      </c>
      <c r="F1956" s="593"/>
      <c r="G1956" s="593">
        <f>IF(E1956="Poder no definido",0,VLOOKUP(E1956,Personalización!$D$95:$Q$110,4,FALSE))</f>
        <v>0</v>
      </c>
      <c r="H1956" s="593" t="s">
        <v>1456</v>
      </c>
      <c r="I1956" s="593">
        <f>IF(E1956="Poder no definido",0,VLOOKUP(E1956,Personalización!$D$95:$Q$110,5,FALSE))</f>
        <v>0</v>
      </c>
      <c r="J1956" s="593">
        <f>COUNTIF(Elan!$C$13:$F$25,Tablas!E1956)+COUNTIF(Elan!$U$13:$X$25,Tablas!E1956)</f>
        <v>0</v>
      </c>
      <c r="K1956" s="593"/>
      <c r="L1956" s="5989">
        <f>IF(E1956="Poder no definido",0,VLOOKUP(E1956,Personalización!$D$95:$Q$110,6,FALSE))</f>
        <v>0</v>
      </c>
      <c r="M1956" s="5989"/>
      <c r="N1956" s="5989"/>
      <c r="O1956" s="5989"/>
      <c r="P1956" s="5989"/>
      <c r="Q1956" s="5990"/>
      <c r="R1956" s="972">
        <f>IF(OR($J1956=0,$J1956="Aprendida"),0,SUM($J$1772:$J1956))</f>
        <v>0</v>
      </c>
    </row>
    <row r="1957" spans="1:18" ht="12.75" customHeight="1" x14ac:dyDescent="0.2">
      <c r="A1957" s="227">
        <v>1957</v>
      </c>
      <c r="B1957" s="5988"/>
      <c r="E1957" s="969" t="str">
        <f>IF(Personalización!D97="","Poder no definido",Personalización!D97)</f>
        <v>Poder no definido</v>
      </c>
      <c r="F1957" s="593"/>
      <c r="G1957" s="593">
        <f>IF(E1957="Poder no definido",0,VLOOKUP(E1957,Personalización!$D$95:$Q$110,4,FALSE))</f>
        <v>0</v>
      </c>
      <c r="H1957" s="593" t="s">
        <v>1456</v>
      </c>
      <c r="I1957" s="593">
        <f>IF(E1957="Poder no definido",0,VLOOKUP(E1957,Personalización!$D$95:$Q$110,5,FALSE))</f>
        <v>0</v>
      </c>
      <c r="J1957" s="593">
        <f>COUNTIF(Elan!$C$13:$F$25,Tablas!E1957)+COUNTIF(Elan!$U$13:$X$25,Tablas!E1957)</f>
        <v>0</v>
      </c>
      <c r="K1957" s="593"/>
      <c r="L1957" s="5989">
        <f>IF(E1957="Poder no definido",0,VLOOKUP(E1957,Personalización!$D$95:$Q$110,6,FALSE))</f>
        <v>0</v>
      </c>
      <c r="M1957" s="5989"/>
      <c r="N1957" s="5989"/>
      <c r="O1957" s="5989"/>
      <c r="P1957" s="5989"/>
      <c r="Q1957" s="5990"/>
      <c r="R1957" s="972">
        <f>IF(OR($J1957=0,$J1957="Aprendida"),0,SUM($J$1772:$J1957))</f>
        <v>0</v>
      </c>
    </row>
    <row r="1958" spans="1:18" ht="12.75" customHeight="1" x14ac:dyDescent="0.2">
      <c r="A1958" s="227">
        <v>1958</v>
      </c>
      <c r="B1958" s="5988"/>
      <c r="E1958" s="969" t="str">
        <f>IF(Personalización!D98="","Poder no definido",Personalización!D98)</f>
        <v>Poder no definido</v>
      </c>
      <c r="F1958" s="593"/>
      <c r="G1958" s="593">
        <f>IF(E1958="Poder no definido",0,VLOOKUP(E1958,Personalización!$D$95:$Q$110,4,FALSE))</f>
        <v>0</v>
      </c>
      <c r="H1958" s="593" t="s">
        <v>1456</v>
      </c>
      <c r="I1958" s="593">
        <f>IF(E1958="Poder no definido",0,VLOOKUP(E1958,Personalización!$D$95:$Q$110,5,FALSE))</f>
        <v>0</v>
      </c>
      <c r="J1958" s="593">
        <f>COUNTIF(Elan!$C$13:$F$25,Tablas!E1958)+COUNTIF(Elan!$U$13:$X$25,Tablas!E1958)</f>
        <v>0</v>
      </c>
      <c r="K1958" s="593"/>
      <c r="L1958" s="5989">
        <f>IF(E1958="Poder no definido",0,VLOOKUP(E1958,Personalización!$D$95:$Q$110,6,FALSE))</f>
        <v>0</v>
      </c>
      <c r="M1958" s="5989"/>
      <c r="N1958" s="5989"/>
      <c r="O1958" s="5989"/>
      <c r="P1958" s="5989"/>
      <c r="Q1958" s="5990"/>
      <c r="R1958" s="972">
        <f>IF(OR($J1958=0,$J1958="Aprendida"),0,SUM($J$1772:$J1958))</f>
        <v>0</v>
      </c>
    </row>
    <row r="1959" spans="1:18" ht="12.75" customHeight="1" x14ac:dyDescent="0.2">
      <c r="A1959" s="227">
        <v>1959</v>
      </c>
      <c r="B1959" s="5988"/>
      <c r="E1959" s="969" t="str">
        <f>IF(Personalización!D99="","Poder no definido",Personalización!D99)</f>
        <v>Poder no definido</v>
      </c>
      <c r="F1959" s="593"/>
      <c r="G1959" s="593">
        <f>IF(E1959="Poder no definido",0,VLOOKUP(E1959,Personalización!$D$95:$Q$110,4,FALSE))</f>
        <v>0</v>
      </c>
      <c r="H1959" s="593" t="s">
        <v>1456</v>
      </c>
      <c r="I1959" s="593">
        <f>IF(E1959="Poder no definido",0,VLOOKUP(E1959,Personalización!$D$95:$Q$110,5,FALSE))</f>
        <v>0</v>
      </c>
      <c r="J1959" s="593">
        <f>COUNTIF(Elan!$C$13:$F$25,Tablas!E1959)+COUNTIF(Elan!$U$13:$X$25,Tablas!E1959)</f>
        <v>0</v>
      </c>
      <c r="K1959" s="593"/>
      <c r="L1959" s="5989">
        <f>IF(E1959="Poder no definido",0,VLOOKUP(E1959,Personalización!$D$95:$Q$110,6,FALSE))</f>
        <v>0</v>
      </c>
      <c r="M1959" s="5989"/>
      <c r="N1959" s="5989"/>
      <c r="O1959" s="5989"/>
      <c r="P1959" s="5989"/>
      <c r="Q1959" s="5990"/>
      <c r="R1959" s="972">
        <f>IF(OR($J1959=0,$J1959="Aprendida"),0,SUM($J$1772:$J1959))</f>
        <v>0</v>
      </c>
    </row>
    <row r="1960" spans="1:18" ht="12.75" customHeight="1" x14ac:dyDescent="0.2">
      <c r="A1960" s="227">
        <v>1960</v>
      </c>
      <c r="B1960" s="5988"/>
      <c r="E1960" s="969" t="str">
        <f>IF(Personalización!D100="","Poder no definido",Personalización!D100)</f>
        <v>Poder no definido</v>
      </c>
      <c r="F1960" s="593"/>
      <c r="G1960" s="593">
        <f>IF(E1960="Poder no definido",0,VLOOKUP(E1960,Personalización!$D$95:$Q$110,4,FALSE))</f>
        <v>0</v>
      </c>
      <c r="H1960" s="593" t="s">
        <v>1456</v>
      </c>
      <c r="I1960" s="593">
        <f>IF(E1960="Poder no definido",0,VLOOKUP(E1960,Personalización!$D$95:$Q$110,5,FALSE))</f>
        <v>0</v>
      </c>
      <c r="J1960" s="593">
        <f>COUNTIF(Elan!$C$13:$F$25,Tablas!E1960)+COUNTIF(Elan!$U$13:$X$25,Tablas!E1960)</f>
        <v>0</v>
      </c>
      <c r="K1960" s="593"/>
      <c r="L1960" s="5989">
        <f>IF(E1960="Poder no definido",0,VLOOKUP(E1960,Personalización!$D$95:$Q$110,6,FALSE))</f>
        <v>0</v>
      </c>
      <c r="M1960" s="5989"/>
      <c r="N1960" s="5989"/>
      <c r="O1960" s="5989"/>
      <c r="P1960" s="5989"/>
      <c r="Q1960" s="5990"/>
      <c r="R1960" s="972">
        <f>IF(OR($J1960=0,$J1960="Aprendida"),0,SUM($J$1772:$J1960))</f>
        <v>0</v>
      </c>
    </row>
    <row r="1961" spans="1:18" ht="12.75" customHeight="1" x14ac:dyDescent="0.2">
      <c r="A1961" s="227">
        <v>1961</v>
      </c>
      <c r="B1961" s="5988"/>
      <c r="E1961" s="969" t="str">
        <f>IF(Personalización!D101="","Poder no definido",Personalización!D101)</f>
        <v>Poder no definido</v>
      </c>
      <c r="F1961" s="593"/>
      <c r="G1961" s="593">
        <f>IF(E1961="Poder no definido",0,VLOOKUP(E1961,Personalización!$D$95:$Q$110,4,FALSE))</f>
        <v>0</v>
      </c>
      <c r="H1961" s="593" t="s">
        <v>1456</v>
      </c>
      <c r="I1961" s="593">
        <f>IF(E1961="Poder no definido",0,VLOOKUP(E1961,Personalización!$D$95:$Q$110,5,FALSE))</f>
        <v>0</v>
      </c>
      <c r="J1961" s="593">
        <f>COUNTIF(Elan!$C$13:$F$25,Tablas!E1961)+COUNTIF(Elan!$U$13:$X$25,Tablas!E1961)</f>
        <v>0</v>
      </c>
      <c r="K1961" s="593"/>
      <c r="L1961" s="5989">
        <f>IF(E1961="Poder no definido",0,VLOOKUP(E1961,Personalización!$D$95:$Q$110,6,FALSE))</f>
        <v>0</v>
      </c>
      <c r="M1961" s="5989"/>
      <c r="N1961" s="5989"/>
      <c r="O1961" s="5989"/>
      <c r="P1961" s="5989"/>
      <c r="Q1961" s="5990"/>
      <c r="R1961" s="972">
        <f>IF(OR($J1961=0,$J1961="Aprendida"),0,SUM($J$1772:$J1961))</f>
        <v>0</v>
      </c>
    </row>
    <row r="1962" spans="1:18" ht="12.75" customHeight="1" x14ac:dyDescent="0.2">
      <c r="A1962" s="227">
        <v>1962</v>
      </c>
      <c r="B1962" s="5988"/>
      <c r="E1962" s="969" t="str">
        <f>IF(Personalización!D102="","Poder no definido",Personalización!D102)</f>
        <v>Poder no definido</v>
      </c>
      <c r="F1962" s="593"/>
      <c r="G1962" s="593">
        <f>IF(E1962="Poder no definido",0,VLOOKUP(E1962,Personalización!$D$95:$Q$110,4,FALSE))</f>
        <v>0</v>
      </c>
      <c r="H1962" s="593" t="s">
        <v>1456</v>
      </c>
      <c r="I1962" s="593">
        <f>IF(E1962="Poder no definido",0,VLOOKUP(E1962,Personalización!$D$95:$Q$110,5,FALSE))</f>
        <v>0</v>
      </c>
      <c r="J1962" s="593">
        <f>COUNTIF(Elan!$C$13:$F$25,Tablas!E1962)+COUNTIF(Elan!$U$13:$X$25,Tablas!E1962)</f>
        <v>0</v>
      </c>
      <c r="K1962" s="593"/>
      <c r="L1962" s="5989">
        <f>IF(E1962="Poder no definido",0,VLOOKUP(E1962,Personalización!$D$95:$Q$110,6,FALSE))</f>
        <v>0</v>
      </c>
      <c r="M1962" s="5989"/>
      <c r="N1962" s="5989"/>
      <c r="O1962" s="5989"/>
      <c r="P1962" s="5989"/>
      <c r="Q1962" s="5990"/>
      <c r="R1962" s="972">
        <f>IF(OR($J1962=0,$J1962="Aprendida"),0,SUM($J$1772:$J1962))</f>
        <v>0</v>
      </c>
    </row>
    <row r="1963" spans="1:18" ht="12.75" customHeight="1" x14ac:dyDescent="0.2">
      <c r="A1963" s="227">
        <v>1963</v>
      </c>
      <c r="B1963" s="5988"/>
      <c r="E1963" s="969" t="str">
        <f>IF(Personalización!D103="","Poder no definido",Personalización!D103)</f>
        <v>Poder no definido</v>
      </c>
      <c r="F1963" s="593"/>
      <c r="G1963" s="593">
        <f>IF(E1963="Poder no definido",0,VLOOKUP(E1963,Personalización!$D$95:$Q$110,4,FALSE))</f>
        <v>0</v>
      </c>
      <c r="H1963" s="593" t="s">
        <v>1456</v>
      </c>
      <c r="I1963" s="593">
        <f>IF(E1963="Poder no definido",0,VLOOKUP(E1963,Personalización!$D$95:$Q$110,5,FALSE))</f>
        <v>0</v>
      </c>
      <c r="J1963" s="593">
        <f>COUNTIF(Elan!$C$13:$F$25,Tablas!E1963)+COUNTIF(Elan!$U$13:$X$25,Tablas!E1963)</f>
        <v>0</v>
      </c>
      <c r="K1963" s="593"/>
      <c r="L1963" s="5989">
        <f>IF(E1963="Poder no definido",0,VLOOKUP(E1963,Personalización!$D$95:$Q$110,6,FALSE))</f>
        <v>0</v>
      </c>
      <c r="M1963" s="5989"/>
      <c r="N1963" s="5989"/>
      <c r="O1963" s="5989"/>
      <c r="P1963" s="5989"/>
      <c r="Q1963" s="5990"/>
      <c r="R1963" s="972">
        <f>IF(OR($J1963=0,$J1963="Aprendida"),0,SUM($J$1772:$J1963))</f>
        <v>0</v>
      </c>
    </row>
    <row r="1964" spans="1:18" ht="12.75" customHeight="1" x14ac:dyDescent="0.2">
      <c r="A1964" s="227">
        <v>1964</v>
      </c>
      <c r="B1964" s="5988"/>
      <c r="E1964" s="969" t="str">
        <f>IF(Personalización!D104="","Poder no definido",Personalización!D104)</f>
        <v>Poder no definido</v>
      </c>
      <c r="F1964" s="593"/>
      <c r="G1964" s="593">
        <f>IF(E1964="Poder no definido",0,VLOOKUP(E1964,Personalización!$D$95:$Q$110,4,FALSE))</f>
        <v>0</v>
      </c>
      <c r="H1964" s="593" t="s">
        <v>1456</v>
      </c>
      <c r="I1964" s="593">
        <f>IF(E1964="Poder no definido",0,VLOOKUP(E1964,Personalización!$D$95:$Q$110,5,FALSE))</f>
        <v>0</v>
      </c>
      <c r="J1964" s="593">
        <f>COUNTIF(Elan!$C$13:$F$25,Tablas!E1964)+COUNTIF(Elan!$U$13:$X$25,Tablas!E1964)</f>
        <v>0</v>
      </c>
      <c r="K1964" s="593"/>
      <c r="L1964" s="5989">
        <f>IF(E1964="Poder no definido",0,VLOOKUP(E1964,Personalización!$D$95:$Q$110,6,FALSE))</f>
        <v>0</v>
      </c>
      <c r="M1964" s="5989"/>
      <c r="N1964" s="5989"/>
      <c r="O1964" s="5989"/>
      <c r="P1964" s="5989"/>
      <c r="Q1964" s="5990"/>
      <c r="R1964" s="972">
        <f>IF(OR($J1964=0,$J1964="Aprendida"),0,SUM($J$1772:$J1964))</f>
        <v>0</v>
      </c>
    </row>
    <row r="1965" spans="1:18" ht="12.75" customHeight="1" x14ac:dyDescent="0.2">
      <c r="A1965" s="227">
        <v>1965</v>
      </c>
      <c r="B1965" s="5988"/>
      <c r="E1965" s="969" t="str">
        <f>IF(Personalización!D105="","Poder no definido",Personalización!D105)</f>
        <v>Poder no definido</v>
      </c>
      <c r="F1965" s="593"/>
      <c r="G1965" s="593">
        <f>IF(E1965="Poder no definido",0,VLOOKUP(E1965,Personalización!$D$95:$Q$110,4,FALSE))</f>
        <v>0</v>
      </c>
      <c r="H1965" s="593" t="s">
        <v>1456</v>
      </c>
      <c r="I1965" s="593">
        <f>IF(E1965="Poder no definido",0,VLOOKUP(E1965,Personalización!$D$95:$Q$110,5,FALSE))</f>
        <v>0</v>
      </c>
      <c r="J1965" s="593">
        <f>COUNTIF(Elan!$C$13:$F$25,Tablas!E1965)+COUNTIF(Elan!$U$13:$X$25,Tablas!E1965)</f>
        <v>0</v>
      </c>
      <c r="K1965" s="593"/>
      <c r="L1965" s="5989">
        <f>IF(E1965="Poder no definido",0,VLOOKUP(E1965,Personalización!$D$95:$Q$110,6,FALSE))</f>
        <v>0</v>
      </c>
      <c r="M1965" s="5989"/>
      <c r="N1965" s="5989"/>
      <c r="O1965" s="5989"/>
      <c r="P1965" s="5989"/>
      <c r="Q1965" s="5990"/>
      <c r="R1965" s="972">
        <f>IF(OR($J1965=0,$J1965="Aprendida"),0,SUM($J$1772:$J1965))</f>
        <v>0</v>
      </c>
    </row>
    <row r="1966" spans="1:18" ht="12.75" customHeight="1" x14ac:dyDescent="0.2">
      <c r="A1966" s="227">
        <v>1966</v>
      </c>
      <c r="B1966" s="5988"/>
      <c r="E1966" s="969" t="str">
        <f>IF(Personalización!D106="","Poder no definido",Personalización!D106)</f>
        <v>Poder no definido</v>
      </c>
      <c r="F1966" s="593"/>
      <c r="G1966" s="593">
        <f>IF(E1966="Poder no definido",0,VLOOKUP(E1966,Personalización!$D$95:$Q$110,4,FALSE))</f>
        <v>0</v>
      </c>
      <c r="H1966" s="593" t="s">
        <v>1456</v>
      </c>
      <c r="I1966" s="593">
        <f>IF(E1966="Poder no definido",0,VLOOKUP(E1966,Personalización!$D$95:$Q$110,5,FALSE))</f>
        <v>0</v>
      </c>
      <c r="J1966" s="593">
        <f>COUNTIF(Elan!$C$13:$F$25,Tablas!E1966)+COUNTIF(Elan!$U$13:$X$25,Tablas!E1966)</f>
        <v>0</v>
      </c>
      <c r="K1966" s="593"/>
      <c r="L1966" s="5989">
        <f>IF(E1966="Poder no definido",0,VLOOKUP(E1966,Personalización!$D$95:$Q$110,6,FALSE))</f>
        <v>0</v>
      </c>
      <c r="M1966" s="5989"/>
      <c r="N1966" s="5989"/>
      <c r="O1966" s="5989"/>
      <c r="P1966" s="5989"/>
      <c r="Q1966" s="5990"/>
      <c r="R1966" s="972">
        <f>IF(OR($J1966=0,$J1966="Aprendida"),0,SUM($J$1772:$J1966))</f>
        <v>0</v>
      </c>
    </row>
    <row r="1967" spans="1:18" ht="12.75" customHeight="1" x14ac:dyDescent="0.2">
      <c r="A1967" s="227">
        <v>1967</v>
      </c>
      <c r="B1967" s="5988"/>
      <c r="E1967" s="969" t="str">
        <f>IF(Personalización!D107="","Poder no definido",Personalización!D107)</f>
        <v>Poder no definido</v>
      </c>
      <c r="F1967" s="593"/>
      <c r="G1967" s="593">
        <f>IF(E1967="Poder no definido",0,VLOOKUP(E1967,Personalización!$D$95:$Q$110,4,FALSE))</f>
        <v>0</v>
      </c>
      <c r="H1967" s="593" t="s">
        <v>1456</v>
      </c>
      <c r="I1967" s="593">
        <f>IF(E1967="Poder no definido",0,VLOOKUP(E1967,Personalización!$D$95:$Q$110,5,FALSE))</f>
        <v>0</v>
      </c>
      <c r="J1967" s="593">
        <f>COUNTIF(Elan!$C$13:$F$25,Tablas!E1967)+COUNTIF(Elan!$U$13:$X$25,Tablas!E1967)</f>
        <v>0</v>
      </c>
      <c r="K1967" s="593"/>
      <c r="L1967" s="5989">
        <f>IF(E1967="Poder no definido",0,VLOOKUP(E1967,Personalización!$D$95:$Q$110,6,FALSE))</f>
        <v>0</v>
      </c>
      <c r="M1967" s="5989"/>
      <c r="N1967" s="5989"/>
      <c r="O1967" s="5989"/>
      <c r="P1967" s="5989"/>
      <c r="Q1967" s="5990"/>
      <c r="R1967" s="972">
        <f>IF(OR($J1967=0,$J1967="Aprendida"),0,SUM($J$1772:$J1967))</f>
        <v>0</v>
      </c>
    </row>
    <row r="1968" spans="1:18" ht="12.75" customHeight="1" x14ac:dyDescent="0.2">
      <c r="A1968" s="227">
        <v>1968</v>
      </c>
      <c r="B1968" s="5988"/>
      <c r="E1968" s="969" t="str">
        <f>IF(Personalización!D108="","Poder no definido",Personalización!D108)</f>
        <v>Poder no definido</v>
      </c>
      <c r="F1968" s="593"/>
      <c r="G1968" s="593">
        <f>IF(E1968="Poder no definido",0,VLOOKUP(E1968,Personalización!$D$95:$Q$110,4,FALSE))</f>
        <v>0</v>
      </c>
      <c r="H1968" s="593" t="s">
        <v>1456</v>
      </c>
      <c r="I1968" s="593">
        <f>IF(E1968="Poder no definido",0,VLOOKUP(E1968,Personalización!$D$95:$Q$110,5,FALSE))</f>
        <v>0</v>
      </c>
      <c r="J1968" s="593">
        <f>COUNTIF(Elan!$C$13:$F$25,Tablas!E1968)+COUNTIF(Elan!$U$13:$X$25,Tablas!E1968)</f>
        <v>0</v>
      </c>
      <c r="K1968" s="593"/>
      <c r="L1968" s="5989">
        <f>IF(E1968="Poder no definido",0,VLOOKUP(E1968,Personalización!$D$95:$Q$110,6,FALSE))</f>
        <v>0</v>
      </c>
      <c r="M1968" s="5989"/>
      <c r="N1968" s="5989"/>
      <c r="O1968" s="5989"/>
      <c r="P1968" s="5989"/>
      <c r="Q1968" s="5990"/>
      <c r="R1968" s="972">
        <f>IF(OR($J1968=0,$J1968="Aprendida"),0,SUM($J$1772:$J1968))</f>
        <v>0</v>
      </c>
    </row>
    <row r="1969" spans="1:34" ht="12.75" customHeight="1" x14ac:dyDescent="0.2">
      <c r="A1969" s="227">
        <v>1969</v>
      </c>
      <c r="B1969" s="5988"/>
      <c r="E1969" s="969" t="str">
        <f>IF(Personalización!D109="","Poder no definido",Personalización!D109)</f>
        <v>Poder no definido</v>
      </c>
      <c r="F1969" s="593"/>
      <c r="G1969" s="593">
        <f>IF(E1969="Poder no definido",0,VLOOKUP(E1969,Personalización!$D$95:$Q$110,4,FALSE))</f>
        <v>0</v>
      </c>
      <c r="H1969" s="593" t="s">
        <v>1456</v>
      </c>
      <c r="I1969" s="593">
        <f>IF(E1969="Poder no definido",0,VLOOKUP(E1969,Personalización!$D$95:$Q$110,5,FALSE))</f>
        <v>0</v>
      </c>
      <c r="J1969" s="593">
        <f>COUNTIF(Elan!$C$13:$F$25,Tablas!E1969)+COUNTIF(Elan!$U$13:$X$25,Tablas!E1969)</f>
        <v>0</v>
      </c>
      <c r="K1969" s="593"/>
      <c r="L1969" s="5989">
        <f>IF(E1969="Poder no definido",0,VLOOKUP(E1969,Personalización!$D$95:$Q$110,6,FALSE))</f>
        <v>0</v>
      </c>
      <c r="M1969" s="5989"/>
      <c r="N1969" s="5989"/>
      <c r="O1969" s="5989"/>
      <c r="P1969" s="5989"/>
      <c r="Q1969" s="5990"/>
      <c r="R1969" s="972">
        <f>IF(OR($J1969=0,$J1969="Aprendida"),0,SUM($J$1772:$J1969))</f>
        <v>0</v>
      </c>
    </row>
    <row r="1970" spans="1:34" ht="12.75" customHeight="1" thickBot="1" x14ac:dyDescent="0.25">
      <c r="A1970" s="227">
        <v>1970</v>
      </c>
      <c r="B1970" s="5988"/>
      <c r="E1970" s="971" t="str">
        <f>IF(Personalización!D110="","Poder no definido",Personalización!D110)</f>
        <v>Poder no definido</v>
      </c>
      <c r="F1970" s="596"/>
      <c r="G1970" s="596">
        <f>IF(E1970="Poder no definido",0,VLOOKUP(E1970,Personalización!$D$95:$Q$110,4,FALSE))</f>
        <v>0</v>
      </c>
      <c r="H1970" s="596" t="s">
        <v>1456</v>
      </c>
      <c r="I1970" s="596">
        <f>IF(E1970="Poder no definido",0,VLOOKUP(E1970,Personalización!$D$95:$Q$110,5,FALSE))</f>
        <v>0</v>
      </c>
      <c r="J1970" s="596">
        <f>COUNTIF(Elan!$C$13:$F$25,Tablas!E1970)+COUNTIF(Elan!$U$13:$X$25,Tablas!E1970)</f>
        <v>0</v>
      </c>
      <c r="K1970" s="596"/>
      <c r="L1970" s="6331">
        <f>IF(E1970="Poder no definido",0,VLOOKUP(E1970,Personalización!$D$95:$Q$110,6,FALSE))</f>
        <v>0</v>
      </c>
      <c r="M1970" s="6331"/>
      <c r="N1970" s="6331"/>
      <c r="O1970" s="6331"/>
      <c r="P1970" s="6331"/>
      <c r="Q1970" s="6332"/>
      <c r="R1970" s="1384">
        <f>IF(OR($J1970=0,$J1970="Aprendida"),0,SUM($J$1772:$J1970))</f>
        <v>0</v>
      </c>
    </row>
    <row r="1971" spans="1:34" ht="12.75" customHeight="1" x14ac:dyDescent="0.2">
      <c r="A1971" s="227">
        <v>1971</v>
      </c>
      <c r="B1971" s="5988"/>
      <c r="H1971"/>
      <c r="I1971" s="559"/>
      <c r="N1971"/>
      <c r="O1971" s="559"/>
    </row>
    <row r="1972" spans="1:34" ht="12.75" customHeight="1" x14ac:dyDescent="0.2">
      <c r="A1972" s="227">
        <v>1972</v>
      </c>
      <c r="B1972" s="5988"/>
      <c r="C1972" s="6003" t="s">
        <v>7317</v>
      </c>
      <c r="D1972" s="6003"/>
      <c r="E1972" s="6003"/>
      <c r="F1972" s="6003"/>
      <c r="G1972" s="6003"/>
      <c r="H1972" s="6003"/>
      <c r="I1972" s="6003"/>
      <c r="J1972" s="6003"/>
      <c r="K1972" s="6003"/>
      <c r="L1972" s="6003"/>
      <c r="M1972" s="6003"/>
      <c r="N1972" s="6003"/>
      <c r="O1972" s="6003"/>
      <c r="P1972" s="6003"/>
      <c r="Q1972" s="6003"/>
      <c r="R1972" s="6003"/>
      <c r="S1972" s="6003"/>
      <c r="T1972" s="6003"/>
      <c r="U1972" s="6003"/>
      <c r="V1972" s="6003"/>
      <c r="W1972" s="6003"/>
      <c r="X1972" s="6003"/>
      <c r="Y1972" s="6003"/>
      <c r="Z1972" s="6003"/>
      <c r="AA1972" s="6003"/>
      <c r="AB1972" s="6003"/>
      <c r="AC1972" s="6003"/>
      <c r="AD1972" s="6003"/>
      <c r="AE1972" s="6003"/>
      <c r="AF1972" s="6003"/>
      <c r="AG1972" s="6003"/>
    </row>
    <row r="1973" spans="1:34" ht="12.75" customHeight="1" x14ac:dyDescent="0.2">
      <c r="A1973" s="227">
        <v>1973</v>
      </c>
      <c r="B1973" s="5988"/>
      <c r="C1973" s="6003"/>
      <c r="D1973" s="6003"/>
      <c r="E1973" s="6003"/>
      <c r="F1973" s="6003"/>
      <c r="G1973" s="6003"/>
      <c r="H1973" s="6003"/>
      <c r="I1973" s="6003"/>
      <c r="J1973" s="6003"/>
      <c r="K1973" s="6003"/>
      <c r="L1973" s="6003"/>
      <c r="M1973" s="6003"/>
      <c r="N1973" s="6003"/>
      <c r="O1973" s="6003"/>
      <c r="P1973" s="6003"/>
      <c r="Q1973" s="6003"/>
      <c r="R1973" s="6003"/>
      <c r="S1973" s="6003"/>
      <c r="T1973" s="6003"/>
      <c r="U1973" s="6003"/>
      <c r="V1973" s="6003"/>
      <c r="W1973" s="6003"/>
      <c r="X1973" s="6003"/>
      <c r="Y1973" s="6003"/>
      <c r="Z1973" s="6003"/>
      <c r="AA1973" s="6003"/>
      <c r="AB1973" s="6003"/>
      <c r="AC1973" s="6003"/>
      <c r="AD1973" s="6003"/>
      <c r="AE1973" s="6003"/>
      <c r="AF1973" s="6003"/>
      <c r="AG1973" s="6003"/>
    </row>
    <row r="1974" spans="1:34" ht="12.75" customHeight="1" x14ac:dyDescent="0.2">
      <c r="A1974" s="227">
        <v>1974</v>
      </c>
      <c r="B1974" s="5988"/>
      <c r="C1974" s="6003"/>
      <c r="D1974" s="6003"/>
      <c r="E1974" s="6003"/>
      <c r="F1974" s="6003"/>
      <c r="G1974" s="6003"/>
      <c r="H1974" s="6003"/>
      <c r="I1974" s="6003"/>
      <c r="J1974" s="6003"/>
      <c r="K1974" s="6003"/>
      <c r="L1974" s="6003"/>
      <c r="M1974" s="6003"/>
      <c r="N1974" s="6003"/>
      <c r="O1974" s="6003"/>
      <c r="P1974" s="6003"/>
      <c r="Q1974" s="6003"/>
      <c r="R1974" s="6003"/>
      <c r="S1974" s="6003"/>
      <c r="T1974" s="6003"/>
      <c r="U1974" s="6003"/>
      <c r="V1974" s="6003"/>
      <c r="W1974" s="6003"/>
      <c r="X1974" s="6003"/>
      <c r="Y1974" s="6003"/>
      <c r="Z1974" s="6003"/>
      <c r="AA1974" s="6003"/>
      <c r="AB1974" s="6003"/>
      <c r="AC1974" s="6003"/>
      <c r="AD1974" s="6003"/>
      <c r="AE1974" s="6003"/>
      <c r="AF1974" s="6003"/>
      <c r="AG1974" s="6003"/>
    </row>
    <row r="1975" spans="1:34" ht="12.75" customHeight="1" thickBot="1" x14ac:dyDescent="0.25">
      <c r="A1975" s="227">
        <v>1975</v>
      </c>
      <c r="B1975" s="5988"/>
      <c r="H1975"/>
      <c r="I1975" s="559"/>
      <c r="N1975"/>
      <c r="O1975" s="559"/>
    </row>
    <row r="1976" spans="1:34" ht="12.75" customHeight="1" thickBot="1" x14ac:dyDescent="0.25">
      <c r="A1976" s="227">
        <v>1976</v>
      </c>
      <c r="B1976" s="5988"/>
      <c r="C1976" s="6299" t="s">
        <v>642</v>
      </c>
      <c r="D1976" s="6300"/>
      <c r="E1976" s="6301"/>
      <c r="F1976" s="275"/>
      <c r="G1976" s="6318" t="s">
        <v>9673</v>
      </c>
      <c r="H1976" s="6319"/>
      <c r="I1976" s="6320"/>
      <c r="J1976" s="2348"/>
      <c r="K1976" s="3115" t="s">
        <v>644</v>
      </c>
      <c r="L1976" s="3116"/>
      <c r="M1976" s="3116"/>
      <c r="N1976" s="3117"/>
      <c r="O1976" s="6321" t="s">
        <v>8458</v>
      </c>
      <c r="P1976" s="6323" t="b">
        <f>PDs!AF126</f>
        <v>0</v>
      </c>
      <c r="Q1976" s="6324"/>
      <c r="R1976" s="6321" t="s">
        <v>10062</v>
      </c>
      <c r="S1976" s="6323" t="b">
        <f>Resumen!$AN$102="Sí"</f>
        <v>0</v>
      </c>
      <c r="T1976" s="6324"/>
      <c r="Y1976"/>
      <c r="Z1976"/>
      <c r="AA1976"/>
      <c r="AB1976"/>
    </row>
    <row r="1977" spans="1:34" ht="12.75" customHeight="1" thickBot="1" x14ac:dyDescent="0.25">
      <c r="A1977" s="227">
        <v>1977</v>
      </c>
      <c r="B1977" s="5988"/>
      <c r="C1977" s="6328"/>
      <c r="D1977" s="6329"/>
      <c r="E1977" s="6330"/>
      <c r="F1977" s="275"/>
      <c r="G1977" s="2352" t="s">
        <v>9676</v>
      </c>
      <c r="H1977" s="2353" t="s">
        <v>9674</v>
      </c>
      <c r="I1977" s="2354" t="s">
        <v>9675</v>
      </c>
      <c r="K1977" s="3209"/>
      <c r="L1977" s="3210"/>
      <c r="M1977" s="3210"/>
      <c r="N1977" s="3727"/>
      <c r="O1977" s="6322"/>
      <c r="P1977" s="6325"/>
      <c r="Q1977" s="6326"/>
      <c r="R1977" s="6322"/>
      <c r="S1977" s="6325"/>
      <c r="T1977" s="6326"/>
      <c r="Y1977"/>
      <c r="Z1977"/>
      <c r="AA1977"/>
      <c r="AB1977"/>
    </row>
    <row r="1978" spans="1:34" ht="12.75" customHeight="1" x14ac:dyDescent="0.2">
      <c r="A1978" s="227">
        <v>1978</v>
      </c>
      <c r="B1978" s="5988"/>
      <c r="C1978" s="278" t="str">
        <f>IF(UsodelKi,", "&amp;Ki!$K$10,"")</f>
        <v/>
      </c>
      <c r="D1978" s="46"/>
      <c r="E1978" s="2672"/>
      <c r="F1978" s="275"/>
      <c r="G1978" s="326">
        <f>COUNTIF($H$1978:H1978,H1978)</f>
        <v>1</v>
      </c>
      <c r="H1978" s="2349" t="str">
        <f>IF(Principal!C35&lt;&gt;"",Principal!C35,"")</f>
        <v/>
      </c>
      <c r="I1978" s="621" t="str">
        <f>IFERROR(VLOOKUP(H1978,$G$2040:$J$2045,G1978+1,0),H1978)</f>
        <v/>
      </c>
      <c r="K1978" s="6304" t="s">
        <v>6386</v>
      </c>
      <c r="L1978" s="6305"/>
      <c r="M1978" s="6305" t="s">
        <v>9599</v>
      </c>
      <c r="N1978" s="6308"/>
      <c r="O1978" s="6321" t="s">
        <v>6401</v>
      </c>
      <c r="P1978" s="6297" t="s">
        <v>1441</v>
      </c>
      <c r="Q1978" s="6297" t="s">
        <v>8455</v>
      </c>
      <c r="R1978" s="6297" t="s">
        <v>6384</v>
      </c>
      <c r="S1978" s="6297" t="s">
        <v>8464</v>
      </c>
      <c r="T1978" s="6297" t="s">
        <v>8460</v>
      </c>
      <c r="U1978" s="6297" t="s">
        <v>8461</v>
      </c>
      <c r="V1978" s="6297" t="s">
        <v>8459</v>
      </c>
      <c r="W1978" s="6297" t="s">
        <v>8456</v>
      </c>
      <c r="X1978" s="6297" t="s">
        <v>8463</v>
      </c>
      <c r="Y1978" s="6297" t="s">
        <v>8466</v>
      </c>
      <c r="Z1978" s="6297" t="s">
        <v>8462</v>
      </c>
      <c r="AA1978" s="6297" t="s">
        <v>8465</v>
      </c>
      <c r="AB1978" s="6297" t="s">
        <v>8457</v>
      </c>
      <c r="AC1978" s="6302" t="s">
        <v>6386</v>
      </c>
      <c r="AD1978" s="6303"/>
      <c r="AE1978" s="6056" t="s">
        <v>6403</v>
      </c>
      <c r="AF1978" s="6056" t="s">
        <v>1207</v>
      </c>
    </row>
    <row r="1979" spans="1:34" ht="12.75" customHeight="1" thickBot="1" x14ac:dyDescent="0.25">
      <c r="A1979" s="227">
        <v>1979</v>
      </c>
      <c r="B1979" s="5988"/>
      <c r="C1979" s="279" t="str">
        <f>IF(Ki!$P$12="-",", "&amp;Ki!$K$12,"")</f>
        <v/>
      </c>
      <c r="D1979" s="2409"/>
      <c r="E1979" s="581"/>
      <c r="F1979" s="275"/>
      <c r="G1979" s="326">
        <f>COUNTIF($H$1978:H1979,H1979)</f>
        <v>2</v>
      </c>
      <c r="H1979" s="2349" t="str">
        <f>IF(Principal!C36&lt;&gt;"",Principal!C36,"")</f>
        <v/>
      </c>
      <c r="I1979" s="621" t="str">
        <f t="shared" ref="I1979:I2008" si="292">IFERROR(VLOOKUP(H1979,$G$2040:$J$2045,G1979+1,0),H1979)</f>
        <v/>
      </c>
      <c r="K1979" s="6306"/>
      <c r="L1979" s="6307"/>
      <c r="M1979" s="6307"/>
      <c r="N1979" s="6309"/>
      <c r="O1979" s="6327"/>
      <c r="P1979" s="6298"/>
      <c r="Q1979" s="6298"/>
      <c r="R1979" s="6298"/>
      <c r="S1979" s="6298"/>
      <c r="T1979" s="6298"/>
      <c r="U1979" s="6298"/>
      <c r="V1979" s="6298"/>
      <c r="W1979" s="6298"/>
      <c r="X1979" s="6298"/>
      <c r="Y1979" s="6298"/>
      <c r="Z1979" s="6298"/>
      <c r="AA1979" s="6298"/>
      <c r="AB1979" s="6298"/>
      <c r="AC1979" s="1284" t="s">
        <v>6398</v>
      </c>
      <c r="AD1979" s="1285" t="s">
        <v>6399</v>
      </c>
      <c r="AE1979" s="6057"/>
      <c r="AF1979" s="6057"/>
    </row>
    <row r="1980" spans="1:34" ht="12.75" customHeight="1" x14ac:dyDescent="0.2">
      <c r="A1980" s="227">
        <v>1980</v>
      </c>
      <c r="B1980" s="5988"/>
      <c r="C1980" s="279" t="str">
        <f>IF(Ki!$P$13="-",", "&amp;Ki!$L$13&amp;" "&amp;Ki!$F$35,"")</f>
        <v/>
      </c>
      <c r="D1980" s="2409"/>
      <c r="E1980" s="581"/>
      <c r="F1980" s="275"/>
      <c r="G1980" s="326">
        <f>COUNTIF($H$1978:H1980,H1980)</f>
        <v>3</v>
      </c>
      <c r="H1980" s="2349" t="str">
        <f>IF(Principal!C37&lt;&gt;"",Principal!C37,"")</f>
        <v/>
      </c>
      <c r="I1980" s="621" t="str">
        <f t="shared" si="292"/>
        <v/>
      </c>
      <c r="K1980" s="489" t="str">
        <f t="shared" ref="K1980:K2011" si="293">IF(AD1980&lt;&gt;"",", "&amp;AD1980,"")</f>
        <v/>
      </c>
      <c r="L1980" s="21"/>
      <c r="M1980" s="2165"/>
      <c r="N1980" s="2168" t="str">
        <f>IF($O1980,", "&amp;AB1980,"")</f>
        <v/>
      </c>
      <c r="O1980" s="838" t="b">
        <f>OR($S$1976,AND(NOT(Acrobacias_final="-"),OR(PDs!T129&gt;4,PDs!W129&gt;0,PDs!X129&gt;0,$G$310&gt;0)))</f>
        <v>0</v>
      </c>
      <c r="P1980" s="585" t="s">
        <v>1405</v>
      </c>
      <c r="Q1980" s="1845">
        <f>PDs!AA129</f>
        <v>-30</v>
      </c>
      <c r="R1980" s="583" t="str">
        <f>IF(PDs!I129=0,"",P1980&amp;" ("&amp;PDs!I129&amp;")")</f>
        <v/>
      </c>
      <c r="S1980" s="583">
        <f>LEFT(PDs!AG129,2)+LEFT(PDs!AH129,2)</f>
        <v>0</v>
      </c>
      <c r="T1980" s="583" t="str">
        <f>IF(PDs!AI129,MID(PDs!AH129,4,25)&amp;MID(PDs!AG129,4,25),"")</f>
        <v/>
      </c>
      <c r="U1980" s="1206"/>
      <c r="V1980" s="1206"/>
      <c r="W1980" s="583">
        <f t="shared" ref="W1980:W2000" si="294">IFERROR(Q1980+AF1980+IF(R1980="",0,-80)+IF(T1980="",0,IF(R1980=T1980,-S1980,0)),"-")</f>
        <v>-30</v>
      </c>
      <c r="X1980" s="583" t="str">
        <f>IFERROR(IF(AND(NOT(R1980=""),R1980=T1980,$P$1976),W1980+S1980+80,""),"-")</f>
        <v/>
      </c>
      <c r="Y1980" s="583" t="str">
        <f t="shared" ref="Y1980:Y2000" si="295">IFERROR(IF(AND(X1980="",NOT(T1980=""),$P$1976),W1980+S1980,""),"")</f>
        <v/>
      </c>
      <c r="Z1980" s="1206" t="str">
        <f t="shared" ref="Z1980:Z2011" si="296">IFERROR(IF(AND(X1980="",NOT(V1980="")),W1980+U1980,""),"")</f>
        <v/>
      </c>
      <c r="AA1980" s="583" t="str">
        <f t="shared" ref="AA1980:AA2027" si="297">IFERROR(IF(AND(X1980="",NOT(R1980="")),W1980+80,""),"-")</f>
        <v/>
      </c>
      <c r="AB1980" s="583" t="str">
        <f>P1980&amp;" "&amp;W1980&amp;IF(AF1980&lt;0," ("&amp;W1980-AF1980&amp;")","")&amp;IF(X1980="","",", "&amp;T1980&amp;" "&amp;X1980&amp;IF(AF1980&lt;0," ("&amp;X1980-AF1980&amp;")",""))&amp;IF(Y1980="","",", "&amp;T1980&amp;" "&amp;Y1980&amp;IF(AF1980&lt;0," ("&amp;Y1980-AF1980&amp;")",""))&amp;IF(Z1980="","",", "&amp;V1980&amp;" "&amp;Z1980&amp;IF(AF1980&lt;0," ("&amp;Z1980-AF1980&amp;")",""))&amp;IF(AA1980="","",", "&amp;R1980&amp;" "&amp;AA1980&amp;IF(AF1980&lt;0," ("&amp;AA1980-AF1980&amp;")",""))</f>
        <v>Acrobacias -30</v>
      </c>
      <c r="AC1980" s="585">
        <f t="shared" ref="AC1980:AC2011" si="298">COUNTIF($P$1980:$P$2035,"&lt;="&amp;P1980)</f>
        <v>1</v>
      </c>
      <c r="AD1980" s="585" t="str">
        <f t="shared" ref="AD1980:AD2011" si="299">IF(INDEX($O$1980:$O$2035,MATCH($A1,$AC$1980:$AC$2035,0)),INDEX($AB$1980:$AB$2035,MATCH($A1,$AC$1980:$AC$2035,0)),"")</f>
        <v/>
      </c>
      <c r="AE1980" s="6062" t="s">
        <v>7120</v>
      </c>
      <c r="AF1980" s="1286">
        <f>Principal!O22</f>
        <v>0</v>
      </c>
      <c r="AH1980" s="2339"/>
    </row>
    <row r="1981" spans="1:34" ht="12.75" customHeight="1" x14ac:dyDescent="0.2">
      <c r="A1981" s="227">
        <v>1981</v>
      </c>
      <c r="B1981" s="5988"/>
      <c r="C1981" s="279" t="str">
        <f>IF(Erudición,", "&amp;Ki!$M$14,"")</f>
        <v/>
      </c>
      <c r="D1981" s="2409"/>
      <c r="E1981" s="581"/>
      <c r="F1981" s="275"/>
      <c r="G1981" s="326">
        <f>COUNTIF($H$1978:H1981,H1981)</f>
        <v>4</v>
      </c>
      <c r="H1981" s="2349" t="str">
        <f>IF(Principal!C38&lt;&gt;"",Principal!C38,"")</f>
        <v/>
      </c>
      <c r="I1981" s="621" t="str">
        <f t="shared" si="292"/>
        <v/>
      </c>
      <c r="K1981" s="489" t="str">
        <f t="shared" si="293"/>
        <v/>
      </c>
      <c r="L1981" s="21"/>
      <c r="M1981" s="2166"/>
      <c r="N1981" s="2168" t="str">
        <f t="shared" ref="N1981:N2012" si="300">IF(O1981,", "&amp;AB1981,"")</f>
        <v/>
      </c>
      <c r="O1981" s="838" t="b">
        <f>OR($S$1976,AND(NOT(Atletismo_final="-"),OR(PDs!T130&gt;4,PDs!W130&gt;0,PDs!X130&gt;0,$G$310&gt;0)))</f>
        <v>0</v>
      </c>
      <c r="P1981" s="585" t="s">
        <v>1406</v>
      </c>
      <c r="Q1981" s="584">
        <f>PDs!AA130</f>
        <v>-30</v>
      </c>
      <c r="R1981" s="583" t="str">
        <f>IF(PDs!I130=0,"",P1981&amp;" ("&amp;PDs!I130&amp;")")</f>
        <v/>
      </c>
      <c r="S1981" s="583">
        <f>LEFT(PDs!AG130,2)+LEFT(PDs!AH130,2)</f>
        <v>0</v>
      </c>
      <c r="T1981" s="583" t="str">
        <f>IF(PDs!AI130,MID(PDs!AH130,4,25)&amp;MID(PDs!AG130,4,25),"")</f>
        <v/>
      </c>
      <c r="U1981" s="1206"/>
      <c r="V1981" s="1206"/>
      <c r="W1981" s="583">
        <f t="shared" si="294"/>
        <v>-30</v>
      </c>
      <c r="X1981" s="583" t="str">
        <f t="shared" ref="X1981:X2000" si="301">IFERROR(IF(AND(NOT(R1981=""),R1981=T1981,$P$1976),W1981+S1981+80,""),"-")</f>
        <v/>
      </c>
      <c r="Y1981" s="583" t="str">
        <f t="shared" si="295"/>
        <v/>
      </c>
      <c r="Z1981" s="1206" t="str">
        <f t="shared" si="296"/>
        <v/>
      </c>
      <c r="AA1981" s="583" t="str">
        <f t="shared" si="297"/>
        <v/>
      </c>
      <c r="AB1981" s="583" t="str">
        <f t="shared" ref="AB1981:AB2035" si="302">P1981&amp;" "&amp;W1981&amp;IF(AF1981&lt;0," ("&amp;W1981-AF1981&amp;")","")&amp;IF(X1981="","",", "&amp;T1981&amp;" "&amp;X1981&amp;IF(AF1981&lt;0," ("&amp;X1981-AF1981&amp;")",""))&amp;IF(Y1981="","",", "&amp;T1981&amp;" "&amp;Y1981&amp;IF(AF1981&lt;0," ("&amp;Y1981-AF1981&amp;")",""))&amp;IF(Z1981="","",", "&amp;V1981&amp;" "&amp;Z1981&amp;IF(AF1981&lt;0," ("&amp;Z1981-AF1981&amp;")",""))&amp;IF(AA1981="","",", "&amp;R1981&amp;" "&amp;AA1981&amp;IF(AF1981&lt;0," ("&amp;AA1981-AF1981&amp;")",""))</f>
        <v>Atletismo -30</v>
      </c>
      <c r="AC1981" s="585">
        <f t="shared" si="298"/>
        <v>7</v>
      </c>
      <c r="AD1981" s="585" t="str">
        <f t="shared" si="299"/>
        <v/>
      </c>
      <c r="AE1981" s="6062"/>
      <c r="AF1981" s="1286">
        <f>Principal!O23</f>
        <v>0</v>
      </c>
      <c r="AH1981" s="2339"/>
    </row>
    <row r="1982" spans="1:34" ht="12.75" customHeight="1" x14ac:dyDescent="0.2">
      <c r="A1982" s="227">
        <v>1982</v>
      </c>
      <c r="B1982" s="5988"/>
      <c r="C1982" s="279" t="str">
        <f>IF(Ki!$P$15="-",", "&amp;Ki!$L$15,"")</f>
        <v/>
      </c>
      <c r="D1982" s="2409"/>
      <c r="E1982" s="581"/>
      <c r="F1982" s="275"/>
      <c r="G1982" s="326">
        <f>COUNTIF($H$1978:H1982,H1982)</f>
        <v>5</v>
      </c>
      <c r="H1982" s="2349" t="str">
        <f>IF(Principal!C39&lt;&gt;"",Principal!C39,"")</f>
        <v/>
      </c>
      <c r="I1982" s="621" t="str">
        <f t="shared" si="292"/>
        <v/>
      </c>
      <c r="K1982" s="489" t="str">
        <f t="shared" si="293"/>
        <v/>
      </c>
      <c r="L1982" s="21"/>
      <c r="M1982" s="2166"/>
      <c r="N1982" s="2168" t="str">
        <f t="shared" si="300"/>
        <v/>
      </c>
      <c r="O1982" s="838" t="b">
        <f>OR($S$1976,AND(NOT(Montar_final="-"),OR(PDs!T131&gt;4,PDs!W131&gt;0,PDs!X131&gt;0,$G$310&gt;0)))</f>
        <v>0</v>
      </c>
      <c r="P1982" s="585" t="s">
        <v>1409</v>
      </c>
      <c r="Q1982" s="584">
        <f>PDs!AA131</f>
        <v>-30</v>
      </c>
      <c r="R1982" s="583" t="str">
        <f>IF(PDs!I131=0,"",P1982&amp;" ("&amp;PDs!I131&amp;")")</f>
        <v/>
      </c>
      <c r="S1982" s="583">
        <f>LEFT(PDs!AG131,2)+LEFT(PDs!AH131,2)</f>
        <v>0</v>
      </c>
      <c r="T1982" s="583" t="str">
        <f>IF(PDs!AI131,MID(PDs!AH131,4,25)&amp;MID(PDs!AG131,4,25),"")</f>
        <v/>
      </c>
      <c r="U1982" s="1206"/>
      <c r="V1982" s="1206"/>
      <c r="W1982" s="583">
        <f t="shared" si="294"/>
        <v>-30</v>
      </c>
      <c r="X1982" s="583" t="str">
        <f t="shared" si="301"/>
        <v/>
      </c>
      <c r="Y1982" s="583" t="str">
        <f t="shared" si="295"/>
        <v/>
      </c>
      <c r="Z1982" s="1206" t="str">
        <f t="shared" si="296"/>
        <v/>
      </c>
      <c r="AA1982" s="583" t="str">
        <f t="shared" si="297"/>
        <v/>
      </c>
      <c r="AB1982" s="583" t="str">
        <f t="shared" si="302"/>
        <v>Montar -30</v>
      </c>
      <c r="AC1982" s="585">
        <f t="shared" si="298"/>
        <v>29</v>
      </c>
      <c r="AD1982" s="585" t="str">
        <f t="shared" si="299"/>
        <v/>
      </c>
      <c r="AE1982" s="6062"/>
      <c r="AF1982" s="1286">
        <f>Principal!O24</f>
        <v>0</v>
      </c>
      <c r="AH1982" s="2339"/>
    </row>
    <row r="1983" spans="1:34" ht="12.75" customHeight="1" x14ac:dyDescent="0.2">
      <c r="A1983" s="227">
        <v>1983</v>
      </c>
      <c r="B1983" s="5988"/>
      <c r="C1983" s="279" t="str">
        <f>IF(Ki!$P$16="-",", "&amp;Ki!$L$16,"")</f>
        <v/>
      </c>
      <c r="D1983" s="2409"/>
      <c r="E1983" s="581"/>
      <c r="F1983" s="275"/>
      <c r="G1983" s="326">
        <f>COUNTIF($H$1978:H1983,H1983)</f>
        <v>6</v>
      </c>
      <c r="H1983" s="2349" t="str">
        <f>IF(Principal!C40&lt;&gt;"",Principal!C40,"")</f>
        <v/>
      </c>
      <c r="I1983" s="621" t="str">
        <f t="shared" si="292"/>
        <v/>
      </c>
      <c r="K1983" s="489" t="str">
        <f t="shared" si="293"/>
        <v/>
      </c>
      <c r="L1983" s="21"/>
      <c r="M1983" s="2166"/>
      <c r="N1983" s="2168" t="str">
        <f t="shared" si="300"/>
        <v/>
      </c>
      <c r="O1983" s="838" t="b">
        <f>OR($S$1976,AND(NOT(Nadar_final="-"),OR(PDs!T132&gt;4,PDs!W132&gt;0,PDs!X132&gt;0,$G$310&gt;0)))</f>
        <v>0</v>
      </c>
      <c r="P1983" s="585" t="s">
        <v>1413</v>
      </c>
      <c r="Q1983" s="584">
        <f>PDs!AA132</f>
        <v>-30</v>
      </c>
      <c r="R1983" s="583" t="str">
        <f>IF(PDs!I132=0,"",P1983&amp;" ("&amp;PDs!I132&amp;")")</f>
        <v/>
      </c>
      <c r="S1983" s="583">
        <f>LEFT(PDs!AG132,2)+LEFT(PDs!AH132,2)</f>
        <v>0</v>
      </c>
      <c r="T1983" s="583" t="str">
        <f>IF(PDs!AI132,MID(PDs!AH132,4,25)&amp;MID(PDs!AG132,4,25),"")</f>
        <v/>
      </c>
      <c r="U1983" s="1206"/>
      <c r="V1983" s="1206"/>
      <c r="W1983" s="583">
        <f t="shared" si="294"/>
        <v>-30</v>
      </c>
      <c r="X1983" s="583" t="str">
        <f t="shared" si="301"/>
        <v/>
      </c>
      <c r="Y1983" s="583" t="str">
        <f t="shared" si="295"/>
        <v/>
      </c>
      <c r="Z1983" s="1206" t="str">
        <f t="shared" si="296"/>
        <v/>
      </c>
      <c r="AA1983" s="583" t="str">
        <f t="shared" si="297"/>
        <v/>
      </c>
      <c r="AB1983" s="583" t="str">
        <f t="shared" si="302"/>
        <v>Nadar -30</v>
      </c>
      <c r="AC1983" s="585">
        <f t="shared" si="298"/>
        <v>31</v>
      </c>
      <c r="AD1983" s="585" t="str">
        <f t="shared" si="299"/>
        <v/>
      </c>
      <c r="AE1983" s="6062"/>
      <c r="AF1983" s="1286">
        <f>Principal!O25</f>
        <v>0</v>
      </c>
      <c r="AH1983" s="2339"/>
    </row>
    <row r="1984" spans="1:34" ht="12.75" customHeight="1" x14ac:dyDescent="0.2">
      <c r="A1984" s="227">
        <v>1984</v>
      </c>
      <c r="B1984" s="5988"/>
      <c r="C1984" s="279" t="str">
        <f>IF(Ki!$P$17="-",", "&amp;Ki!$M$17,"")</f>
        <v/>
      </c>
      <c r="D1984" s="2409"/>
      <c r="E1984" s="581"/>
      <c r="F1984" s="275"/>
      <c r="G1984" s="326">
        <f>COUNTIF($H$1978:H1984,H1984)</f>
        <v>7</v>
      </c>
      <c r="H1984" s="2349" t="str">
        <f>IF(Principal!C41&lt;&gt;"",Principal!C41,"")</f>
        <v/>
      </c>
      <c r="I1984" s="621" t="str">
        <f t="shared" si="292"/>
        <v/>
      </c>
      <c r="K1984" s="489" t="str">
        <f t="shared" si="293"/>
        <v/>
      </c>
      <c r="L1984" s="21"/>
      <c r="M1984" s="2166"/>
      <c r="N1984" s="2168" t="str">
        <f t="shared" si="300"/>
        <v/>
      </c>
      <c r="O1984" s="838" t="b">
        <f>OR($S$1976,OR($S$1976,AND(NOT(Trepar_final="-"),OR(PDs!T133&gt;4,PDs!W133&gt;0,PDs!X133&gt;0,$G$310&gt;0))))</f>
        <v>0</v>
      </c>
      <c r="P1984" s="585" t="s">
        <v>1416</v>
      </c>
      <c r="Q1984" s="584">
        <f>PDs!AA133</f>
        <v>-30</v>
      </c>
      <c r="R1984" s="583" t="str">
        <f>IF(PDs!I133=0,"",P1984&amp;" ("&amp;PDs!I133&amp;")")</f>
        <v/>
      </c>
      <c r="S1984" s="583">
        <f>LEFT(PDs!AG133,2)+LEFT(PDs!AH133,2)</f>
        <v>0</v>
      </c>
      <c r="T1984" s="583" t="str">
        <f>IF(PDs!AI133,MID(PDs!AH133,4,25)&amp;MID(PDs!AG133,4,25),"")</f>
        <v/>
      </c>
      <c r="U1984" s="1206"/>
      <c r="V1984" s="1206"/>
      <c r="W1984" s="583">
        <f t="shared" si="294"/>
        <v>-30</v>
      </c>
      <c r="X1984" s="583" t="str">
        <f t="shared" si="301"/>
        <v/>
      </c>
      <c r="Y1984" s="583" t="str">
        <f t="shared" si="295"/>
        <v/>
      </c>
      <c r="Z1984" s="1206" t="str">
        <f t="shared" si="296"/>
        <v/>
      </c>
      <c r="AA1984" s="583" t="str">
        <f t="shared" si="297"/>
        <v/>
      </c>
      <c r="AB1984" s="583" t="str">
        <f t="shared" si="302"/>
        <v>Trepar -30</v>
      </c>
      <c r="AC1984" s="585">
        <f t="shared" si="298"/>
        <v>54</v>
      </c>
      <c r="AD1984" s="585" t="str">
        <f t="shared" si="299"/>
        <v/>
      </c>
      <c r="AE1984" s="6062"/>
      <c r="AF1984" s="1286">
        <f>Principal!O26</f>
        <v>0</v>
      </c>
      <c r="AH1984" s="2339"/>
    </row>
    <row r="1985" spans="1:34" ht="12.75" customHeight="1" x14ac:dyDescent="0.2">
      <c r="A1985" s="227">
        <v>1985</v>
      </c>
      <c r="B1985" s="5988"/>
      <c r="C1985" s="279" t="str">
        <f>IF(Ki!$P$18="-",", "&amp;Ki!$N$18,"")</f>
        <v/>
      </c>
      <c r="D1985" s="2409"/>
      <c r="E1985" s="581"/>
      <c r="F1985" s="275"/>
      <c r="G1985" s="326">
        <f>COUNTIF($H$1978:H1985,H1985)</f>
        <v>8</v>
      </c>
      <c r="H1985" s="2349" t="str">
        <f>IF(Principal!C42&lt;&gt;"",Principal!C42,"")</f>
        <v/>
      </c>
      <c r="I1985" s="621" t="str">
        <f t="shared" si="292"/>
        <v/>
      </c>
      <c r="K1985" s="489" t="str">
        <f t="shared" si="293"/>
        <v/>
      </c>
      <c r="L1985" s="21"/>
      <c r="M1985" s="2166"/>
      <c r="N1985" s="2168" t="str">
        <f t="shared" si="300"/>
        <v/>
      </c>
      <c r="O1985" s="838" t="b">
        <f>OR($S$1976,AND(NOT(Saltar_final="-"),OR(PDs!T134&gt;4,PDs!W134&gt;0,PDs!X134&gt;0,$G$310&gt;0)))</f>
        <v>0</v>
      </c>
      <c r="P1985" s="585" t="s">
        <v>1419</v>
      </c>
      <c r="Q1985" s="584">
        <f>PDs!AA134</f>
        <v>-30</v>
      </c>
      <c r="R1985" s="583" t="str">
        <f>IF(PDs!I134=0,"",P1985&amp;" ("&amp;PDs!I134&amp;")")</f>
        <v/>
      </c>
      <c r="S1985" s="583">
        <f>LEFT(PDs!AG134,2)+LEFT(PDs!AH134,2)</f>
        <v>0</v>
      </c>
      <c r="T1985" s="583" t="str">
        <f>IF(PDs!AI134,MID(PDs!AH134,4,25)&amp;MID(PDs!AG134,4,25),"")</f>
        <v/>
      </c>
      <c r="U1985" s="1206"/>
      <c r="V1985" s="1206"/>
      <c r="W1985" s="583">
        <f t="shared" si="294"/>
        <v>-30</v>
      </c>
      <c r="X1985" s="583" t="str">
        <f t="shared" si="301"/>
        <v/>
      </c>
      <c r="Y1985" s="583" t="str">
        <f t="shared" si="295"/>
        <v/>
      </c>
      <c r="Z1985" s="1206" t="str">
        <f t="shared" si="296"/>
        <v/>
      </c>
      <c r="AA1985" s="583" t="str">
        <f t="shared" si="297"/>
        <v/>
      </c>
      <c r="AB1985" s="583" t="str">
        <f t="shared" si="302"/>
        <v>Saltar -30</v>
      </c>
      <c r="AC1985" s="585">
        <f t="shared" si="298"/>
        <v>43</v>
      </c>
      <c r="AD1985" s="585" t="str">
        <f t="shared" si="299"/>
        <v/>
      </c>
      <c r="AE1985" s="6062"/>
      <c r="AF1985" s="1286">
        <f>Principal!O27</f>
        <v>0</v>
      </c>
      <c r="AH1985" s="2339"/>
    </row>
    <row r="1986" spans="1:34" ht="12.75" customHeight="1" x14ac:dyDescent="0.2">
      <c r="A1986" s="227">
        <v>1986</v>
      </c>
      <c r="B1986" s="5988"/>
      <c r="C1986" s="279" t="str">
        <f>IF(Ki!$P$19="-",", "&amp;Ki!$M$19,"")</f>
        <v/>
      </c>
      <c r="D1986" s="2409"/>
      <c r="E1986" s="581"/>
      <c r="G1986" s="326">
        <f>COUNTIF($H$1978:H1986,H1986)</f>
        <v>9</v>
      </c>
      <c r="H1986" s="2349" t="str">
        <f>IF(Principal!C43&lt;&gt;"",Principal!C43,"")</f>
        <v/>
      </c>
      <c r="I1986" s="621" t="str">
        <f t="shared" si="292"/>
        <v/>
      </c>
      <c r="K1986" s="489" t="str">
        <f t="shared" si="293"/>
        <v/>
      </c>
      <c r="L1986" s="21"/>
      <c r="M1986" s="2166"/>
      <c r="N1986" s="2168" t="str">
        <f t="shared" si="300"/>
        <v/>
      </c>
      <c r="O1986" s="838" t="b">
        <f>OR($S$1976,AND(NOT(Pilotar_final="-"),OR(PDs!T135&gt;4,PDs!W135&gt;0,PDs!X135&gt;0,$G$310&gt;0)))</f>
        <v>0</v>
      </c>
      <c r="P1986" s="585" t="s">
        <v>6278</v>
      </c>
      <c r="Q1986" s="584">
        <f>PDs!AA135</f>
        <v>-30</v>
      </c>
      <c r="R1986" s="583" t="str">
        <f>IF(PDs!I135=0,"",P1986&amp;" ("&amp;PDs!I135&amp;")")</f>
        <v/>
      </c>
      <c r="S1986" s="583">
        <f>LEFT(PDs!AG135,2)+LEFT(PDs!AH135,2)</f>
        <v>0</v>
      </c>
      <c r="T1986" s="583" t="str">
        <f>IF(PDs!AI135,MID(PDs!AH135,4,25)&amp;MID(PDs!AG135,4,25),"")</f>
        <v/>
      </c>
      <c r="U1986" s="1206"/>
      <c r="V1986" s="1206"/>
      <c r="W1986" s="583">
        <f t="shared" si="294"/>
        <v>-30</v>
      </c>
      <c r="X1986" s="583" t="str">
        <f t="shared" si="301"/>
        <v/>
      </c>
      <c r="Y1986" s="583" t="str">
        <f t="shared" si="295"/>
        <v/>
      </c>
      <c r="Z1986" s="1206" t="str">
        <f t="shared" si="296"/>
        <v/>
      </c>
      <c r="AA1986" s="583" t="str">
        <f t="shared" si="297"/>
        <v/>
      </c>
      <c r="AB1986" s="583" t="str">
        <f t="shared" si="302"/>
        <v>Pilotar -30</v>
      </c>
      <c r="AC1986" s="585">
        <f t="shared" si="298"/>
        <v>38</v>
      </c>
      <c r="AD1986" s="585" t="str">
        <f t="shared" si="299"/>
        <v/>
      </c>
      <c r="AE1986" s="6062"/>
      <c r="AF1986" s="1286">
        <f>Principal!O28</f>
        <v>0</v>
      </c>
      <c r="AH1986" s="2339"/>
    </row>
    <row r="1987" spans="1:34" ht="12.75" customHeight="1" x14ac:dyDescent="0.2">
      <c r="A1987" s="227">
        <v>1987</v>
      </c>
      <c r="B1987" s="5988"/>
      <c r="C1987" s="279" t="str">
        <f>IF(Ki!$P$20="-",", "&amp;Ki!$N$20,"")</f>
        <v/>
      </c>
      <c r="D1987" s="2409"/>
      <c r="E1987" s="581"/>
      <c r="G1987" s="326">
        <f>COUNTIF($H$1978:H1987,H1987)</f>
        <v>10</v>
      </c>
      <c r="H1987" s="2349" t="str">
        <f>IF(Principal!C44&lt;&gt;"",Principal!C44,"")</f>
        <v/>
      </c>
      <c r="I1987" s="621" t="str">
        <f t="shared" si="292"/>
        <v/>
      </c>
      <c r="K1987" s="489" t="str">
        <f t="shared" si="293"/>
        <v/>
      </c>
      <c r="L1987" s="21"/>
      <c r="M1987" s="2166"/>
      <c r="N1987" s="2168" t="str">
        <f t="shared" si="300"/>
        <v/>
      </c>
      <c r="O1987" s="838" t="b">
        <f>OR($S$1976,AND(NOT(Estilo_final="-"),OR(PDs!T136&gt;4,PDs!W136&gt;0,PDs!X136&gt;0,$G$310&gt;0)))</f>
        <v>0</v>
      </c>
      <c r="P1987" s="585" t="s">
        <v>1423</v>
      </c>
      <c r="Q1987" s="584">
        <f>PDs!AA136</f>
        <v>-30</v>
      </c>
      <c r="R1987" s="583" t="str">
        <f>IF(PDs!I136=0,"",P1987&amp;" ("&amp;PDs!I136&amp;")")</f>
        <v/>
      </c>
      <c r="S1987" s="583">
        <f>LEFT(PDs!AG136,2)+LEFT(PDs!AH136,2)</f>
        <v>0</v>
      </c>
      <c r="T1987" s="583" t="str">
        <f>IF(PDs!AI136,MID(PDs!AH136,4,25)&amp;MID(PDs!AG136,4,25),"")</f>
        <v/>
      </c>
      <c r="U1987" s="1206"/>
      <c r="V1987" s="1206"/>
      <c r="W1987" s="583">
        <f t="shared" si="294"/>
        <v>-30</v>
      </c>
      <c r="X1987" s="583" t="str">
        <f t="shared" si="301"/>
        <v/>
      </c>
      <c r="Y1987" s="583" t="str">
        <f t="shared" si="295"/>
        <v/>
      </c>
      <c r="Z1987" s="1206" t="str">
        <f t="shared" si="296"/>
        <v/>
      </c>
      <c r="AA1987" s="583" t="str">
        <f t="shared" si="297"/>
        <v/>
      </c>
      <c r="AB1987" s="583" t="str">
        <f t="shared" si="302"/>
        <v>Estilo -30</v>
      </c>
      <c r="AC1987" s="585">
        <f t="shared" si="298"/>
        <v>18</v>
      </c>
      <c r="AD1987" s="585" t="str">
        <f t="shared" si="299"/>
        <v/>
      </c>
      <c r="AE1987" s="6062"/>
      <c r="AF1987" s="1286">
        <f>Principal!O29</f>
        <v>0</v>
      </c>
      <c r="AH1987" s="2339"/>
    </row>
    <row r="1988" spans="1:34" ht="12.75" customHeight="1" x14ac:dyDescent="0.2">
      <c r="A1988" s="227">
        <v>1988</v>
      </c>
      <c r="B1988" s="5988"/>
      <c r="C1988" s="279" t="str">
        <f>IF(Ki!$P$21="-",", "&amp;"Mult. arcana","")</f>
        <v/>
      </c>
      <c r="D1988" s="2409"/>
      <c r="E1988" s="581"/>
      <c r="G1988" s="326">
        <f>COUNTIF($H$1978:H1988,H1988)</f>
        <v>11</v>
      </c>
      <c r="H1988" s="2349" t="str">
        <f>IF(Principal!C45&lt;&gt;"",Principal!C45,"")</f>
        <v/>
      </c>
      <c r="I1988" s="621" t="str">
        <f t="shared" si="292"/>
        <v/>
      </c>
      <c r="K1988" s="489" t="str">
        <f t="shared" si="293"/>
        <v/>
      </c>
      <c r="L1988" s="21"/>
      <c r="M1988" s="2166"/>
      <c r="N1988" s="2168" t="str">
        <f t="shared" si="300"/>
        <v/>
      </c>
      <c r="O1988" s="838" t="b">
        <f>OR($S$1976,AND(NOT(Intimidar_final="-"),OR(PDs!T137&gt;4,PDs!W137&gt;0,PDs!X137&gt;0,$G$310&gt;0)))</f>
        <v>0</v>
      </c>
      <c r="P1988" s="585" t="s">
        <v>1425</v>
      </c>
      <c r="Q1988" s="584">
        <f>PDs!AA137</f>
        <v>-30</v>
      </c>
      <c r="R1988" s="583" t="str">
        <f>IF(PDs!I137=0,"",P1988&amp;" ("&amp;PDs!I137&amp;")")</f>
        <v/>
      </c>
      <c r="S1988" s="583">
        <f>LEFT(PDs!AG137,2)+LEFT(PDs!AH137,2)</f>
        <v>0</v>
      </c>
      <c r="T1988" s="583" t="str">
        <f>IF(PDs!AI137,MID(PDs!AH137,4,25)&amp;MID(PDs!AG137,4,25),"")</f>
        <v/>
      </c>
      <c r="U1988" s="1206"/>
      <c r="V1988" s="1206"/>
      <c r="W1988" s="583">
        <f t="shared" si="294"/>
        <v>-30</v>
      </c>
      <c r="X1988" s="583" t="str">
        <f t="shared" si="301"/>
        <v/>
      </c>
      <c r="Y1988" s="583" t="str">
        <f t="shared" si="295"/>
        <v/>
      </c>
      <c r="Z1988" s="1206" t="str">
        <f t="shared" si="296"/>
        <v/>
      </c>
      <c r="AA1988" s="583" t="str">
        <f t="shared" si="297"/>
        <v/>
      </c>
      <c r="AB1988" s="583" t="str">
        <f t="shared" si="302"/>
        <v>Intimidar -30</v>
      </c>
      <c r="AC1988" s="585">
        <f t="shared" si="298"/>
        <v>24</v>
      </c>
      <c r="AD1988" s="585" t="str">
        <f t="shared" si="299"/>
        <v/>
      </c>
      <c r="AE1988" s="6062"/>
      <c r="AF1988" s="1286">
        <f>Principal!O30</f>
        <v>0</v>
      </c>
      <c r="AH1988" s="2339"/>
    </row>
    <row r="1989" spans="1:34" ht="12.75" customHeight="1" x14ac:dyDescent="0.2">
      <c r="A1989" s="227">
        <v>1989</v>
      </c>
      <c r="B1989" s="5988"/>
      <c r="C1989" s="279" t="str">
        <f>IF(Ki!$P$22="-",", "&amp;Ki!$N$22,"")</f>
        <v/>
      </c>
      <c r="D1989" s="2409"/>
      <c r="E1989" s="581"/>
      <c r="G1989" s="326">
        <f>COUNTIF($H$1978:H1989,H1989)</f>
        <v>12</v>
      </c>
      <c r="H1989" s="2349" t="str">
        <f>IF(Principal!C46&lt;&gt;"",Principal!C46,"")</f>
        <v/>
      </c>
      <c r="I1989" s="621" t="str">
        <f t="shared" si="292"/>
        <v/>
      </c>
      <c r="K1989" s="489" t="str">
        <f t="shared" si="293"/>
        <v/>
      </c>
      <c r="L1989" s="21"/>
      <c r="M1989" s="2166"/>
      <c r="N1989" s="2168" t="str">
        <f t="shared" si="300"/>
        <v/>
      </c>
      <c r="O1989" s="838" t="b">
        <f>OR($S$1976,AND(NOT(Liderazgo_final="-"),OR(PDs!T138&gt;4,PDs!W138&gt;0,PDs!X138&gt;0,$G$310&gt;0)))</f>
        <v>0</v>
      </c>
      <c r="P1989" s="585" t="s">
        <v>1428</v>
      </c>
      <c r="Q1989" s="584">
        <f>PDs!AA138</f>
        <v>-30</v>
      </c>
      <c r="R1989" s="583" t="str">
        <f>IF(PDs!I138=0,"",P1989&amp;" ("&amp;PDs!I138&amp;")")</f>
        <v/>
      </c>
      <c r="S1989" s="583">
        <f>LEFT(PDs!AG138,2)+LEFT(PDs!AH138,2)</f>
        <v>0</v>
      </c>
      <c r="T1989" s="583" t="str">
        <f>IF(PDs!AI138,MID(PDs!AH138,4,25)&amp;MID(PDs!AG138,4,25),"")</f>
        <v/>
      </c>
      <c r="U1989" s="1206"/>
      <c r="V1989" s="1206"/>
      <c r="W1989" s="583">
        <f t="shared" si="294"/>
        <v>-30</v>
      </c>
      <c r="X1989" s="583" t="str">
        <f t="shared" si="301"/>
        <v/>
      </c>
      <c r="Y1989" s="583" t="str">
        <f t="shared" si="295"/>
        <v/>
      </c>
      <c r="Z1989" s="1206" t="str">
        <f t="shared" si="296"/>
        <v/>
      </c>
      <c r="AA1989" s="583" t="str">
        <f t="shared" si="297"/>
        <v/>
      </c>
      <c r="AB1989" s="583" t="str">
        <f t="shared" si="302"/>
        <v>Liderazgo -30</v>
      </c>
      <c r="AC1989" s="585">
        <f t="shared" si="298"/>
        <v>26</v>
      </c>
      <c r="AD1989" s="585" t="str">
        <f t="shared" si="299"/>
        <v/>
      </c>
      <c r="AE1989" s="6062"/>
      <c r="AF1989" s="1286">
        <f>Principal!O31</f>
        <v>0</v>
      </c>
      <c r="AH1989" s="2339"/>
    </row>
    <row r="1990" spans="1:34" ht="12.75" customHeight="1" x14ac:dyDescent="0.2">
      <c r="A1990" s="227">
        <v>1990</v>
      </c>
      <c r="B1990" s="5988"/>
      <c r="C1990" s="279" t="str">
        <f>IF(Ki!$P$23="-",", "&amp;"Mag. arcana","")</f>
        <v/>
      </c>
      <c r="D1990" s="2409"/>
      <c r="E1990" s="581"/>
      <c r="G1990" s="326">
        <f>COUNTIF($H$1978:H1990,H1990)</f>
        <v>13</v>
      </c>
      <c r="H1990" s="2349" t="str">
        <f>IF(Principal!C47&lt;&gt;"",Principal!C47,"")</f>
        <v/>
      </c>
      <c r="I1990" s="621" t="str">
        <f t="shared" si="292"/>
        <v/>
      </c>
      <c r="K1990" s="489" t="str">
        <f t="shared" si="293"/>
        <v/>
      </c>
      <c r="L1990" s="21"/>
      <c r="M1990" s="2166"/>
      <c r="N1990" s="2168" t="str">
        <f t="shared" si="300"/>
        <v/>
      </c>
      <c r="O1990" s="839" t="b">
        <f>OR($S$1976,AND(NOT(Persuasión_final="-"),OR(PDs!T139&gt;4,PDs!W139&gt;0,PDs!X139&gt;0,$G$310&gt;0)))</f>
        <v>0</v>
      </c>
      <c r="P1990" s="588" t="s">
        <v>1430</v>
      </c>
      <c r="Q1990" s="588">
        <f>PDs!AA139</f>
        <v>-30</v>
      </c>
      <c r="R1990" s="586" t="str">
        <f>IF(PDs!I139=0,"",P1990&amp;" ("&amp;PDs!I139&amp;")")</f>
        <v/>
      </c>
      <c r="S1990" s="586">
        <f>LEFT(PDs!AG139,2)+LEFT(PDs!AH139,2)</f>
        <v>0</v>
      </c>
      <c r="T1990" s="586" t="str">
        <f>IF(PDs!AI139,MID(PDs!AH139,4,25)&amp;MID(PDs!AG139,4,25),"")</f>
        <v/>
      </c>
      <c r="U1990" s="1207">
        <f>IF($G$377&gt;0,60,0)+IF($J$1931&gt;0,$K$1931,0)</f>
        <v>0</v>
      </c>
      <c r="V1990" s="1207" t="str">
        <f>IF(PDs!AI139,MID(PDs!AH139,4,25)&amp;MID(PDs!AG139,4,25),IF(OR($G$377&gt;0,$J$1931&gt;0),"Persuasión (Seducción)",""))</f>
        <v/>
      </c>
      <c r="W1990" s="586">
        <f t="shared" si="294"/>
        <v>-30</v>
      </c>
      <c r="X1990" s="586" t="str">
        <f t="shared" si="301"/>
        <v/>
      </c>
      <c r="Y1990" s="586" t="str">
        <f t="shared" si="295"/>
        <v/>
      </c>
      <c r="Z1990" s="1207" t="str">
        <f t="shared" si="296"/>
        <v/>
      </c>
      <c r="AA1990" s="586" t="str">
        <f t="shared" si="297"/>
        <v/>
      </c>
      <c r="AB1990" s="586" t="str">
        <f t="shared" si="302"/>
        <v>Persuasión -30</v>
      </c>
      <c r="AC1990" s="588">
        <f t="shared" si="298"/>
        <v>37</v>
      </c>
      <c r="AD1990" s="585" t="str">
        <f t="shared" si="299"/>
        <v/>
      </c>
      <c r="AE1990" s="6062"/>
      <c r="AF1990" s="1286">
        <f>Principal!O32</f>
        <v>0</v>
      </c>
      <c r="AH1990" s="2339"/>
    </row>
    <row r="1991" spans="1:34" ht="12.75" customHeight="1" x14ac:dyDescent="0.2">
      <c r="A1991" s="227">
        <v>1991</v>
      </c>
      <c r="B1991" s="5988"/>
      <c r="C1991" s="279" t="str">
        <f>IF(Ki!$P$24="-",", "&amp;Ki!$M$24,"")</f>
        <v/>
      </c>
      <c r="D1991" s="2409"/>
      <c r="E1991" s="581"/>
      <c r="G1991" s="326">
        <f>COUNTIF($H$1978:H1991,H1991)</f>
        <v>14</v>
      </c>
      <c r="H1991" s="2349" t="str">
        <f>IF(Principal!C48&lt;&gt;"",Principal!C48,"")</f>
        <v/>
      </c>
      <c r="I1991" s="621" t="str">
        <f t="shared" si="292"/>
        <v/>
      </c>
      <c r="K1991" s="489" t="str">
        <f t="shared" si="293"/>
        <v/>
      </c>
      <c r="L1991" s="21"/>
      <c r="M1991" s="2166"/>
      <c r="N1991" s="2168" t="str">
        <f t="shared" si="300"/>
        <v/>
      </c>
      <c r="O1991" s="838" t="b">
        <f>OR($S$1976,AND(NOT(Comercio_final="-"),OR(PDs!T140&gt;4,PDs!W140&gt;0,PDs!X140&gt;0,$G$310&gt;0)))</f>
        <v>0</v>
      </c>
      <c r="P1991" s="585" t="s">
        <v>816</v>
      </c>
      <c r="Q1991" s="584">
        <f>PDs!AA140</f>
        <v>-30</v>
      </c>
      <c r="R1991" s="583" t="str">
        <f>IF(PDs!I140=0,"",P1991&amp;" ("&amp;PDs!I140&amp;")")</f>
        <v/>
      </c>
      <c r="S1991" s="583">
        <f>LEFT(PDs!AG140,2)+LEFT(PDs!AH140,2)</f>
        <v>0</v>
      </c>
      <c r="T1991" s="583" t="str">
        <f>IF(PDs!AI140,MID(PDs!AH140,4,25)&amp;MID(PDs!AG140,4,25),"")</f>
        <v/>
      </c>
      <c r="U1991" s="1206"/>
      <c r="V1991" s="1206"/>
      <c r="W1991" s="583">
        <f t="shared" si="294"/>
        <v>-30</v>
      </c>
      <c r="X1991" s="583" t="str">
        <f t="shared" si="301"/>
        <v/>
      </c>
      <c r="Y1991" s="583" t="str">
        <f t="shared" si="295"/>
        <v/>
      </c>
      <c r="Z1991" s="1206" t="str">
        <f t="shared" si="296"/>
        <v/>
      </c>
      <c r="AA1991" s="583" t="str">
        <f t="shared" si="297"/>
        <v/>
      </c>
      <c r="AB1991" s="583" t="str">
        <f t="shared" si="302"/>
        <v>Comercio -30</v>
      </c>
      <c r="AC1991" s="585">
        <f t="shared" si="298"/>
        <v>14</v>
      </c>
      <c r="AD1991" s="585" t="str">
        <f t="shared" si="299"/>
        <v/>
      </c>
      <c r="AE1991" s="6062"/>
      <c r="AF1991" s="1286">
        <f>Principal!O33</f>
        <v>0</v>
      </c>
      <c r="AH1991" s="2339"/>
    </row>
    <row r="1992" spans="1:34" ht="12.75" customHeight="1" x14ac:dyDescent="0.2">
      <c r="A1992" s="227">
        <v>1992</v>
      </c>
      <c r="B1992" s="5988"/>
      <c r="C1992" s="279" t="str">
        <f>IF(Ki!$P$25="-",", "&amp;Ki!$L$25,"")</f>
        <v/>
      </c>
      <c r="D1992" s="2409"/>
      <c r="E1992" s="581"/>
      <c r="G1992" s="326">
        <f>COUNTIF($H$1978:H1992,H1992)</f>
        <v>15</v>
      </c>
      <c r="H1992" s="2349" t="str">
        <f>IF(Principal!C49&lt;&gt;"",Principal!C49,"")</f>
        <v/>
      </c>
      <c r="I1992" s="621" t="str">
        <f t="shared" si="292"/>
        <v/>
      </c>
      <c r="K1992" s="489" t="str">
        <f t="shared" si="293"/>
        <v/>
      </c>
      <c r="L1992" s="21"/>
      <c r="M1992" s="2166"/>
      <c r="N1992" s="2168" t="str">
        <f t="shared" si="300"/>
        <v/>
      </c>
      <c r="O1992" s="839" t="b">
        <f>OR($S$1976,AND(NOT(Callejeo_final="-"),OR(PDs!T141&gt;4,PDs!W141&gt;0,PDs!X141&gt;0,$G$310&gt;0)))</f>
        <v>0</v>
      </c>
      <c r="P1992" s="588" t="s">
        <v>817</v>
      </c>
      <c r="Q1992" s="588">
        <f>PDs!AA141</f>
        <v>-30</v>
      </c>
      <c r="R1992" s="586" t="str">
        <f>IF(PDs!I141=0,"",P1992&amp;" ("&amp;PDs!I141&amp;")")</f>
        <v/>
      </c>
      <c r="S1992" s="586">
        <f>LEFT(PDs!AG141,2)+LEFT(PDs!AH141,2)</f>
        <v>0</v>
      </c>
      <c r="T1992" s="586" t="str">
        <f>IF(PDs!AI141,MID(PDs!AH141,4,25)&amp;MID(PDs!AG141,4,25),"")</f>
        <v/>
      </c>
      <c r="U1992" s="1207">
        <v>40</v>
      </c>
      <c r="V1992" s="588" t="s">
        <v>6402</v>
      </c>
      <c r="W1992" s="586">
        <f t="shared" si="294"/>
        <v>-30</v>
      </c>
      <c r="X1992" s="586" t="str">
        <f t="shared" si="301"/>
        <v/>
      </c>
      <c r="Y1992" s="586" t="str">
        <f t="shared" si="295"/>
        <v/>
      </c>
      <c r="Z1992" s="1207">
        <f t="shared" si="296"/>
        <v>10</v>
      </c>
      <c r="AA1992" s="586" t="str">
        <f t="shared" si="297"/>
        <v/>
      </c>
      <c r="AB1992" s="586" t="str">
        <f t="shared" si="302"/>
        <v>Callejeo -30, Callejeo (Ciudad natal) 10</v>
      </c>
      <c r="AC1992" s="588">
        <f t="shared" si="298"/>
        <v>11</v>
      </c>
      <c r="AD1992" s="585" t="str">
        <f t="shared" si="299"/>
        <v/>
      </c>
      <c r="AE1992" s="6062"/>
      <c r="AF1992" s="1286">
        <f>Principal!O34</f>
        <v>0</v>
      </c>
      <c r="AH1992" s="2339"/>
    </row>
    <row r="1993" spans="1:34" ht="12.75" customHeight="1" x14ac:dyDescent="0.2">
      <c r="A1993" s="227">
        <v>1993</v>
      </c>
      <c r="B1993" s="5988"/>
      <c r="C1993" s="279" t="str">
        <f>IF(Ki!$P$26="-",", "&amp;Ki!$L$26,"")</f>
        <v/>
      </c>
      <c r="D1993" s="2409"/>
      <c r="E1993" s="581"/>
      <c r="G1993" s="326">
        <f>COUNTIF($H$1978:H1993,H1993)</f>
        <v>16</v>
      </c>
      <c r="H1993" s="2349" t="str">
        <f>IF(Principal!G35&lt;&gt;"",Principal!G35,"")</f>
        <v/>
      </c>
      <c r="I1993" s="621" t="str">
        <f t="shared" si="292"/>
        <v/>
      </c>
      <c r="K1993" s="489" t="str">
        <f t="shared" si="293"/>
        <v/>
      </c>
      <c r="L1993" s="21"/>
      <c r="M1993" s="2166"/>
      <c r="N1993" s="2168" t="str">
        <f t="shared" si="300"/>
        <v/>
      </c>
      <c r="O1993" s="838" t="b">
        <f>OR($S$1976,AND(NOT(Etiqueta_final="-"),OR(PDs!T142&gt;4,PDs!W142&gt;0,PDs!X142&gt;0,$G$310&gt;0)))</f>
        <v>0</v>
      </c>
      <c r="P1993" s="585" t="s">
        <v>818</v>
      </c>
      <c r="Q1993" s="584">
        <f>PDs!AA142</f>
        <v>-30</v>
      </c>
      <c r="R1993" s="583" t="str">
        <f>IF(PDs!I142=0,"",P1993&amp;" ("&amp;PDs!I142&amp;")")</f>
        <v/>
      </c>
      <c r="S1993" s="583">
        <f>LEFT(PDs!AG142,2)+LEFT(PDs!AH142,2)</f>
        <v>0</v>
      </c>
      <c r="T1993" s="583" t="str">
        <f>IF(PDs!AI142,MID(PDs!AH142,4,25)&amp;MID(PDs!AG142,4,25),"")</f>
        <v/>
      </c>
      <c r="U1993" s="1206"/>
      <c r="V1993" s="1206"/>
      <c r="W1993" s="583">
        <f t="shared" si="294"/>
        <v>-30</v>
      </c>
      <c r="X1993" s="583" t="str">
        <f t="shared" si="301"/>
        <v/>
      </c>
      <c r="Y1993" s="583" t="str">
        <f t="shared" si="295"/>
        <v/>
      </c>
      <c r="Z1993" s="1206" t="str">
        <f t="shared" si="296"/>
        <v/>
      </c>
      <c r="AA1993" s="583" t="str">
        <f t="shared" si="297"/>
        <v/>
      </c>
      <c r="AB1993" s="583" t="str">
        <f t="shared" si="302"/>
        <v>Etiqueta -30</v>
      </c>
      <c r="AC1993" s="585">
        <f t="shared" si="298"/>
        <v>19</v>
      </c>
      <c r="AD1993" s="585" t="str">
        <f t="shared" si="299"/>
        <v/>
      </c>
      <c r="AE1993" s="6062"/>
      <c r="AF1993" s="1286">
        <f>Principal!O35</f>
        <v>0</v>
      </c>
      <c r="AH1993" s="2339"/>
    </row>
    <row r="1994" spans="1:34" ht="12.75" customHeight="1" x14ac:dyDescent="0.2">
      <c r="A1994" s="227">
        <v>1994</v>
      </c>
      <c r="B1994" s="5988"/>
      <c r="C1994" s="279" t="str">
        <f>IF(Ki!$P$27="-",", "&amp;Ki!$K$27,"")</f>
        <v/>
      </c>
      <c r="D1994" s="2409"/>
      <c r="E1994" s="581"/>
      <c r="G1994" s="326">
        <f>COUNTIF($H$1978:H1994,H1994)</f>
        <v>17</v>
      </c>
      <c r="H1994" s="2349" t="str">
        <f>IF(Principal!G36&lt;&gt;"",Principal!G36,"")</f>
        <v/>
      </c>
      <c r="I1994" s="621" t="str">
        <f t="shared" si="292"/>
        <v/>
      </c>
      <c r="K1994" s="489" t="str">
        <f t="shared" si="293"/>
        <v/>
      </c>
      <c r="L1994" s="21"/>
      <c r="M1994" s="2166"/>
      <c r="N1994" s="2168" t="str">
        <f t="shared" si="300"/>
        <v/>
      </c>
      <c r="O1994" s="839" t="b">
        <f>OR($S$1976,AND(NOT(Advertir_final="-"),OR(PDs!T143&gt;4,PDs!W143&gt;0,PDs!X143&gt;0,$G$310&gt;0)))</f>
        <v>0</v>
      </c>
      <c r="P1994" s="588" t="s">
        <v>1432</v>
      </c>
      <c r="Q1994" s="587">
        <f>PDs!AA143</f>
        <v>-30</v>
      </c>
      <c r="R1994" s="586" t="str">
        <f>IF(PDs!I143=0,"",P1994&amp;" ("&amp;PDs!I143&amp;")")</f>
        <v/>
      </c>
      <c r="S1994" s="586">
        <f>LEFT(PDs!AG143,2)+LEFT(PDs!AH143,2)</f>
        <v>0</v>
      </c>
      <c r="T1994" s="586" t="str">
        <f>IF(PDs!AI143,MID(PDs!AH143,4,25)&amp;MID(PDs!AG143,4,25),"")</f>
        <v/>
      </c>
      <c r="U1994" s="1207">
        <f>IF($J$1254,30,0)</f>
        <v>0</v>
      </c>
      <c r="V1994" s="1207" t="str">
        <f>IF($J$1254,P1994&amp;" ("&amp;$K$1254&amp;")","")</f>
        <v/>
      </c>
      <c r="W1994" s="586">
        <f t="shared" si="294"/>
        <v>-30</v>
      </c>
      <c r="X1994" s="586" t="str">
        <f t="shared" si="301"/>
        <v/>
      </c>
      <c r="Y1994" s="586" t="str">
        <f t="shared" si="295"/>
        <v/>
      </c>
      <c r="Z1994" s="1207" t="str">
        <f t="shared" si="296"/>
        <v/>
      </c>
      <c r="AA1994" s="586" t="str">
        <f t="shared" si="297"/>
        <v/>
      </c>
      <c r="AB1994" s="586" t="str">
        <f t="shared" si="302"/>
        <v>Advertir -30</v>
      </c>
      <c r="AC1994" s="588">
        <f t="shared" si="298"/>
        <v>2</v>
      </c>
      <c r="AD1994" s="585" t="str">
        <f t="shared" si="299"/>
        <v/>
      </c>
      <c r="AE1994" s="6062"/>
      <c r="AF1994" s="1286">
        <f>Principal!O36</f>
        <v>0</v>
      </c>
      <c r="AH1994" s="2339"/>
    </row>
    <row r="1995" spans="1:34" ht="12.75" customHeight="1" x14ac:dyDescent="0.2">
      <c r="A1995" s="227">
        <v>1995</v>
      </c>
      <c r="B1995" s="5988"/>
      <c r="C1995" s="279" t="str">
        <f>IF(Ki!$P$28="-",", "&amp;Ki!$L$28,"")</f>
        <v/>
      </c>
      <c r="D1995" s="2409"/>
      <c r="E1995" s="581"/>
      <c r="G1995" s="326">
        <f>COUNTIF($H$1978:H1995,H1995)</f>
        <v>18</v>
      </c>
      <c r="H1995" s="2349" t="str">
        <f>IF(Principal!G37&lt;&gt;"",Principal!G37,"")</f>
        <v/>
      </c>
      <c r="I1995" s="621" t="str">
        <f t="shared" si="292"/>
        <v/>
      </c>
      <c r="K1995" s="489" t="str">
        <f t="shared" si="293"/>
        <v/>
      </c>
      <c r="L1995" s="21"/>
      <c r="M1995" s="2166"/>
      <c r="N1995" s="2168" t="str">
        <f t="shared" si="300"/>
        <v/>
      </c>
      <c r="O1995" s="839" t="b">
        <f>OR($S$1976,AND(NOT(Buscar_final="-"),OR(PDs!T144&gt;4,PDs!W144&gt;0,PDs!X144&gt;0,$G$310&gt;0)))</f>
        <v>0</v>
      </c>
      <c r="P1995" s="588" t="s">
        <v>1433</v>
      </c>
      <c r="Q1995" s="587">
        <f>PDs!AA144</f>
        <v>-30</v>
      </c>
      <c r="R1995" s="586" t="str">
        <f>IF(PDs!I144=0,"",P1995&amp;" ("&amp;PDs!I144&amp;")")</f>
        <v/>
      </c>
      <c r="S1995" s="586">
        <f>LEFT(PDs!AG144,2)+LEFT(PDs!AH144,2)</f>
        <v>0</v>
      </c>
      <c r="T1995" s="586" t="str">
        <f>IF(PDs!AI144,MID(PDs!AH144,4,25)&amp;MID(PDs!AG144,4,25),"")</f>
        <v/>
      </c>
      <c r="U1995" s="1207">
        <f>IF($J$1254,30,0)</f>
        <v>0</v>
      </c>
      <c r="V1995" s="1207" t="str">
        <f>IF($J$1254,P1995&amp;" ("&amp;$K$1254&amp;")","")</f>
        <v/>
      </c>
      <c r="W1995" s="586">
        <f t="shared" si="294"/>
        <v>-30</v>
      </c>
      <c r="X1995" s="586" t="str">
        <f t="shared" si="301"/>
        <v/>
      </c>
      <c r="Y1995" s="586" t="str">
        <f t="shared" si="295"/>
        <v/>
      </c>
      <c r="Z1995" s="1207" t="str">
        <f t="shared" si="296"/>
        <v/>
      </c>
      <c r="AA1995" s="586" t="str">
        <f t="shared" si="297"/>
        <v/>
      </c>
      <c r="AB1995" s="586" t="str">
        <f t="shared" si="302"/>
        <v>Buscar -30</v>
      </c>
      <c r="AC1995" s="588">
        <f t="shared" si="298"/>
        <v>9</v>
      </c>
      <c r="AD1995" s="585" t="str">
        <f t="shared" si="299"/>
        <v/>
      </c>
      <c r="AE1995" s="6062"/>
      <c r="AF1995" s="1286">
        <f>Principal!O37</f>
        <v>0</v>
      </c>
      <c r="AH1995" s="2339"/>
    </row>
    <row r="1996" spans="1:34" ht="12.75" customHeight="1" x14ac:dyDescent="0.2">
      <c r="A1996" s="227">
        <v>1996</v>
      </c>
      <c r="B1996" s="5988"/>
      <c r="C1996" s="279" t="str">
        <f>IF(Ki!$P$29="-",", "&amp;Ki!$M$29,"")</f>
        <v/>
      </c>
      <c r="D1996" s="2409"/>
      <c r="E1996" s="581"/>
      <c r="G1996" s="326">
        <f>COUNTIF($H$1978:H1996,H1996)</f>
        <v>19</v>
      </c>
      <c r="H1996" s="2349" t="str">
        <f>IF(Principal!G38&lt;&gt;"",Principal!G38,"")</f>
        <v/>
      </c>
      <c r="I1996" s="621" t="str">
        <f t="shared" si="292"/>
        <v/>
      </c>
      <c r="K1996" s="489" t="str">
        <f t="shared" si="293"/>
        <v/>
      </c>
      <c r="L1996" s="21"/>
      <c r="M1996" s="2166"/>
      <c r="N1996" s="2168" t="str">
        <f t="shared" si="300"/>
        <v/>
      </c>
      <c r="O1996" s="839" t="b">
        <f>OR($S$1976,AND(NOT(Rastrear_final="-"),OR(PDs!T145&gt;4,PDs!W145&gt;0,PDs!X145&gt;0,$G$310&gt;0)))</f>
        <v>0</v>
      </c>
      <c r="P1996" s="588" t="s">
        <v>1434</v>
      </c>
      <c r="Q1996" s="587">
        <f>PDs!AA145</f>
        <v>-30</v>
      </c>
      <c r="R1996" s="586" t="str">
        <f>IF(PDs!I145=0,"",P1996&amp;" ("&amp;PDs!I145&amp;")")</f>
        <v/>
      </c>
      <c r="S1996" s="586">
        <f>LEFT(PDs!AG145,2)+LEFT(PDs!AH145,2)</f>
        <v>0</v>
      </c>
      <c r="T1996" s="586" t="str">
        <f>IF(PDs!AI145,MID(PDs!AH145,4,25)&amp;MID(PDs!AG145,4,25),"")</f>
        <v/>
      </c>
      <c r="U1996" s="1207">
        <f>IF($J$1254,30,0)</f>
        <v>0</v>
      </c>
      <c r="V1996" s="1207" t="str">
        <f>IF($J$1254,P1996&amp;" ("&amp;$K$1254&amp;")","")</f>
        <v/>
      </c>
      <c r="W1996" s="586">
        <f t="shared" si="294"/>
        <v>-30</v>
      </c>
      <c r="X1996" s="586" t="str">
        <f t="shared" si="301"/>
        <v/>
      </c>
      <c r="Y1996" s="586" t="str">
        <f t="shared" si="295"/>
        <v/>
      </c>
      <c r="Z1996" s="1207" t="str">
        <f t="shared" si="296"/>
        <v/>
      </c>
      <c r="AA1996" s="586" t="str">
        <f t="shared" si="297"/>
        <v/>
      </c>
      <c r="AB1996" s="586" t="str">
        <f t="shared" si="302"/>
        <v>Rastrear -30</v>
      </c>
      <c r="AC1996" s="588">
        <f t="shared" si="298"/>
        <v>39</v>
      </c>
      <c r="AD1996" s="585" t="str">
        <f t="shared" si="299"/>
        <v/>
      </c>
      <c r="AE1996" s="6062"/>
      <c r="AF1996" s="1286">
        <f>Principal!O38</f>
        <v>0</v>
      </c>
      <c r="AH1996" s="2339"/>
    </row>
    <row r="1997" spans="1:34" ht="12.75" customHeight="1" x14ac:dyDescent="0.2">
      <c r="A1997" s="227">
        <v>1997</v>
      </c>
      <c r="B1997" s="5988"/>
      <c r="C1997" s="279" t="str">
        <f>IF(Ki!$P$30="-",", "&amp;Ki!$N$30,"")</f>
        <v/>
      </c>
      <c r="D1997" s="2409"/>
      <c r="E1997" s="581"/>
      <c r="G1997" s="326">
        <f>COUNTIF($H$1978:H1997,H1997)</f>
        <v>20</v>
      </c>
      <c r="H1997" s="2349" t="str">
        <f>IF(Principal!G39&lt;&gt;"",Principal!G39,"")</f>
        <v/>
      </c>
      <c r="I1997" s="621" t="str">
        <f t="shared" si="292"/>
        <v/>
      </c>
      <c r="K1997" s="489" t="str">
        <f t="shared" si="293"/>
        <v/>
      </c>
      <c r="L1997" s="21"/>
      <c r="M1997" s="2166"/>
      <c r="N1997" s="2168" t="str">
        <f t="shared" si="300"/>
        <v/>
      </c>
      <c r="O1997" s="838" t="b">
        <f>OR($S$1976,AND(NOT(Animales_final="-"),OR(PDs!T146&gt;4,PDs!W146&gt;0,PDs!X146&gt;0,$G$310&gt;0)))</f>
        <v>0</v>
      </c>
      <c r="P1997" s="585" t="s">
        <v>1436</v>
      </c>
      <c r="Q1997" s="584">
        <f>PDs!AA146</f>
        <v>-30</v>
      </c>
      <c r="R1997" s="583" t="str">
        <f>IF(PDs!I146=0,"",P1997&amp;" ("&amp;PDs!I146&amp;")")</f>
        <v/>
      </c>
      <c r="S1997" s="583">
        <f>LEFT(PDs!AG146,2)+LEFT(PDs!AH146,2)</f>
        <v>0</v>
      </c>
      <c r="T1997" s="583" t="str">
        <f>IF(PDs!AI146,MID(PDs!AH146,4,25)&amp;MID(PDs!AG146,4,25),"")</f>
        <v/>
      </c>
      <c r="U1997" s="1206"/>
      <c r="V1997" s="1206"/>
      <c r="W1997" s="583">
        <f t="shared" si="294"/>
        <v>-30</v>
      </c>
      <c r="X1997" s="583" t="str">
        <f t="shared" si="301"/>
        <v/>
      </c>
      <c r="Y1997" s="583" t="str">
        <f t="shared" si="295"/>
        <v/>
      </c>
      <c r="Z1997" s="1206" t="str">
        <f t="shared" si="296"/>
        <v/>
      </c>
      <c r="AA1997" s="583" t="str">
        <f t="shared" si="297"/>
        <v/>
      </c>
      <c r="AB1997" s="583" t="str">
        <f t="shared" si="302"/>
        <v>Animales -30</v>
      </c>
      <c r="AC1997" s="585">
        <f t="shared" si="298"/>
        <v>4</v>
      </c>
      <c r="AD1997" s="585" t="str">
        <f t="shared" si="299"/>
        <v/>
      </c>
      <c r="AE1997" s="6062"/>
      <c r="AF1997" s="1286">
        <f>Principal!O39</f>
        <v>0</v>
      </c>
      <c r="AH1997" s="2339"/>
    </row>
    <row r="1998" spans="1:34" ht="12.75" customHeight="1" x14ac:dyDescent="0.2">
      <c r="A1998" s="227">
        <v>1998</v>
      </c>
      <c r="B1998" s="5988"/>
      <c r="C1998" s="279" t="str">
        <f>IF(Ki!$P$31="-",", "&amp;Ki!$M$31,"")</f>
        <v/>
      </c>
      <c r="D1998" s="2409"/>
      <c r="E1998" s="581"/>
      <c r="G1998" s="326">
        <f>COUNTIF($H$1978:H1998,H1998)</f>
        <v>21</v>
      </c>
      <c r="H1998" s="2349" t="str">
        <f>IF(Principal!G40&lt;&gt;"",Principal!G40,"")</f>
        <v/>
      </c>
      <c r="I1998" s="621" t="str">
        <f t="shared" si="292"/>
        <v/>
      </c>
      <c r="K1998" s="489" t="str">
        <f t="shared" si="293"/>
        <v/>
      </c>
      <c r="L1998" s="21"/>
      <c r="M1998" s="2166"/>
      <c r="N1998" s="2168" t="str">
        <f t="shared" si="300"/>
        <v/>
      </c>
      <c r="O1998" s="838" t="b">
        <f>AND(NOT(Ciencia_final="-"),OR(PDs!T147&gt;4,PDs!W147&gt;0,PDs!X147&gt;0,$G$310&gt;0))</f>
        <v>0</v>
      </c>
      <c r="P1998" s="585" t="s">
        <v>1437</v>
      </c>
      <c r="Q1998" s="584" t="str">
        <f>PDs!AA147</f>
        <v>-</v>
      </c>
      <c r="R1998" s="583" t="str">
        <f>IF(PDs!I147=0,"",P1998&amp;" ("&amp;PDs!I147&amp;")")</f>
        <v/>
      </c>
      <c r="S1998" s="583">
        <f>LEFT(PDs!AG147,2)+LEFT(PDs!AH147,2)</f>
        <v>0</v>
      </c>
      <c r="T1998" s="583" t="str">
        <f>IF(PDs!AI147,MID(PDs!AH147,4,25)&amp;MID(PDs!AG147,4,25),"")</f>
        <v/>
      </c>
      <c r="U1998" s="1206"/>
      <c r="V1998" s="1206"/>
      <c r="W1998" s="583" t="str">
        <f t="shared" si="294"/>
        <v>-</v>
      </c>
      <c r="X1998" s="583" t="str">
        <f t="shared" si="301"/>
        <v/>
      </c>
      <c r="Y1998" s="583" t="str">
        <f t="shared" si="295"/>
        <v/>
      </c>
      <c r="Z1998" s="1206" t="str">
        <f t="shared" si="296"/>
        <v/>
      </c>
      <c r="AA1998" s="583" t="str">
        <f t="shared" si="297"/>
        <v/>
      </c>
      <c r="AB1998" s="583" t="str">
        <f t="shared" si="302"/>
        <v>Ciencia -</v>
      </c>
      <c r="AC1998" s="585">
        <f t="shared" si="298"/>
        <v>13</v>
      </c>
      <c r="AD1998" s="585" t="str">
        <f t="shared" si="299"/>
        <v/>
      </c>
      <c r="AE1998" s="6062"/>
      <c r="AF1998" s="1286">
        <f>Principal!O40</f>
        <v>0</v>
      </c>
      <c r="AH1998" s="2339"/>
    </row>
    <row r="1999" spans="1:34" ht="12.75" customHeight="1" x14ac:dyDescent="0.2">
      <c r="A1999" s="227">
        <v>1999</v>
      </c>
      <c r="B1999" s="5988"/>
      <c r="C1999" s="279" t="str">
        <f>IF(Ki!$P$32="-",", "&amp;Ki!$K$32,"")</f>
        <v/>
      </c>
      <c r="D1999" s="2409"/>
      <c r="E1999" s="581"/>
      <c r="G1999" s="326">
        <f>COUNTIF($H$1978:H1999,H1999)</f>
        <v>22</v>
      </c>
      <c r="H1999" s="2349" t="str">
        <f>IF(Principal!G41&lt;&gt;"",Principal!G41,"")</f>
        <v/>
      </c>
      <c r="I1999" s="621" t="str">
        <f t="shared" si="292"/>
        <v/>
      </c>
      <c r="K1999" s="489" t="str">
        <f t="shared" si="293"/>
        <v/>
      </c>
      <c r="L1999" s="21"/>
      <c r="M1999" s="2166"/>
      <c r="N1999" s="2168" t="str">
        <f t="shared" si="300"/>
        <v/>
      </c>
      <c r="O1999" s="838" t="b">
        <f>OR($S$1976,AND(NOT(Ley_final="-"),OR(PDs!T148&gt;4,PDs!W148&gt;0,PDs!X148&gt;0,$G$310&gt;0)))</f>
        <v>0</v>
      </c>
      <c r="P1999" s="585" t="s">
        <v>2567</v>
      </c>
      <c r="Q1999" s="584">
        <f>PDs!AA148</f>
        <v>-30</v>
      </c>
      <c r="R1999" s="583" t="str">
        <f>IF(PDs!I148=0,"",P1999&amp;" ("&amp;PDs!I148&amp;")")</f>
        <v/>
      </c>
      <c r="S1999" s="583">
        <f>LEFT(PDs!AG148,2)+LEFT(PDs!AH148,2)</f>
        <v>0</v>
      </c>
      <c r="T1999" s="583" t="str">
        <f>IF(PDs!AI148,MID(PDs!AH148,4,25)&amp;MID(PDs!AG148,4,25),"")</f>
        <v/>
      </c>
      <c r="U1999" s="1206"/>
      <c r="V1999" s="1206"/>
      <c r="W1999" s="583">
        <f t="shared" si="294"/>
        <v>-30</v>
      </c>
      <c r="X1999" s="583" t="str">
        <f t="shared" si="301"/>
        <v/>
      </c>
      <c r="Y1999" s="583" t="str">
        <f t="shared" si="295"/>
        <v/>
      </c>
      <c r="Z1999" s="1206" t="str">
        <f t="shared" si="296"/>
        <v/>
      </c>
      <c r="AA1999" s="583" t="str">
        <f t="shared" si="297"/>
        <v/>
      </c>
      <c r="AB1999" s="583" t="str">
        <f t="shared" si="302"/>
        <v>Ley -30</v>
      </c>
      <c r="AC1999" s="585">
        <f t="shared" si="298"/>
        <v>25</v>
      </c>
      <c r="AD1999" s="585" t="str">
        <f t="shared" si="299"/>
        <v/>
      </c>
      <c r="AE1999" s="6062"/>
      <c r="AF1999" s="1286">
        <f>Principal!O41</f>
        <v>0</v>
      </c>
      <c r="AH1999" s="2339"/>
    </row>
    <row r="2000" spans="1:34" ht="12.75" customHeight="1" x14ac:dyDescent="0.2">
      <c r="A2000" s="227">
        <v>2000</v>
      </c>
      <c r="B2000" s="5988"/>
      <c r="C2000" s="279" t="str">
        <f>IF(Ki!$P$33="-",", "&amp;Ki!$L$33,"")</f>
        <v/>
      </c>
      <c r="D2000" s="2409"/>
      <c r="E2000" s="581"/>
      <c r="G2000" s="326">
        <f>COUNTIF($H$1978:H2000,H2000)</f>
        <v>23</v>
      </c>
      <c r="H2000" s="2349" t="str">
        <f>IF(Principal!G42&lt;&gt;"",Principal!G42,"")</f>
        <v/>
      </c>
      <c r="I2000" s="621" t="str">
        <f t="shared" si="292"/>
        <v/>
      </c>
      <c r="K2000" s="489" t="str">
        <f t="shared" si="293"/>
        <v/>
      </c>
      <c r="L2000" s="21"/>
      <c r="M2000" s="2166"/>
      <c r="N2000" s="2168" t="str">
        <f t="shared" si="300"/>
        <v/>
      </c>
      <c r="O2000" s="838" t="b">
        <f>OR($S$1976,AND(NOT(Herbolaria_final="-"),OR(PDs!T149&gt;4,PDs!W149&gt;0,PDs!X149&gt;0,$G$310&gt;0)))</f>
        <v>0</v>
      </c>
      <c r="P2000" s="585" t="s">
        <v>1438</v>
      </c>
      <c r="Q2000" s="584">
        <f>PDs!AA149</f>
        <v>-30</v>
      </c>
      <c r="R2000" s="583" t="str">
        <f>IF(PDs!I149=0,"",P2000&amp;" ("&amp;PDs!I149&amp;")")</f>
        <v/>
      </c>
      <c r="S2000" s="583">
        <f>LEFT(PDs!AG149,2)+LEFT(PDs!AH149,2)</f>
        <v>0</v>
      </c>
      <c r="T2000" s="583" t="str">
        <f>IF(PDs!AI149,MID(PDs!AH149,4,25)&amp;MID(PDs!AG149,4,25),"")</f>
        <v/>
      </c>
      <c r="U2000" s="1206"/>
      <c r="V2000" s="1206"/>
      <c r="W2000" s="583">
        <f t="shared" si="294"/>
        <v>-30</v>
      </c>
      <c r="X2000" s="583" t="str">
        <f t="shared" si="301"/>
        <v/>
      </c>
      <c r="Y2000" s="583" t="str">
        <f t="shared" si="295"/>
        <v/>
      </c>
      <c r="Z2000" s="1206" t="str">
        <f t="shared" si="296"/>
        <v/>
      </c>
      <c r="AA2000" s="583" t="str">
        <f t="shared" si="297"/>
        <v/>
      </c>
      <c r="AB2000" s="583" t="str">
        <f t="shared" si="302"/>
        <v>Herbolaria -30</v>
      </c>
      <c r="AC2000" s="585">
        <f t="shared" si="298"/>
        <v>22</v>
      </c>
      <c r="AD2000" s="585" t="str">
        <f t="shared" si="299"/>
        <v/>
      </c>
      <c r="AE2000" s="6062"/>
      <c r="AF2000" s="1286">
        <f>Principal!O42</f>
        <v>0</v>
      </c>
      <c r="AH2000" s="2339"/>
    </row>
    <row r="2001" spans="1:34" ht="12.75" customHeight="1" x14ac:dyDescent="0.2">
      <c r="A2001" s="227">
        <v>2001</v>
      </c>
      <c r="B2001" s="5988"/>
      <c r="C2001" s="279" t="str">
        <f>IF(Ki!$P$34="-",", "&amp;Ki!$M$34,"")</f>
        <v/>
      </c>
      <c r="D2001" s="2409"/>
      <c r="E2001" s="581"/>
      <c r="G2001" s="326">
        <f>COUNTIF($H$1978:H2001,H2001)</f>
        <v>24</v>
      </c>
      <c r="H2001" s="2349" t="str">
        <f>IF(Principal!G43&lt;&gt;"",Principal!G43,"")</f>
        <v/>
      </c>
      <c r="I2001" s="621" t="str">
        <f t="shared" si="292"/>
        <v/>
      </c>
      <c r="K2001" s="489" t="str">
        <f t="shared" si="293"/>
        <v/>
      </c>
      <c r="L2001" s="21"/>
      <c r="M2001" s="2166"/>
      <c r="N2001" s="2168" t="str">
        <f t="shared" si="300"/>
        <v/>
      </c>
      <c r="O2001" s="839" t="b">
        <f>AND(NOT(Historia_final="-"),OR(PDs!T150&gt;4,PDs!W150&gt;0,PDs!X150&gt;0,$G$310&gt;0))</f>
        <v>0</v>
      </c>
      <c r="P2001" s="588" t="s">
        <v>1440</v>
      </c>
      <c r="Q2001" s="587" t="str">
        <f>PDs!AA150</f>
        <v>-</v>
      </c>
      <c r="R2001" s="586" t="str">
        <f>IF(PDs!I150=0,"",P2001&amp;" ("&amp;PDs!I150&amp;")")</f>
        <v/>
      </c>
      <c r="S2001" s="586">
        <f>LEFT(PDs!AG150,2)+LEFT(PDs!AH150,2)</f>
        <v>0</v>
      </c>
      <c r="T2001" s="586" t="str">
        <f>IF(PDs!AI150,MID(PDs!AH150,4,25)&amp;MID(PDs!AG150,4,25),"")</f>
        <v/>
      </c>
      <c r="U2001" s="1207"/>
      <c r="V2001" s="1207"/>
      <c r="W2001" s="586" t="str">
        <f>IFERROR(Q2001+AF2001+IF(R2001="",0,-80)+IF(T2001="",0,IF(R2001=T2001,IF(AND(Region="Elcia",S2001=50),-20,-S2001),0)),"-")</f>
        <v>-</v>
      </c>
      <c r="X2001" s="586" t="str">
        <f>IFERROR(IF(AND(NOT(R2001=""),R2001=T2001,$P$1976),W2001+S2001+80+IF(AND(Region="Elcia",S2001=50),-30,0),""),"-")</f>
        <v/>
      </c>
      <c r="Y2001" s="586" t="str">
        <f>IFERROR(IF(AND(X2001="",NOT(T2001=""),$P$1976),W2001+S2001+IF(AND(Region="Elcia",S2001=50),-30,0),""),"")</f>
        <v/>
      </c>
      <c r="Z2001" s="1207" t="str">
        <f t="shared" si="296"/>
        <v/>
      </c>
      <c r="AA2001" s="586" t="str">
        <f t="shared" si="297"/>
        <v/>
      </c>
      <c r="AB2001" s="586" t="str">
        <f t="shared" si="302"/>
        <v>Historia -</v>
      </c>
      <c r="AC2001" s="588">
        <f t="shared" si="298"/>
        <v>23</v>
      </c>
      <c r="AD2001" s="585" t="str">
        <f t="shared" si="299"/>
        <v/>
      </c>
      <c r="AE2001" s="6062"/>
      <c r="AF2001" s="1286">
        <f>Principal!O43</f>
        <v>0</v>
      </c>
      <c r="AH2001" s="2339"/>
    </row>
    <row r="2002" spans="1:34" ht="12.75" customHeight="1" x14ac:dyDescent="0.2">
      <c r="A2002" s="227">
        <v>2002</v>
      </c>
      <c r="B2002" s="5988"/>
      <c r="C2002" s="279" t="str">
        <f>IF(Ki!$P$35="-",", "&amp;Ki!$N$35,"")</f>
        <v/>
      </c>
      <c r="D2002" s="2409"/>
      <c r="E2002" s="581"/>
      <c r="G2002" s="326">
        <f>COUNTIF($H$1978:H2002,H2002)</f>
        <v>25</v>
      </c>
      <c r="H2002" s="2349" t="str">
        <f>IF(Principal!G44&lt;&gt;"",Principal!G44,"")</f>
        <v/>
      </c>
      <c r="I2002" s="621" t="str">
        <f t="shared" si="292"/>
        <v/>
      </c>
      <c r="K2002" s="489" t="str">
        <f t="shared" si="293"/>
        <v/>
      </c>
      <c r="L2002" s="21"/>
      <c r="M2002" s="2166"/>
      <c r="N2002" s="2168" t="str">
        <f t="shared" si="300"/>
        <v/>
      </c>
      <c r="O2002" s="838" t="b">
        <f>OR($S$1976,AND(NOT(Tactica_final="-"),OR(PDs!T151&gt;4,PDs!W151&gt;0,PDs!X151&gt;0,$G$310&gt;0)))</f>
        <v>0</v>
      </c>
      <c r="P2002" s="585" t="s">
        <v>819</v>
      </c>
      <c r="Q2002" s="584">
        <f>PDs!AA151</f>
        <v>-30</v>
      </c>
      <c r="R2002" s="583" t="str">
        <f>IF(PDs!I151=0,"",P2002&amp;" ("&amp;PDs!I151&amp;")")</f>
        <v/>
      </c>
      <c r="S2002" s="583">
        <f>LEFT(PDs!AG151,2)+LEFT(PDs!AH151,2)</f>
        <v>0</v>
      </c>
      <c r="T2002" s="583" t="str">
        <f>IF(PDs!AI151,MID(PDs!AH151,4,25)&amp;MID(PDs!AG151,4,25),"")</f>
        <v/>
      </c>
      <c r="U2002" s="1206"/>
      <c r="V2002" s="1206"/>
      <c r="W2002" s="583">
        <f t="shared" ref="W2002:W2027" si="303">IFERROR(Q2002+AF2002+IF(R2002="",0,-80)+IF(T2002="",0,IF(R2002=T2002,-S2002,0)),"-")</f>
        <v>-30</v>
      </c>
      <c r="X2002" s="583" t="str">
        <f t="shared" ref="X2002:X2027" si="304">IFERROR(IF(AND(NOT(R2002=""),R2002=T2002,$P$1976),W2002+S2002+80,""),"-")</f>
        <v/>
      </c>
      <c r="Y2002" s="583" t="str">
        <f t="shared" ref="Y2002:Y2035" si="305">IFERROR(IF(AND(X2002="",NOT(T2002=""),$P$1976),W2002+S2002,""),"")</f>
        <v/>
      </c>
      <c r="Z2002" s="1206" t="str">
        <f t="shared" si="296"/>
        <v/>
      </c>
      <c r="AA2002" s="583" t="str">
        <f t="shared" si="297"/>
        <v/>
      </c>
      <c r="AB2002" s="583" t="str">
        <f t="shared" si="302"/>
        <v>Tactica -30</v>
      </c>
      <c r="AC2002" s="585">
        <f t="shared" si="298"/>
        <v>51</v>
      </c>
      <c r="AD2002" s="585" t="str">
        <f t="shared" si="299"/>
        <v/>
      </c>
      <c r="AE2002" s="6062"/>
      <c r="AF2002" s="1286">
        <f>Principal!O44</f>
        <v>0</v>
      </c>
      <c r="AH2002" s="2339"/>
    </row>
    <row r="2003" spans="1:34" ht="12.75" customHeight="1" x14ac:dyDescent="0.2">
      <c r="A2003" s="227">
        <v>2003</v>
      </c>
      <c r="B2003" s="5988"/>
      <c r="C2003" s="279" t="str">
        <f>IF(Extensióndelauraalarma,", "&amp;Ki!$L$36,"")</f>
        <v/>
      </c>
      <c r="D2003" s="2409"/>
      <c r="E2003" s="581"/>
      <c r="G2003" s="326">
        <f>COUNTIF($H$1978:H2003,H2003)</f>
        <v>26</v>
      </c>
      <c r="H2003" s="2349" t="str">
        <f>IF(Principal!G45&lt;&gt;"",Principal!G45,"")</f>
        <v/>
      </c>
      <c r="I2003" s="621" t="str">
        <f t="shared" si="292"/>
        <v/>
      </c>
      <c r="K2003" s="489" t="str">
        <f t="shared" si="293"/>
        <v/>
      </c>
      <c r="L2003" s="21"/>
      <c r="M2003" s="2166"/>
      <c r="N2003" s="2168" t="str">
        <f t="shared" si="300"/>
        <v/>
      </c>
      <c r="O2003" s="838" t="b">
        <f>AND(NOT(Medicina_final="-"),OR(PDs!T152&gt;4,PDs!W152&gt;0,PDs!X152&gt;0,$G$310&gt;0))</f>
        <v>0</v>
      </c>
      <c r="P2003" s="585" t="s">
        <v>1443</v>
      </c>
      <c r="Q2003" s="584" t="str">
        <f>PDs!AA152</f>
        <v>-</v>
      </c>
      <c r="R2003" s="583" t="str">
        <f>IF(PDs!I152=0,"",P2003&amp;" ("&amp;PDs!I152&amp;")")</f>
        <v/>
      </c>
      <c r="S2003" s="583">
        <f>LEFT(PDs!AG152,2)+LEFT(PDs!AH152,2)</f>
        <v>0</v>
      </c>
      <c r="T2003" s="583" t="str">
        <f>IF(PDs!AI152,MID(PDs!AH152,4,25)&amp;MID(PDs!AG152,4,25),"")</f>
        <v/>
      </c>
      <c r="U2003" s="1206"/>
      <c r="V2003" s="1206"/>
      <c r="W2003" s="583" t="str">
        <f t="shared" si="303"/>
        <v>-</v>
      </c>
      <c r="X2003" s="583" t="str">
        <f t="shared" si="304"/>
        <v/>
      </c>
      <c r="Y2003" s="583" t="str">
        <f t="shared" si="305"/>
        <v/>
      </c>
      <c r="Z2003" s="1206" t="str">
        <f t="shared" si="296"/>
        <v/>
      </c>
      <c r="AA2003" s="583" t="str">
        <f t="shared" si="297"/>
        <v/>
      </c>
      <c r="AB2003" s="583" t="str">
        <f t="shared" si="302"/>
        <v>Medicina -</v>
      </c>
      <c r="AC2003" s="585">
        <f t="shared" si="298"/>
        <v>27</v>
      </c>
      <c r="AD2003" s="585" t="str">
        <f t="shared" si="299"/>
        <v/>
      </c>
      <c r="AE2003" s="6062"/>
      <c r="AF2003" s="1286">
        <f>Principal!O45</f>
        <v>0</v>
      </c>
      <c r="AH2003" s="2339"/>
    </row>
    <row r="2004" spans="1:34" ht="12.75" customHeight="1" x14ac:dyDescent="0.2">
      <c r="A2004" s="227">
        <v>2004</v>
      </c>
      <c r="B2004" s="5988"/>
      <c r="C2004" s="279" t="str">
        <f>IF(Ki!$P$37="-",", "&amp;Ki!$M$37&amp;IF(COUNTA(Ki!$Y$22:$AJ$22)=0,""," ("&amp;Ki!Y$22&amp;IF(Ki!AA$22="","",", "&amp;Ki!AA$22)&amp;IF(Ki!AC$22="","",", "&amp;Ki!AC$22)&amp;IF(Ki!AE$22="","",", "&amp;Ki!AE$22)&amp;IF(Ki!AG$22="","",", "&amp;Ki!AG$22)&amp;IF(Ki!AI$22="","",", "&amp;Ki!AI$22)&amp;")"),"")</f>
        <v/>
      </c>
      <c r="D2004" s="2409"/>
      <c r="E2004" s="581"/>
      <c r="G2004" s="326">
        <f>COUNTIF($H$1978:H2004,H2004)</f>
        <v>27</v>
      </c>
      <c r="H2004" s="2349" t="str">
        <f>IF(Principal!G46&lt;&gt;"",Principal!G46,"")</f>
        <v/>
      </c>
      <c r="I2004" s="621" t="str">
        <f t="shared" si="292"/>
        <v/>
      </c>
      <c r="K2004" s="489" t="str">
        <f t="shared" si="293"/>
        <v/>
      </c>
      <c r="L2004" s="21"/>
      <c r="M2004" s="2166"/>
      <c r="N2004" s="2168" t="str">
        <f t="shared" si="300"/>
        <v/>
      </c>
      <c r="O2004" s="838" t="b">
        <f>OR($S$1976,AND(NOT(Memorizar_final="-"),OR(PDs!T153&gt;4,PDs!W153&gt;0,PDs!X153&gt;0,$G$310&gt;0)))</f>
        <v>0</v>
      </c>
      <c r="P2004" s="585" t="s">
        <v>1444</v>
      </c>
      <c r="Q2004" s="584">
        <f>PDs!AA153</f>
        <v>-30</v>
      </c>
      <c r="R2004" s="583" t="str">
        <f>IF(PDs!I153=0,"",P2004&amp;" ("&amp;PDs!I153&amp;")")</f>
        <v/>
      </c>
      <c r="S2004" s="583">
        <f>LEFT(PDs!AG153,2)+LEFT(PDs!AH153,2)</f>
        <v>0</v>
      </c>
      <c r="T2004" s="583" t="str">
        <f>IF(PDs!AI153,MID(PDs!AH153,4,25)&amp;MID(PDs!AG153,4,25),"")</f>
        <v/>
      </c>
      <c r="U2004" s="1206"/>
      <c r="V2004" s="1206"/>
      <c r="W2004" s="583">
        <f t="shared" si="303"/>
        <v>-30</v>
      </c>
      <c r="X2004" s="583" t="str">
        <f t="shared" si="304"/>
        <v/>
      </c>
      <c r="Y2004" s="583" t="str">
        <f t="shared" si="305"/>
        <v/>
      </c>
      <c r="Z2004" s="1206" t="str">
        <f t="shared" si="296"/>
        <v/>
      </c>
      <c r="AA2004" s="583" t="str">
        <f t="shared" si="297"/>
        <v/>
      </c>
      <c r="AB2004" s="583" t="str">
        <f t="shared" si="302"/>
        <v>Memorizar -30</v>
      </c>
      <c r="AC2004" s="585">
        <f t="shared" si="298"/>
        <v>28</v>
      </c>
      <c r="AD2004" s="585" t="str">
        <f t="shared" si="299"/>
        <v/>
      </c>
      <c r="AE2004" s="6062"/>
      <c r="AF2004" s="1286">
        <f>Principal!O46</f>
        <v>0</v>
      </c>
      <c r="AH2004" s="2339"/>
    </row>
    <row r="2005" spans="1:34" ht="12.75" customHeight="1" x14ac:dyDescent="0.2">
      <c r="A2005" s="227">
        <v>2005</v>
      </c>
      <c r="B2005" s="5988"/>
      <c r="C2005" s="279" t="str">
        <f>IF(Ki!$P$38="-",", "&amp;Ki!$M$38,"")</f>
        <v/>
      </c>
      <c r="D2005" s="2409"/>
      <c r="E2005" s="581"/>
      <c r="G2005" s="326">
        <f>COUNTIF($H$1978:H2005,H2005)</f>
        <v>28</v>
      </c>
      <c r="H2005" s="2349" t="str">
        <f>IF(Principal!G47&lt;&gt;"",Principal!G47,"")</f>
        <v/>
      </c>
      <c r="I2005" s="621" t="str">
        <f t="shared" si="292"/>
        <v/>
      </c>
      <c r="K2005" s="489" t="str">
        <f t="shared" si="293"/>
        <v/>
      </c>
      <c r="L2005" s="21"/>
      <c r="M2005" s="2166"/>
      <c r="N2005" s="2168" t="str">
        <f t="shared" si="300"/>
        <v/>
      </c>
      <c r="O2005" s="838" t="b">
        <f>OR($S$1976,AND(NOT(Navegación_final="-"),OR(PDs!T154&gt;4,PDs!W154&gt;0,PDs!X154&gt;0,$G$310&gt;0)))</f>
        <v>0</v>
      </c>
      <c r="P2005" s="585" t="s">
        <v>1445</v>
      </c>
      <c r="Q2005" s="584">
        <f>PDs!AA154</f>
        <v>-30</v>
      </c>
      <c r="R2005" s="583" t="str">
        <f>IF(PDs!I154=0,"",P2005&amp;" ("&amp;PDs!I154&amp;")")</f>
        <v/>
      </c>
      <c r="S2005" s="583">
        <f>LEFT(PDs!AG154,2)+LEFT(PDs!AH154,2)</f>
        <v>0</v>
      </c>
      <c r="T2005" s="583" t="str">
        <f>IF(PDs!AI154,MID(PDs!AH154,4,25)&amp;MID(PDs!AG154,4,25),"")</f>
        <v/>
      </c>
      <c r="U2005" s="1206"/>
      <c r="V2005" s="1206"/>
      <c r="W2005" s="583">
        <f t="shared" si="303"/>
        <v>-30</v>
      </c>
      <c r="X2005" s="583" t="str">
        <f t="shared" si="304"/>
        <v/>
      </c>
      <c r="Y2005" s="583" t="str">
        <f t="shared" si="305"/>
        <v/>
      </c>
      <c r="Z2005" s="1206" t="str">
        <f t="shared" si="296"/>
        <v/>
      </c>
      <c r="AA2005" s="583" t="str">
        <f t="shared" si="297"/>
        <v/>
      </c>
      <c r="AB2005" s="583" t="str">
        <f t="shared" si="302"/>
        <v>Navegación -30</v>
      </c>
      <c r="AC2005" s="585">
        <f t="shared" si="298"/>
        <v>32</v>
      </c>
      <c r="AD2005" s="585" t="str">
        <f t="shared" si="299"/>
        <v/>
      </c>
      <c r="AE2005" s="6062"/>
      <c r="AF2005" s="1286">
        <f>Principal!O47</f>
        <v>0</v>
      </c>
      <c r="AH2005" s="2339"/>
    </row>
    <row r="2006" spans="1:34" ht="12.75" customHeight="1" x14ac:dyDescent="0.2">
      <c r="A2006" s="227">
        <v>2006</v>
      </c>
      <c r="B2006" s="5988"/>
      <c r="C2006" s="279" t="str">
        <f>IF(Ki!$P$39="-",", "&amp;Ki!$M$39,"")</f>
        <v/>
      </c>
      <c r="D2006" s="2409"/>
      <c r="E2006" s="581"/>
      <c r="G2006" s="326">
        <f>COUNTIF($H$1978:H2006,H2006)</f>
        <v>29</v>
      </c>
      <c r="H2006" s="2349" t="str">
        <f>IF(Principal!C51&lt;&gt;"",Principal!C51,"")</f>
        <v/>
      </c>
      <c r="I2006" s="621" t="str">
        <f t="shared" si="292"/>
        <v/>
      </c>
      <c r="K2006" s="489" t="str">
        <f t="shared" si="293"/>
        <v/>
      </c>
      <c r="L2006" s="21"/>
      <c r="M2006" s="2166"/>
      <c r="N2006" s="2168" t="str">
        <f t="shared" si="300"/>
        <v/>
      </c>
      <c r="O2006" s="838" t="b">
        <f>OR($S$1976,AND(NOT(Ocultismo_final="-"),OR(PDs!T155&gt;4,PDs!W155&gt;0,PDs!X155&gt;0,$G$310&gt;0)))</f>
        <v>0</v>
      </c>
      <c r="P2006" s="585" t="s">
        <v>1446</v>
      </c>
      <c r="Q2006" s="584">
        <f>PDs!AA155</f>
        <v>-30</v>
      </c>
      <c r="R2006" s="583" t="str">
        <f>IF(PDs!I155=0,"",P2006&amp;" ("&amp;PDs!I155&amp;")")</f>
        <v/>
      </c>
      <c r="S2006" s="583">
        <f>LEFT(PDs!AG155,2)+LEFT(PDs!AH155,2)</f>
        <v>0</v>
      </c>
      <c r="T2006" s="583" t="str">
        <f>IF(PDs!AI155,MID(PDs!AH155,4,25)&amp;MID(PDs!AG155,4,25),"")</f>
        <v/>
      </c>
      <c r="U2006" s="1206"/>
      <c r="V2006" s="1206"/>
      <c r="W2006" s="583">
        <f t="shared" si="303"/>
        <v>-30</v>
      </c>
      <c r="X2006" s="583" t="str">
        <f t="shared" si="304"/>
        <v/>
      </c>
      <c r="Y2006" s="583" t="str">
        <f t="shared" si="305"/>
        <v/>
      </c>
      <c r="Z2006" s="1206" t="str">
        <f t="shared" si="296"/>
        <v/>
      </c>
      <c r="AA2006" s="583" t="str">
        <f t="shared" si="297"/>
        <v/>
      </c>
      <c r="AB2006" s="583" t="str">
        <f t="shared" si="302"/>
        <v>Ocultismo -30</v>
      </c>
      <c r="AC2006" s="585">
        <f t="shared" si="298"/>
        <v>34</v>
      </c>
      <c r="AD2006" s="585" t="str">
        <f t="shared" si="299"/>
        <v/>
      </c>
      <c r="AE2006" s="6062"/>
      <c r="AF2006" s="1286">
        <f>Principal!O48</f>
        <v>0</v>
      </c>
      <c r="AH2006" s="2339"/>
    </row>
    <row r="2007" spans="1:34" ht="12.75" customHeight="1" x14ac:dyDescent="0.2">
      <c r="A2007" s="227">
        <v>2007</v>
      </c>
      <c r="B2007" s="5988"/>
      <c r="C2007" s="279" t="str">
        <f>IF(Ki!$P$40="-",", "&amp;Ki!$M$40,"")</f>
        <v/>
      </c>
      <c r="D2007" s="2409"/>
      <c r="E2007" s="581"/>
      <c r="G2007" s="326">
        <f>COUNTIF($H$1978:H2007,H2007)</f>
        <v>30</v>
      </c>
      <c r="H2007" s="2349" t="str">
        <f>IF(Principal!C52&lt;&gt;"",Principal!C52,"")</f>
        <v/>
      </c>
      <c r="I2007" s="621" t="str">
        <f t="shared" si="292"/>
        <v/>
      </c>
      <c r="K2007" s="489" t="str">
        <f t="shared" si="293"/>
        <v/>
      </c>
      <c r="L2007" s="21"/>
      <c r="M2007" s="2166"/>
      <c r="N2007" s="2168" t="str">
        <f t="shared" si="300"/>
        <v/>
      </c>
      <c r="O2007" s="838" t="b">
        <f>AND(NOT(Tasación_final="-"),OR(PDs!T156&gt;4,PDs!W156&gt;0,PDs!X156&gt;0,$G$310&gt;0))</f>
        <v>0</v>
      </c>
      <c r="P2007" s="585" t="s">
        <v>1447</v>
      </c>
      <c r="Q2007" s="584" t="str">
        <f>PDs!AA156</f>
        <v>-</v>
      </c>
      <c r="R2007" s="583" t="str">
        <f>IF(PDs!I156=0,"",P2007&amp;" ("&amp;PDs!I156&amp;")")</f>
        <v/>
      </c>
      <c r="S2007" s="583">
        <f>LEFT(PDs!AG156,2)+LEFT(PDs!AH156,2)</f>
        <v>0</v>
      </c>
      <c r="T2007" s="583" t="str">
        <f>IF(PDs!AI156,MID(PDs!AH156,4,25)&amp;MID(PDs!AG156,4,25),"")</f>
        <v/>
      </c>
      <c r="U2007" s="1206"/>
      <c r="V2007" s="1206"/>
      <c r="W2007" s="583" t="str">
        <f t="shared" si="303"/>
        <v>-</v>
      </c>
      <c r="X2007" s="583" t="str">
        <f t="shared" si="304"/>
        <v/>
      </c>
      <c r="Y2007" s="583" t="str">
        <f t="shared" si="305"/>
        <v/>
      </c>
      <c r="Z2007" s="1206" t="str">
        <f t="shared" si="296"/>
        <v/>
      </c>
      <c r="AA2007" s="583" t="str">
        <f t="shared" si="297"/>
        <v/>
      </c>
      <c r="AB2007" s="583" t="str">
        <f t="shared" si="302"/>
        <v>Tasación -</v>
      </c>
      <c r="AC2007" s="585">
        <f t="shared" si="298"/>
        <v>52</v>
      </c>
      <c r="AD2007" s="585" t="str">
        <f t="shared" si="299"/>
        <v/>
      </c>
      <c r="AE2007" s="6062"/>
      <c r="AF2007" s="1286">
        <f>Principal!O49</f>
        <v>0</v>
      </c>
      <c r="AH2007" s="2339"/>
    </row>
    <row r="2008" spans="1:34" ht="12.75" customHeight="1" thickBot="1" x14ac:dyDescent="0.25">
      <c r="A2008" s="227">
        <v>2008</v>
      </c>
      <c r="B2008" s="5988"/>
      <c r="C2008" s="279" t="str">
        <f>IF(Ki!$P$41="-",", "&amp;Ki!$L$41,"")</f>
        <v/>
      </c>
      <c r="D2008" s="2409"/>
      <c r="E2008" s="581"/>
      <c r="G2008" s="664">
        <f>COUNTIF($H$1978:H2008,H2008)</f>
        <v>31</v>
      </c>
      <c r="H2008" s="328" t="str">
        <f>IF(Principal!C53&lt;&gt;"",Principal!C53,"")</f>
        <v/>
      </c>
      <c r="I2008" s="622" t="str">
        <f t="shared" si="292"/>
        <v/>
      </c>
      <c r="K2008" s="489" t="str">
        <f t="shared" si="293"/>
        <v/>
      </c>
      <c r="L2008" s="21"/>
      <c r="M2008" s="2166"/>
      <c r="N2008" s="2168" t="str">
        <f t="shared" si="300"/>
        <v/>
      </c>
      <c r="O2008" s="838" t="b">
        <f>AND(NOT(V.Mágica_final="-"),OR(PDs!T157&gt;4,PDs!W157&gt;0,PDs!X157&gt;0,$G$310&gt;0))</f>
        <v>0</v>
      </c>
      <c r="P2008" s="585" t="s">
        <v>1448</v>
      </c>
      <c r="Q2008" s="584" t="str">
        <f>PDs!AA157</f>
        <v>-</v>
      </c>
      <c r="R2008" s="583" t="str">
        <f>IF(PDs!I157=0,"",P2008&amp;" ("&amp;PDs!I157&amp;")")</f>
        <v/>
      </c>
      <c r="S2008" s="583">
        <f>LEFT(PDs!AG157,2)+LEFT(PDs!AH157,2)</f>
        <v>0</v>
      </c>
      <c r="T2008" s="583" t="str">
        <f>IF(PDs!AI157,MID(PDs!AH157,4,25)&amp;MID(PDs!AG157,4,25),"")</f>
        <v/>
      </c>
      <c r="U2008" s="1206"/>
      <c r="V2008" s="1206"/>
      <c r="W2008" s="583" t="str">
        <f t="shared" si="303"/>
        <v>-</v>
      </c>
      <c r="X2008" s="583" t="str">
        <f t="shared" si="304"/>
        <v/>
      </c>
      <c r="Y2008" s="583" t="str">
        <f t="shared" si="305"/>
        <v/>
      </c>
      <c r="Z2008" s="1206" t="str">
        <f t="shared" si="296"/>
        <v/>
      </c>
      <c r="AA2008" s="583" t="str">
        <f t="shared" si="297"/>
        <v/>
      </c>
      <c r="AB2008" s="583" t="str">
        <f t="shared" si="302"/>
        <v>V. Mágica -</v>
      </c>
      <c r="AC2008" s="585">
        <f t="shared" si="298"/>
        <v>55</v>
      </c>
      <c r="AD2008" s="585" t="str">
        <f t="shared" si="299"/>
        <v/>
      </c>
      <c r="AE2008" s="6062"/>
      <c r="AF2008" s="1286">
        <f>Principal!O50</f>
        <v>0</v>
      </c>
      <c r="AH2008" s="2339"/>
    </row>
    <row r="2009" spans="1:34" ht="12.75" customHeight="1" thickBot="1" x14ac:dyDescent="0.25">
      <c r="A2009" s="227">
        <v>2009</v>
      </c>
      <c r="B2009" s="5988"/>
      <c r="C2009" s="279" t="str">
        <f>IF(Ki!$P$42="-",", "&amp;Ki!$L$42,"")</f>
        <v/>
      </c>
      <c r="D2009" s="2409"/>
      <c r="E2009" s="581"/>
      <c r="H2009"/>
      <c r="K2009" s="489" t="str">
        <f t="shared" si="293"/>
        <v/>
      </c>
      <c r="L2009" s="21"/>
      <c r="M2009" s="2166"/>
      <c r="N2009" s="2168" t="str">
        <f t="shared" si="300"/>
        <v/>
      </c>
      <c r="O2009" s="838" t="b">
        <f>OR($S$1976,AND(NOT(Frialdad_final="-"),OR(PDs!T158&gt;4,PDs!W158&gt;0,PDs!X158&gt;0,$G$310&gt;0)))</f>
        <v>0</v>
      </c>
      <c r="P2009" s="585" t="s">
        <v>1450</v>
      </c>
      <c r="Q2009" s="584">
        <f>PDs!AA158</f>
        <v>-30</v>
      </c>
      <c r="R2009" s="583" t="str">
        <f>IF(PDs!I158=0,"",P2009&amp;" ("&amp;PDs!I158&amp;")")</f>
        <v/>
      </c>
      <c r="S2009" s="583">
        <f>LEFT(PDs!AG158,2)+LEFT(PDs!AH158,2)</f>
        <v>0</v>
      </c>
      <c r="T2009" s="583" t="str">
        <f>IF(PDs!AI158,MID(PDs!AH158,4,25)&amp;MID(PDs!AG158,4,25),"")</f>
        <v/>
      </c>
      <c r="U2009" s="1206"/>
      <c r="V2009" s="1206"/>
      <c r="W2009" s="583">
        <f t="shared" si="303"/>
        <v>-30</v>
      </c>
      <c r="X2009" s="583" t="str">
        <f t="shared" si="304"/>
        <v/>
      </c>
      <c r="Y2009" s="583" t="str">
        <f t="shared" si="305"/>
        <v/>
      </c>
      <c r="Z2009" s="1206" t="str">
        <f t="shared" si="296"/>
        <v/>
      </c>
      <c r="AA2009" s="583" t="str">
        <f t="shared" si="297"/>
        <v/>
      </c>
      <c r="AB2009" s="583" t="str">
        <f t="shared" si="302"/>
        <v>Frialdad -30</v>
      </c>
      <c r="AC2009" s="585">
        <f t="shared" si="298"/>
        <v>21</v>
      </c>
      <c r="AD2009" s="585" t="str">
        <f t="shared" si="299"/>
        <v/>
      </c>
      <c r="AE2009" s="6062"/>
      <c r="AF2009" s="1286">
        <f>Principal!O51</f>
        <v>0</v>
      </c>
      <c r="AH2009" s="2339"/>
    </row>
    <row r="2010" spans="1:34" ht="12.75" customHeight="1" thickBot="1" x14ac:dyDescent="0.25">
      <c r="A2010" s="227">
        <v>2010</v>
      </c>
      <c r="B2010" s="5988"/>
      <c r="C2010" s="279" t="str">
        <f>IF(Ki!$P$43="-",", "&amp;Ki!$L$43,"")</f>
        <v/>
      </c>
      <c r="D2010" s="2409"/>
      <c r="E2010" s="581"/>
      <c r="G2010" s="6299" t="s">
        <v>9678</v>
      </c>
      <c r="H2010" s="6300"/>
      <c r="I2010" s="6301"/>
      <c r="K2010" s="489" t="str">
        <f t="shared" si="293"/>
        <v/>
      </c>
      <c r="L2010" s="21"/>
      <c r="M2010" s="2166"/>
      <c r="N2010" s="2168" t="str">
        <f t="shared" si="300"/>
        <v/>
      </c>
      <c r="O2010" s="838" t="b">
        <f>OR($S$1976,AND(NOT(P.Fuerza_final="-"),OR(PDs!T159&gt;4,PDs!W159&gt;0,PDs!X159&gt;0,$G$310&gt;0)))</f>
        <v>0</v>
      </c>
      <c r="P2010" s="585" t="s">
        <v>1451</v>
      </c>
      <c r="Q2010" s="584">
        <f>PDs!AA159</f>
        <v>-30</v>
      </c>
      <c r="R2010" s="583" t="str">
        <f>IF(PDs!I159=0,"",P2010&amp;" ("&amp;PDs!I159&amp;")")</f>
        <v/>
      </c>
      <c r="S2010" s="583">
        <f>LEFT(PDs!AG159,2)+LEFT(PDs!AH159,2)</f>
        <v>0</v>
      </c>
      <c r="T2010" s="583" t="str">
        <f>IF(PDs!AI159,MID(PDs!AH159,4,25)&amp;MID(PDs!AG159,4,25),"")</f>
        <v/>
      </c>
      <c r="U2010" s="1206"/>
      <c r="V2010" s="1206"/>
      <c r="W2010" s="583">
        <f t="shared" si="303"/>
        <v>-30</v>
      </c>
      <c r="X2010" s="583" t="str">
        <f t="shared" si="304"/>
        <v/>
      </c>
      <c r="Y2010" s="583" t="str">
        <f t="shared" si="305"/>
        <v/>
      </c>
      <c r="Z2010" s="1206" t="str">
        <f t="shared" si="296"/>
        <v/>
      </c>
      <c r="AA2010" s="583" t="str">
        <f t="shared" si="297"/>
        <v/>
      </c>
      <c r="AB2010" s="583" t="str">
        <f t="shared" si="302"/>
        <v>P. Fuerza -30</v>
      </c>
      <c r="AC2010" s="585">
        <f t="shared" si="298"/>
        <v>36</v>
      </c>
      <c r="AD2010" s="585" t="str">
        <f t="shared" si="299"/>
        <v/>
      </c>
      <c r="AE2010" s="6062"/>
      <c r="AF2010" s="1286">
        <f>Principal!O52</f>
        <v>0</v>
      </c>
      <c r="AH2010" s="2339"/>
    </row>
    <row r="2011" spans="1:34" ht="12.75" customHeight="1" thickBot="1" x14ac:dyDescent="0.25">
      <c r="A2011" s="227">
        <v>2011</v>
      </c>
      <c r="B2011" s="5988"/>
      <c r="C2011" s="279" t="str">
        <f>IF(Ki!$P$44="-",", "&amp;Ki!$K$44,"")</f>
        <v/>
      </c>
      <c r="D2011" s="2409"/>
      <c r="E2011" s="581"/>
      <c r="G2011" s="664" t="str">
        <f>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"&amp;Tablas!I2001,"")&amp;IF(Tablas!I2002&lt;&gt;"",", "&amp;Tablas!I2002,"")&amp;IF(Tablas!I2003&lt;&gt;"",", "&amp;Tablas!I2003,"")&amp;IF(Tablas!I2004&lt;&gt;"",", "&amp;Tablas!I2004,"")&amp;IF(Tablas!I2005&lt;&gt;"",", "&amp;Tablas!I2005,"")&amp;IF(Tablas!I2006&lt;&gt;"",", "&amp;Tablas!I2006,"")&amp;IF(Tablas!I2007&lt;&gt;"",", "&amp;Tablas!I2007,"")&amp;IF(Tablas!I2008&lt;&gt;"",", "&amp;Tablas!I2008,"")</f>
        <v/>
      </c>
      <c r="H2011" s="1235"/>
      <c r="I2011" s="622"/>
      <c r="K2011" s="489" t="str">
        <f t="shared" si="293"/>
        <v/>
      </c>
      <c r="L2011" s="21"/>
      <c r="M2011" s="2166"/>
      <c r="N2011" s="2168" t="str">
        <f t="shared" si="300"/>
        <v/>
      </c>
      <c r="O2011" s="838" t="b">
        <f>OR($S$1976,AND(NOT(Res.Dolor_final="-"),OR(PDs!T160&gt;4,PDs!W160&gt;0,PDs!X160&gt;0,$G$310&gt;0)))</f>
        <v>0</v>
      </c>
      <c r="P2011" s="585" t="s">
        <v>1454</v>
      </c>
      <c r="Q2011" s="584">
        <f>PDs!AA160</f>
        <v>-30</v>
      </c>
      <c r="R2011" s="583" t="str">
        <f>IF(PDs!I160=0,"",P2011&amp;" ("&amp;PDs!I160&amp;")")</f>
        <v/>
      </c>
      <c r="S2011" s="583">
        <f>LEFT(PDs!AG160,2)+LEFT(PDs!AH160,2)</f>
        <v>0</v>
      </c>
      <c r="T2011" s="583" t="str">
        <f>IF(PDs!AI160,MID(PDs!AH160,4,25)&amp;MID(PDs!AG160,4,25),"")</f>
        <v/>
      </c>
      <c r="U2011" s="1206"/>
      <c r="V2011" s="1206"/>
      <c r="W2011" s="583">
        <f t="shared" si="303"/>
        <v>-30</v>
      </c>
      <c r="X2011" s="583" t="str">
        <f t="shared" si="304"/>
        <v/>
      </c>
      <c r="Y2011" s="583" t="str">
        <f t="shared" si="305"/>
        <v/>
      </c>
      <c r="Z2011" s="1206" t="str">
        <f t="shared" si="296"/>
        <v/>
      </c>
      <c r="AA2011" s="583" t="str">
        <f t="shared" si="297"/>
        <v/>
      </c>
      <c r="AB2011" s="583" t="str">
        <f t="shared" si="302"/>
        <v>Res. Dolor -30</v>
      </c>
      <c r="AC2011" s="585">
        <f t="shared" si="298"/>
        <v>40</v>
      </c>
      <c r="AD2011" s="585" t="str">
        <f t="shared" si="299"/>
        <v/>
      </c>
      <c r="AE2011" s="6062"/>
      <c r="AF2011" s="1286">
        <f>Principal!O53</f>
        <v>0</v>
      </c>
      <c r="AH2011" s="2339"/>
    </row>
    <row r="2012" spans="1:34" ht="12.75" customHeight="1" thickBot="1" x14ac:dyDescent="0.25">
      <c r="A2012" s="227">
        <v>2012</v>
      </c>
      <c r="B2012" s="5988"/>
      <c r="C2012" s="279" t="str">
        <f>IF(Ki!$P$45="-",", "&amp;Ki!$L$45,"")</f>
        <v/>
      </c>
      <c r="D2012" s="2409"/>
      <c r="E2012" s="581"/>
      <c r="K2012" s="489" t="str">
        <f t="shared" ref="K2012:K2035" si="306">IF(AD2012&lt;&gt;"",", "&amp;AD2012,"")</f>
        <v/>
      </c>
      <c r="L2012" s="21"/>
      <c r="M2012" s="2166"/>
      <c r="N2012" s="2168" t="str">
        <f t="shared" si="300"/>
        <v/>
      </c>
      <c r="O2012" s="838" t="b">
        <f>OR($S$1976,AND(NOT(Cerrajería_final="-"),OR(PDs!T161&gt;4,PDs!W161&gt;0,PDs!X161&gt;0,$G$310&gt;0)))</f>
        <v>0</v>
      </c>
      <c r="P2012" s="585" t="s">
        <v>1458</v>
      </c>
      <c r="Q2012" s="584">
        <f>PDs!AA161</f>
        <v>-30</v>
      </c>
      <c r="R2012" s="583" t="str">
        <f>IF(PDs!I161=0,"",P2012&amp;" ("&amp;PDs!I161&amp;")")</f>
        <v/>
      </c>
      <c r="S2012" s="583">
        <f>LEFT(PDs!AG161,2)+LEFT(PDs!AH161,2)</f>
        <v>0</v>
      </c>
      <c r="T2012" s="583" t="str">
        <f>IF(PDs!AI161,MID(PDs!AH161,4,25)&amp;MID(PDs!AG161,4,25),"")</f>
        <v/>
      </c>
      <c r="U2012" s="1206"/>
      <c r="V2012" s="1206"/>
      <c r="W2012" s="583">
        <f t="shared" si="303"/>
        <v>-30</v>
      </c>
      <c r="X2012" s="583" t="str">
        <f t="shared" si="304"/>
        <v/>
      </c>
      <c r="Y2012" s="583" t="str">
        <f t="shared" si="305"/>
        <v/>
      </c>
      <c r="Z2012" s="1206" t="str">
        <f t="shared" ref="Z2012:Z2035" si="307">IFERROR(IF(AND(X2012="",NOT(V2012="")),W2012+U2012,""),"")</f>
        <v/>
      </c>
      <c r="AA2012" s="583" t="str">
        <f t="shared" si="297"/>
        <v/>
      </c>
      <c r="AB2012" s="583" t="str">
        <f t="shared" si="302"/>
        <v>Cerrajería -30</v>
      </c>
      <c r="AC2012" s="585">
        <f t="shared" ref="AC2012:AC2035" si="308">COUNTIF($P$1980:$P$2035,"&lt;="&amp;P2012)</f>
        <v>12</v>
      </c>
      <c r="AD2012" s="585" t="str">
        <f t="shared" ref="AD2012:AD2035" si="309">IF(INDEX($O$1980:$O$2035,MATCH($A33,$AC$1980:$AC$2035,0)),INDEX($AB$1980:$AB$2035,MATCH($A33,$AC$1980:$AC$2035,0)),"")</f>
        <v/>
      </c>
      <c r="AE2012" s="6062"/>
      <c r="AF2012" s="1286">
        <f>Principal!O54</f>
        <v>0</v>
      </c>
      <c r="AH2012" s="2339"/>
    </row>
    <row r="2013" spans="1:34" ht="12.75" customHeight="1" thickBot="1" x14ac:dyDescent="0.25">
      <c r="A2013" s="227">
        <v>2013</v>
      </c>
      <c r="B2013" s="5988"/>
      <c r="C2013" s="279" t="str">
        <f>IF(Ki!$P$46="-",", "&amp;Ki!$M$46,"")</f>
        <v/>
      </c>
      <c r="D2013" s="2409"/>
      <c r="E2013" s="581"/>
      <c r="G2013" s="3639" t="s">
        <v>8737</v>
      </c>
      <c r="H2013" s="3641"/>
      <c r="K2013" s="489" t="str">
        <f t="shared" si="306"/>
        <v/>
      </c>
      <c r="L2013" s="21"/>
      <c r="M2013" s="2166"/>
      <c r="N2013" s="2168" t="str">
        <f t="shared" ref="N2013:N2035" si="310">IF(O2013,", "&amp;AB2013,"")</f>
        <v/>
      </c>
      <c r="O2013" s="838" t="b">
        <f>OR($S$1976,AND(NOT(Disfraz_final="-"),OR(PDs!T162&gt;4,PDs!W162&gt;0,PDs!X162&gt;0,$G$310&gt;0)))</f>
        <v>0</v>
      </c>
      <c r="P2013" s="585" t="s">
        <v>1460</v>
      </c>
      <c r="Q2013" s="584">
        <f>PDs!AA162</f>
        <v>-30</v>
      </c>
      <c r="R2013" s="583" t="str">
        <f>IF(PDs!I162=0,"",P2013&amp;" ("&amp;PDs!I162&amp;")")</f>
        <v/>
      </c>
      <c r="S2013" s="583">
        <f>LEFT(PDs!AG162,2)+LEFT(PDs!AH162,2)</f>
        <v>0</v>
      </c>
      <c r="T2013" s="583" t="str">
        <f>IF(PDs!AI162,MID(PDs!AH162,4,25)&amp;MID(PDs!AG162,4,25),"")</f>
        <v/>
      </c>
      <c r="U2013" s="1206"/>
      <c r="V2013" s="1206"/>
      <c r="W2013" s="583">
        <f t="shared" si="303"/>
        <v>-30</v>
      </c>
      <c r="X2013" s="583" t="str">
        <f t="shared" si="304"/>
        <v/>
      </c>
      <c r="Y2013" s="583" t="str">
        <f t="shared" si="305"/>
        <v/>
      </c>
      <c r="Z2013" s="1206" t="str">
        <f t="shared" si="307"/>
        <v/>
      </c>
      <c r="AA2013" s="583" t="str">
        <f t="shared" si="297"/>
        <v/>
      </c>
      <c r="AB2013" s="583" t="str">
        <f t="shared" si="302"/>
        <v>Disfraz -30</v>
      </c>
      <c r="AC2013" s="585">
        <f t="shared" si="308"/>
        <v>17</v>
      </c>
      <c r="AD2013" s="585" t="str">
        <f t="shared" si="309"/>
        <v/>
      </c>
      <c r="AE2013" s="6062"/>
      <c r="AF2013" s="1286">
        <f>Principal!O55</f>
        <v>0</v>
      </c>
      <c r="AH2013" s="2339"/>
    </row>
    <row r="2014" spans="1:34" ht="12.75" customHeight="1" thickBot="1" x14ac:dyDescent="0.25">
      <c r="A2014" s="227">
        <v>2014</v>
      </c>
      <c r="B2014" s="5988"/>
      <c r="C2014" s="279" t="str">
        <f>IF(Ki!$P$47="-",", "&amp;Ki!$M$47,"")</f>
        <v/>
      </c>
      <c r="D2014" s="2409"/>
      <c r="E2014" s="581"/>
      <c r="G2014" s="6008"/>
      <c r="H2014" s="5719"/>
      <c r="K2014" s="489" t="str">
        <f t="shared" si="306"/>
        <v/>
      </c>
      <c r="L2014" s="21"/>
      <c r="M2014" s="2166"/>
      <c r="N2014" s="2168" t="str">
        <f t="shared" si="310"/>
        <v/>
      </c>
      <c r="O2014" s="838" t="b">
        <f>OR($S$1976,AND(NOT(Ocultarse_final="-"),OR(PDs!T163&gt;4,PDs!W163&gt;0,PDs!X163&gt;0,$G$310&gt;0)))</f>
        <v>0</v>
      </c>
      <c r="P2014" s="585" t="s">
        <v>1462</v>
      </c>
      <c r="Q2014" s="584">
        <f>PDs!AA163</f>
        <v>-30</v>
      </c>
      <c r="R2014" s="583" t="str">
        <f>IF(PDs!I163=0,"",P2014&amp;" ("&amp;PDs!I163&amp;")")</f>
        <v/>
      </c>
      <c r="S2014" s="583">
        <f>LEFT(PDs!AG163,2)+LEFT(PDs!AH163,2)</f>
        <v>0</v>
      </c>
      <c r="T2014" s="583" t="str">
        <f>IF(PDs!AI163,MID(PDs!AH163,4,25)&amp;MID(PDs!AG163,4,25),"")</f>
        <v/>
      </c>
      <c r="U2014" s="1206"/>
      <c r="V2014" s="1206"/>
      <c r="W2014" s="583">
        <f t="shared" si="303"/>
        <v>-30</v>
      </c>
      <c r="X2014" s="583" t="str">
        <f t="shared" si="304"/>
        <v/>
      </c>
      <c r="Y2014" s="583" t="str">
        <f t="shared" si="305"/>
        <v/>
      </c>
      <c r="Z2014" s="1206" t="str">
        <f t="shared" si="307"/>
        <v/>
      </c>
      <c r="AA2014" s="583" t="str">
        <f t="shared" si="297"/>
        <v/>
      </c>
      <c r="AB2014" s="583" t="str">
        <f t="shared" si="302"/>
        <v>Ocultarse -30</v>
      </c>
      <c r="AC2014" s="585">
        <f t="shared" si="308"/>
        <v>33</v>
      </c>
      <c r="AD2014" s="585" t="str">
        <f t="shared" si="309"/>
        <v/>
      </c>
      <c r="AE2014" s="6062"/>
      <c r="AF2014" s="1286">
        <f>Principal!O56</f>
        <v>0</v>
      </c>
      <c r="AH2014" s="2339"/>
    </row>
    <row r="2015" spans="1:34" ht="12.75" customHeight="1" thickBot="1" x14ac:dyDescent="0.25">
      <c r="A2015" s="227">
        <v>2015</v>
      </c>
      <c r="B2015" s="5988"/>
      <c r="C2015" s="279" t="str">
        <f>IF(Ki!$P$48="-",", "&amp;Ki!$L$48,"")</f>
        <v/>
      </c>
      <c r="D2015" s="2409"/>
      <c r="E2015" s="581"/>
      <c r="G2015" s="1822"/>
      <c r="H2015" s="1825" t="s">
        <v>8743</v>
      </c>
      <c r="K2015" s="489" t="str">
        <f t="shared" si="306"/>
        <v/>
      </c>
      <c r="L2015" s="21"/>
      <c r="M2015" s="2166"/>
      <c r="N2015" s="2168" t="str">
        <f t="shared" si="310"/>
        <v/>
      </c>
      <c r="O2015" s="838" t="b">
        <f>OR($S$1976,AND(NOT(Robo_final="-"),OR(PDs!T164&gt;4,PDs!W164&gt;0,PDs!X164&gt;0,$G$310&gt;0)))</f>
        <v>0</v>
      </c>
      <c r="P2015" s="585" t="s">
        <v>1464</v>
      </c>
      <c r="Q2015" s="584">
        <f>PDs!AA164</f>
        <v>-30</v>
      </c>
      <c r="R2015" s="583" t="str">
        <f>IF(PDs!I164=0,"",P2015&amp;" ("&amp;PDs!I164&amp;")")</f>
        <v/>
      </c>
      <c r="S2015" s="583">
        <f>LEFT(PDs!AG164,2)+LEFT(PDs!AH164,2)</f>
        <v>0</v>
      </c>
      <c r="T2015" s="583" t="str">
        <f>IF(PDs!AI164,MID(PDs!AH164,4,25)&amp;MID(PDs!AG164,4,25),"")</f>
        <v/>
      </c>
      <c r="U2015" s="1206"/>
      <c r="V2015" s="1206"/>
      <c r="W2015" s="583">
        <f t="shared" si="303"/>
        <v>-30</v>
      </c>
      <c r="X2015" s="583" t="str">
        <f t="shared" si="304"/>
        <v/>
      </c>
      <c r="Y2015" s="583" t="str">
        <f t="shared" si="305"/>
        <v/>
      </c>
      <c r="Z2015" s="1206" t="str">
        <f t="shared" si="307"/>
        <v/>
      </c>
      <c r="AA2015" s="583" t="str">
        <f t="shared" si="297"/>
        <v/>
      </c>
      <c r="AB2015" s="583" t="str">
        <f t="shared" si="302"/>
        <v>Robo -30</v>
      </c>
      <c r="AC2015" s="585">
        <f t="shared" si="308"/>
        <v>41</v>
      </c>
      <c r="AD2015" s="585" t="str">
        <f t="shared" si="309"/>
        <v/>
      </c>
      <c r="AE2015" s="6062"/>
      <c r="AF2015" s="1286">
        <f>Principal!O57</f>
        <v>0</v>
      </c>
      <c r="AH2015" s="2339"/>
    </row>
    <row r="2016" spans="1:34" ht="12.75" customHeight="1" thickBot="1" x14ac:dyDescent="0.25">
      <c r="A2016" s="227">
        <v>2016</v>
      </c>
      <c r="B2016" s="5988"/>
      <c r="C2016" s="279" t="str">
        <f>IF(Usodelaenergíanecesaria,", "&amp;Ki!$K$49,"")</f>
        <v/>
      </c>
      <c r="D2016" s="2409"/>
      <c r="E2016" s="581"/>
      <c r="G2016" s="1823"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6" s="1824" t="str">
        <f>IFERROR(RIGHT(G2016,LEN(G2016)-2),"")</f>
        <v/>
      </c>
      <c r="K2016" s="489" t="str">
        <f t="shared" si="306"/>
        <v/>
      </c>
      <c r="L2016" s="21"/>
      <c r="M2016" s="2166"/>
      <c r="N2016" s="2168" t="str">
        <f t="shared" si="310"/>
        <v/>
      </c>
      <c r="O2016" s="838" t="b">
        <f>OR($S$1976,AND(NOT(Sigilo_final="-"),OR(PDs!T165&gt;4,PDs!W165&gt;0,PDs!X165&gt;0,$G$310&gt;0)))</f>
        <v>0</v>
      </c>
      <c r="P2016" s="585" t="s">
        <v>1466</v>
      </c>
      <c r="Q2016" s="584">
        <f>PDs!AA165</f>
        <v>-30</v>
      </c>
      <c r="R2016" s="583" t="str">
        <f>IF(PDs!I165=0,"",P2016&amp;" ("&amp;PDs!I165&amp;")")</f>
        <v/>
      </c>
      <c r="S2016" s="583">
        <f>LEFT(PDs!AG165,2)+LEFT(PDs!AH165,2)</f>
        <v>0</v>
      </c>
      <c r="T2016" s="583" t="str">
        <f>IF(PDs!AI165,MID(PDs!AH165,4,25)&amp;MID(PDs!AG165,4,25),"")</f>
        <v/>
      </c>
      <c r="U2016" s="1206"/>
      <c r="V2016" s="1206"/>
      <c r="W2016" s="583">
        <f t="shared" si="303"/>
        <v>-30</v>
      </c>
      <c r="X2016" s="583" t="str">
        <f t="shared" si="304"/>
        <v/>
      </c>
      <c r="Y2016" s="583" t="str">
        <f t="shared" si="305"/>
        <v/>
      </c>
      <c r="Z2016" s="1206" t="str">
        <f t="shared" si="307"/>
        <v/>
      </c>
      <c r="AA2016" s="583" t="str">
        <f t="shared" si="297"/>
        <v/>
      </c>
      <c r="AB2016" s="583" t="str">
        <f t="shared" si="302"/>
        <v>Sigilo -30</v>
      </c>
      <c r="AC2016" s="585">
        <f t="shared" si="308"/>
        <v>49</v>
      </c>
      <c r="AD2016" s="585" t="str">
        <f t="shared" si="309"/>
        <v/>
      </c>
      <c r="AE2016" s="6062"/>
      <c r="AF2016" s="1286">
        <f>Principal!O58</f>
        <v>0</v>
      </c>
      <c r="AH2016" s="2339"/>
    </row>
    <row r="2017" spans="1:34" ht="12.75" customHeight="1" thickBot="1" x14ac:dyDescent="0.25">
      <c r="A2017" s="227">
        <v>2017</v>
      </c>
      <c r="B2017" s="5988"/>
      <c r="C2017" s="279" t="str">
        <f>IF(Ki!$P$50="-",", "&amp;Ki!$L$50&amp;" "&amp;Ki!$F$36,"")</f>
        <v/>
      </c>
      <c r="D2017" s="2409"/>
      <c r="E2017" s="581"/>
      <c r="K2017" s="489" t="str">
        <f t="shared" si="306"/>
        <v/>
      </c>
      <c r="L2017" s="21"/>
      <c r="M2017" s="2166"/>
      <c r="N2017" s="2168" t="str">
        <f t="shared" si="310"/>
        <v/>
      </c>
      <c r="O2017" s="838" t="b">
        <f>OR($S$1976,AND(NOT(Trampería_final="-"),OR(PDs!T166&gt;4,PDs!W166&gt;0,PDs!X166&gt;0,$G$310&gt;0)))</f>
        <v>0</v>
      </c>
      <c r="P2017" s="585" t="s">
        <v>1468</v>
      </c>
      <c r="Q2017" s="584">
        <f>PDs!AA166</f>
        <v>-30</v>
      </c>
      <c r="R2017" s="583" t="str">
        <f>IF(PDs!I166=0,"",P2017&amp;" ("&amp;PDs!I166&amp;")")</f>
        <v/>
      </c>
      <c r="S2017" s="583">
        <f>LEFT(PDs!AG166,2)+LEFT(PDs!AH166,2)</f>
        <v>0</v>
      </c>
      <c r="T2017" s="583" t="str">
        <f>IF(PDs!AI166,MID(PDs!AH166,4,25)&amp;MID(PDs!AG166,4,25),"")</f>
        <v/>
      </c>
      <c r="U2017" s="1206"/>
      <c r="V2017" s="1206"/>
      <c r="W2017" s="583">
        <f t="shared" si="303"/>
        <v>-30</v>
      </c>
      <c r="X2017" s="583" t="str">
        <f t="shared" si="304"/>
        <v/>
      </c>
      <c r="Y2017" s="583" t="str">
        <f t="shared" si="305"/>
        <v/>
      </c>
      <c r="Z2017" s="1206" t="str">
        <f t="shared" si="307"/>
        <v/>
      </c>
      <c r="AA2017" s="583" t="str">
        <f t="shared" si="297"/>
        <v/>
      </c>
      <c r="AB2017" s="583" t="str">
        <f t="shared" si="302"/>
        <v>Trampería -30</v>
      </c>
      <c r="AC2017" s="585">
        <f t="shared" si="308"/>
        <v>53</v>
      </c>
      <c r="AD2017" s="585" t="str">
        <f t="shared" si="309"/>
        <v/>
      </c>
      <c r="AE2017" s="6062"/>
      <c r="AF2017" s="1286">
        <f>Principal!O59</f>
        <v>0</v>
      </c>
      <c r="AH2017" s="2339"/>
    </row>
    <row r="2018" spans="1:34" ht="12.75" customHeight="1" thickBot="1" x14ac:dyDescent="0.25">
      <c r="A2018" s="227">
        <v>2018</v>
      </c>
      <c r="B2018" s="5988"/>
      <c r="C2018" s="279" t="str">
        <f>IF(Ki!$P$51="-",", "&amp;Ki!$M$51,"")</f>
        <v/>
      </c>
      <c r="D2018" s="2409"/>
      <c r="E2018" s="581"/>
      <c r="G2018" s="3639" t="s">
        <v>9633</v>
      </c>
      <c r="H2018" s="3641"/>
      <c r="K2018" s="489" t="str">
        <f t="shared" si="306"/>
        <v/>
      </c>
      <c r="L2018" s="21"/>
      <c r="M2018" s="2166"/>
      <c r="N2018" s="2168" t="str">
        <f t="shared" si="310"/>
        <v/>
      </c>
      <c r="O2018" s="838" t="b">
        <f>AND(NOT(Venenos_final="-"),OR(PDs!T167&gt;4,PDs!W167&gt;0,PDs!X167&gt;0,$G$310&gt;0))</f>
        <v>0</v>
      </c>
      <c r="P2018" s="585" t="s">
        <v>1469</v>
      </c>
      <c r="Q2018" s="584" t="str">
        <f>PDs!AA167</f>
        <v>-</v>
      </c>
      <c r="R2018" s="583" t="str">
        <f>IF(PDs!I167=0,"",P2018&amp;" ("&amp;PDs!I167&amp;")")</f>
        <v/>
      </c>
      <c r="S2018" s="583">
        <f>LEFT(PDs!AG167,2)+LEFT(PDs!AH167,2)</f>
        <v>0</v>
      </c>
      <c r="T2018" s="583" t="str">
        <f>IF(PDs!AI167,MID(PDs!AH167,4,25)&amp;MID(PDs!AG167,4,25),"")</f>
        <v/>
      </c>
      <c r="U2018" s="1206"/>
      <c r="V2018" s="1206"/>
      <c r="W2018" s="583" t="str">
        <f t="shared" si="303"/>
        <v>-</v>
      </c>
      <c r="X2018" s="583" t="str">
        <f t="shared" si="304"/>
        <v/>
      </c>
      <c r="Y2018" s="583" t="str">
        <f t="shared" si="305"/>
        <v/>
      </c>
      <c r="Z2018" s="1206" t="str">
        <f t="shared" si="307"/>
        <v/>
      </c>
      <c r="AA2018" s="583" t="str">
        <f t="shared" si="297"/>
        <v/>
      </c>
      <c r="AB2018" s="583" t="str">
        <f t="shared" si="302"/>
        <v>Venenos -</v>
      </c>
      <c r="AC2018" s="585">
        <f t="shared" si="308"/>
        <v>56</v>
      </c>
      <c r="AD2018" s="585" t="str">
        <f t="shared" si="309"/>
        <v/>
      </c>
      <c r="AE2018" s="6062"/>
      <c r="AF2018" s="1286">
        <f>Principal!O60</f>
        <v>0</v>
      </c>
      <c r="AH2018" s="2339"/>
    </row>
    <row r="2019" spans="1:34" ht="12.75" customHeight="1" thickBot="1" x14ac:dyDescent="0.25">
      <c r="A2019" s="227">
        <v>2019</v>
      </c>
      <c r="B2019" s="5988"/>
      <c r="C2019" s="279" t="str">
        <f>IF(Ki!$P$52="-",", "&amp;Ki!$M$52,"")</f>
        <v/>
      </c>
      <c r="D2019" s="2409"/>
      <c r="E2019" s="581"/>
      <c r="G2019" s="6008"/>
      <c r="H2019" s="5719"/>
      <c r="K2019" s="489" t="str">
        <f t="shared" si="306"/>
        <v/>
      </c>
      <c r="L2019" s="21"/>
      <c r="M2019" s="2166"/>
      <c r="N2019" s="2168" t="str">
        <f t="shared" si="310"/>
        <v/>
      </c>
      <c r="O2019" s="838" t="b">
        <f>OR($S$1976,AND(NOT(Arte_final="-"),OR(PDs!T168&gt;4,PDs!W168&gt;0,PDs!X168&gt;0,$G$310&gt;0)))</f>
        <v>0</v>
      </c>
      <c r="P2019" s="585" t="s">
        <v>1471</v>
      </c>
      <c r="Q2019" s="584">
        <f>PDs!AA168</f>
        <v>-30</v>
      </c>
      <c r="R2019" s="583" t="str">
        <f>IF(PDs!I168=0,"",P2019&amp;" ("&amp;PDs!I168&amp;")")</f>
        <v/>
      </c>
      <c r="S2019" s="583">
        <f>LEFT(PDs!AG168,2)+LEFT(PDs!AH168,2)</f>
        <v>0</v>
      </c>
      <c r="T2019" s="583" t="str">
        <f>IF(PDs!AI168,MID(PDs!AH168,4,25)&amp;MID(PDs!AG168,4,25),"")</f>
        <v/>
      </c>
      <c r="U2019" s="1206"/>
      <c r="V2019" s="1206"/>
      <c r="W2019" s="583">
        <f t="shared" si="303"/>
        <v>-30</v>
      </c>
      <c r="X2019" s="583" t="str">
        <f t="shared" si="304"/>
        <v/>
      </c>
      <c r="Y2019" s="583" t="str">
        <f t="shared" si="305"/>
        <v/>
      </c>
      <c r="Z2019" s="1206" t="str">
        <f t="shared" si="307"/>
        <v/>
      </c>
      <c r="AA2019" s="583" t="str">
        <f t="shared" si="297"/>
        <v/>
      </c>
      <c r="AB2019" s="583" t="str">
        <f t="shared" si="302"/>
        <v>Arte -30</v>
      </c>
      <c r="AC2019" s="585">
        <f t="shared" si="308"/>
        <v>6</v>
      </c>
      <c r="AD2019" s="585" t="str">
        <f t="shared" si="309"/>
        <v/>
      </c>
      <c r="AE2019" s="6062"/>
      <c r="AF2019" s="1286">
        <f>Principal!O61</f>
        <v>0</v>
      </c>
      <c r="AH2019" s="2339"/>
    </row>
    <row r="2020" spans="1:34" ht="12.75" customHeight="1" thickBot="1" x14ac:dyDescent="0.25">
      <c r="A2020" s="227">
        <v>2020</v>
      </c>
      <c r="B2020" s="5988"/>
      <c r="C2020" s="279" t="str">
        <f>IF(Ki!$P$53="-",", "&amp;Ki!$L$53,"")</f>
        <v/>
      </c>
      <c r="D2020" s="2409"/>
      <c r="E2020" s="581"/>
      <c r="G2020" s="2323" t="str">
        <f>Tablas!G2024&amp;Tablas!G2025&amp;Tablas!G2026&amp;Tablas!G2027&amp;Tablas!G2028&amp;Tablas!G2029&amp;Tablas!G2030&amp;Tablas!G2031&amp;Tablas!G2032&amp;Tablas!G2033&amp;Tablas!G2034&amp;Tablas!G2035&amp;Tablas!G2036</f>
        <v/>
      </c>
      <c r="H2020" s="582"/>
      <c r="K2020" s="489" t="str">
        <f t="shared" si="306"/>
        <v/>
      </c>
      <c r="L2020" s="21"/>
      <c r="M2020" s="2166"/>
      <c r="N2020" s="2168" t="str">
        <f t="shared" si="310"/>
        <v/>
      </c>
      <c r="O2020" s="838" t="b">
        <f>AND(NOT(Baile_final="-"),OR(PDs!T169&gt;4,PDs!W169&gt;0,PDs!X169&gt;0,$G$310&gt;0))</f>
        <v>0</v>
      </c>
      <c r="P2020" s="585" t="s">
        <v>1472</v>
      </c>
      <c r="Q2020" s="584" t="str">
        <f>PDs!AA169</f>
        <v>-</v>
      </c>
      <c r="R2020" s="583" t="str">
        <f>IF(PDs!I169=0,"",P2020&amp;" ("&amp;PDs!I169&amp;")")</f>
        <v/>
      </c>
      <c r="S2020" s="583">
        <f>LEFT(PDs!AG169,2)+LEFT(PDs!AH169,2)</f>
        <v>0</v>
      </c>
      <c r="T2020" s="583" t="str">
        <f>IF(PDs!AI169,MID(PDs!AH169,4,25)&amp;MID(PDs!AG169,4,25),"")</f>
        <v/>
      </c>
      <c r="U2020" s="1206"/>
      <c r="V2020" s="1206"/>
      <c r="W2020" s="583" t="str">
        <f t="shared" si="303"/>
        <v>-</v>
      </c>
      <c r="X2020" s="583" t="str">
        <f t="shared" si="304"/>
        <v/>
      </c>
      <c r="Y2020" s="583" t="str">
        <f t="shared" si="305"/>
        <v/>
      </c>
      <c r="Z2020" s="1206" t="str">
        <f t="shared" si="307"/>
        <v/>
      </c>
      <c r="AA2020" s="583" t="str">
        <f t="shared" si="297"/>
        <v/>
      </c>
      <c r="AB2020" s="583" t="str">
        <f t="shared" si="302"/>
        <v>Baile -</v>
      </c>
      <c r="AC2020" s="585">
        <f t="shared" si="308"/>
        <v>8</v>
      </c>
      <c r="AD2020" s="585" t="str">
        <f t="shared" si="309"/>
        <v/>
      </c>
      <c r="AE2020" s="6062"/>
      <c r="AF2020" s="1286">
        <f>Principal!O62</f>
        <v>0</v>
      </c>
      <c r="AH2020" s="2339"/>
    </row>
    <row r="2021" spans="1:34" ht="12.75" customHeight="1" thickBot="1" x14ac:dyDescent="0.25">
      <c r="A2021" s="227">
        <v>2021</v>
      </c>
      <c r="B2021" s="5988"/>
      <c r="C2021" s="279" t="str">
        <f>IF(Ki!$P$54="-",", "&amp;Ki!$M$54,"")</f>
        <v/>
      </c>
      <c r="D2021" s="2409"/>
      <c r="E2021" s="581"/>
      <c r="K2021" s="489" t="str">
        <f t="shared" si="306"/>
        <v/>
      </c>
      <c r="L2021" s="21"/>
      <c r="M2021" s="2166"/>
      <c r="N2021" s="2168" t="str">
        <f t="shared" si="310"/>
        <v/>
      </c>
      <c r="O2021" s="838" t="b">
        <f>AND(NOT(Forja_final="-"),OR(PDs!T170&gt;4,PDs!W170&gt;0,PDs!X170&gt;0,$G$310&gt;0))</f>
        <v>0</v>
      </c>
      <c r="P2021" s="585" t="s">
        <v>1473</v>
      </c>
      <c r="Q2021" s="584" t="str">
        <f>PDs!AA170</f>
        <v>-</v>
      </c>
      <c r="R2021" s="583" t="str">
        <f>IF(PDs!I170=0,"",P2021&amp;" ("&amp;PDs!I170&amp;")")</f>
        <v/>
      </c>
      <c r="S2021" s="583">
        <f>LEFT(PDs!AG170,2)+LEFT(PDs!AH170,2)</f>
        <v>0</v>
      </c>
      <c r="T2021" s="583" t="str">
        <f>IF(PDs!AI170,MID(PDs!AH170,4,25)&amp;MID(PDs!AG170,4,25),"")</f>
        <v/>
      </c>
      <c r="U2021" s="1206"/>
      <c r="V2021" s="1206"/>
      <c r="W2021" s="583" t="str">
        <f t="shared" si="303"/>
        <v>-</v>
      </c>
      <c r="X2021" s="583" t="str">
        <f t="shared" si="304"/>
        <v/>
      </c>
      <c r="Y2021" s="583" t="str">
        <f t="shared" si="305"/>
        <v/>
      </c>
      <c r="Z2021" s="1206" t="str">
        <f t="shared" si="307"/>
        <v/>
      </c>
      <c r="AA2021" s="583" t="str">
        <f t="shared" si="297"/>
        <v/>
      </c>
      <c r="AB2021" s="583" t="str">
        <f t="shared" si="302"/>
        <v>Forja -</v>
      </c>
      <c r="AC2021" s="585">
        <f t="shared" si="308"/>
        <v>20</v>
      </c>
      <c r="AD2021" s="585" t="str">
        <f t="shared" si="309"/>
        <v/>
      </c>
      <c r="AE2021" s="6062"/>
      <c r="AF2021" s="1286">
        <f>Principal!O63</f>
        <v>0</v>
      </c>
      <c r="AH2021" s="2339"/>
    </row>
    <row r="2022" spans="1:34" ht="12.75" customHeight="1" x14ac:dyDescent="0.2">
      <c r="A2022" s="227">
        <v>2022</v>
      </c>
      <c r="B2022" s="5988"/>
      <c r="C2022" s="279" t="str">
        <f>IF(Ki!$P$55="-",", "&amp;Ki!$M$55,"")</f>
        <v/>
      </c>
      <c r="D2022" s="2409"/>
      <c r="E2022" s="581"/>
      <c r="G2022" s="3115" t="s">
        <v>643</v>
      </c>
      <c r="H2022" s="3116"/>
      <c r="I2022" s="3117"/>
      <c r="K2022" s="489" t="str">
        <f t="shared" si="306"/>
        <v/>
      </c>
      <c r="L2022" s="21"/>
      <c r="M2022" s="2166"/>
      <c r="N2022" s="2168" t="str">
        <f t="shared" si="310"/>
        <v/>
      </c>
      <c r="O2022" s="838" t="b">
        <f>OR($S$1976,AND(NOT(Runas_final="-"),OR(PDs!T171&gt;4,PDs!W171&gt;0,PDs!X171&gt;0,$G$310&gt;0)))</f>
        <v>0</v>
      </c>
      <c r="P2022" s="585" t="s">
        <v>813</v>
      </c>
      <c r="Q2022" s="584">
        <f>PDs!AA171</f>
        <v>-30</v>
      </c>
      <c r="R2022" s="583" t="str">
        <f>IF(PDs!I171=0,"",P2022&amp;" ("&amp;PDs!I171&amp;")")</f>
        <v/>
      </c>
      <c r="S2022" s="583">
        <f>LEFT(PDs!AG171,2)+LEFT(PDs!AH171,2)</f>
        <v>0</v>
      </c>
      <c r="T2022" s="583" t="str">
        <f>IF(PDs!AI171,MID(PDs!AH171,4,25)&amp;MID(PDs!AG171,4,25),"")</f>
        <v/>
      </c>
      <c r="U2022" s="1206"/>
      <c r="V2022" s="1206"/>
      <c r="W2022" s="583">
        <f t="shared" si="303"/>
        <v>-30</v>
      </c>
      <c r="X2022" s="583" t="str">
        <f t="shared" si="304"/>
        <v/>
      </c>
      <c r="Y2022" s="583" t="str">
        <f t="shared" si="305"/>
        <v/>
      </c>
      <c r="Z2022" s="1206" t="str">
        <f t="shared" si="307"/>
        <v/>
      </c>
      <c r="AA2022" s="583" t="str">
        <f t="shared" si="297"/>
        <v/>
      </c>
      <c r="AB2022" s="583" t="str">
        <f t="shared" si="302"/>
        <v>Runas -30</v>
      </c>
      <c r="AC2022" s="585">
        <f t="shared" si="308"/>
        <v>42</v>
      </c>
      <c r="AD2022" s="585" t="str">
        <f t="shared" si="309"/>
        <v/>
      </c>
      <c r="AE2022" s="6062"/>
      <c r="AF2022" s="1286">
        <f>Principal!O64</f>
        <v>0</v>
      </c>
      <c r="AH2022" s="2339"/>
    </row>
    <row r="2023" spans="1:34" ht="12.75" customHeight="1" x14ac:dyDescent="0.2">
      <c r="A2023" s="227">
        <v>2023</v>
      </c>
      <c r="B2023" s="5988"/>
      <c r="C2023" s="279" t="str">
        <f>IF(Ki!$P$56="-",", "&amp;Ki!$M$56,"")</f>
        <v/>
      </c>
      <c r="D2023" s="2409"/>
      <c r="E2023" s="581"/>
      <c r="G2023" s="3145"/>
      <c r="H2023" s="3146"/>
      <c r="I2023" s="3203"/>
      <c r="K2023" s="489" t="str">
        <f t="shared" si="306"/>
        <v/>
      </c>
      <c r="L2023" s="21"/>
      <c r="M2023" s="2166"/>
      <c r="N2023" s="2168" t="str">
        <f t="shared" si="310"/>
        <v/>
      </c>
      <c r="O2023" s="838" t="b">
        <f>OR($S$1976,AND(NOT(Alquimia_final="-"),OR(PDs!T172&gt;4,PDs!W172&gt;0,PDs!X172&gt;0,$G$310&gt;0)))</f>
        <v>0</v>
      </c>
      <c r="P2023" s="585" t="s">
        <v>814</v>
      </c>
      <c r="Q2023" s="584">
        <f>PDs!AA172</f>
        <v>-30</v>
      </c>
      <c r="R2023" s="583" t="str">
        <f>IF(PDs!I172=0,"",P2023&amp;" ("&amp;PDs!I172&amp;")")</f>
        <v/>
      </c>
      <c r="S2023" s="583">
        <f>LEFT(PDs!AG172,2)+LEFT(PDs!AH172,2)</f>
        <v>0</v>
      </c>
      <c r="T2023" s="583" t="str">
        <f>IF(PDs!AI172,MID(PDs!AH172,4,25)&amp;MID(PDs!AG172,4,25),"")</f>
        <v/>
      </c>
      <c r="U2023" s="1206"/>
      <c r="V2023" s="1206"/>
      <c r="W2023" s="583">
        <f t="shared" si="303"/>
        <v>-30</v>
      </c>
      <c r="X2023" s="583" t="str">
        <f t="shared" si="304"/>
        <v/>
      </c>
      <c r="Y2023" s="583" t="str">
        <f t="shared" si="305"/>
        <v/>
      </c>
      <c r="Z2023" s="1206" t="str">
        <f t="shared" si="307"/>
        <v/>
      </c>
      <c r="AA2023" s="583" t="str">
        <f t="shared" si="297"/>
        <v/>
      </c>
      <c r="AB2023" s="583" t="str">
        <f t="shared" si="302"/>
        <v>Alquimia -30</v>
      </c>
      <c r="AC2023" s="585">
        <f t="shared" si="308"/>
        <v>3</v>
      </c>
      <c r="AD2023" s="585" t="str">
        <f t="shared" si="309"/>
        <v/>
      </c>
      <c r="AE2023" s="6062"/>
      <c r="AF2023" s="1286">
        <f>Principal!O65</f>
        <v>0</v>
      </c>
      <c r="AH2023" s="2339"/>
    </row>
    <row r="2024" spans="1:34" ht="12.75" customHeight="1" x14ac:dyDescent="0.2">
      <c r="A2024" s="227">
        <v>2024</v>
      </c>
      <c r="B2024" s="5988"/>
      <c r="C2024" s="279" t="str">
        <f>IF(Ki!$P$57="-",", "&amp;Ki!$L$57,"")</f>
        <v/>
      </c>
      <c r="D2024" s="2409"/>
      <c r="E2024" s="581"/>
      <c r="G2024" s="489" t="str">
        <f>IF(Místicos!H15&gt;0,", "&amp;Místicos!H15&amp;" "&amp;Místicos!C15&amp;IF(I2024="",""," ("&amp;LEFT(I2024,LEN(I2024)-2)&amp;")"),"")</f>
        <v/>
      </c>
      <c r="H2024" s="2409"/>
      <c r="I2024" s="581" t="str">
        <f>IFERROR(HLOOKUP(Místicos!C15,Tablas!$C$1138:$M$1160,23,0),"")</f>
        <v/>
      </c>
      <c r="K2024" s="489" t="str">
        <f t="shared" si="306"/>
        <v/>
      </c>
      <c r="L2024" s="21"/>
      <c r="M2024" s="2166"/>
      <c r="N2024" s="2168" t="str">
        <f t="shared" si="310"/>
        <v/>
      </c>
      <c r="O2024" s="838" t="b">
        <f>OR($S$1976,AND(NOT(Animismo_final="-"),OR(PDs!T173&gt;4,PDs!W173&gt;0,PDs!X173&gt;0,$G$310&gt;0)))</f>
        <v>0</v>
      </c>
      <c r="P2024" s="585" t="s">
        <v>815</v>
      </c>
      <c r="Q2024" s="584">
        <f>PDs!AA173</f>
        <v>-30</v>
      </c>
      <c r="R2024" s="583" t="str">
        <f>IF(PDs!I173=0,"",P2024&amp;" ("&amp;PDs!I173&amp;")")</f>
        <v/>
      </c>
      <c r="S2024" s="583">
        <f>LEFT(PDs!AG173,2)+LEFT(PDs!AH173,2)</f>
        <v>0</v>
      </c>
      <c r="T2024" s="583" t="str">
        <f>IF(PDs!AI173,MID(PDs!AH173,4,25)&amp;MID(PDs!AG173,4,25),"")</f>
        <v/>
      </c>
      <c r="U2024" s="1206"/>
      <c r="V2024" s="1206"/>
      <c r="W2024" s="583">
        <f t="shared" si="303"/>
        <v>-30</v>
      </c>
      <c r="X2024" s="583" t="str">
        <f t="shared" si="304"/>
        <v/>
      </c>
      <c r="Y2024" s="583" t="str">
        <f t="shared" si="305"/>
        <v/>
      </c>
      <c r="Z2024" s="1206" t="str">
        <f t="shared" si="307"/>
        <v/>
      </c>
      <c r="AA2024" s="583" t="str">
        <f t="shared" si="297"/>
        <v/>
      </c>
      <c r="AB2024" s="583" t="str">
        <f t="shared" si="302"/>
        <v>Animismo -30</v>
      </c>
      <c r="AC2024" s="585">
        <f t="shared" si="308"/>
        <v>5</v>
      </c>
      <c r="AD2024" s="585" t="str">
        <f t="shared" si="309"/>
        <v/>
      </c>
      <c r="AE2024" s="6062"/>
      <c r="AF2024" s="1286">
        <f>Principal!O66</f>
        <v>0</v>
      </c>
      <c r="AH2024" s="2339"/>
    </row>
    <row r="2025" spans="1:34" ht="12.75" customHeight="1" x14ac:dyDescent="0.2">
      <c r="A2025" s="227">
        <v>2025</v>
      </c>
      <c r="B2025" s="5988"/>
      <c r="C2025" s="279" t="str">
        <f>IF(Ki!$P$58="-",", "&amp;Ki!$M$58,"")</f>
        <v/>
      </c>
      <c r="D2025" s="2409"/>
      <c r="E2025" s="581"/>
      <c r="G2025" s="489" t="str">
        <f>IF(Místicos!H16&gt;0,", "&amp;Místicos!H16&amp;" "&amp;Místicos!C16&amp;IF(I2025="",""," ("&amp;LEFT(I2025,LEN(I2025)-2)&amp;")"),"")</f>
        <v/>
      </c>
      <c r="H2025" s="2409"/>
      <c r="I2025" s="581" t="str">
        <f>IFERROR(HLOOKUP(Místicos!C16,Tablas!$C$1138:$M$1160,23,0),"")</f>
        <v/>
      </c>
      <c r="K2025" s="489" t="str">
        <f t="shared" si="306"/>
        <v/>
      </c>
      <c r="L2025" s="21"/>
      <c r="M2025" s="2166"/>
      <c r="N2025" s="2168" t="str">
        <f t="shared" si="310"/>
        <v/>
      </c>
      <c r="O2025" s="838" t="b">
        <f>AND(NOT(Música_final="-"),OR(PDs!T174&gt;4,PDs!W174&gt;0,PDs!X174&gt;0,$G$310&gt;0))</f>
        <v>0</v>
      </c>
      <c r="P2025" s="585" t="s">
        <v>1474</v>
      </c>
      <c r="Q2025" s="584" t="str">
        <f>PDs!AA174</f>
        <v>-</v>
      </c>
      <c r="R2025" s="583" t="str">
        <f>IF(PDs!I174=0,"",P2025&amp;" ("&amp;PDs!I174&amp;")")</f>
        <v/>
      </c>
      <c r="S2025" s="583">
        <f>LEFT(PDs!AG174,2)+LEFT(PDs!AH174,2)</f>
        <v>0</v>
      </c>
      <c r="T2025" s="583" t="str">
        <f>IF(PDs!AI174,MID(PDs!AH174,4,25)&amp;MID(PDs!AG174,4,25),"")</f>
        <v/>
      </c>
      <c r="U2025" s="1206"/>
      <c r="V2025" s="1206"/>
      <c r="W2025" s="583" t="str">
        <f t="shared" si="303"/>
        <v>-</v>
      </c>
      <c r="X2025" s="583" t="str">
        <f t="shared" si="304"/>
        <v/>
      </c>
      <c r="Y2025" s="583" t="str">
        <f t="shared" si="305"/>
        <v/>
      </c>
      <c r="Z2025" s="1206" t="str">
        <f t="shared" si="307"/>
        <v/>
      </c>
      <c r="AA2025" s="583" t="str">
        <f t="shared" si="297"/>
        <v/>
      </c>
      <c r="AB2025" s="583" t="str">
        <f t="shared" si="302"/>
        <v>Música -</v>
      </c>
      <c r="AC2025" s="585">
        <f t="shared" si="308"/>
        <v>30</v>
      </c>
      <c r="AD2025" s="585" t="str">
        <f t="shared" si="309"/>
        <v/>
      </c>
      <c r="AE2025" s="6062"/>
      <c r="AF2025" s="1286">
        <f>Principal!O67</f>
        <v>0</v>
      </c>
      <c r="AH2025" s="2339"/>
    </row>
    <row r="2026" spans="1:34" ht="12.75" customHeight="1" x14ac:dyDescent="0.2">
      <c r="A2026" s="227">
        <v>2026</v>
      </c>
      <c r="B2026" s="5988"/>
      <c r="C2026" s="279" t="str">
        <f>IF(Ki!$P$59="-",", "&amp;Ki!$N$59,"")</f>
        <v/>
      </c>
      <c r="D2026" s="2409"/>
      <c r="E2026" s="581"/>
      <c r="G2026" s="489" t="str">
        <f>IF(Místicos!H17&gt;0,", "&amp;Místicos!H17&amp;" "&amp;Místicos!C17&amp;IF(I2026="",""," ("&amp;LEFT(I2026,LEN(I2026)-2)&amp;")"),"")</f>
        <v/>
      </c>
      <c r="H2026" s="2409"/>
      <c r="I2026" s="581" t="str">
        <f>IFERROR(HLOOKUP(Místicos!C17,Tablas!$C$1138:$M$1160,23,0),"")</f>
        <v/>
      </c>
      <c r="K2026" s="489" t="str">
        <f t="shared" si="306"/>
        <v/>
      </c>
      <c r="L2026" s="21"/>
      <c r="M2026" s="2166"/>
      <c r="N2026" s="2168" t="str">
        <f t="shared" si="310"/>
        <v/>
      </c>
      <c r="O2026" s="838" t="b">
        <f>OR($S$1976,AND(NOT(T.Manos_final="-"),OR(PDs!T175&gt;4,PDs!W175&gt;0,PDs!X175&gt;0,$G$310&gt;0)))</f>
        <v>0</v>
      </c>
      <c r="P2026" s="585" t="s">
        <v>1476</v>
      </c>
      <c r="Q2026" s="584">
        <f>PDs!AA175</f>
        <v>-30</v>
      </c>
      <c r="R2026" s="583" t="str">
        <f>IF(PDs!I175=0,"",P2026&amp;" ("&amp;PDs!I175&amp;")")</f>
        <v/>
      </c>
      <c r="S2026" s="583">
        <f>LEFT(PDs!AG175,2)+LEFT(PDs!AH175,2)</f>
        <v>0</v>
      </c>
      <c r="T2026" s="583" t="str">
        <f>IF(PDs!AI175,MID(PDs!AH175,4,25)&amp;MID(PDs!AG175,4,25),"")</f>
        <v/>
      </c>
      <c r="U2026" s="1206"/>
      <c r="V2026" s="1206"/>
      <c r="W2026" s="583">
        <f t="shared" si="303"/>
        <v>-30</v>
      </c>
      <c r="X2026" s="583" t="str">
        <f t="shared" si="304"/>
        <v/>
      </c>
      <c r="Y2026" s="583" t="str">
        <f t="shared" si="305"/>
        <v/>
      </c>
      <c r="Z2026" s="1206" t="str">
        <f t="shared" si="307"/>
        <v/>
      </c>
      <c r="AA2026" s="583" t="str">
        <f t="shared" si="297"/>
        <v/>
      </c>
      <c r="AB2026" s="583" t="str">
        <f t="shared" si="302"/>
        <v>T. Manos -30</v>
      </c>
      <c r="AC2026" s="585">
        <f t="shared" si="308"/>
        <v>50</v>
      </c>
      <c r="AD2026" s="585" t="str">
        <f t="shared" si="309"/>
        <v/>
      </c>
      <c r="AE2026" s="6062"/>
      <c r="AF2026" s="1286">
        <f>Principal!O68</f>
        <v>0</v>
      </c>
      <c r="AH2026" s="2339"/>
    </row>
    <row r="2027" spans="1:34" ht="12.75" customHeight="1" x14ac:dyDescent="0.2">
      <c r="A2027" s="227">
        <v>2027</v>
      </c>
      <c r="B2027" s="5988"/>
      <c r="C2027" s="279" t="str">
        <f>IF(Ki!$P$60="-",", "&amp;Ki!$L$60,"")</f>
        <v/>
      </c>
      <c r="D2027" s="2409"/>
      <c r="E2027" s="581"/>
      <c r="G2027" s="489" t="str">
        <f>IF(Místicos!H18&gt;0,", "&amp;Místicos!H18&amp;" "&amp;Místicos!C18&amp;IF(I2027="",""," ("&amp;LEFT(I2027,LEN(I2027)-2)&amp;")"),"")</f>
        <v/>
      </c>
      <c r="H2027" s="2409"/>
      <c r="I2027" s="581" t="str">
        <f>IFERROR(HLOOKUP(Místicos!C18,Tablas!$C$1138:$M$1160,23,0),"")</f>
        <v/>
      </c>
      <c r="K2027" s="489" t="str">
        <f t="shared" si="306"/>
        <v/>
      </c>
      <c r="L2027" s="21"/>
      <c r="M2027" s="2166"/>
      <c r="N2027" s="2168" t="str">
        <f t="shared" si="310"/>
        <v/>
      </c>
      <c r="O2027" s="838" t="b">
        <f>OR($S$1976,AND(NOT(Caligrafíaritual_final="-"),OR(PDs!T176&gt;4,PDs!W176&gt;0,PDs!X176&gt;0,$G$310&gt;0)))</f>
        <v>0</v>
      </c>
      <c r="P2027" s="585" t="s">
        <v>6279</v>
      </c>
      <c r="Q2027" s="584">
        <f>PDs!AA176</f>
        <v>-30</v>
      </c>
      <c r="R2027" s="583" t="str">
        <f>IF(PDs!I176=0,"",P2027&amp;" ("&amp;PDs!I176&amp;")")</f>
        <v/>
      </c>
      <c r="S2027" s="583">
        <f>LEFT(PDs!AG176,2)+LEFT(PDs!AH176,2)</f>
        <v>0</v>
      </c>
      <c r="T2027" s="583" t="str">
        <f>IF(PDs!AI176,MID(PDs!AH176,4,25)&amp;MID(PDs!AG176,4,25),"")</f>
        <v/>
      </c>
      <c r="U2027" s="1206"/>
      <c r="V2027" s="1206"/>
      <c r="W2027" s="583">
        <f t="shared" si="303"/>
        <v>-30</v>
      </c>
      <c r="X2027" s="583" t="str">
        <f t="shared" si="304"/>
        <v/>
      </c>
      <c r="Y2027" s="583" t="str">
        <f t="shared" si="305"/>
        <v/>
      </c>
      <c r="Z2027" s="1206" t="str">
        <f t="shared" si="307"/>
        <v/>
      </c>
      <c r="AA2027" s="583" t="str">
        <f t="shared" si="297"/>
        <v/>
      </c>
      <c r="AB2027" s="583" t="str">
        <f t="shared" si="302"/>
        <v>Caligrafía ritual -30</v>
      </c>
      <c r="AC2027" s="585">
        <f t="shared" si="308"/>
        <v>10</v>
      </c>
      <c r="AD2027" s="585" t="str">
        <f t="shared" si="309"/>
        <v/>
      </c>
      <c r="AE2027" s="6062"/>
      <c r="AF2027" s="1286">
        <f>Principal!O69</f>
        <v>0</v>
      </c>
      <c r="AH2027" s="2339"/>
    </row>
    <row r="2028" spans="1:34" ht="12.75" customHeight="1" x14ac:dyDescent="0.2">
      <c r="A2028" s="227">
        <v>2028</v>
      </c>
      <c r="B2028" s="5988"/>
      <c r="C2028" s="279" t="str">
        <f>IF(Ki!$P$61="-",", "&amp;Ki!$M$61,"")</f>
        <v/>
      </c>
      <c r="D2028" s="2409"/>
      <c r="E2028" s="581"/>
      <c r="G2028" s="489" t="str">
        <f>IF(Místicos!H19&gt;0,", "&amp;Místicos!H19&amp;" "&amp;Místicos!C19&amp;IF(I2028="",""," ("&amp;LEFT(I2028,LEN(I2028)-2)&amp;")"),"")</f>
        <v/>
      </c>
      <c r="H2028" s="2409"/>
      <c r="I2028" s="581" t="str">
        <f>IFERROR(HLOOKUP(Místicos!C19,Tablas!$C$1138:$M$1160,23,0),"")</f>
        <v/>
      </c>
      <c r="K2028" s="489" t="str">
        <f t="shared" si="306"/>
        <v/>
      </c>
      <c r="L2028" s="21"/>
      <c r="M2028" s="2166"/>
      <c r="N2028" s="2168" t="str">
        <f t="shared" si="310"/>
        <v/>
      </c>
      <c r="O2028" s="839" t="b">
        <f>OR($S$1976,AND(NOT(Orfebrería_final="-"),OR(PDs!T177&gt;4,PDs!W177&gt;0,PDs!X177&gt;0,$G$310&gt;0)))</f>
        <v>0</v>
      </c>
      <c r="P2028" s="588" t="s">
        <v>6280</v>
      </c>
      <c r="Q2028" s="587">
        <f>PDs!AA177</f>
        <v>-30</v>
      </c>
      <c r="R2028" s="586" t="str">
        <f>IF(PDs!I177=0,"",P2028&amp;" ("&amp;PDs!I177&amp;")")</f>
        <v/>
      </c>
      <c r="S2028" s="586">
        <f>LEFT(PDs!AG177,2)+LEFT(PDs!AH177,2)</f>
        <v>0</v>
      </c>
      <c r="T2028" s="586" t="str">
        <f>IF(PDs!AI177,MID(PDs!AH177,4,25)&amp;MID(PDs!AG177,4,25),"")</f>
        <v/>
      </c>
      <c r="U2028" s="1207"/>
      <c r="V2028" s="1207"/>
      <c r="W2028" s="586">
        <f>IFERROR(Q2028+AF2028+IF(R2028="",0,-120)+IF(T2028="",0,IF(R2028=T2028,-S2028,0)),"-")</f>
        <v>-30</v>
      </c>
      <c r="X2028" s="586" t="str">
        <f>IFERROR(IF(AND(NOT(R2028=""),R2028=T2028,$P$1976),W2028+S2028+120,""),"-")</f>
        <v/>
      </c>
      <c r="Y2028" s="586" t="str">
        <f t="shared" si="305"/>
        <v/>
      </c>
      <c r="Z2028" s="1207" t="str">
        <f t="shared" si="307"/>
        <v/>
      </c>
      <c r="AA2028" s="586" t="str">
        <f>IFERROR(IF(AND(X2028="",NOT(R2028="")),W2028+120,""),"-")</f>
        <v/>
      </c>
      <c r="AB2028" s="586" t="str">
        <f t="shared" si="302"/>
        <v>Orfebrería -30</v>
      </c>
      <c r="AC2028" s="588">
        <f t="shared" si="308"/>
        <v>35</v>
      </c>
      <c r="AD2028" s="585" t="str">
        <f t="shared" si="309"/>
        <v/>
      </c>
      <c r="AE2028" s="6062"/>
      <c r="AF2028" s="1286">
        <f>Principal!O70</f>
        <v>0</v>
      </c>
      <c r="AH2028" s="2339"/>
    </row>
    <row r="2029" spans="1:34" ht="12.75" customHeight="1" x14ac:dyDescent="0.2">
      <c r="A2029" s="227">
        <v>2029</v>
      </c>
      <c r="B2029" s="5988"/>
      <c r="C2029" s="279" t="str">
        <f>IF(Ki!$P$62="-",", "&amp;Ki!$K$62,"")</f>
        <v/>
      </c>
      <c r="D2029" s="2409"/>
      <c r="E2029" s="581"/>
      <c r="G2029" s="489" t="str">
        <f>IF(Místicos!H20&gt;0,", "&amp;Místicos!H20&amp;" "&amp;Místicos!C20&amp;IF(I2029="",""," ("&amp;LEFT(I2029,LEN(I2029)-2)&amp;")"),"")</f>
        <v/>
      </c>
      <c r="H2029" s="2409"/>
      <c r="I2029" s="581" t="str">
        <f>IFERROR(HLOOKUP(Místicos!C20,Tablas!$C$1138:$M$1160,23,0),"")</f>
        <v/>
      </c>
      <c r="K2029" s="489" t="str">
        <f t="shared" si="306"/>
        <v/>
      </c>
      <c r="L2029" s="21"/>
      <c r="M2029" s="2166"/>
      <c r="N2029" s="2168" t="str">
        <f t="shared" si="310"/>
        <v/>
      </c>
      <c r="O2029" s="838" t="b">
        <f>OR($S$1976,AND(NOT(Confección_final="-"),OR(PDs!T178&gt;4,PDs!W178&gt;0,PDs!X178&gt;0,$G$310&gt;0)))</f>
        <v>0</v>
      </c>
      <c r="P2029" s="585" t="s">
        <v>6281</v>
      </c>
      <c r="Q2029" s="584">
        <f>PDs!AA178</f>
        <v>-30</v>
      </c>
      <c r="R2029" s="583" t="str">
        <f>IF(PDs!I178=0,"",P2029&amp;" ("&amp;PDs!I178&amp;")")</f>
        <v/>
      </c>
      <c r="S2029" s="583">
        <f>LEFT(PDs!AG178,2)+LEFT(PDs!AH178,2)</f>
        <v>0</v>
      </c>
      <c r="T2029" s="583" t="str">
        <f>IF(PDs!AI178,MID(PDs!AH178,4,25)&amp;MID(PDs!AG178,4,25),"")</f>
        <v/>
      </c>
      <c r="U2029" s="1206"/>
      <c r="V2029" s="1206"/>
      <c r="W2029" s="583">
        <f t="shared" ref="W2029:W2035" si="311">IFERROR(Q2029+AF2029+IF(R2029="",0,-80)+IF(T2029="",0,IF(R2029=T2029,-S2029,0)),"-")</f>
        <v>-30</v>
      </c>
      <c r="X2029" s="583" t="str">
        <f t="shared" ref="X2029:X2035" si="312">IFERROR(IF(AND(NOT(R2029=""),R2029=T2029,$P$1976),W2029+S2029+80,""),"-")</f>
        <v/>
      </c>
      <c r="Y2029" s="583" t="str">
        <f t="shared" si="305"/>
        <v/>
      </c>
      <c r="Z2029" s="1206" t="str">
        <f t="shared" si="307"/>
        <v/>
      </c>
      <c r="AA2029" s="583" t="str">
        <f t="shared" ref="AA2029:AA2035" si="313">IFERROR(IF(AND(X2029="",NOT(R2029="")),W2029+80,""),"-")</f>
        <v/>
      </c>
      <c r="AB2029" s="583" t="str">
        <f t="shared" si="302"/>
        <v>Confección -30</v>
      </c>
      <c r="AC2029" s="585">
        <f t="shared" si="308"/>
        <v>16</v>
      </c>
      <c r="AD2029" s="585" t="str">
        <f t="shared" si="309"/>
        <v/>
      </c>
      <c r="AE2029" s="6062"/>
      <c r="AF2029" s="1286">
        <f>Principal!O71</f>
        <v>0</v>
      </c>
      <c r="AH2029" s="2339"/>
    </row>
    <row r="2030" spans="1:34" ht="12.75" customHeight="1" x14ac:dyDescent="0.2">
      <c r="A2030" s="227">
        <v>2030</v>
      </c>
      <c r="B2030" s="5988"/>
      <c r="C2030" s="279"/>
      <c r="D2030" s="2409"/>
      <c r="E2030" s="581"/>
      <c r="G2030" s="489" t="str">
        <f>IF(Místicos!H21&gt;0,", "&amp;Místicos!H21&amp;" "&amp;Místicos!C21&amp;IF(I2030="",""," ("&amp;LEFT(I2030,LEN(I2030)-2)&amp;")"),"")</f>
        <v/>
      </c>
      <c r="H2030" s="2409"/>
      <c r="I2030" s="581" t="str">
        <f>IFERROR(HLOOKUP(Místicos!C21,Tablas!$C$1138:$M$1160,23,0),"")</f>
        <v/>
      </c>
      <c r="K2030" s="489" t="str">
        <f t="shared" si="306"/>
        <v/>
      </c>
      <c r="L2030" s="21"/>
      <c r="M2030" s="2166"/>
      <c r="N2030" s="2168" t="str">
        <f t="shared" si="310"/>
        <v/>
      </c>
      <c r="O2030" s="838" t="b">
        <f>OR($S$1976,AND(NOT(Conf.marionetas_final="-"),OR(PDs!T179&gt;4,PDs!W179&gt;0,PDs!X179&gt;0,$G$310&gt;0)))</f>
        <v>0</v>
      </c>
      <c r="P2030" s="585" t="s">
        <v>6282</v>
      </c>
      <c r="Q2030" s="584">
        <f>PDs!AA179</f>
        <v>-30</v>
      </c>
      <c r="R2030" s="583" t="str">
        <f>IF(PDs!I179=0,"",P2030&amp;" ("&amp;PDs!I179&amp;")")</f>
        <v/>
      </c>
      <c r="S2030" s="583">
        <f>LEFT(PDs!AG179,2)+LEFT(PDs!AH179,2)</f>
        <v>0</v>
      </c>
      <c r="T2030" s="583" t="str">
        <f>IF(PDs!AI179,MID(PDs!AH179,4,25)&amp;MID(PDs!AG179,4,25),"")</f>
        <v/>
      </c>
      <c r="U2030" s="1206"/>
      <c r="V2030" s="1206"/>
      <c r="W2030" s="583">
        <f t="shared" si="311"/>
        <v>-30</v>
      </c>
      <c r="X2030" s="583" t="str">
        <f t="shared" si="312"/>
        <v/>
      </c>
      <c r="Y2030" s="583" t="str">
        <f t="shared" si="305"/>
        <v/>
      </c>
      <c r="Z2030" s="1206" t="str">
        <f t="shared" si="307"/>
        <v/>
      </c>
      <c r="AA2030" s="583" t="str">
        <f t="shared" si="313"/>
        <v/>
      </c>
      <c r="AB2030" s="583" t="str">
        <f t="shared" si="302"/>
        <v>Conf. marionetas -30</v>
      </c>
      <c r="AC2030" s="585">
        <f t="shared" si="308"/>
        <v>15</v>
      </c>
      <c r="AD2030" s="585" t="str">
        <f t="shared" si="309"/>
        <v/>
      </c>
      <c r="AE2030" s="6062"/>
      <c r="AF2030" s="1286">
        <f>Principal!O72</f>
        <v>0</v>
      </c>
      <c r="AH2030" s="2339"/>
    </row>
    <row r="2031" spans="1:34" ht="12.75" customHeight="1" x14ac:dyDescent="0.2">
      <c r="A2031" s="227">
        <v>2031</v>
      </c>
      <c r="B2031" s="5988"/>
      <c r="C2031" s="279"/>
      <c r="D2031" s="2409"/>
      <c r="E2031" s="581"/>
      <c r="G2031" s="489" t="str">
        <f>IF(Místicos!H22&gt;0,", "&amp;Místicos!H22&amp;" "&amp;Místicos!C22&amp;IF(I2031="",""," ("&amp;LEFT(I2031,LEN(I2031)-2)&amp;")"),"")</f>
        <v/>
      </c>
      <c r="H2031" s="2409"/>
      <c r="I2031" s="581" t="str">
        <f>IFERROR(HLOOKUP(Místicos!C22,Tablas!$C$1138:$M$1160,23,0),"")</f>
        <v/>
      </c>
      <c r="K2031" s="489" t="str">
        <f t="shared" si="306"/>
        <v/>
      </c>
      <c r="L2031" s="21"/>
      <c r="M2031" s="2166"/>
      <c r="N2031" s="2168" t="str">
        <f t="shared" si="310"/>
        <v/>
      </c>
      <c r="O2031" s="839" t="b">
        <f>OR(AND($S$1976,PDs!E180&lt;&gt;""),AND(NOT(PDs!$AA$180="-"),OR(PDs!T180&gt;4,PDs!W180&gt;0,PDs!X180&gt;0,$G$310&gt;0)))</f>
        <v>0</v>
      </c>
      <c r="P2031" s="588" t="str">
        <f>IF(PDs!E180="","Secundaria Personal 1",PDs!E180)</f>
        <v>Secundaria Personal 1</v>
      </c>
      <c r="Q2031" s="587" t="str">
        <f>PDs!AA180</f>
        <v>-</v>
      </c>
      <c r="R2031" s="586" t="str">
        <f>IF(PDs!I180=0,"",P2031&amp;" ("&amp;PDs!I180&amp;")")</f>
        <v/>
      </c>
      <c r="S2031" s="586">
        <f>PDs!AF180</f>
        <v>0</v>
      </c>
      <c r="T2031" s="586"/>
      <c r="U2031" s="1207"/>
      <c r="V2031" s="1207"/>
      <c r="W2031" s="586" t="str">
        <f t="shared" si="311"/>
        <v>-</v>
      </c>
      <c r="X2031" s="586" t="str">
        <f t="shared" si="312"/>
        <v/>
      </c>
      <c r="Y2031" s="586" t="str">
        <f t="shared" si="305"/>
        <v/>
      </c>
      <c r="Z2031" s="1207" t="str">
        <f t="shared" si="307"/>
        <v/>
      </c>
      <c r="AA2031" s="586" t="str">
        <f t="shared" si="313"/>
        <v/>
      </c>
      <c r="AB2031" s="586" t="str">
        <f t="shared" si="302"/>
        <v>Secundaria Personal 1 -</v>
      </c>
      <c r="AC2031" s="588">
        <f t="shared" si="308"/>
        <v>44</v>
      </c>
      <c r="AD2031" s="585" t="str">
        <f t="shared" si="309"/>
        <v/>
      </c>
      <c r="AE2031" s="6062"/>
      <c r="AF2031" s="1286">
        <f>Principal!O73</f>
        <v>0</v>
      </c>
      <c r="AH2031" s="2339"/>
    </row>
    <row r="2032" spans="1:34" ht="12.75" customHeight="1" x14ac:dyDescent="0.2">
      <c r="A2032" s="227">
        <v>2032</v>
      </c>
      <c r="B2032" s="5988"/>
      <c r="C2032" s="279" t="str">
        <f>IF(Ki!$H$43="-",", "&amp;Ki!$C$43,"")</f>
        <v/>
      </c>
      <c r="D2032" s="2409"/>
      <c r="E2032" s="581"/>
      <c r="G2032" s="489" t="str">
        <f>IF(Místicos!H23&gt;0,", "&amp;Místicos!H23&amp;" "&amp;Místicos!C23&amp;IF(I2032="",""," ("&amp;LEFT(I2032,LEN(I2032)-2)&amp;")"),"")</f>
        <v/>
      </c>
      <c r="H2032" s="2409"/>
      <c r="I2032" s="581" t="str">
        <f>IFERROR(HLOOKUP(Místicos!C23,Tablas!$C$1138:$M$1160,23,0),"")</f>
        <v/>
      </c>
      <c r="K2032" s="489" t="str">
        <f t="shared" si="306"/>
        <v/>
      </c>
      <c r="L2032" s="21"/>
      <c r="M2032" s="2166"/>
      <c r="N2032" s="2168" t="str">
        <f t="shared" si="310"/>
        <v/>
      </c>
      <c r="O2032" s="839" t="b">
        <f>OR(AND($S$1976,PDs!E181&lt;&gt;""),AND(NOT(PDs!$AA$181="-"),OR(PDs!T181&gt;4,PDs!W181&gt;0,PDs!X181&gt;0,$G$310&gt;0)))</f>
        <v>0</v>
      </c>
      <c r="P2032" s="588" t="str">
        <f>IF(PDs!E181="","Secundaria Personal 2",PDs!E181)</f>
        <v>Secundaria Personal 2</v>
      </c>
      <c r="Q2032" s="587" t="str">
        <f>PDs!AA181</f>
        <v>-</v>
      </c>
      <c r="R2032" s="586" t="str">
        <f>IF(PDs!I181=0,"",P2032&amp;" ("&amp;PDs!I181&amp;")")</f>
        <v/>
      </c>
      <c r="S2032" s="586">
        <f>PDs!AF181</f>
        <v>0</v>
      </c>
      <c r="T2032" s="586"/>
      <c r="U2032" s="1207"/>
      <c r="V2032" s="1207"/>
      <c r="W2032" s="586" t="str">
        <f t="shared" si="311"/>
        <v>-</v>
      </c>
      <c r="X2032" s="586" t="str">
        <f t="shared" si="312"/>
        <v/>
      </c>
      <c r="Y2032" s="586" t="str">
        <f t="shared" si="305"/>
        <v/>
      </c>
      <c r="Z2032" s="1207" t="str">
        <f t="shared" si="307"/>
        <v/>
      </c>
      <c r="AA2032" s="586" t="str">
        <f t="shared" si="313"/>
        <v/>
      </c>
      <c r="AB2032" s="586" t="str">
        <f t="shared" si="302"/>
        <v>Secundaria Personal 2 -</v>
      </c>
      <c r="AC2032" s="588">
        <f t="shared" si="308"/>
        <v>45</v>
      </c>
      <c r="AD2032" s="585" t="str">
        <f t="shared" si="309"/>
        <v/>
      </c>
      <c r="AE2032" s="6062"/>
      <c r="AF2032" s="1286">
        <f>Principal!O74</f>
        <v>0</v>
      </c>
      <c r="AH2032" s="2339"/>
    </row>
    <row r="2033" spans="1:34" ht="12.75" customHeight="1" x14ac:dyDescent="0.2">
      <c r="A2033" s="227">
        <v>2033</v>
      </c>
      <c r="B2033" s="5988"/>
      <c r="C2033" s="279" t="str">
        <f>IF(Ki!$H$45="-",", "&amp;Ki!$C$45,"")</f>
        <v/>
      </c>
      <c r="D2033" s="2409"/>
      <c r="E2033" s="581"/>
      <c r="G2033" s="489" t="str">
        <f>IF(Místicos!H24&gt;0,", "&amp;Místicos!H24&amp;" "&amp;Místicos!C24&amp;IF(I2033="",""," ("&amp;LEFT(I2033,LEN(I2033)-2)&amp;")"),"")</f>
        <v/>
      </c>
      <c r="H2033" s="2409"/>
      <c r="I2033" s="581" t="str">
        <f>IFERROR(HLOOKUP(Místicos!C24,Tablas!$C$1138:$M$1160,23,0),"")</f>
        <v/>
      </c>
      <c r="K2033" s="489" t="str">
        <f t="shared" si="306"/>
        <v/>
      </c>
      <c r="L2033" s="21"/>
      <c r="M2033" s="2166"/>
      <c r="N2033" s="2168" t="str">
        <f t="shared" si="310"/>
        <v/>
      </c>
      <c r="O2033" s="839" t="b">
        <f>OR(AND($S$1976,PDs!E182&lt;&gt;""),AND(NOT(PDs!$AA$182="-"),OR(PDs!T182&gt;4,PDs!W182&gt;0,PDs!X182&gt;0,$G$310&gt;0)))</f>
        <v>0</v>
      </c>
      <c r="P2033" s="588" t="str">
        <f>IF(PDs!E182="","Secundaria Personal 3",PDs!E182)</f>
        <v>Secundaria Personal 3</v>
      </c>
      <c r="Q2033" s="587" t="str">
        <f>PDs!AA182</f>
        <v>-</v>
      </c>
      <c r="R2033" s="586" t="str">
        <f>IF(PDs!I182=0,"",P2033&amp;" ("&amp;PDs!I182&amp;")")</f>
        <v/>
      </c>
      <c r="S2033" s="586">
        <f>PDs!AF182</f>
        <v>0</v>
      </c>
      <c r="T2033" s="586"/>
      <c r="U2033" s="1207"/>
      <c r="V2033" s="1207"/>
      <c r="W2033" s="586" t="str">
        <f t="shared" si="311"/>
        <v>-</v>
      </c>
      <c r="X2033" s="586" t="str">
        <f t="shared" si="312"/>
        <v/>
      </c>
      <c r="Y2033" s="586" t="str">
        <f t="shared" si="305"/>
        <v/>
      </c>
      <c r="Z2033" s="1207" t="str">
        <f t="shared" si="307"/>
        <v/>
      </c>
      <c r="AA2033" s="586" t="str">
        <f t="shared" si="313"/>
        <v/>
      </c>
      <c r="AB2033" s="586" t="str">
        <f t="shared" si="302"/>
        <v>Secundaria Personal 3 -</v>
      </c>
      <c r="AC2033" s="588">
        <f t="shared" si="308"/>
        <v>46</v>
      </c>
      <c r="AD2033" s="585" t="str">
        <f t="shared" si="309"/>
        <v/>
      </c>
      <c r="AE2033" s="6062"/>
      <c r="AF2033" s="1286">
        <f>Principal!O75</f>
        <v>0</v>
      </c>
      <c r="AH2033" s="2339"/>
    </row>
    <row r="2034" spans="1:34" ht="12.75" customHeight="1" x14ac:dyDescent="0.2">
      <c r="A2034" s="227">
        <v>2034</v>
      </c>
      <c r="B2034" s="5988"/>
      <c r="C2034" s="279" t="str">
        <f>IF(Ki!$H$46="-",", "&amp;Ki!$D$46,"")</f>
        <v/>
      </c>
      <c r="D2034" s="2409"/>
      <c r="E2034" s="581"/>
      <c r="G2034" s="489" t="str">
        <f>IF(Místicos!H25&gt;0,", "&amp;Místicos!H25&amp;" "&amp;Místicos!C25&amp;IF(I2034="",""," ("&amp;LEFT(I2034,LEN(I2034)-2)&amp;")"),"")</f>
        <v/>
      </c>
      <c r="H2034" s="2409"/>
      <c r="I2034" s="581" t="str">
        <f>IFERROR(HLOOKUP(Místicos!C25,Tablas!$C$1138:$M$1160,23,0),"")</f>
        <v/>
      </c>
      <c r="K2034" s="489" t="str">
        <f t="shared" si="306"/>
        <v/>
      </c>
      <c r="L2034" s="21"/>
      <c r="M2034" s="2166"/>
      <c r="N2034" s="2168" t="str">
        <f t="shared" si="310"/>
        <v/>
      </c>
      <c r="O2034" s="839" t="b">
        <f>OR(AND($S$1976,PDs!E183&lt;&gt;""),AND(NOT(PDs!$AA$183="-"),OR(PDs!T183&gt;4,PDs!W183&gt;0,PDs!X183&gt;0,$G$310&gt;0)))</f>
        <v>0</v>
      </c>
      <c r="P2034" s="588" t="str">
        <f>IF(PDs!E183="","Secundaria Personal 4",PDs!E183)</f>
        <v>Secundaria Personal 4</v>
      </c>
      <c r="Q2034" s="587" t="str">
        <f>PDs!AA183</f>
        <v>-</v>
      </c>
      <c r="R2034" s="586" t="str">
        <f>IF(PDs!I183=0,"",P2034&amp;" ("&amp;PDs!I183&amp;")")</f>
        <v/>
      </c>
      <c r="S2034" s="586">
        <f>PDs!AF183</f>
        <v>0</v>
      </c>
      <c r="T2034" s="586"/>
      <c r="U2034" s="1207"/>
      <c r="V2034" s="1207"/>
      <c r="W2034" s="586" t="str">
        <f t="shared" si="311"/>
        <v>-</v>
      </c>
      <c r="X2034" s="586" t="str">
        <f t="shared" si="312"/>
        <v/>
      </c>
      <c r="Y2034" s="586" t="str">
        <f t="shared" si="305"/>
        <v/>
      </c>
      <c r="Z2034" s="1207" t="str">
        <f t="shared" si="307"/>
        <v/>
      </c>
      <c r="AA2034" s="586" t="str">
        <f t="shared" si="313"/>
        <v/>
      </c>
      <c r="AB2034" s="586" t="str">
        <f t="shared" si="302"/>
        <v>Secundaria Personal 4 -</v>
      </c>
      <c r="AC2034" s="588">
        <f t="shared" si="308"/>
        <v>47</v>
      </c>
      <c r="AD2034" s="585" t="str">
        <f t="shared" si="309"/>
        <v/>
      </c>
      <c r="AE2034" s="6062"/>
      <c r="AF2034" s="1286">
        <f>Principal!O76</f>
        <v>0</v>
      </c>
      <c r="AH2034" s="2339"/>
    </row>
    <row r="2035" spans="1:34" ht="12.75" customHeight="1" thickBot="1" x14ac:dyDescent="0.25">
      <c r="A2035" s="227">
        <v>2035</v>
      </c>
      <c r="B2035" s="5988"/>
      <c r="C2035" s="279" t="str">
        <f>IF(Ki!$H$47="-",", "&amp;Ki!$C$47,"")</f>
        <v/>
      </c>
      <c r="D2035" s="2409"/>
      <c r="E2035" s="581"/>
      <c r="G2035" s="3008" t="str">
        <f>IF(Místicos!H26&gt;0,", "&amp;Místicos!H26&amp;" "&amp;Místicos!C26&amp;IF(AND(I2035&lt;&gt;"",Resumen!$AP$54="Sí")," ("&amp;LEFT(I2035,LEN(I2035)-2)&amp;")",""),"")</f>
        <v/>
      </c>
      <c r="H2035" s="3007"/>
      <c r="I2035" s="3009" t="str">
        <f>Místicos!$BA$6</f>
        <v/>
      </c>
      <c r="K2035" s="491" t="str">
        <f t="shared" si="306"/>
        <v/>
      </c>
      <c r="L2035" s="577"/>
      <c r="M2035" s="2167"/>
      <c r="N2035" s="2169" t="str">
        <f t="shared" si="310"/>
        <v/>
      </c>
      <c r="O2035" s="1203" t="b">
        <f>OR(AND($S$1976,PDs!E184&lt;&gt;""),AND(NOT(PDs!$AA$184="-"),OR(PDs!T184&gt;4,PDs!W184&gt;0,PDs!X184&gt;0,$G$310&gt;0)))</f>
        <v>0</v>
      </c>
      <c r="P2035" s="1204" t="str">
        <f>IF(PDs!E184="","Secundaria Personal 5",PDs!E184)</f>
        <v>Secundaria Personal 5</v>
      </c>
      <c r="Q2035" s="1205" t="str">
        <f>PDs!AA184</f>
        <v>-</v>
      </c>
      <c r="R2035" s="1112" t="str">
        <f>IF(PDs!I184=0,"",P2035&amp;" ("&amp;PDs!I184&amp;")")</f>
        <v/>
      </c>
      <c r="S2035" s="1112">
        <f>PDs!AF184</f>
        <v>0</v>
      </c>
      <c r="T2035" s="1112"/>
      <c r="U2035" s="1208"/>
      <c r="V2035" s="1208"/>
      <c r="W2035" s="1112" t="str">
        <f t="shared" si="311"/>
        <v>-</v>
      </c>
      <c r="X2035" s="1112" t="str">
        <f t="shared" si="312"/>
        <v/>
      </c>
      <c r="Y2035" s="1112" t="str">
        <f t="shared" si="305"/>
        <v/>
      </c>
      <c r="Z2035" s="1208" t="str">
        <f t="shared" si="307"/>
        <v/>
      </c>
      <c r="AA2035" s="1112" t="str">
        <f t="shared" si="313"/>
        <v/>
      </c>
      <c r="AB2035" s="1112" t="str">
        <f t="shared" si="302"/>
        <v>Secundaria Personal 5 -</v>
      </c>
      <c r="AC2035" s="1204">
        <f t="shared" si="308"/>
        <v>48</v>
      </c>
      <c r="AD2035" s="1108" t="str">
        <f t="shared" si="309"/>
        <v/>
      </c>
      <c r="AE2035" s="6063"/>
      <c r="AF2035" s="1287">
        <f>Principal!O77</f>
        <v>0</v>
      </c>
      <c r="AH2035" s="2339"/>
    </row>
    <row r="2036" spans="1:34" ht="12.75" customHeight="1" thickBot="1" x14ac:dyDescent="0.25">
      <c r="A2036" s="227">
        <v>2036</v>
      </c>
      <c r="B2036" s="5988"/>
      <c r="C2036" s="279" t="str">
        <f>IF(Ki!$H$48="-",", "&amp;Ki!$D$48,"")</f>
        <v/>
      </c>
      <c r="D2036" s="2409"/>
      <c r="E2036" s="581"/>
      <c r="G2036" s="3010" t="str">
        <f>IF(Metamagia!$T$37&gt;0,", "&amp;Metamagia!$T$37&amp;" Metamagia"&amp;IF(Resumen!$AP$56="Sí"," ("&amp;RIGHT(I2036,LEN(I2036)-2)&amp;")",""),"")</f>
        <v/>
      </c>
      <c r="H2036" s="3011"/>
      <c r="I2036" s="3012"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36" s="6310" t="str">
        <f>MID(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amp;K2029&amp;K2030&amp;K2031&amp;K2032&amp;K2033&amp;K2034&amp;K2035,3,1000)</f>
        <v/>
      </c>
      <c r="L2036" s="6311"/>
      <c r="M2036" s="2164"/>
      <c r="N2036" s="2170" t="str">
        <f>MID(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amp;N2029&amp;N2030&amp;N2031&amp;N2032&amp;N2033&amp;N2034&amp;N2035,3,1000)</f>
        <v/>
      </c>
      <c r="S2036" s="559"/>
      <c r="Y2036"/>
      <c r="Z2036"/>
      <c r="AA2036"/>
      <c r="AB2036"/>
      <c r="AH2036" s="2339"/>
    </row>
    <row r="2037" spans="1:34" ht="12.75" customHeight="1" thickBot="1" x14ac:dyDescent="0.25">
      <c r="A2037" s="227">
        <v>2037</v>
      </c>
      <c r="B2037" s="5988"/>
      <c r="C2037" s="279" t="str">
        <f>IF(Ki!$H$49="-",", "&amp;Ki!$C$49,"")</f>
        <v/>
      </c>
      <c r="D2037" s="2409"/>
      <c r="E2037" s="581"/>
      <c r="AH2037" s="2339"/>
    </row>
    <row r="2038" spans="1:34" ht="12.75" customHeight="1" thickBot="1" x14ac:dyDescent="0.25">
      <c r="A2038" s="227">
        <v>2038</v>
      </c>
      <c r="B2038" s="5988"/>
      <c r="C2038" s="279" t="str">
        <f>IF(Ki!$H$50="-",", "&amp;Ki!$D$50,"")</f>
        <v/>
      </c>
      <c r="D2038" s="2409"/>
      <c r="E2038" s="581"/>
      <c r="G2038" s="4762" t="s">
        <v>9677</v>
      </c>
      <c r="H2038" s="4760"/>
      <c r="I2038" s="4760"/>
      <c r="J2038" s="4761"/>
      <c r="AH2038" s="2339"/>
    </row>
    <row r="2039" spans="1:34" ht="12.75" customHeight="1" x14ac:dyDescent="0.2">
      <c r="A2039" s="227">
        <v>2039</v>
      </c>
      <c r="B2039" s="5988"/>
      <c r="C2039" s="279" t="str">
        <f>IF(Ki!$H$51="-",", "&amp;Ki!$C$51,"")</f>
        <v/>
      </c>
      <c r="D2039" s="2409"/>
      <c r="E2039" s="581"/>
      <c r="G2039" s="2352" t="s">
        <v>1441</v>
      </c>
      <c r="H2039" s="2976">
        <v>1</v>
      </c>
      <c r="I2039" s="2975">
        <v>2</v>
      </c>
      <c r="J2039" s="2977">
        <v>3</v>
      </c>
      <c r="AH2039" s="2339"/>
    </row>
    <row r="2040" spans="1:34" ht="12.75" customHeight="1" x14ac:dyDescent="0.2">
      <c r="A2040" s="227">
        <v>2040</v>
      </c>
      <c r="B2040" s="5988"/>
      <c r="C2040" s="279" t="str">
        <f>IF(Ki!$H$52="-",", "&amp;Ki!$D$52,"")</f>
        <v/>
      </c>
      <c r="D2040" s="2409"/>
      <c r="E2040" s="581"/>
      <c r="G2040" s="1841" t="s">
        <v>1531</v>
      </c>
      <c r="H2040" s="2350" t="str">
        <f>IF($G284&gt;0,$G2040&amp;IF(Personalización!L11&lt;&gt;"",": "&amp;Personalización!L11,IF(Personalización!N11&lt;&gt;"",": "&amp;Personalización!N11,IF(Personalización!P11&lt;&gt;"",": "&amp;Personalización!P11,""))),"")</f>
        <v/>
      </c>
      <c r="I2040" s="2350" t="str">
        <f>IF($G284&gt;1,$G2040&amp;IF(Personalización!N11&lt;&gt;"",": "&amp;Personalización!N11,IF(Personalización!P11&lt;&gt;"",": "&amp;Personalización!P11,"")),"")</f>
        <v/>
      </c>
      <c r="J2040" s="2351" t="str">
        <f>IF($G284&gt;2,$G2040&amp;IF(Personalización!P11&lt;&gt;"",": "&amp;Personalización!P11,""),"")</f>
        <v/>
      </c>
    </row>
    <row r="2041" spans="1:34" ht="12.75" customHeight="1" x14ac:dyDescent="0.2">
      <c r="A2041" s="227">
        <v>2041</v>
      </c>
      <c r="B2041" s="5988"/>
      <c r="C2041" s="279" t="str">
        <f>IF(Ki!$H$53="-",", "&amp;Ki!$C$53,"")</f>
        <v/>
      </c>
      <c r="D2041" s="2409"/>
      <c r="E2041" s="581"/>
      <c r="G2041" s="1841" t="s">
        <v>1533</v>
      </c>
      <c r="H2041" s="2350" t="str">
        <f>IF($G285&gt;0,$G2041&amp;IF(Personalización!L12&lt;&gt;"",": "&amp;Personalización!L12,IF(Personalización!N12&lt;&gt;"",": "&amp;Personalización!N12,IF(Personalización!P12&lt;&gt;"",": "&amp;Personalización!P12,""))),"")</f>
        <v/>
      </c>
      <c r="I2041" s="2350" t="str">
        <f>IF($G285&gt;1,$G2041&amp;IF(Personalización!N12&lt;&gt;"",": "&amp;Personalización!N12,IF(Personalización!P12&lt;&gt;"",": "&amp;Personalización!P12,"")),"")</f>
        <v/>
      </c>
      <c r="J2041" s="2351" t="str">
        <f>IF($G285&gt;2,$G2041&amp;IF(Personalización!P12&lt;&gt;"",": "&amp;Personalización!P12,""),"")</f>
        <v/>
      </c>
    </row>
    <row r="2042" spans="1:34" ht="12.75" customHeight="1" x14ac:dyDescent="0.2">
      <c r="A2042" s="227">
        <v>2042</v>
      </c>
      <c r="B2042" s="5988"/>
      <c r="C2042" s="279" t="str">
        <f>IF(Ki!$H$54="-",", "&amp;Ki!$C$54,"")</f>
        <v/>
      </c>
      <c r="D2042" s="2409"/>
      <c r="E2042" s="581"/>
      <c r="G2042" s="1841" t="s">
        <v>10125</v>
      </c>
      <c r="H2042" s="2350" t="str">
        <f>IF($G293&gt;0,$G2042&amp;IF(Personalización!L13&lt;&gt;"",": "&amp;Personalización!L13,IF(Personalización!N13&lt;&gt;"",": "&amp;Personalización!N13,IF(Personalización!P13&lt;&gt;"",": "&amp;Personalización!P13,""))),"")</f>
        <v/>
      </c>
      <c r="I2042" s="2350" t="str">
        <f>IF($G293&gt;1,$G2042&amp;IF(Personalización!N13&lt;&gt;"",": "&amp;Personalización!N13,IF(Personalización!P13&lt;&gt;"",": "&amp;Personalización!P13,"")),"")</f>
        <v/>
      </c>
      <c r="J2042" s="2351" t="str">
        <f>IF($G293&gt;2,$G2042&amp;IF(Personalización!P13&lt;&gt;"",": "&amp;Personalización!P13,""),"")</f>
        <v/>
      </c>
    </row>
    <row r="2043" spans="1:34" ht="12.75" customHeight="1" x14ac:dyDescent="0.2">
      <c r="A2043" s="227">
        <v>2043</v>
      </c>
      <c r="B2043" s="5988"/>
      <c r="C2043" s="279" t="str">
        <f>IF(CuerpodeVacío,", "&amp;Ki!$C$56,"")</f>
        <v/>
      </c>
      <c r="D2043" s="2409"/>
      <c r="E2043" s="581"/>
      <c r="G2043" s="1841" t="s">
        <v>10126</v>
      </c>
      <c r="H2043" s="2350" t="str">
        <f>IF($G294&gt;0,$G2043&amp;IF(Personalización!L14&lt;&gt;"",": "&amp;Personalización!L14,IF(Personalización!N14&lt;&gt;"",": "&amp;Personalización!N14,IF(Personalización!P14&lt;&gt;"",": "&amp;Personalización!P14,""))),"")</f>
        <v/>
      </c>
      <c r="I2043" s="2350" t="str">
        <f>IF($G294&gt;1,$G2043&amp;IF(Personalización!N14&lt;&gt;"",": "&amp;Personalización!N14,IF(Personalización!P14&lt;&gt;"",": "&amp;Personalización!P14,"")),"")</f>
        <v/>
      </c>
      <c r="J2043" s="2351" t="str">
        <f>IF($G294&gt;2,$G2043&amp;IF(Personalización!P14&lt;&gt;"",": "&amp;Personalización!P14,""),"")</f>
        <v/>
      </c>
    </row>
    <row r="2044" spans="1:34" ht="12.75" customHeight="1" x14ac:dyDescent="0.2">
      <c r="A2044" s="227">
        <v>2044</v>
      </c>
      <c r="B2044" s="5988"/>
      <c r="C2044" s="279" t="str">
        <f>IF(Ki!$H$57="-",", "&amp;Ki!$D$57,"")</f>
        <v/>
      </c>
      <c r="D2044" s="2409"/>
      <c r="E2044" s="581"/>
      <c r="G2044" s="1841" t="s">
        <v>10127</v>
      </c>
      <c r="H2044" s="2350" t="str">
        <f>IF($G295&gt;0,$G2044&amp;IF(Personalización!L15&lt;&gt;"",": "&amp;Personalización!L15,IF(Personalización!N15&lt;&gt;"",": "&amp;Personalización!N15,IF(Personalización!P15&lt;&gt;"",": "&amp;Personalización!P15,""))),"")</f>
        <v/>
      </c>
      <c r="I2044" s="2350" t="str">
        <f>IF($G295&gt;1,$G2044&amp;IF(Personalización!N15&lt;&gt;"",": "&amp;Personalización!N15,IF(Personalización!P15&lt;&gt;"",": "&amp;Personalización!P15,"")),"")</f>
        <v/>
      </c>
      <c r="J2044" s="2351" t="str">
        <f>IF($G295&gt;2,$G2044&amp;IF(Personalización!P15&lt;&gt;"",": "&amp;Personalización!P15,""),"")</f>
        <v/>
      </c>
    </row>
    <row r="2045" spans="1:34" ht="12.75" customHeight="1" thickBot="1" x14ac:dyDescent="0.25">
      <c r="A2045" s="227">
        <v>2045</v>
      </c>
      <c r="B2045" s="5988"/>
      <c r="C2045" s="279" t="str">
        <f>IF(Ki!$H$58="-",", "&amp;Ki!$D$58,"")</f>
        <v/>
      </c>
      <c r="D2045" s="2409"/>
      <c r="E2045" s="581"/>
      <c r="G2045" s="1842" t="s">
        <v>2522</v>
      </c>
      <c r="H2045" s="328" t="str">
        <f>IF($P$260&gt;0,G2045&amp;IF(Personalización!$Z$87&lt;&gt;"",": "&amp;Personalización!$Z$87,""),"")</f>
        <v/>
      </c>
      <c r="I2045" s="328"/>
      <c r="J2045" s="622"/>
    </row>
    <row r="2046" spans="1:34" ht="12.75" customHeight="1" x14ac:dyDescent="0.2">
      <c r="A2046" s="227">
        <v>2046</v>
      </c>
      <c r="B2046" s="5988"/>
      <c r="C2046" s="279" t="str">
        <f>IF(Ki!$H$55="-",", "&amp;Ki!$D$55,"")</f>
        <v/>
      </c>
      <c r="D2046" s="2409"/>
      <c r="E2046" s="581"/>
    </row>
    <row r="2047" spans="1:34" ht="12.75" customHeight="1" thickBot="1" x14ac:dyDescent="0.25">
      <c r="A2047" s="227">
        <v>2047</v>
      </c>
      <c r="B2047" s="5988"/>
      <c r="C2047" s="279" t="str">
        <f>IF(Ki!$H$59="-",", "&amp;Ki!$D$59,"")</f>
        <v/>
      </c>
      <c r="D2047" s="2409"/>
      <c r="E2047" s="581"/>
    </row>
    <row r="2048" spans="1:34" ht="12.75" customHeight="1" thickBot="1" x14ac:dyDescent="0.25">
      <c r="A2048" s="227">
        <v>2048</v>
      </c>
      <c r="B2048" s="5988"/>
      <c r="C2048" s="279" t="str">
        <f>IF(Ki!$H$60="-",", "&amp;Ki!$E$60,"")</f>
        <v/>
      </c>
      <c r="D2048" s="2409"/>
      <c r="E2048" s="581"/>
      <c r="G2048" s="3631" t="s">
        <v>646</v>
      </c>
      <c r="H2048" s="3631"/>
    </row>
    <row r="2049" spans="1:41" ht="12.75" customHeight="1" thickBot="1" x14ac:dyDescent="0.25">
      <c r="A2049" s="227">
        <v>2049</v>
      </c>
      <c r="B2049" s="5988"/>
      <c r="C2049" s="279" t="str">
        <f>IF(Ki!$H$61="-",", "&amp;Ki!$C$61,"")</f>
        <v/>
      </c>
      <c r="D2049" s="2409"/>
      <c r="E2049" s="581"/>
      <c r="G2049" s="3631"/>
      <c r="H2049" s="3631"/>
    </row>
    <row r="2050" spans="1:41" ht="12.75" customHeight="1" x14ac:dyDescent="0.2">
      <c r="A2050" s="227">
        <v>2050</v>
      </c>
      <c r="B2050" s="5988"/>
      <c r="C2050" s="279" t="str">
        <f>IF(Ki!$H$62="-",", "&amp;Ki!$C$62,"")</f>
        <v/>
      </c>
      <c r="D2050" s="2409"/>
      <c r="E2050" s="581"/>
      <c r="G2050" s="35" t="str">
        <f>IF(Combate!AB55="","",IF(SUM(Ki!U23:U63)=0,"Magnus ("&amp;Combate!AB55&amp;")",", Magnus ("&amp;Combate!AB55&amp;")"))</f>
        <v/>
      </c>
      <c r="H2050" s="36"/>
    </row>
    <row r="2051" spans="1:41" ht="12.75" customHeight="1" x14ac:dyDescent="0.2">
      <c r="A2051" s="227">
        <v>2051</v>
      </c>
      <c r="B2051" s="5988"/>
      <c r="C2051" s="279" t="str">
        <f>IF(Tablas!$AI$50,", "&amp;"Inhumanidad","")</f>
        <v/>
      </c>
      <c r="D2051" s="2409"/>
      <c r="E2051" s="581"/>
      <c r="G2051" s="35" t="str">
        <f>IF(Combate!AB57="","",", Magnus ("&amp;Combate!AB57&amp;")")</f>
        <v/>
      </c>
      <c r="H2051" s="36"/>
    </row>
    <row r="2052" spans="1:41" ht="12.75" customHeight="1" x14ac:dyDescent="0.2">
      <c r="A2052" s="227">
        <v>2052</v>
      </c>
      <c r="B2052" s="5988"/>
      <c r="C2052" s="279" t="str">
        <f>IF(Tablas!$AJ$50,", "&amp;"Zen","")</f>
        <v/>
      </c>
      <c r="D2052" s="2409"/>
      <c r="E2052" s="581"/>
      <c r="G2052" s="35" t="str">
        <f>IF(Combate!AB59="","",", Magnus ("&amp;Combate!AB59&amp;")")</f>
        <v/>
      </c>
      <c r="H2052" s="36"/>
    </row>
    <row r="2053" spans="1:41" ht="12.75" customHeight="1" x14ac:dyDescent="0.2">
      <c r="A2053" s="227">
        <v>2053</v>
      </c>
      <c r="B2053" s="5988"/>
      <c r="C2053" s="279" t="str">
        <f>IF(Ki!C40="","",", "&amp;Ki!C40)</f>
        <v/>
      </c>
      <c r="D2053" s="2409"/>
      <c r="E2053" s="581"/>
      <c r="G2053" s="35" t="str">
        <f>IF(Combate!AB61="","",", Magnus ("&amp;Combate!AB61&amp;")")</f>
        <v/>
      </c>
      <c r="H2053" s="36"/>
    </row>
    <row r="2054" spans="1:41" ht="12.75" customHeight="1" thickBot="1" x14ac:dyDescent="0.25">
      <c r="A2054" s="227">
        <v>2054</v>
      </c>
      <c r="B2054" s="5988"/>
      <c r="C2054" s="279" t="str">
        <f>IF(Ki!C41="","",", "&amp;Ki!C41)</f>
        <v/>
      </c>
      <c r="D2054" s="2409"/>
      <c r="E2054" s="581"/>
      <c r="G2054" s="67" t="str">
        <f>IF(Combate!AB63="","",", Magnus ("&amp;Combate!AB63&amp;")")</f>
        <v/>
      </c>
      <c r="H2054" s="69"/>
    </row>
    <row r="2055" spans="1:41" ht="12.75" customHeight="1" x14ac:dyDescent="0.2">
      <c r="A2055" s="227">
        <v>2055</v>
      </c>
      <c r="B2055" s="5988"/>
      <c r="C2055" s="279" t="str">
        <f>IF(COUNTIF(C2056:C2065,"&gt;*")&gt;0,", Sellos: "&amp;IFERROR(RIGHT(C2056&amp;C2057&amp;C2058&amp;C2059&amp;C2060&amp;C2061&amp;C2062&amp;C2063&amp;C2064&amp;C2065,LEN(C2056&amp;C2057&amp;C2058&amp;C2059&amp;C2060&amp;C2061&amp;C2062&amp;C2063&amp;C2064&amp;C2065)-2),""),"")</f>
        <v/>
      </c>
      <c r="D2055" s="2409"/>
      <c r="E2055" s="581"/>
      <c r="G2055" s="2673"/>
      <c r="H2055" s="2673"/>
      <c r="N2055" s="2666"/>
      <c r="Y2055" s="2666"/>
      <c r="Z2055" s="2666"/>
      <c r="AA2055" s="2666"/>
      <c r="AB2055" s="2666"/>
      <c r="AC2055" s="2666"/>
      <c r="AD2055" s="2666"/>
      <c r="AE2055" s="2666"/>
      <c r="AF2055" s="2666"/>
      <c r="AG2055" s="2666"/>
      <c r="AH2055" s="2666"/>
      <c r="AI2055" s="2666"/>
      <c r="AJ2055" s="2666"/>
      <c r="AK2055" s="2666"/>
      <c r="AL2055" s="2666"/>
      <c r="AM2055" s="2666"/>
      <c r="AN2055" s="2666"/>
      <c r="AO2055" s="2666"/>
    </row>
    <row r="2056" spans="1:41" ht="12.75" customHeight="1" x14ac:dyDescent="0.2">
      <c r="A2056" s="227">
        <v>2056</v>
      </c>
      <c r="B2056" s="5988"/>
      <c r="C2056" s="279" t="str">
        <f>IF(Ki!X11="","",", "&amp;Ki!V11&amp;" menor")</f>
        <v/>
      </c>
      <c r="D2056" s="2409"/>
      <c r="E2056" s="581"/>
      <c r="G2056" s="2671"/>
      <c r="H2056" s="2671"/>
      <c r="N2056" s="2666"/>
      <c r="Y2056" s="2666"/>
      <c r="Z2056" s="2666"/>
      <c r="AA2056" s="2666"/>
      <c r="AB2056" s="2666"/>
      <c r="AC2056" s="2666"/>
      <c r="AD2056" s="2666"/>
      <c r="AE2056" s="2666"/>
      <c r="AF2056" s="2666"/>
      <c r="AG2056" s="2666"/>
      <c r="AH2056" s="2666"/>
      <c r="AI2056" s="2666"/>
      <c r="AJ2056" s="2666"/>
      <c r="AK2056" s="2666"/>
      <c r="AL2056" s="2666"/>
      <c r="AM2056" s="2666"/>
      <c r="AN2056" s="2666"/>
      <c r="AO2056" s="2666"/>
    </row>
    <row r="2057" spans="1:41" ht="12.75" customHeight="1" x14ac:dyDescent="0.2">
      <c r="A2057" s="227">
        <v>2057</v>
      </c>
      <c r="B2057" s="5988"/>
      <c r="C2057" s="279" t="str">
        <f>IF(Ki!Y11="","",", "&amp;Ki!V11&amp;" mayor")</f>
        <v/>
      </c>
      <c r="D2057" s="2409"/>
      <c r="E2057" s="581"/>
      <c r="G2057" s="2671"/>
      <c r="H2057" s="2671"/>
      <c r="N2057" s="2666"/>
      <c r="Y2057" s="2666"/>
      <c r="Z2057" s="2666"/>
      <c r="AA2057" s="2666"/>
      <c r="AB2057" s="2666"/>
      <c r="AC2057" s="2666"/>
      <c r="AD2057" s="2666"/>
      <c r="AE2057" s="2666"/>
      <c r="AF2057" s="2666"/>
      <c r="AG2057" s="2666"/>
      <c r="AH2057" s="2666"/>
      <c r="AI2057" s="2666"/>
      <c r="AJ2057" s="2666"/>
      <c r="AK2057" s="2666"/>
      <c r="AL2057" s="2666"/>
      <c r="AM2057" s="2666"/>
      <c r="AN2057" s="2666"/>
      <c r="AO2057" s="2666"/>
    </row>
    <row r="2058" spans="1:41" ht="12.75" customHeight="1" x14ac:dyDescent="0.2">
      <c r="A2058" s="227">
        <v>2058</v>
      </c>
      <c r="B2058" s="5988"/>
      <c r="C2058" s="279" t="str">
        <f>IF(Ki!X13="","",", "&amp;Ki!V13&amp;" menor")</f>
        <v/>
      </c>
      <c r="D2058" s="2409"/>
      <c r="E2058" s="581"/>
      <c r="G2058" s="2671"/>
      <c r="H2058" s="2671"/>
      <c r="N2058" s="2666"/>
      <c r="Y2058" s="2666"/>
      <c r="Z2058" s="2666"/>
      <c r="AA2058" s="2666"/>
      <c r="AB2058" s="2666"/>
      <c r="AC2058" s="2666"/>
      <c r="AD2058" s="2666"/>
      <c r="AE2058" s="2666"/>
      <c r="AF2058" s="2666"/>
      <c r="AG2058" s="2666"/>
      <c r="AH2058" s="2666"/>
      <c r="AI2058" s="2666"/>
      <c r="AJ2058" s="2666"/>
      <c r="AK2058" s="2666"/>
      <c r="AL2058" s="2666"/>
      <c r="AM2058" s="2666"/>
      <c r="AN2058" s="2666"/>
      <c r="AO2058" s="2666"/>
    </row>
    <row r="2059" spans="1:41" ht="12.75" customHeight="1" x14ac:dyDescent="0.2">
      <c r="A2059" s="227">
        <v>2059</v>
      </c>
      <c r="B2059" s="5988"/>
      <c r="C2059" s="279" t="str">
        <f>IF(Ki!Y13="","",", "&amp;Ki!V13&amp;" mayor")</f>
        <v/>
      </c>
      <c r="D2059" s="2409"/>
      <c r="E2059" s="581"/>
      <c r="G2059" s="2671"/>
      <c r="H2059" s="2671"/>
      <c r="N2059" s="2666"/>
      <c r="Y2059" s="2666"/>
      <c r="Z2059" s="2666"/>
      <c r="AA2059" s="2666"/>
      <c r="AB2059" s="2666"/>
      <c r="AC2059" s="2666"/>
      <c r="AD2059" s="2666"/>
      <c r="AE2059" s="2666"/>
      <c r="AF2059" s="2666"/>
      <c r="AG2059" s="2666"/>
      <c r="AH2059" s="2666"/>
      <c r="AI2059" s="2666"/>
      <c r="AJ2059" s="2666"/>
      <c r="AK2059" s="2666"/>
      <c r="AL2059" s="2666"/>
      <c r="AM2059" s="2666"/>
      <c r="AN2059" s="2666"/>
      <c r="AO2059" s="2666"/>
    </row>
    <row r="2060" spans="1:41" ht="12.75" customHeight="1" x14ac:dyDescent="0.2">
      <c r="A2060" s="227">
        <v>2060</v>
      </c>
      <c r="B2060" s="5988"/>
      <c r="C2060" s="279" t="str">
        <f>IF(Ki!X15="","",", "&amp;Ki!V15&amp;" menor")</f>
        <v/>
      </c>
      <c r="D2060" s="2409"/>
      <c r="E2060" s="581"/>
      <c r="G2060" s="2671"/>
      <c r="H2060" s="2671"/>
      <c r="N2060" s="2666"/>
      <c r="Y2060" s="2666"/>
      <c r="Z2060" s="2666"/>
      <c r="AA2060" s="2666"/>
      <c r="AB2060" s="2666"/>
      <c r="AC2060" s="2666"/>
      <c r="AD2060" s="2666"/>
      <c r="AE2060" s="2666"/>
      <c r="AF2060" s="2666"/>
      <c r="AG2060" s="2666"/>
      <c r="AH2060" s="2666"/>
      <c r="AI2060" s="2666"/>
      <c r="AJ2060" s="2666"/>
      <c r="AK2060" s="2666"/>
      <c r="AL2060" s="2666"/>
      <c r="AM2060" s="2666"/>
      <c r="AN2060" s="2666"/>
      <c r="AO2060" s="2666"/>
    </row>
    <row r="2061" spans="1:41" ht="12.75" customHeight="1" x14ac:dyDescent="0.2">
      <c r="A2061" s="227">
        <v>2061</v>
      </c>
      <c r="B2061" s="5988"/>
      <c r="C2061" s="279" t="str">
        <f>IF(Ki!Y15="","",", "&amp;Ki!V15&amp;" mayor")</f>
        <v/>
      </c>
      <c r="D2061" s="2409"/>
      <c r="E2061" s="581"/>
      <c r="G2061" s="2671"/>
      <c r="H2061" s="2671"/>
      <c r="N2061" s="2666"/>
      <c r="Y2061" s="2666"/>
      <c r="Z2061" s="2666"/>
      <c r="AA2061" s="2666"/>
      <c r="AB2061" s="2666"/>
      <c r="AC2061" s="2666"/>
      <c r="AD2061" s="2666"/>
      <c r="AE2061" s="2666"/>
      <c r="AF2061" s="2666"/>
      <c r="AG2061" s="2666"/>
      <c r="AH2061" s="2666"/>
      <c r="AI2061" s="2666"/>
      <c r="AJ2061" s="2666"/>
      <c r="AK2061" s="2666"/>
      <c r="AL2061" s="2666"/>
      <c r="AM2061" s="2666"/>
      <c r="AN2061" s="2666"/>
      <c r="AO2061" s="2666"/>
    </row>
    <row r="2062" spans="1:41" ht="12.75" customHeight="1" x14ac:dyDescent="0.2">
      <c r="A2062" s="227">
        <v>2062</v>
      </c>
      <c r="B2062" s="5988"/>
      <c r="C2062" s="279" t="str">
        <f>IF(Ki!X17="","",", "&amp;Ki!V17&amp;" menor")</f>
        <v/>
      </c>
      <c r="D2062" s="2409"/>
      <c r="E2062" s="581"/>
      <c r="G2062" s="2671"/>
      <c r="H2062" s="2671"/>
      <c r="N2062" s="2666"/>
      <c r="Y2062" s="2666"/>
      <c r="Z2062" s="2666"/>
      <c r="AA2062" s="2666"/>
      <c r="AB2062" s="2666"/>
      <c r="AC2062" s="2666"/>
      <c r="AD2062" s="2666"/>
      <c r="AE2062" s="2666"/>
      <c r="AF2062" s="2666"/>
      <c r="AG2062" s="2666"/>
      <c r="AH2062" s="2666"/>
      <c r="AI2062" s="2666"/>
      <c r="AJ2062" s="2666"/>
      <c r="AK2062" s="2666"/>
      <c r="AL2062" s="2666"/>
      <c r="AM2062" s="2666"/>
      <c r="AN2062" s="2666"/>
      <c r="AO2062" s="2666"/>
    </row>
    <row r="2063" spans="1:41" ht="12.75" customHeight="1" x14ac:dyDescent="0.2">
      <c r="A2063" s="227">
        <v>2063</v>
      </c>
      <c r="B2063" s="5988"/>
      <c r="C2063" s="279" t="str">
        <f>IF(Ki!Y17="","",", "&amp;Ki!V17&amp;" mayor")</f>
        <v/>
      </c>
      <c r="D2063" s="2409"/>
      <c r="E2063" s="581"/>
      <c r="G2063" s="2671"/>
      <c r="H2063" s="2671"/>
      <c r="N2063" s="2666"/>
      <c r="Y2063" s="2666"/>
      <c r="Z2063" s="2666"/>
      <c r="AA2063" s="2666"/>
      <c r="AB2063" s="2666"/>
      <c r="AC2063" s="2666"/>
      <c r="AD2063" s="2666"/>
      <c r="AE2063" s="2666"/>
      <c r="AF2063" s="2666"/>
      <c r="AG2063" s="2666"/>
      <c r="AH2063" s="2666"/>
      <c r="AI2063" s="2666"/>
      <c r="AJ2063" s="2666"/>
      <c r="AK2063" s="2666"/>
      <c r="AL2063" s="2666"/>
      <c r="AM2063" s="2666"/>
      <c r="AN2063" s="2666"/>
      <c r="AO2063" s="2666"/>
    </row>
    <row r="2064" spans="1:41" ht="12.75" customHeight="1" x14ac:dyDescent="0.2">
      <c r="A2064" s="227">
        <v>2064</v>
      </c>
      <c r="B2064" s="5988"/>
      <c r="C2064" s="279" t="str">
        <f>IF(Ki!X19="","",", "&amp;Ki!V19&amp;" menor")</f>
        <v/>
      </c>
      <c r="D2064" s="2409"/>
      <c r="E2064" s="581"/>
      <c r="G2064" s="2671"/>
      <c r="H2064" s="2671"/>
      <c r="N2064" s="2666"/>
      <c r="Y2064" s="2666"/>
      <c r="Z2064" s="2666"/>
      <c r="AA2064" s="2666"/>
      <c r="AB2064" s="2666"/>
      <c r="AC2064" s="2666"/>
      <c r="AD2064" s="2666"/>
      <c r="AE2064" s="2666"/>
      <c r="AF2064" s="2666"/>
      <c r="AG2064" s="2666"/>
      <c r="AH2064" s="2666"/>
      <c r="AI2064" s="2666"/>
      <c r="AJ2064" s="2666"/>
      <c r="AK2064" s="2666"/>
      <c r="AL2064" s="2666"/>
      <c r="AM2064" s="2666"/>
      <c r="AN2064" s="2666"/>
      <c r="AO2064" s="2666"/>
    </row>
    <row r="2065" spans="1:43" ht="12.75" customHeight="1" thickBot="1" x14ac:dyDescent="0.25">
      <c r="A2065" s="227">
        <v>2065</v>
      </c>
      <c r="B2065" s="5988"/>
      <c r="C2065" s="280" t="str">
        <f>IF(Ki!Y19="","",", "&amp;Ki!V19&amp;" mayor")</f>
        <v/>
      </c>
      <c r="D2065" s="577"/>
      <c r="E2065" s="582"/>
      <c r="G2065" s="2671"/>
      <c r="H2065" s="2671"/>
      <c r="N2065" s="2666"/>
      <c r="Y2065" s="2666"/>
      <c r="Z2065" s="2666"/>
      <c r="AA2065" s="2666"/>
      <c r="AB2065" s="2666"/>
      <c r="AC2065" s="2666"/>
      <c r="AD2065" s="2666"/>
      <c r="AE2065" s="2666"/>
      <c r="AF2065" s="2666"/>
      <c r="AG2065" s="2666"/>
      <c r="AH2065" s="2666"/>
      <c r="AI2065" s="2666"/>
      <c r="AJ2065" s="2666"/>
      <c r="AK2065" s="2666"/>
      <c r="AL2065" s="2666"/>
      <c r="AM2065" s="2666"/>
      <c r="AN2065" s="2666"/>
      <c r="AO2065" s="2666"/>
    </row>
    <row r="2066" spans="1:43" ht="12.75" customHeight="1" x14ac:dyDescent="0.2">
      <c r="A2066" s="227">
        <v>2066</v>
      </c>
      <c r="B2066" s="5988"/>
      <c r="H2066"/>
      <c r="I2066" s="559"/>
    </row>
    <row r="2067" spans="1:43" ht="12.75" customHeight="1" x14ac:dyDescent="0.2">
      <c r="A2067" s="227">
        <v>2067</v>
      </c>
      <c r="B2067" s="5988"/>
      <c r="C2067" s="4737" t="s">
        <v>645</v>
      </c>
      <c r="D2067" s="4737"/>
      <c r="E2067" s="4737"/>
      <c r="F2067" s="4737"/>
      <c r="G2067" s="4737"/>
      <c r="H2067"/>
      <c r="I2067" s="559"/>
    </row>
    <row r="2068" spans="1:43" ht="12.75" customHeight="1" x14ac:dyDescent="0.2">
      <c r="A2068" s="227">
        <v>2068</v>
      </c>
      <c r="B2068" s="5988"/>
      <c r="C2068" s="6289"/>
      <c r="D2068" s="6289"/>
      <c r="E2068" s="6289"/>
      <c r="F2068" s="6289"/>
      <c r="G2068" s="6289"/>
      <c r="H2068"/>
      <c r="I2068" s="559"/>
    </row>
    <row r="2069" spans="1:43" ht="12.75" customHeight="1" x14ac:dyDescent="0.2">
      <c r="A2069" s="227">
        <v>2069</v>
      </c>
      <c r="B2069" s="5988"/>
      <c r="C2069" s="859" t="s">
        <v>2637</v>
      </c>
      <c r="D2069" s="832" t="s">
        <v>1365</v>
      </c>
      <c r="E2069" s="832" t="s">
        <v>8539</v>
      </c>
      <c r="F2069" s="831" t="s">
        <v>6399</v>
      </c>
      <c r="G2069" s="833" t="s">
        <v>7088</v>
      </c>
      <c r="H2069"/>
      <c r="I2069" s="559"/>
    </row>
    <row r="2070" spans="1:43" ht="12.75" customHeight="1" x14ac:dyDescent="0.2">
      <c r="A2070" s="227">
        <v>2070</v>
      </c>
      <c r="B2070" s="5988"/>
      <c r="C2070" s="857" t="str">
        <f t="shared" ref="C2070:C2104" si="314">IF(D2070="","",COUNTIF($D$2070:$D$2112,"&lt;="&amp;D2070)-SUMPRODUCT(--($D$2070:$D$2112="")))</f>
        <v/>
      </c>
      <c r="D2070" s="489" t="str">
        <f>IF(Combate!AL11=" ","",Combate!AL11)</f>
        <v/>
      </c>
      <c r="E2070" s="489" t="str">
        <f t="shared" ref="E2070:E2075" si="315">D2070</f>
        <v/>
      </c>
      <c r="F2070" s="828" t="str">
        <f>IF(ISNA(VLOOKUP(MIN($C$2070:$C$2112)+A1-1,$C$2070:$E$2112,3,0)),"",VLOOKUP(MIN($C$2070:$C$2112)+A1-1,$C$2070:$E$2112,3,0))</f>
        <v/>
      </c>
      <c r="G2070" s="6290" t="str">
        <f>F2070&amp;F2071&amp;F2072&amp;F2073&amp;F2074&amp;F2075&amp;F2076&amp;F2077&amp;F2078&amp;F2079&amp;F2080&amp;F2081&amp;F2082&amp;F2083&amp;F2084&amp;F2085&amp;F2086&amp;F2087&amp;F2088&amp;F2089&amp;F2090&amp;F2091&amp;F2092&amp;F2093&amp;F2094&amp;F2095&amp;F2096&amp;F2097&amp;F2098&amp;F2099&amp;F2101&amp;F2100&amp;F2102&amp;F2103&amp;F2104&amp;F2105&amp;F2106&amp;F2107&amp;F2108&amp;F2109&amp;F2110&amp;F2111&amp;F2112</f>
        <v/>
      </c>
      <c r="H2070"/>
      <c r="I2070" s="559"/>
      <c r="N2070"/>
      <c r="O2070" s="559"/>
    </row>
    <row r="2071" spans="1:43" ht="12.75" customHeight="1" thickBot="1" x14ac:dyDescent="0.25">
      <c r="A2071" s="227">
        <v>2071</v>
      </c>
      <c r="B2071" s="5988"/>
      <c r="C2071" s="856" t="str">
        <f t="shared" si="314"/>
        <v/>
      </c>
      <c r="D2071" s="489" t="str">
        <f>IF(Combate!AL12=" ","",Combate!AL12)</f>
        <v/>
      </c>
      <c r="E2071" s="489" t="str">
        <f t="shared" si="315"/>
        <v/>
      </c>
      <c r="F2071" s="829" t="str">
        <f t="shared" ref="F2071:F2112" si="316">IF(ISNA(VLOOKUP(MIN($C$2070:$C$2112)+A2-1,$C$2070:$E$2112,3,0)),"",", "&amp;VLOOKUP(MIN($C$2070:$C$2112)+A2-1,$C$2070:$E$2112,3,0))</f>
        <v/>
      </c>
      <c r="G2071" s="6290"/>
      <c r="H2071"/>
      <c r="I2071" s="559"/>
      <c r="N2071"/>
      <c r="O2071" s="559"/>
    </row>
    <row r="2072" spans="1:43" ht="12.75" customHeight="1" x14ac:dyDescent="0.2">
      <c r="A2072" s="227">
        <v>2072</v>
      </c>
      <c r="B2072" s="5988"/>
      <c r="C2072" s="856" t="str">
        <f t="shared" si="314"/>
        <v/>
      </c>
      <c r="D2072" s="489" t="str">
        <f>IF(Combate!AL13=" ","",Combate!AL13)</f>
        <v/>
      </c>
      <c r="E2072" s="489" t="str">
        <f t="shared" si="315"/>
        <v/>
      </c>
      <c r="F2072" s="829" t="str">
        <f t="shared" si="316"/>
        <v/>
      </c>
      <c r="G2072" s="6290"/>
      <c r="J2072" s="3115" t="s">
        <v>7081</v>
      </c>
      <c r="K2072" s="3116"/>
      <c r="L2072" s="3116"/>
      <c r="M2072" s="3116"/>
      <c r="N2072" s="3116"/>
      <c r="O2072" s="3116"/>
      <c r="P2072" s="3116"/>
      <c r="Q2072" s="3116"/>
      <c r="R2072" s="3116"/>
      <c r="S2072" s="3116"/>
      <c r="T2072" s="3116"/>
      <c r="U2072" s="3116"/>
      <c r="V2072" s="3116"/>
      <c r="W2072" s="3116"/>
      <c r="X2072" s="3116"/>
      <c r="Y2072" s="3116"/>
      <c r="Z2072" s="3116"/>
      <c r="AA2072" s="3116"/>
      <c r="AB2072" s="3116"/>
      <c r="AC2072" s="3116"/>
      <c r="AD2072" s="3116"/>
      <c r="AE2072" s="3116"/>
      <c r="AF2072" s="3116"/>
      <c r="AG2072" s="3116"/>
      <c r="AH2072" s="3116"/>
      <c r="AI2072" s="3116"/>
      <c r="AJ2072" s="3116"/>
      <c r="AK2072" s="3116"/>
      <c r="AL2072" s="3116"/>
      <c r="AM2072" s="3116"/>
      <c r="AN2072" s="3116"/>
      <c r="AO2072" s="3117"/>
    </row>
    <row r="2073" spans="1:43" ht="12.75" customHeight="1" x14ac:dyDescent="0.2">
      <c r="A2073" s="227">
        <v>2073</v>
      </c>
      <c r="B2073" s="5988"/>
      <c r="C2073" s="856" t="str">
        <f t="shared" si="314"/>
        <v/>
      </c>
      <c r="D2073" s="489" t="str">
        <f>IF(Combate!AL14=" ","",Combate!AL14)</f>
        <v/>
      </c>
      <c r="E2073" s="489" t="str">
        <f t="shared" si="315"/>
        <v/>
      </c>
      <c r="F2073" s="829" t="str">
        <f t="shared" si="316"/>
        <v/>
      </c>
      <c r="G2073" s="6290"/>
      <c r="J2073" s="3137" t="s">
        <v>7080</v>
      </c>
      <c r="K2073" s="6125"/>
      <c r="L2073" s="6125" t="s">
        <v>7079</v>
      </c>
      <c r="M2073" s="6125"/>
      <c r="N2073" s="6125"/>
      <c r="O2073" s="6125"/>
      <c r="P2073" s="6125"/>
      <c r="Q2073" s="6125"/>
      <c r="R2073" s="6125"/>
      <c r="S2073" s="6125"/>
      <c r="T2073" s="6125"/>
      <c r="U2073" s="6125"/>
      <c r="V2073" s="6125"/>
      <c r="W2073" s="6125"/>
      <c r="X2073" s="6125"/>
      <c r="Y2073" s="6125"/>
      <c r="Z2073" s="6125"/>
      <c r="AA2073" s="6125"/>
      <c r="AB2073" s="6125"/>
      <c r="AC2073" s="6125"/>
      <c r="AD2073" s="6125"/>
      <c r="AE2073" s="6125"/>
      <c r="AF2073" s="6125"/>
      <c r="AG2073" s="6125"/>
      <c r="AH2073" s="6125"/>
      <c r="AI2073" s="6125"/>
      <c r="AJ2073" s="6125"/>
      <c r="AK2073" s="6125"/>
      <c r="AL2073" s="6125"/>
      <c r="AM2073" s="6125"/>
      <c r="AN2073" s="6125"/>
      <c r="AO2073" s="6126"/>
    </row>
    <row r="2074" spans="1:43" ht="12.75" customHeight="1" x14ac:dyDescent="0.2">
      <c r="A2074" s="227">
        <v>2074</v>
      </c>
      <c r="B2074" s="5988"/>
      <c r="C2074" s="856" t="str">
        <f t="shared" si="314"/>
        <v/>
      </c>
      <c r="D2074" s="489" t="str">
        <f>IF(Combate!AL15=" ","",Combate!AL15)</f>
        <v/>
      </c>
      <c r="E2074" s="489" t="str">
        <f t="shared" si="315"/>
        <v/>
      </c>
      <c r="F2074" s="829" t="str">
        <f t="shared" si="316"/>
        <v/>
      </c>
      <c r="G2074" s="6290"/>
      <c r="J2074" s="2867" t="s">
        <v>1365</v>
      </c>
      <c r="K2074" s="2868" t="s">
        <v>7087</v>
      </c>
      <c r="L2074" s="5994" t="str">
        <f>IF(ISNA(VLOOKUP(A1,$AP$2077:$AQ$2104,2,FALSE)),"",VLOOKUP(A1,$AP$2077:$AQ$2104,2,FALSE))</f>
        <v/>
      </c>
      <c r="M2074" s="5995"/>
      <c r="N2074" s="5995"/>
      <c r="O2074" s="5994" t="str">
        <f>IF(ISNA(VLOOKUP(B1,$AP$2077:$AQ$2104,2,FALSE)),"",VLOOKUP(B1,$AP$2077:$AQ$2104,2,FALSE))</f>
        <v/>
      </c>
      <c r="P2074" s="5995"/>
      <c r="Q2074" s="5995"/>
      <c r="R2074" s="5994" t="str">
        <f>IF(ISNA(VLOOKUP(C1,$AP$2077:$AQ$2104,2,FALSE)),"",VLOOKUP(C1,$AP$2077:$AQ$2104,2,FALSE))</f>
        <v/>
      </c>
      <c r="S2074" s="5995"/>
      <c r="T2074" s="5995"/>
      <c r="U2074" s="5994" t="str">
        <f>IF(ISNA(VLOOKUP(D1,$AP$2077:$AQ$2104,2,FALSE)),"",VLOOKUP(D1,$AP$2077:$AQ$2104,2,FALSE))</f>
        <v/>
      </c>
      <c r="V2074" s="5995"/>
      <c r="W2074" s="5995"/>
      <c r="X2074" s="5994" t="str">
        <f>IF(ISNA(VLOOKUP(E1,$AP$2077:$AQ$2104,2,FALSE)),"",VLOOKUP(E1,$AP$2077:$AQ$2104,2,FALSE))</f>
        <v/>
      </c>
      <c r="Y2074" s="5995"/>
      <c r="Z2074" s="5995"/>
      <c r="AA2074" s="5994" t="str">
        <f>IF(ISNA(VLOOKUP(F1,$AP$2077:$AQ$2104,2,FALSE)),"",VLOOKUP(F1,$AP$2077:$AQ$2104,2,FALSE))</f>
        <v/>
      </c>
      <c r="AB2074" s="5995"/>
      <c r="AC2074" s="5995"/>
      <c r="AD2074" s="5994" t="str">
        <f>IF(ISNA(VLOOKUP(G1,$AP$2077:$AQ$2104,2,FALSE)),"",VLOOKUP(G1,$AP$2077:$AQ$2104,2,FALSE))</f>
        <v/>
      </c>
      <c r="AE2074" s="5995"/>
      <c r="AF2074" s="5995"/>
      <c r="AG2074" s="5994" t="str">
        <f>IF(ISNA(VLOOKUP(H1,$AP$2077:$AQ$2104,2,FALSE)),"",VLOOKUP(H1,$AP$2077:$AQ$2104,2,FALSE))</f>
        <v/>
      </c>
      <c r="AH2074" s="5995"/>
      <c r="AI2074" s="5995"/>
      <c r="AJ2074" s="5994" t="str">
        <f>IF(ISNA(VLOOKUP(I1,$AP$2077:$AQ$2104,2,FALSE)),"",VLOOKUP(I1,$AP$2077:$AQ$2104,2,FALSE))</f>
        <v/>
      </c>
      <c r="AK2074" s="5995"/>
      <c r="AL2074" s="5995"/>
      <c r="AM2074" s="5994" t="str">
        <f>IF(ISNA(VLOOKUP(J1,$AP$2077:$AQ$2104,2,FALSE)),"",VLOOKUP(J1,$AP$2077:$AQ$2104,2,FALSE))</f>
        <v/>
      </c>
      <c r="AN2074" s="5995"/>
      <c r="AO2074" s="6124"/>
    </row>
    <row r="2075" spans="1:43" ht="12.75" customHeight="1" x14ac:dyDescent="0.2">
      <c r="A2075" s="227">
        <v>2075</v>
      </c>
      <c r="B2075" s="5988"/>
      <c r="C2075" s="856" t="str">
        <f t="shared" si="314"/>
        <v/>
      </c>
      <c r="D2075" s="826" t="str">
        <f>IF(Combate!AL16=" ","",Combate!AL16)</f>
        <v/>
      </c>
      <c r="E2075" s="826" t="str">
        <f t="shared" si="315"/>
        <v/>
      </c>
      <c r="F2075" s="829" t="str">
        <f t="shared" si="316"/>
        <v/>
      </c>
      <c r="G2075" s="6290"/>
      <c r="J2075" s="820" t="str">
        <f>IF(ISNA(VLOOKUP(A1,Principal!$S$42:$AH$69,10,FALSE)),"",IF(VLOOKUP(A1,Principal!$S$42:$AH$69,10,FALSE)=0,"",INDEX(PoderesDeCriatura_Adquiridos,MATCH(A1,Principal!$S$42:$S$69,0))))</f>
        <v/>
      </c>
      <c r="K2075" s="2859" t="str">
        <f>J2075</f>
        <v/>
      </c>
      <c r="L2075" s="2869" t="s">
        <v>1441</v>
      </c>
      <c r="M2075" s="2870" t="s">
        <v>1365</v>
      </c>
      <c r="N2075" s="2870" t="s">
        <v>7087</v>
      </c>
      <c r="O2075" s="2869" t="s">
        <v>1441</v>
      </c>
      <c r="P2075" s="2870" t="s">
        <v>1365</v>
      </c>
      <c r="Q2075" s="2870" t="s">
        <v>7087</v>
      </c>
      <c r="R2075" s="2869" t="s">
        <v>1441</v>
      </c>
      <c r="S2075" s="2870" t="s">
        <v>1365</v>
      </c>
      <c r="T2075" s="2870" t="s">
        <v>7087</v>
      </c>
      <c r="U2075" s="2869" t="s">
        <v>1441</v>
      </c>
      <c r="V2075" s="2870" t="s">
        <v>1365</v>
      </c>
      <c r="W2075" s="2870" t="s">
        <v>7087</v>
      </c>
      <c r="X2075" s="2869" t="s">
        <v>1441</v>
      </c>
      <c r="Y2075" s="2870" t="s">
        <v>1365</v>
      </c>
      <c r="Z2075" s="2870" t="s">
        <v>7087</v>
      </c>
      <c r="AA2075" s="2869" t="s">
        <v>1441</v>
      </c>
      <c r="AB2075" s="2870" t="s">
        <v>1365</v>
      </c>
      <c r="AC2075" s="2870" t="s">
        <v>7087</v>
      </c>
      <c r="AD2075" s="2869" t="s">
        <v>1441</v>
      </c>
      <c r="AE2075" s="2870" t="s">
        <v>1365</v>
      </c>
      <c r="AF2075" s="2870" t="s">
        <v>7087</v>
      </c>
      <c r="AG2075" s="2869" t="s">
        <v>1441</v>
      </c>
      <c r="AH2075" s="2870" t="s">
        <v>1365</v>
      </c>
      <c r="AI2075" s="2871" t="s">
        <v>7087</v>
      </c>
      <c r="AJ2075" s="2869" t="s">
        <v>1441</v>
      </c>
      <c r="AK2075" s="2871" t="s">
        <v>1365</v>
      </c>
      <c r="AL2075" s="2871" t="s">
        <v>7087</v>
      </c>
      <c r="AM2075" s="2869" t="s">
        <v>1441</v>
      </c>
      <c r="AN2075" s="2871" t="s">
        <v>1365</v>
      </c>
      <c r="AO2075" s="2872" t="s">
        <v>7087</v>
      </c>
      <c r="AP2075" s="6295" t="s">
        <v>7082</v>
      </c>
      <c r="AQ2075" s="6296"/>
    </row>
    <row r="2076" spans="1:43" ht="12.75" customHeight="1" x14ac:dyDescent="0.2">
      <c r="A2076" s="227">
        <v>2076</v>
      </c>
      <c r="B2076" s="5988"/>
      <c r="C2076" s="856" t="str">
        <f>IF(D2076="","",COUNTIF($D$2070:$D$2112,"&lt;="&amp;D2076)-SUMPRODUCT(--($D$2070:$D$2112="")))</f>
        <v/>
      </c>
      <c r="D2076" s="489" t="str">
        <f>IFERROR(LEFT(H2076,FIND("(",H2076)-2),H2076)</f>
        <v/>
      </c>
      <c r="E2076" s="489" t="str">
        <f>D2076&amp;IF(ISNUMBER(I2076)," ("&amp;SUMIFS($I$2076:$I$2085,$D$2076:$D$2085,D2076)&amp;")","")</f>
        <v/>
      </c>
      <c r="F2076" s="829" t="str">
        <f t="shared" si="316"/>
        <v/>
      </c>
      <c r="G2076" s="6291"/>
      <c r="H2076" s="1353" t="str">
        <f>Combate!AB19</f>
        <v/>
      </c>
      <c r="I2076" s="1361" t="str">
        <f>IFERROR(VALUE(MID(H2076,FIND("(",H2076)+1,LEN(H2076)-1-FIND("(",H2076))),"")</f>
        <v/>
      </c>
      <c r="J2076" s="820" t="str">
        <f>IF(ISNA(VLOOKUP(A2,Principal!$S$42:$AH$69,10,FALSE)),"",IF(VLOOKUP(A2,Principal!$S$42:$AH$69,10,FALSE)=0,"",INDEX(PoderesDeCriatura_Adquiridos,MATCH(A2,Principal!$S$42:$S$69,0))))</f>
        <v/>
      </c>
      <c r="K2076" s="2859" t="str">
        <f>IF(AND(COUNTA($K$2075:K2075)-COUNTBLANK($K$2075:K2075)&gt;0,J2076&lt;&gt;""),", ","")&amp;J2076</f>
        <v/>
      </c>
      <c r="L2076" s="2861" t="str">
        <f>IF(ISNA(INDEX(PoderesDeCriatura_AdquiridosNombres,MATCH(L$2074&amp;$A1,Principal!$U$42:$U$69,0))),"",INDEX(PoderesDeCriatura_AdquiridosNombres,MATCH(L$2074&amp;$A1,Principal!$U$42:$U$69,0)))</f>
        <v/>
      </c>
      <c r="M2076" s="2862" t="str">
        <f>IF(ISNA(INDEX(PoderesDeCriatura_Adquiridos,MATCH(L$2074&amp;$A1,Principal!$U$42:$U$69,0))),"",IF(INDEX(Principal!$AP$42:$AP$69,MATCH(L$2074&amp;$A1,Principal!$U$42:$U$69,0))&gt;0,INDEX(Principal!$AF$42:$AF$69,MATCH(L$2074&amp;$A1,Principal!$U$42:$U$69,0)),INDEX(PoderesDeCriatura_Adquiridos,MATCH(L$2074&amp;$A1,Principal!$U$42:$U$69,0))))</f>
        <v/>
      </c>
      <c r="N2076" s="2863" t="str">
        <f>M2076</f>
        <v/>
      </c>
      <c r="O2076" s="2861" t="str">
        <f>IF(ISNA(INDEX(PoderesDeCriatura_AdquiridosNombres,MATCH(O$2074&amp;$A1,Principal!$U$42:$U$69,0))),"",INDEX(PoderesDeCriatura_AdquiridosNombres,MATCH(O$2074&amp;$A1,Principal!$U$42:$U$69,0)))</f>
        <v/>
      </c>
      <c r="P2076" s="2862" t="str">
        <f>IF(ISNA(INDEX(PoderesDeCriatura_Adquiridos,MATCH(O$2074&amp;$A1,Principal!$U$42:$U$69,0))),"",IF(INDEX(Principal!$AP$42:$AP$69,MATCH(O$2074&amp;$A1,Principal!$U$42:$U$69,0))&gt;0,INDEX(Principal!$AF$42:$AF$69,MATCH(O$2074&amp;$A1,Principal!$U$42:$U$69,0)),INDEX(PoderesDeCriatura_Adquiridos,MATCH(O$2074&amp;$A1,Principal!$U$42:$U$69,0))))</f>
        <v/>
      </c>
      <c r="Q2076" s="2863" t="str">
        <f>P2076</f>
        <v/>
      </c>
      <c r="R2076" s="2861" t="str">
        <f>IF(ISNA(INDEX(PoderesDeCriatura_AdquiridosNombres,MATCH(R$2074&amp;$A1,Principal!$U$42:$U$69,0))),"",INDEX(PoderesDeCriatura_AdquiridosNombres,MATCH(R$2074&amp;$A1,Principal!$U$42:$U$69,0)))</f>
        <v/>
      </c>
      <c r="S2076" s="2862" t="str">
        <f>IF(ISNA(INDEX(PoderesDeCriatura_Adquiridos,MATCH(R$2074&amp;$A1,Principal!$U$42:$U$69,0))),"",IF(INDEX(Principal!$AP$42:$AP$69,MATCH(R$2074&amp;$A1,Principal!$U$42:$U$69,0))&gt;0,INDEX(Principal!$AF$42:$AF$69,MATCH(R$2074&amp;$A1,Principal!$U$42:$U$69,0)),INDEX(PoderesDeCriatura_Adquiridos,MATCH(R$2074&amp;$A1,Principal!$U$42:$U$69,0))))</f>
        <v/>
      </c>
      <c r="T2076" s="2863" t="str">
        <f>S2076</f>
        <v/>
      </c>
      <c r="U2076" s="2861" t="str">
        <f>IF(ISNA(INDEX(PoderesDeCriatura_AdquiridosNombres,MATCH(U$2074&amp;$A1,Principal!$U$42:$U$69,0))),"",INDEX(PoderesDeCriatura_AdquiridosNombres,MATCH(U$2074&amp;$A1,Principal!$U$42:$U$69,0)))</f>
        <v/>
      </c>
      <c r="V2076" s="2862" t="str">
        <f>IF(ISNA(INDEX(PoderesDeCriatura_Adquiridos,MATCH(U$2074&amp;$A1,Principal!$U$42:$U$69,0))),"",IF(INDEX(Principal!$AP$42:$AP$69,MATCH(U$2074&amp;$A1,Principal!$U$42:$U$69,0))&gt;0,INDEX(Principal!$AF$42:$AF$69,MATCH(U$2074&amp;$A1,Principal!$U$42:$U$69,0)),INDEX(PoderesDeCriatura_Adquiridos,MATCH(U$2074&amp;$A1,Principal!$U$42:$U$69,0))))</f>
        <v/>
      </c>
      <c r="W2076" s="2863" t="str">
        <f>V2076</f>
        <v/>
      </c>
      <c r="X2076" s="2861" t="str">
        <f>IF(ISNA(INDEX(PoderesDeCriatura_AdquiridosNombres,MATCH(X$2074&amp;$A1,Principal!$U$42:$U$69,0))),"",INDEX(PoderesDeCriatura_AdquiridosNombres,MATCH(X$2074&amp;$A1,Principal!$U$42:$U$69,0)))</f>
        <v/>
      </c>
      <c r="Y2076" s="2862" t="str">
        <f>IF(ISNA(INDEX(PoderesDeCriatura_Adquiridos,MATCH(X$2074&amp;$A1,Principal!$U$42:$U$69,0))),"",IF(INDEX(Principal!$AP$42:$AP$69,MATCH(X$2074&amp;$A1,Principal!$U$42:$U$69,0))&gt;0,INDEX(Principal!$AF$42:$AF$69,MATCH(X$2074&amp;$A1,Principal!$U$42:$U$69,0)),INDEX(PoderesDeCriatura_Adquiridos,MATCH(X$2074&amp;$A1,Principal!$U$42:$U$69,0))))</f>
        <v/>
      </c>
      <c r="Z2076" s="2863" t="str">
        <f>Y2076</f>
        <v/>
      </c>
      <c r="AA2076" s="2861" t="str">
        <f>IF(ISNA(INDEX(PoderesDeCriatura_AdquiridosNombres,MATCH(AA$2074&amp;$A1,Principal!$U$42:$U$69,0))),"",INDEX(PoderesDeCriatura_AdquiridosNombres,MATCH(AA$2074&amp;$A1,Principal!$U$42:$U$69,0)))</f>
        <v/>
      </c>
      <c r="AB2076" s="2862" t="str">
        <f>IF(ISNA(INDEX(PoderesDeCriatura_Adquiridos,MATCH(AA$2074&amp;$A1,Principal!$U$42:$U$69,0))),"",IF(INDEX(Principal!$AP$42:$AP$69,MATCH(AA$2074&amp;$A1,Principal!$U$42:$U$69,0))&gt;0,INDEX(Principal!$AF$42:$AF$69,MATCH(AA$2074&amp;$A1,Principal!$U$42:$U$69,0)),INDEX(PoderesDeCriatura_Adquiridos,MATCH(AA$2074&amp;$A1,Principal!$U$42:$U$69,0))))</f>
        <v/>
      </c>
      <c r="AC2076" s="2863" t="str">
        <f>AB2076</f>
        <v/>
      </c>
      <c r="AD2076" s="2861" t="str">
        <f>IF(ISNA(INDEX(PoderesDeCriatura_AdquiridosNombres,MATCH(AD$2074&amp;$A1,Principal!$U$42:$U$69,0))),"",INDEX(PoderesDeCriatura_AdquiridosNombres,MATCH(AD$2074&amp;$A1,Principal!$U$42:$U$69,0)))</f>
        <v/>
      </c>
      <c r="AE2076" s="2862" t="str">
        <f>IF(ISNA(INDEX(PoderesDeCriatura_Adquiridos,MATCH(AD$2074&amp;$A1,Principal!$U$42:$U$69,0))),"",IF(INDEX(Principal!$AP$42:$AP$69,MATCH(AD$2074&amp;$A1,Principal!$U$42:$U$69,0))&gt;0,INDEX(Principal!$AF$42:$AF$69,MATCH(AD$2074&amp;$A1,Principal!$U$42:$U$69,0)),INDEX(PoderesDeCriatura_Adquiridos,MATCH(AD$2074&amp;$A1,Principal!$U$42:$U$69,0))))</f>
        <v/>
      </c>
      <c r="AF2076" s="2863" t="str">
        <f>AE2076</f>
        <v/>
      </c>
      <c r="AG2076" s="2861" t="str">
        <f>IF(ISNA(INDEX(PoderesDeCriatura_AdquiridosNombres,MATCH(AG$2074&amp;$A1,Principal!$U$42:$U$69,0))),"",INDEX(PoderesDeCriatura_AdquiridosNombres,MATCH(AG$2074&amp;$A1,Principal!$U$42:$U$69,0)))</f>
        <v/>
      </c>
      <c r="AH2076" s="2862" t="str">
        <f>IF(ISNA(INDEX(PoderesDeCriatura_Adquiridos,MATCH(AG$2074&amp;$A1,Principal!$U$42:$U$69,0))),"",IF(INDEX(Principal!$AP$42:$AP$69,MATCH(AG$2074&amp;$A1,Principal!$U$42:$U$69,0))&gt;0,INDEX(Principal!$AF$42:$AF$69,MATCH(AG$2074&amp;$A1,Principal!$U$42:$U$69,0)),INDEX(PoderesDeCriatura_Adquiridos,MATCH(AG$2074&amp;$A1,Principal!$U$42:$U$69,0))))</f>
        <v/>
      </c>
      <c r="AI2076" s="2863" t="str">
        <f>AH2076</f>
        <v/>
      </c>
      <c r="AJ2076" s="2861" t="str">
        <f>IF(ISNA(INDEX(PoderesDeCriatura_AdquiridosNombres,MATCH(AJ$2074&amp;$A1,Principal!$U$42:$U$69,0))),"",INDEX(PoderesDeCriatura_AdquiridosNombres,MATCH(AJ$2074&amp;$A1,Principal!$U$42:$U$69,0)))</f>
        <v/>
      </c>
      <c r="AK2076" s="2862" t="str">
        <f>IF(ISNA(INDEX(PoderesDeCriatura_Adquiridos,MATCH(AJ$2074&amp;$A1,Principal!$U$42:$U$69,0))),"",IF(INDEX(Principal!$AP$42:$AP$69,MATCH(AJ$2074&amp;$A1,Principal!$U$42:$U$69,0))&gt;0,INDEX(Principal!$AF$42:$AF$69,MATCH(AJ$2074&amp;$A1,Principal!$U$42:$U$69,0)),INDEX(PoderesDeCriatura_Adquiridos,MATCH(AJ$2074&amp;$A1,Principal!$U$42:$U$69,0))))</f>
        <v/>
      </c>
      <c r="AL2076" s="2863" t="str">
        <f>AK2076</f>
        <v/>
      </c>
      <c r="AM2076" s="2861" t="str">
        <f>IF(ISNA(INDEX(PoderesDeCriatura_AdquiridosNombres,MATCH(AM$2074&amp;$A1,Principal!$U$42:$U$69,0))),"",INDEX(PoderesDeCriatura_AdquiridosNombres,MATCH(AM$2074&amp;$A1,Principal!$U$42:$U$69,0)))</f>
        <v/>
      </c>
      <c r="AN2076" s="2862" t="str">
        <f>IF(ISNA(INDEX(PoderesDeCriatura_Adquiridos,MATCH(AM$2074&amp;$A1,Principal!$U$42:$U$69,0))),"",IF(INDEX(Principal!$AP$42:$AP$69,MATCH(AM$2074&amp;$A1,Principal!$U$42:$U$69,0))&gt;0,INDEX(Principal!$AF$42:$AF$69,MATCH(AM$2074&amp;$A1,Principal!$U$42:$U$69,0)),INDEX(PoderesDeCriatura_Adquiridos,MATCH(AM$2074&amp;$A1,Principal!$U$42:$U$69,0))))</f>
        <v/>
      </c>
      <c r="AO2076" s="836" t="str">
        <f>AN2076</f>
        <v/>
      </c>
      <c r="AP2076" s="1288" t="s">
        <v>2637</v>
      </c>
      <c r="AQ2076" s="1289" t="s">
        <v>7083</v>
      </c>
    </row>
    <row r="2077" spans="1:43" ht="12.75" customHeight="1" x14ac:dyDescent="0.2">
      <c r="A2077" s="227">
        <v>2077</v>
      </c>
      <c r="B2077" s="5988"/>
      <c r="C2077" s="856" t="str">
        <f t="shared" si="314"/>
        <v/>
      </c>
      <c r="D2077" s="489" t="str">
        <f t="shared" ref="D2077:D2085" si="317">IFERROR(LEFT(H2077,FIND("(",H2077)-2),H2077)</f>
        <v/>
      </c>
      <c r="E2077" s="489" t="str">
        <f t="shared" ref="E2077:E2085" si="318">D2077&amp;IF(ISNUMBER(I2077)," ("&amp;SUMIFS($I$2076:$I$2085,$D$2076:$D$2085,D2077)&amp;")","")</f>
        <v/>
      </c>
      <c r="F2077" s="829" t="str">
        <f t="shared" si="316"/>
        <v/>
      </c>
      <c r="G2077" s="6291"/>
      <c r="H2077" s="1354" t="str">
        <f>Combate!AB20</f>
        <v/>
      </c>
      <c r="I2077" s="1362" t="str">
        <f t="shared" ref="I2077:I2085" si="319">IFERROR(VALUE(MID(H2077,FIND("(",H2077)+1,LEN(H2077)-1-FIND("(",H2077))),"")</f>
        <v/>
      </c>
      <c r="J2077" s="820" t="str">
        <f>IF(ISNA(VLOOKUP(A3,Principal!$S$42:$AH$69,10,FALSE)),"",IF(VLOOKUP(A3,Principal!$S$42:$AH$69,10,FALSE)=0,"",INDEX(PoderesDeCriatura_Adquiridos,MATCH(A3,Principal!$S$42:$S$69,0))))</f>
        <v/>
      </c>
      <c r="K2077" s="2859" t="str">
        <f>IF(AND(COUNTA($K$2075:K2076)-COUNTBLANK($K$2075:K2076)&gt;0,J2077&lt;&gt;""),", ","")&amp;J2077</f>
        <v/>
      </c>
      <c r="L2077" s="2861" t="str">
        <f>IF(ISNA(INDEX(PoderesDeCriatura_AdquiridosNombres,MATCH(L$2074&amp;$A2,Principal!$U$42:$U$69,0))),"",INDEX(PoderesDeCriatura_AdquiridosNombres,MATCH(L$2074&amp;$A2,Principal!$U$42:$U$69,0)))</f>
        <v/>
      </c>
      <c r="M2077" s="2862" t="str">
        <f>IF(ISNA(INDEX(PoderesDeCriatura_Adquiridos,MATCH(L$2074&amp;$A2,Principal!$U$42:$U$69,0))),"",IF(INDEX(Principal!$AP$42:$AP$69,MATCH(L$2074&amp;$A2,Principal!$U$42:$U$69,0))&gt;0,INDEX(Principal!$AF$42:$AF$69,MATCH(L$2074&amp;$A2,Principal!$U$42:$U$69,0)),INDEX(PoderesDeCriatura_Adquiridos,MATCH(L$2074&amp;$A2,Principal!$U$42:$U$69,0))))</f>
        <v/>
      </c>
      <c r="N2077" s="2859" t="str">
        <f t="shared" ref="N2077:N2104" si="320">IF(M2077="","",", "&amp;M2077)</f>
        <v/>
      </c>
      <c r="O2077" s="2861" t="str">
        <f>IF(ISNA(INDEX(PoderesDeCriatura_AdquiridosNombres,MATCH(O$2074&amp;$A2,Principal!$U$42:$U$69,0))),"",INDEX(PoderesDeCriatura_AdquiridosNombres,MATCH(O$2074&amp;$A2,Principal!$U$42:$U$69,0)))</f>
        <v/>
      </c>
      <c r="P2077" s="2862" t="str">
        <f>IF(ISNA(INDEX(PoderesDeCriatura_Adquiridos,MATCH(O$2074&amp;$A2,Principal!$U$42:$U$69,0))),"",IF(INDEX(Principal!$AP$42:$AP$69,MATCH(O$2074&amp;$A2,Principal!$U$42:$U$69,0))&gt;0,INDEX(Principal!$AF$42:$AF$69,MATCH(O$2074&amp;$A2,Principal!$U$42:$U$69,0)),INDEX(PoderesDeCriatura_Adquiridos,MATCH(O$2074&amp;$A2,Principal!$U$42:$U$69,0))))</f>
        <v/>
      </c>
      <c r="Q2077" s="2859" t="str">
        <f t="shared" ref="Q2077:Q2104" si="321">IF(P2077="","",", "&amp;P2077)</f>
        <v/>
      </c>
      <c r="R2077" s="2861" t="str">
        <f>IF(ISNA(INDEX(PoderesDeCriatura_AdquiridosNombres,MATCH(R$2074&amp;$A2,Principal!$U$42:$U$69,0))),"",INDEX(PoderesDeCriatura_AdquiridosNombres,MATCH(R$2074&amp;$A2,Principal!$U$42:$U$69,0)))</f>
        <v/>
      </c>
      <c r="S2077" s="2862" t="str">
        <f>IF(ISNA(INDEX(PoderesDeCriatura_Adquiridos,MATCH(R$2074&amp;$A2,Principal!$U$42:$U$69,0))),"",IF(INDEX(Principal!$AP$42:$AP$69,MATCH(R$2074&amp;$A2,Principal!$U$42:$U$69,0))&gt;0,INDEX(Principal!$AF$42:$AF$69,MATCH(R$2074&amp;$A2,Principal!$U$42:$U$69,0)),INDEX(PoderesDeCriatura_Adquiridos,MATCH(R$2074&amp;$A2,Principal!$U$42:$U$69,0))))</f>
        <v/>
      </c>
      <c r="T2077" s="2859" t="str">
        <f t="shared" ref="T2077:T2104" si="322">IF(S2077="","",", "&amp;S2077)</f>
        <v/>
      </c>
      <c r="U2077" s="2861" t="str">
        <f>IF(ISNA(INDEX(PoderesDeCriatura_AdquiridosNombres,MATCH(U$2074&amp;$A2,Principal!$U$42:$U$69,0))),"",INDEX(PoderesDeCriatura_AdquiridosNombres,MATCH(U$2074&amp;$A2,Principal!$U$42:$U$69,0)))</f>
        <v/>
      </c>
      <c r="V2077" s="2862" t="str">
        <f>IF(ISNA(INDEX(PoderesDeCriatura_Adquiridos,MATCH(U$2074&amp;$A2,Principal!$U$42:$U$69,0))),"",IF(INDEX(Principal!$AP$42:$AP$69,MATCH(U$2074&amp;$A2,Principal!$U$42:$U$69,0))&gt;0,INDEX(Principal!$AF$42:$AF$69,MATCH(U$2074&amp;$A2,Principal!$U$42:$U$69,0)),INDEX(PoderesDeCriatura_Adquiridos,MATCH(U$2074&amp;$A2,Principal!$U$42:$U$69,0))))</f>
        <v/>
      </c>
      <c r="W2077" s="2859" t="str">
        <f t="shared" ref="W2077:W2104" si="323">IF(V2077="","",", "&amp;V2077)</f>
        <v/>
      </c>
      <c r="X2077" s="2861" t="str">
        <f>IF(ISNA(INDEX(PoderesDeCriatura_AdquiridosNombres,MATCH(X$2074&amp;$A2,Principal!$U$42:$U$69,0))),"",INDEX(PoderesDeCriatura_AdquiridosNombres,MATCH(X$2074&amp;$A2,Principal!$U$42:$U$69,0)))</f>
        <v/>
      </c>
      <c r="Y2077" s="2862" t="str">
        <f>IF(ISNA(INDEX(PoderesDeCriatura_Adquiridos,MATCH(X$2074&amp;$A2,Principal!$U$42:$U$69,0))),"",IF(INDEX(Principal!$AP$42:$AP$69,MATCH(X$2074&amp;$A2,Principal!$U$42:$U$69,0))&gt;0,INDEX(Principal!$AF$42:$AF$69,MATCH(X$2074&amp;$A2,Principal!$U$42:$U$69,0)),INDEX(PoderesDeCriatura_Adquiridos,MATCH(X$2074&amp;$A2,Principal!$U$42:$U$69,0))))</f>
        <v/>
      </c>
      <c r="Z2077" s="2859" t="str">
        <f t="shared" ref="Z2077:Z2104" si="324">IF(Y2077="","",", "&amp;Y2077)</f>
        <v/>
      </c>
      <c r="AA2077" s="2861" t="str">
        <f>IF(ISNA(INDEX(PoderesDeCriatura_AdquiridosNombres,MATCH(AA$2074&amp;$A2,Principal!$U$42:$U$69,0))),"",INDEX(PoderesDeCriatura_AdquiridosNombres,MATCH(AA$2074&amp;$A2,Principal!$U$42:$U$69,0)))</f>
        <v/>
      </c>
      <c r="AB2077" s="2862" t="str">
        <f>IF(ISNA(INDEX(PoderesDeCriatura_Adquiridos,MATCH(AA$2074&amp;$A2,Principal!$U$42:$U$69,0))),"",IF(INDEX(Principal!$AP$42:$AP$69,MATCH(AA$2074&amp;$A2,Principal!$U$42:$U$69,0))&gt;0,INDEX(Principal!$AF$42:$AF$69,MATCH(AA$2074&amp;$A2,Principal!$U$42:$U$69,0)),INDEX(PoderesDeCriatura_Adquiridos,MATCH(AA$2074&amp;$A2,Principal!$U$42:$U$69,0))))</f>
        <v/>
      </c>
      <c r="AC2077" s="2859" t="str">
        <f t="shared" ref="AC2077:AC2104" si="325">IF(AB2077="","",", "&amp;AB2077)</f>
        <v/>
      </c>
      <c r="AD2077" s="2861" t="str">
        <f>IF(ISNA(INDEX(PoderesDeCriatura_AdquiridosNombres,MATCH(AD$2074&amp;$A2,Principal!$U$42:$U$69,0))),"",INDEX(PoderesDeCriatura_AdquiridosNombres,MATCH(AD$2074&amp;$A2,Principal!$U$42:$U$69,0)))</f>
        <v/>
      </c>
      <c r="AE2077" s="2862" t="str">
        <f>IF(ISNA(INDEX(PoderesDeCriatura_Adquiridos,MATCH(AD$2074&amp;$A2,Principal!$U$42:$U$69,0))),"",IF(INDEX(Principal!$AP$42:$AP$69,MATCH(AD$2074&amp;$A2,Principal!$U$42:$U$69,0))&gt;0,INDEX(Principal!$AF$42:$AF$69,MATCH(AD$2074&amp;$A2,Principal!$U$42:$U$69,0)),INDEX(PoderesDeCriatura_Adquiridos,MATCH(AD$2074&amp;$A2,Principal!$U$42:$U$69,0))))</f>
        <v/>
      </c>
      <c r="AF2077" s="2859" t="str">
        <f t="shared" ref="AF2077:AF2104" si="326">IF(AE2077="","",", "&amp;AE2077)</f>
        <v/>
      </c>
      <c r="AG2077" s="2861" t="str">
        <f>IF(ISNA(INDEX(PoderesDeCriatura_AdquiridosNombres,MATCH(AG$2074&amp;$A2,Principal!$U$42:$U$69,0))),"",INDEX(PoderesDeCriatura_AdquiridosNombres,MATCH(AG$2074&amp;$A2,Principal!$U$42:$U$69,0)))</f>
        <v/>
      </c>
      <c r="AH2077" s="2862" t="str">
        <f>IF(ISNA(INDEX(PoderesDeCriatura_Adquiridos,MATCH(AG$2074&amp;$A2,Principal!$U$42:$U$69,0))),"",IF(INDEX(Principal!$AP$42:$AP$69,MATCH(AG$2074&amp;$A2,Principal!$U$42:$U$69,0))&gt;0,INDEX(Principal!$AF$42:$AF$69,MATCH(AG$2074&amp;$A2,Principal!$U$42:$U$69,0)),INDEX(PoderesDeCriatura_Adquiridos,MATCH(AG$2074&amp;$A2,Principal!$U$42:$U$69,0))))</f>
        <v/>
      </c>
      <c r="AI2077" s="2859" t="str">
        <f t="shared" ref="AI2077:AI2104" si="327">IF(AH2077="","",", "&amp;AH2077)</f>
        <v/>
      </c>
      <c r="AJ2077" s="2861" t="str">
        <f>IF(ISNA(INDEX(PoderesDeCriatura_AdquiridosNombres,MATCH(AJ$2074&amp;$A2,Principal!$U$42:$U$69,0))),"",INDEX(PoderesDeCriatura_AdquiridosNombres,MATCH(AJ$2074&amp;$A2,Principal!$U$42:$U$69,0)))</f>
        <v/>
      </c>
      <c r="AK2077" s="2862" t="str">
        <f>IF(ISNA(INDEX(PoderesDeCriatura_Adquiridos,MATCH(AJ$2074&amp;$A2,Principal!$U$42:$U$69,0))),"",IF(INDEX(Principal!$AP$42:$AP$69,MATCH(AJ$2074&amp;$A2,Principal!$U$42:$U$69,0))&gt;0,INDEX(Principal!$AF$42:$AF$69,MATCH(AJ$2074&amp;$A2,Principal!$U$42:$U$69,0)),INDEX(PoderesDeCriatura_Adquiridos,MATCH(AJ$2074&amp;$A2,Principal!$U$42:$U$69,0))))</f>
        <v/>
      </c>
      <c r="AL2077" s="2859" t="str">
        <f t="shared" ref="AL2077:AL2104" si="328">IF(AK2077="","",", "&amp;AK2077)</f>
        <v/>
      </c>
      <c r="AM2077" s="2861" t="str">
        <f>IF(ISNA(INDEX(PoderesDeCriatura_AdquiridosNombres,MATCH(AM$2074&amp;$A2,Principal!$U$42:$U$69,0))),"",INDEX(PoderesDeCriatura_AdquiridosNombres,MATCH(AM$2074&amp;$A2,Principal!$U$42:$U$69,0)))</f>
        <v/>
      </c>
      <c r="AN2077" s="2862" t="str">
        <f>IF(ISNA(INDEX(PoderesDeCriatura_Adquiridos,MATCH(AM$2074&amp;$A2,Principal!$U$42:$U$69,0))),"",IF(INDEX(Principal!$AP$42:$AP$69,MATCH(AM$2074&amp;$A2,Principal!$U$42:$U$69,0))&gt;0,INDEX(Principal!$AF$42:$AF$69,MATCH(AM$2074&amp;$A2,Principal!$U$42:$U$69,0)),INDEX(PoderesDeCriatura_Adquiridos,MATCH(AM$2074&amp;$A2,Principal!$U$42:$U$69,0))))</f>
        <v/>
      </c>
      <c r="AO2077" s="837" t="str">
        <f t="shared" ref="AO2077:AO2104" si="329">IF(AN2077="","",", "&amp;AN2077)</f>
        <v/>
      </c>
      <c r="AP2077" s="834" t="str">
        <f>IF(AQ2077=0,"",MAX($AP$2076:AP2076)+1)</f>
        <v/>
      </c>
      <c r="AQ2077" s="1290">
        <f>Principal!V42</f>
        <v>0</v>
      </c>
    </row>
    <row r="2078" spans="1:43" ht="12.75" customHeight="1" x14ac:dyDescent="0.2">
      <c r="A2078" s="227">
        <v>2078</v>
      </c>
      <c r="B2078" s="5988"/>
      <c r="C2078" s="856" t="str">
        <f t="shared" si="314"/>
        <v/>
      </c>
      <c r="D2078" s="489" t="str">
        <f t="shared" si="317"/>
        <v/>
      </c>
      <c r="E2078" s="489" t="str">
        <f t="shared" si="318"/>
        <v/>
      </c>
      <c r="F2078" s="829" t="str">
        <f t="shared" si="316"/>
        <v/>
      </c>
      <c r="G2078" s="6291"/>
      <c r="H2078" s="1354" t="str">
        <f>Combate!AB21</f>
        <v/>
      </c>
      <c r="I2078" s="1362" t="str">
        <f t="shared" si="319"/>
        <v/>
      </c>
      <c r="J2078" s="820" t="str">
        <f>IF(ISNA(VLOOKUP(A4,Principal!$S$42:$AH$69,10,FALSE)),"",IF(VLOOKUP(A4,Principal!$S$42:$AH$69,10,FALSE)=0,"",INDEX(PoderesDeCriatura_Adquiridos,MATCH(A4,Principal!$S$42:$S$69,0))))</f>
        <v/>
      </c>
      <c r="K2078" s="2859" t="str">
        <f>IF(AND(COUNTA($K$2075:K2077)-COUNTBLANK($K$2075:K2077)&gt;0,J2078&lt;&gt;""),", ","")&amp;J2078</f>
        <v/>
      </c>
      <c r="L2078" s="2861" t="str">
        <f>IF(ISNA(INDEX(PoderesDeCriatura_AdquiridosNombres,MATCH(L$2074&amp;$A3,Principal!$U$42:$U$69,0))),"",INDEX(PoderesDeCriatura_AdquiridosNombres,MATCH(L$2074&amp;$A3,Principal!$U$42:$U$69,0)))</f>
        <v/>
      </c>
      <c r="M2078" s="2862" t="str">
        <f>IF(ISNA(INDEX(PoderesDeCriatura_Adquiridos,MATCH(L$2074&amp;$A3,Principal!$U$42:$U$69,0))),"",IF(INDEX(Principal!$AP$42:$AP$69,MATCH(L$2074&amp;$A3,Principal!$U$42:$U$69,0))&gt;0,INDEX(Principal!$AF$42:$AF$69,MATCH(L$2074&amp;$A3,Principal!$U$42:$U$69,0)),INDEX(PoderesDeCriatura_Adquiridos,MATCH(L$2074&amp;$A3,Principal!$U$42:$U$69,0))))</f>
        <v/>
      </c>
      <c r="N2078" s="2859" t="str">
        <f t="shared" si="320"/>
        <v/>
      </c>
      <c r="O2078" s="2861" t="str">
        <f>IF(ISNA(INDEX(PoderesDeCriatura_AdquiridosNombres,MATCH(O$2074&amp;$A3,Principal!$U$42:$U$69,0))),"",INDEX(PoderesDeCriatura_AdquiridosNombres,MATCH(O$2074&amp;$A3,Principal!$U$42:$U$69,0)))</f>
        <v/>
      </c>
      <c r="P2078" s="2862" t="str">
        <f>IF(ISNA(INDEX(PoderesDeCriatura_Adquiridos,MATCH(O$2074&amp;$A3,Principal!$U$42:$U$69,0))),"",IF(INDEX(Principal!$AP$42:$AP$69,MATCH(O$2074&amp;$A3,Principal!$U$42:$U$69,0))&gt;0,INDEX(Principal!$AF$42:$AF$69,MATCH(O$2074&amp;$A3,Principal!$U$42:$U$69,0)),INDEX(PoderesDeCriatura_Adquiridos,MATCH(O$2074&amp;$A3,Principal!$U$42:$U$69,0))))</f>
        <v/>
      </c>
      <c r="Q2078" s="2859" t="str">
        <f t="shared" si="321"/>
        <v/>
      </c>
      <c r="R2078" s="2861" t="str">
        <f>IF(ISNA(INDEX(PoderesDeCriatura_AdquiridosNombres,MATCH(R$2074&amp;$A3,Principal!$U$42:$U$69,0))),"",INDEX(PoderesDeCriatura_AdquiridosNombres,MATCH(R$2074&amp;$A3,Principal!$U$42:$U$69,0)))</f>
        <v/>
      </c>
      <c r="S2078" s="2862" t="str">
        <f>IF(ISNA(INDEX(PoderesDeCriatura_Adquiridos,MATCH(R$2074&amp;$A3,Principal!$U$42:$U$69,0))),"",IF(INDEX(Principal!$AP$42:$AP$69,MATCH(R$2074&amp;$A3,Principal!$U$42:$U$69,0))&gt;0,INDEX(Principal!$AF$42:$AF$69,MATCH(R$2074&amp;$A3,Principal!$U$42:$U$69,0)),INDEX(PoderesDeCriatura_Adquiridos,MATCH(R$2074&amp;$A3,Principal!$U$42:$U$69,0))))</f>
        <v/>
      </c>
      <c r="T2078" s="2859" t="str">
        <f t="shared" si="322"/>
        <v/>
      </c>
      <c r="U2078" s="2861" t="str">
        <f>IF(ISNA(INDEX(PoderesDeCriatura_AdquiridosNombres,MATCH(U$2074&amp;$A3,Principal!$U$42:$U$69,0))),"",INDEX(PoderesDeCriatura_AdquiridosNombres,MATCH(U$2074&amp;$A3,Principal!$U$42:$U$69,0)))</f>
        <v/>
      </c>
      <c r="V2078" s="2862" t="str">
        <f>IF(ISNA(INDEX(PoderesDeCriatura_Adquiridos,MATCH(U$2074&amp;$A3,Principal!$U$42:$U$69,0))),"",IF(INDEX(Principal!$AP$42:$AP$69,MATCH(U$2074&amp;$A3,Principal!$U$42:$U$69,0))&gt;0,INDEX(Principal!$AF$42:$AF$69,MATCH(U$2074&amp;$A3,Principal!$U$42:$U$69,0)),INDEX(PoderesDeCriatura_Adquiridos,MATCH(U$2074&amp;$A3,Principal!$U$42:$U$69,0))))</f>
        <v/>
      </c>
      <c r="W2078" s="2859" t="str">
        <f t="shared" si="323"/>
        <v/>
      </c>
      <c r="X2078" s="2861" t="str">
        <f>IF(ISNA(INDEX(PoderesDeCriatura_AdquiridosNombres,MATCH(X$2074&amp;$A3,Principal!$U$42:$U$69,0))),"",INDEX(PoderesDeCriatura_AdquiridosNombres,MATCH(X$2074&amp;$A3,Principal!$U$42:$U$69,0)))</f>
        <v/>
      </c>
      <c r="Y2078" s="2862" t="str">
        <f>IF(ISNA(INDEX(PoderesDeCriatura_Adquiridos,MATCH(X$2074&amp;$A3,Principal!$U$42:$U$69,0))),"",IF(INDEX(Principal!$AP$42:$AP$69,MATCH(X$2074&amp;$A3,Principal!$U$42:$U$69,0))&gt;0,INDEX(Principal!$AF$42:$AF$69,MATCH(X$2074&amp;$A3,Principal!$U$42:$U$69,0)),INDEX(PoderesDeCriatura_Adquiridos,MATCH(X$2074&amp;$A3,Principal!$U$42:$U$69,0))))</f>
        <v/>
      </c>
      <c r="Z2078" s="2859" t="str">
        <f t="shared" si="324"/>
        <v/>
      </c>
      <c r="AA2078" s="2861" t="str">
        <f>IF(ISNA(INDEX(PoderesDeCriatura_AdquiridosNombres,MATCH(AA$2074&amp;$A3,Principal!$U$42:$U$69,0))),"",INDEX(PoderesDeCriatura_AdquiridosNombres,MATCH(AA$2074&amp;$A3,Principal!$U$42:$U$69,0)))</f>
        <v/>
      </c>
      <c r="AB2078" s="2862" t="str">
        <f>IF(ISNA(INDEX(PoderesDeCriatura_Adquiridos,MATCH(AA$2074&amp;$A3,Principal!$U$42:$U$69,0))),"",IF(INDEX(Principal!$AP$42:$AP$69,MATCH(AA$2074&amp;$A3,Principal!$U$42:$U$69,0))&gt;0,INDEX(Principal!$AF$42:$AF$69,MATCH(AA$2074&amp;$A3,Principal!$U$42:$U$69,0)),INDEX(PoderesDeCriatura_Adquiridos,MATCH(AA$2074&amp;$A3,Principal!$U$42:$U$69,0))))</f>
        <v/>
      </c>
      <c r="AC2078" s="2859" t="str">
        <f t="shared" si="325"/>
        <v/>
      </c>
      <c r="AD2078" s="2861" t="str">
        <f>IF(ISNA(INDEX(PoderesDeCriatura_AdquiridosNombres,MATCH(AD$2074&amp;$A3,Principal!$U$42:$U$69,0))),"",INDEX(PoderesDeCriatura_AdquiridosNombres,MATCH(AD$2074&amp;$A3,Principal!$U$42:$U$69,0)))</f>
        <v/>
      </c>
      <c r="AE2078" s="2862" t="str">
        <f>IF(ISNA(INDEX(PoderesDeCriatura_Adquiridos,MATCH(AD$2074&amp;$A3,Principal!$U$42:$U$69,0))),"",IF(INDEX(Principal!$AP$42:$AP$69,MATCH(AD$2074&amp;$A3,Principal!$U$42:$U$69,0))&gt;0,INDEX(Principal!$AF$42:$AF$69,MATCH(AD$2074&amp;$A3,Principal!$U$42:$U$69,0)),INDEX(PoderesDeCriatura_Adquiridos,MATCH(AD$2074&amp;$A3,Principal!$U$42:$U$69,0))))</f>
        <v/>
      </c>
      <c r="AF2078" s="2859" t="str">
        <f t="shared" si="326"/>
        <v/>
      </c>
      <c r="AG2078" s="2861" t="str">
        <f>IF(ISNA(INDEX(PoderesDeCriatura_AdquiridosNombres,MATCH(AG$2074&amp;$A3,Principal!$U$42:$U$69,0))),"",INDEX(PoderesDeCriatura_AdquiridosNombres,MATCH(AG$2074&amp;$A3,Principal!$U$42:$U$69,0)))</f>
        <v/>
      </c>
      <c r="AH2078" s="2862" t="str">
        <f>IF(ISNA(INDEX(PoderesDeCriatura_Adquiridos,MATCH(AG$2074&amp;$A3,Principal!$U$42:$U$69,0))),"",IF(INDEX(Principal!$AP$42:$AP$69,MATCH(AG$2074&amp;$A3,Principal!$U$42:$U$69,0))&gt;0,INDEX(Principal!$AF$42:$AF$69,MATCH(AG$2074&amp;$A3,Principal!$U$42:$U$69,0)),INDEX(PoderesDeCriatura_Adquiridos,MATCH(AG$2074&amp;$A3,Principal!$U$42:$U$69,0))))</f>
        <v/>
      </c>
      <c r="AI2078" s="2859" t="str">
        <f t="shared" si="327"/>
        <v/>
      </c>
      <c r="AJ2078" s="2861" t="str">
        <f>IF(ISNA(INDEX(PoderesDeCriatura_AdquiridosNombres,MATCH(AJ$2074&amp;$A3,Principal!$U$42:$U$69,0))),"",INDEX(PoderesDeCriatura_AdquiridosNombres,MATCH(AJ$2074&amp;$A3,Principal!$U$42:$U$69,0)))</f>
        <v/>
      </c>
      <c r="AK2078" s="2862" t="str">
        <f>IF(ISNA(INDEX(PoderesDeCriatura_Adquiridos,MATCH(AJ$2074&amp;$A3,Principal!$U$42:$U$69,0))),"",IF(INDEX(Principal!$AP$42:$AP$69,MATCH(AJ$2074&amp;$A3,Principal!$U$42:$U$69,0))&gt;0,INDEX(Principal!$AF$42:$AF$69,MATCH(AJ$2074&amp;$A3,Principal!$U$42:$U$69,0)),INDEX(PoderesDeCriatura_Adquiridos,MATCH(AJ$2074&amp;$A3,Principal!$U$42:$U$69,0))))</f>
        <v/>
      </c>
      <c r="AL2078" s="2859" t="str">
        <f t="shared" si="328"/>
        <v/>
      </c>
      <c r="AM2078" s="2861" t="str">
        <f>IF(ISNA(INDEX(PoderesDeCriatura_AdquiridosNombres,MATCH(AM$2074&amp;$A3,Principal!$U$42:$U$69,0))),"",INDEX(PoderesDeCriatura_AdquiridosNombres,MATCH(AM$2074&amp;$A3,Principal!$U$42:$U$69,0)))</f>
        <v/>
      </c>
      <c r="AN2078" s="2862" t="str">
        <f>IF(ISNA(INDEX(PoderesDeCriatura_Adquiridos,MATCH(AM$2074&amp;$A3,Principal!$U$42:$U$69,0))),"",IF(INDEX(Principal!$AP$42:$AP$69,MATCH(AM$2074&amp;$A3,Principal!$U$42:$U$69,0))&gt;0,INDEX(Principal!$AF$42:$AF$69,MATCH(AM$2074&amp;$A3,Principal!$U$42:$U$69,0)),INDEX(PoderesDeCriatura_Adquiridos,MATCH(AM$2074&amp;$A3,Principal!$U$42:$U$69,0))))</f>
        <v/>
      </c>
      <c r="AO2078" s="837" t="str">
        <f t="shared" si="329"/>
        <v/>
      </c>
      <c r="AP2078" s="834" t="str">
        <f>IF(OR(AQ2078=0,ISNUMBER(MATCH(AQ2078,$AQ$2077:$AQ2077,0))),"",MAX($AP$2076:AP2077)+1)</f>
        <v/>
      </c>
      <c r="AQ2078" s="1290">
        <f>Principal!V43</f>
        <v>0</v>
      </c>
    </row>
    <row r="2079" spans="1:43" ht="12.75" customHeight="1" x14ac:dyDescent="0.2">
      <c r="A2079" s="227">
        <v>2079</v>
      </c>
      <c r="B2079" s="5988"/>
      <c r="C2079" s="856" t="str">
        <f t="shared" si="314"/>
        <v/>
      </c>
      <c r="D2079" s="489" t="str">
        <f t="shared" si="317"/>
        <v/>
      </c>
      <c r="E2079" s="489" t="str">
        <f t="shared" si="318"/>
        <v/>
      </c>
      <c r="F2079" s="829" t="str">
        <f t="shared" si="316"/>
        <v/>
      </c>
      <c r="G2079" s="6291"/>
      <c r="H2079" s="1354" t="str">
        <f>Combate!AB22</f>
        <v/>
      </c>
      <c r="I2079" s="1362" t="str">
        <f t="shared" si="319"/>
        <v/>
      </c>
      <c r="J2079" s="820" t="str">
        <f>IF(ISNA(VLOOKUP(A5,Principal!$S$42:$AH$69,10,FALSE)),"",IF(VLOOKUP(A5,Principal!$S$42:$AH$69,10,FALSE)=0,"",INDEX(PoderesDeCriatura_Adquiridos,MATCH(A5,Principal!$S$42:$S$69,0))))</f>
        <v/>
      </c>
      <c r="K2079" s="2859" t="str">
        <f>IF(AND(COUNTA($K$2075:K2078)-COUNTBLANK($K$2075:K2078)&gt;0,J2079&lt;&gt;""),", ","")&amp;J2079</f>
        <v/>
      </c>
      <c r="L2079" s="2861" t="str">
        <f>IF(ISNA(INDEX(PoderesDeCriatura_AdquiridosNombres,MATCH(L$2074&amp;$A4,Principal!$U$42:$U$69,0))),"",INDEX(PoderesDeCriatura_AdquiridosNombres,MATCH(L$2074&amp;$A4,Principal!$U$42:$U$69,0)))</f>
        <v/>
      </c>
      <c r="M2079" s="2862" t="str">
        <f>IF(ISNA(INDEX(PoderesDeCriatura_Adquiridos,MATCH(L$2074&amp;$A4,Principal!$U$42:$U$69,0))),"",IF(INDEX(Principal!$AP$42:$AP$69,MATCH(L$2074&amp;$A4,Principal!$U$42:$U$69,0))&gt;0,INDEX(Principal!$AF$42:$AF$69,MATCH(L$2074&amp;$A4,Principal!$U$42:$U$69,0)),INDEX(PoderesDeCriatura_Adquiridos,MATCH(L$2074&amp;$A4,Principal!$U$42:$U$69,0))))</f>
        <v/>
      </c>
      <c r="N2079" s="2859" t="str">
        <f t="shared" si="320"/>
        <v/>
      </c>
      <c r="O2079" s="2861" t="str">
        <f>IF(ISNA(INDEX(PoderesDeCriatura_AdquiridosNombres,MATCH(O$2074&amp;$A4,Principal!$U$42:$U$69,0))),"",INDEX(PoderesDeCriatura_AdquiridosNombres,MATCH(O$2074&amp;$A4,Principal!$U$42:$U$69,0)))</f>
        <v/>
      </c>
      <c r="P2079" s="2862" t="str">
        <f>IF(ISNA(INDEX(PoderesDeCriatura_Adquiridos,MATCH(O$2074&amp;$A4,Principal!$U$42:$U$69,0))),"",IF(INDEX(Principal!$AP$42:$AP$69,MATCH(O$2074&amp;$A4,Principal!$U$42:$U$69,0))&gt;0,INDEX(Principal!$AF$42:$AF$69,MATCH(O$2074&amp;$A4,Principal!$U$42:$U$69,0)),INDEX(PoderesDeCriatura_Adquiridos,MATCH(O$2074&amp;$A4,Principal!$U$42:$U$69,0))))</f>
        <v/>
      </c>
      <c r="Q2079" s="2859" t="str">
        <f t="shared" si="321"/>
        <v/>
      </c>
      <c r="R2079" s="2861" t="str">
        <f>IF(ISNA(INDEX(PoderesDeCriatura_AdquiridosNombres,MATCH(R$2074&amp;$A4,Principal!$U$42:$U$69,0))),"",INDEX(PoderesDeCriatura_AdquiridosNombres,MATCH(R$2074&amp;$A4,Principal!$U$42:$U$69,0)))</f>
        <v/>
      </c>
      <c r="S2079" s="2862" t="str">
        <f>IF(ISNA(INDEX(PoderesDeCriatura_Adquiridos,MATCH(R$2074&amp;$A4,Principal!$U$42:$U$69,0))),"",IF(INDEX(Principal!$AP$42:$AP$69,MATCH(R$2074&amp;$A4,Principal!$U$42:$U$69,0))&gt;0,INDEX(Principal!$AF$42:$AF$69,MATCH(R$2074&amp;$A4,Principal!$U$42:$U$69,0)),INDEX(PoderesDeCriatura_Adquiridos,MATCH(R$2074&amp;$A4,Principal!$U$42:$U$69,0))))</f>
        <v/>
      </c>
      <c r="T2079" s="2859" t="str">
        <f t="shared" si="322"/>
        <v/>
      </c>
      <c r="U2079" s="2861" t="str">
        <f>IF(ISNA(INDEX(PoderesDeCriatura_AdquiridosNombres,MATCH(U$2074&amp;$A4,Principal!$U$42:$U$69,0))),"",INDEX(PoderesDeCriatura_AdquiridosNombres,MATCH(U$2074&amp;$A4,Principal!$U$42:$U$69,0)))</f>
        <v/>
      </c>
      <c r="V2079" s="2862" t="str">
        <f>IF(ISNA(INDEX(PoderesDeCriatura_Adquiridos,MATCH(U$2074&amp;$A4,Principal!$U$42:$U$69,0))),"",IF(INDEX(Principal!$AP$42:$AP$69,MATCH(U$2074&amp;$A4,Principal!$U$42:$U$69,0))&gt;0,INDEX(Principal!$AF$42:$AF$69,MATCH(U$2074&amp;$A4,Principal!$U$42:$U$69,0)),INDEX(PoderesDeCriatura_Adquiridos,MATCH(U$2074&amp;$A4,Principal!$U$42:$U$69,0))))</f>
        <v/>
      </c>
      <c r="W2079" s="2859" t="str">
        <f t="shared" si="323"/>
        <v/>
      </c>
      <c r="X2079" s="2861" t="str">
        <f>IF(ISNA(INDEX(PoderesDeCriatura_AdquiridosNombres,MATCH(X$2074&amp;$A4,Principal!$U$42:$U$69,0))),"",INDEX(PoderesDeCriatura_AdquiridosNombres,MATCH(X$2074&amp;$A4,Principal!$U$42:$U$69,0)))</f>
        <v/>
      </c>
      <c r="Y2079" s="2862" t="str">
        <f>IF(ISNA(INDEX(PoderesDeCriatura_Adquiridos,MATCH(X$2074&amp;$A4,Principal!$U$42:$U$69,0))),"",IF(INDEX(Principal!$AP$42:$AP$69,MATCH(X$2074&amp;$A4,Principal!$U$42:$U$69,0))&gt;0,INDEX(Principal!$AF$42:$AF$69,MATCH(X$2074&amp;$A4,Principal!$U$42:$U$69,0)),INDEX(PoderesDeCriatura_Adquiridos,MATCH(X$2074&amp;$A4,Principal!$U$42:$U$69,0))))</f>
        <v/>
      </c>
      <c r="Z2079" s="2859" t="str">
        <f t="shared" si="324"/>
        <v/>
      </c>
      <c r="AA2079" s="2861" t="str">
        <f>IF(ISNA(INDEX(PoderesDeCriatura_AdquiridosNombres,MATCH(AA$2074&amp;$A4,Principal!$U$42:$U$69,0))),"",INDEX(PoderesDeCriatura_AdquiridosNombres,MATCH(AA$2074&amp;$A4,Principal!$U$42:$U$69,0)))</f>
        <v/>
      </c>
      <c r="AB2079" s="2862" t="str">
        <f>IF(ISNA(INDEX(PoderesDeCriatura_Adquiridos,MATCH(AA$2074&amp;$A4,Principal!$U$42:$U$69,0))),"",IF(INDEX(Principal!$AP$42:$AP$69,MATCH(AA$2074&amp;$A4,Principal!$U$42:$U$69,0))&gt;0,INDEX(Principal!$AF$42:$AF$69,MATCH(AA$2074&amp;$A4,Principal!$U$42:$U$69,0)),INDEX(PoderesDeCriatura_Adquiridos,MATCH(AA$2074&amp;$A4,Principal!$U$42:$U$69,0))))</f>
        <v/>
      </c>
      <c r="AC2079" s="2859" t="str">
        <f t="shared" si="325"/>
        <v/>
      </c>
      <c r="AD2079" s="2861" t="str">
        <f>IF(ISNA(INDEX(PoderesDeCriatura_AdquiridosNombres,MATCH(AD$2074&amp;$A4,Principal!$U$42:$U$69,0))),"",INDEX(PoderesDeCriatura_AdquiridosNombres,MATCH(AD$2074&amp;$A4,Principal!$U$42:$U$69,0)))</f>
        <v/>
      </c>
      <c r="AE2079" s="2862" t="str">
        <f>IF(ISNA(INDEX(PoderesDeCriatura_Adquiridos,MATCH(AD$2074&amp;$A4,Principal!$U$42:$U$69,0))),"",IF(INDEX(Principal!$AP$42:$AP$69,MATCH(AD$2074&amp;$A4,Principal!$U$42:$U$69,0))&gt;0,INDEX(Principal!$AF$42:$AF$69,MATCH(AD$2074&amp;$A4,Principal!$U$42:$U$69,0)),INDEX(PoderesDeCriatura_Adquiridos,MATCH(AD$2074&amp;$A4,Principal!$U$42:$U$69,0))))</f>
        <v/>
      </c>
      <c r="AF2079" s="2859" t="str">
        <f t="shared" si="326"/>
        <v/>
      </c>
      <c r="AG2079" s="2861" t="str">
        <f>IF(ISNA(INDEX(PoderesDeCriatura_AdquiridosNombres,MATCH(AG$2074&amp;$A4,Principal!$U$42:$U$69,0))),"",INDEX(PoderesDeCriatura_AdquiridosNombres,MATCH(AG$2074&amp;$A4,Principal!$U$42:$U$69,0)))</f>
        <v/>
      </c>
      <c r="AH2079" s="2862" t="str">
        <f>IF(ISNA(INDEX(PoderesDeCriatura_Adquiridos,MATCH(AG$2074&amp;$A4,Principal!$U$42:$U$69,0))),"",IF(INDEX(Principal!$AP$42:$AP$69,MATCH(AG$2074&amp;$A4,Principal!$U$42:$U$69,0))&gt;0,INDEX(Principal!$AF$42:$AF$69,MATCH(AG$2074&amp;$A4,Principal!$U$42:$U$69,0)),INDEX(PoderesDeCriatura_Adquiridos,MATCH(AG$2074&amp;$A4,Principal!$U$42:$U$69,0))))</f>
        <v/>
      </c>
      <c r="AI2079" s="2859" t="str">
        <f t="shared" si="327"/>
        <v/>
      </c>
      <c r="AJ2079" s="2861" t="str">
        <f>IF(ISNA(INDEX(PoderesDeCriatura_AdquiridosNombres,MATCH(AJ$2074&amp;$A4,Principal!$U$42:$U$69,0))),"",INDEX(PoderesDeCriatura_AdquiridosNombres,MATCH(AJ$2074&amp;$A4,Principal!$U$42:$U$69,0)))</f>
        <v/>
      </c>
      <c r="AK2079" s="2862" t="str">
        <f>IF(ISNA(INDEX(PoderesDeCriatura_Adquiridos,MATCH(AJ$2074&amp;$A4,Principal!$U$42:$U$69,0))),"",IF(INDEX(Principal!$AP$42:$AP$69,MATCH(AJ$2074&amp;$A4,Principal!$U$42:$U$69,0))&gt;0,INDEX(Principal!$AF$42:$AF$69,MATCH(AJ$2074&amp;$A4,Principal!$U$42:$U$69,0)),INDEX(PoderesDeCriatura_Adquiridos,MATCH(AJ$2074&amp;$A4,Principal!$U$42:$U$69,0))))</f>
        <v/>
      </c>
      <c r="AL2079" s="2859" t="str">
        <f t="shared" si="328"/>
        <v/>
      </c>
      <c r="AM2079" s="2861" t="str">
        <f>IF(ISNA(INDEX(PoderesDeCriatura_AdquiridosNombres,MATCH(AM$2074&amp;$A4,Principal!$U$42:$U$69,0))),"",INDEX(PoderesDeCriatura_AdquiridosNombres,MATCH(AM$2074&amp;$A4,Principal!$U$42:$U$69,0)))</f>
        <v/>
      </c>
      <c r="AN2079" s="2862" t="str">
        <f>IF(ISNA(INDEX(PoderesDeCriatura_Adquiridos,MATCH(AM$2074&amp;$A4,Principal!$U$42:$U$69,0))),"",IF(INDEX(Principal!$AP$42:$AP$69,MATCH(AM$2074&amp;$A4,Principal!$U$42:$U$69,0))&gt;0,INDEX(Principal!$AF$42:$AF$69,MATCH(AM$2074&amp;$A4,Principal!$U$42:$U$69,0)),INDEX(PoderesDeCriatura_Adquiridos,MATCH(AM$2074&amp;$A4,Principal!$U$42:$U$69,0))))</f>
        <v/>
      </c>
      <c r="AO2079" s="837" t="str">
        <f t="shared" si="329"/>
        <v/>
      </c>
      <c r="AP2079" s="834" t="str">
        <f>IF(OR(AQ2079=0,ISNUMBER(MATCH(AQ2079,$AQ$2077:$AQ2078,0))),"",MAX($AP$2076:AP2078)+1)</f>
        <v/>
      </c>
      <c r="AQ2079" s="1290">
        <f>Principal!V44</f>
        <v>0</v>
      </c>
    </row>
    <row r="2080" spans="1:43" ht="12.75" customHeight="1" x14ac:dyDescent="0.2">
      <c r="A2080" s="227">
        <v>2080</v>
      </c>
      <c r="B2080" s="5988"/>
      <c r="C2080" s="856" t="str">
        <f t="shared" si="314"/>
        <v/>
      </c>
      <c r="D2080" s="489" t="str">
        <f t="shared" si="317"/>
        <v/>
      </c>
      <c r="E2080" s="489" t="str">
        <f t="shared" si="318"/>
        <v/>
      </c>
      <c r="F2080" s="829" t="str">
        <f t="shared" si="316"/>
        <v/>
      </c>
      <c r="G2080" s="6291"/>
      <c r="H2080" s="1354" t="str">
        <f>Combate!AB23</f>
        <v/>
      </c>
      <c r="I2080" s="1362" t="str">
        <f t="shared" si="319"/>
        <v/>
      </c>
      <c r="J2080" s="820" t="str">
        <f>IF(ISNA(VLOOKUP(A6,Principal!$S$42:$AH$69,10,FALSE)),"",IF(VLOOKUP(A6,Principal!$S$42:$AH$69,10,FALSE)=0,"",INDEX(PoderesDeCriatura_Adquiridos,MATCH(A6,Principal!$S$42:$S$69,0))))</f>
        <v/>
      </c>
      <c r="K2080" s="2859" t="str">
        <f>IF(AND(COUNTA($K$2075:K2079)-COUNTBLANK($K$2075:K2079)&gt;0,J2080&lt;&gt;""),", ","")&amp;J2080</f>
        <v/>
      </c>
      <c r="L2080" s="2861" t="str">
        <f>IF(ISNA(INDEX(PoderesDeCriatura_AdquiridosNombres,MATCH(L$2074&amp;$A5,Principal!$U$42:$U$69,0))),"",INDEX(PoderesDeCriatura_AdquiridosNombres,MATCH(L$2074&amp;$A5,Principal!$U$42:$U$69,0)))</f>
        <v/>
      </c>
      <c r="M2080" s="2862" t="str">
        <f>IF(ISNA(INDEX(PoderesDeCriatura_Adquiridos,MATCH(L$2074&amp;$A5,Principal!$U$42:$U$69,0))),"",IF(INDEX(Principal!$AP$42:$AP$69,MATCH(L$2074&amp;$A5,Principal!$U$42:$U$69,0))&gt;0,INDEX(Principal!$AF$42:$AF$69,MATCH(L$2074&amp;$A5,Principal!$U$42:$U$69,0)),INDEX(PoderesDeCriatura_Adquiridos,MATCH(L$2074&amp;$A5,Principal!$U$42:$U$69,0))))</f>
        <v/>
      </c>
      <c r="N2080" s="2859" t="str">
        <f t="shared" si="320"/>
        <v/>
      </c>
      <c r="O2080" s="2861" t="str">
        <f>IF(ISNA(INDEX(PoderesDeCriatura_AdquiridosNombres,MATCH(O$2074&amp;$A5,Principal!$U$42:$U$69,0))),"",INDEX(PoderesDeCriatura_AdquiridosNombres,MATCH(O$2074&amp;$A5,Principal!$U$42:$U$69,0)))</f>
        <v/>
      </c>
      <c r="P2080" s="2862" t="str">
        <f>IF(ISNA(INDEX(PoderesDeCriatura_Adquiridos,MATCH(O$2074&amp;$A5,Principal!$U$42:$U$69,0))),"",IF(INDEX(Principal!$AP$42:$AP$69,MATCH(O$2074&amp;$A5,Principal!$U$42:$U$69,0))&gt;0,INDEX(Principal!$AF$42:$AF$69,MATCH(O$2074&amp;$A5,Principal!$U$42:$U$69,0)),INDEX(PoderesDeCriatura_Adquiridos,MATCH(O$2074&amp;$A5,Principal!$U$42:$U$69,0))))</f>
        <v/>
      </c>
      <c r="Q2080" s="2859" t="str">
        <f t="shared" si="321"/>
        <v/>
      </c>
      <c r="R2080" s="2861" t="str">
        <f>IF(ISNA(INDEX(PoderesDeCriatura_AdquiridosNombres,MATCH(R$2074&amp;$A5,Principal!$U$42:$U$69,0))),"",INDEX(PoderesDeCriatura_AdquiridosNombres,MATCH(R$2074&amp;$A5,Principal!$U$42:$U$69,0)))</f>
        <v/>
      </c>
      <c r="S2080" s="2862" t="str">
        <f>IF(ISNA(INDEX(PoderesDeCriatura_Adquiridos,MATCH(R$2074&amp;$A5,Principal!$U$42:$U$69,0))),"",IF(INDEX(Principal!$AP$42:$AP$69,MATCH(R$2074&amp;$A5,Principal!$U$42:$U$69,0))&gt;0,INDEX(Principal!$AF$42:$AF$69,MATCH(R$2074&amp;$A5,Principal!$U$42:$U$69,0)),INDEX(PoderesDeCriatura_Adquiridos,MATCH(R$2074&amp;$A5,Principal!$U$42:$U$69,0))))</f>
        <v/>
      </c>
      <c r="T2080" s="2859" t="str">
        <f t="shared" si="322"/>
        <v/>
      </c>
      <c r="U2080" s="2861" t="str">
        <f>IF(ISNA(INDEX(PoderesDeCriatura_AdquiridosNombres,MATCH(U$2074&amp;$A5,Principal!$U$42:$U$69,0))),"",INDEX(PoderesDeCriatura_AdquiridosNombres,MATCH(U$2074&amp;$A5,Principal!$U$42:$U$69,0)))</f>
        <v/>
      </c>
      <c r="V2080" s="2862" t="str">
        <f>IF(ISNA(INDEX(PoderesDeCriatura_Adquiridos,MATCH(U$2074&amp;$A5,Principal!$U$42:$U$69,0))),"",IF(INDEX(Principal!$AP$42:$AP$69,MATCH(U$2074&amp;$A5,Principal!$U$42:$U$69,0))&gt;0,INDEX(Principal!$AF$42:$AF$69,MATCH(U$2074&amp;$A5,Principal!$U$42:$U$69,0)),INDEX(PoderesDeCriatura_Adquiridos,MATCH(U$2074&amp;$A5,Principal!$U$42:$U$69,0))))</f>
        <v/>
      </c>
      <c r="W2080" s="2859" t="str">
        <f t="shared" si="323"/>
        <v/>
      </c>
      <c r="X2080" s="2861" t="str">
        <f>IF(ISNA(INDEX(PoderesDeCriatura_AdquiridosNombres,MATCH(X$2074&amp;$A5,Principal!$U$42:$U$69,0))),"",INDEX(PoderesDeCriatura_AdquiridosNombres,MATCH(X$2074&amp;$A5,Principal!$U$42:$U$69,0)))</f>
        <v/>
      </c>
      <c r="Y2080" s="2862" t="str">
        <f>IF(ISNA(INDEX(PoderesDeCriatura_Adquiridos,MATCH(X$2074&amp;$A5,Principal!$U$42:$U$69,0))),"",IF(INDEX(Principal!$AP$42:$AP$69,MATCH(X$2074&amp;$A5,Principal!$U$42:$U$69,0))&gt;0,INDEX(Principal!$AF$42:$AF$69,MATCH(X$2074&amp;$A5,Principal!$U$42:$U$69,0)),INDEX(PoderesDeCriatura_Adquiridos,MATCH(X$2074&amp;$A5,Principal!$U$42:$U$69,0))))</f>
        <v/>
      </c>
      <c r="Z2080" s="2859" t="str">
        <f t="shared" si="324"/>
        <v/>
      </c>
      <c r="AA2080" s="2861" t="str">
        <f>IF(ISNA(INDEX(PoderesDeCriatura_AdquiridosNombres,MATCH(AA$2074&amp;$A5,Principal!$U$42:$U$69,0))),"",INDEX(PoderesDeCriatura_AdquiridosNombres,MATCH(AA$2074&amp;$A5,Principal!$U$42:$U$69,0)))</f>
        <v/>
      </c>
      <c r="AB2080" s="2862" t="str">
        <f>IF(ISNA(INDEX(PoderesDeCriatura_Adquiridos,MATCH(AA$2074&amp;$A5,Principal!$U$42:$U$69,0))),"",IF(INDEX(Principal!$AP$42:$AP$69,MATCH(AA$2074&amp;$A5,Principal!$U$42:$U$69,0))&gt;0,INDEX(Principal!$AF$42:$AF$69,MATCH(AA$2074&amp;$A5,Principal!$U$42:$U$69,0)),INDEX(PoderesDeCriatura_Adquiridos,MATCH(AA$2074&amp;$A5,Principal!$U$42:$U$69,0))))</f>
        <v/>
      </c>
      <c r="AC2080" s="2859" t="str">
        <f t="shared" si="325"/>
        <v/>
      </c>
      <c r="AD2080" s="2861" t="str">
        <f>IF(ISNA(INDEX(PoderesDeCriatura_AdquiridosNombres,MATCH(AD$2074&amp;$A5,Principal!$U$42:$U$69,0))),"",INDEX(PoderesDeCriatura_AdquiridosNombres,MATCH(AD$2074&amp;$A5,Principal!$U$42:$U$69,0)))</f>
        <v/>
      </c>
      <c r="AE2080" s="2862" t="str">
        <f>IF(ISNA(INDEX(PoderesDeCriatura_Adquiridos,MATCH(AD$2074&amp;$A5,Principal!$U$42:$U$69,0))),"",IF(INDEX(Principal!$AP$42:$AP$69,MATCH(AD$2074&amp;$A5,Principal!$U$42:$U$69,0))&gt;0,INDEX(Principal!$AF$42:$AF$69,MATCH(AD$2074&amp;$A5,Principal!$U$42:$U$69,0)),INDEX(PoderesDeCriatura_Adquiridos,MATCH(AD$2074&amp;$A5,Principal!$U$42:$U$69,0))))</f>
        <v/>
      </c>
      <c r="AF2080" s="2859" t="str">
        <f t="shared" si="326"/>
        <v/>
      </c>
      <c r="AG2080" s="2861" t="str">
        <f>IF(ISNA(INDEX(PoderesDeCriatura_AdquiridosNombres,MATCH(AG$2074&amp;$A5,Principal!$U$42:$U$69,0))),"",INDEX(PoderesDeCriatura_AdquiridosNombres,MATCH(AG$2074&amp;$A5,Principal!$U$42:$U$69,0)))</f>
        <v/>
      </c>
      <c r="AH2080" s="2862" t="str">
        <f>IF(ISNA(INDEX(PoderesDeCriatura_Adquiridos,MATCH(AG$2074&amp;$A5,Principal!$U$42:$U$69,0))),"",IF(INDEX(Principal!$AP$42:$AP$69,MATCH(AG$2074&amp;$A5,Principal!$U$42:$U$69,0))&gt;0,INDEX(Principal!$AF$42:$AF$69,MATCH(AG$2074&amp;$A5,Principal!$U$42:$U$69,0)),INDEX(PoderesDeCriatura_Adquiridos,MATCH(AG$2074&amp;$A5,Principal!$U$42:$U$69,0))))</f>
        <v/>
      </c>
      <c r="AI2080" s="2859" t="str">
        <f t="shared" si="327"/>
        <v/>
      </c>
      <c r="AJ2080" s="2861" t="str">
        <f>IF(ISNA(INDEX(PoderesDeCriatura_AdquiridosNombres,MATCH(AJ$2074&amp;$A5,Principal!$U$42:$U$69,0))),"",INDEX(PoderesDeCriatura_AdquiridosNombres,MATCH(AJ$2074&amp;$A5,Principal!$U$42:$U$69,0)))</f>
        <v/>
      </c>
      <c r="AK2080" s="2862" t="str">
        <f>IF(ISNA(INDEX(PoderesDeCriatura_Adquiridos,MATCH(AJ$2074&amp;$A5,Principal!$U$42:$U$69,0))),"",IF(INDEX(Principal!$AP$42:$AP$69,MATCH(AJ$2074&amp;$A5,Principal!$U$42:$U$69,0))&gt;0,INDEX(Principal!$AF$42:$AF$69,MATCH(AJ$2074&amp;$A5,Principal!$U$42:$U$69,0)),INDEX(PoderesDeCriatura_Adquiridos,MATCH(AJ$2074&amp;$A5,Principal!$U$42:$U$69,0))))</f>
        <v/>
      </c>
      <c r="AL2080" s="2859" t="str">
        <f t="shared" si="328"/>
        <v/>
      </c>
      <c r="AM2080" s="2861" t="str">
        <f>IF(ISNA(INDEX(PoderesDeCriatura_AdquiridosNombres,MATCH(AM$2074&amp;$A5,Principal!$U$42:$U$69,0))),"",INDEX(PoderesDeCriatura_AdquiridosNombres,MATCH(AM$2074&amp;$A5,Principal!$U$42:$U$69,0)))</f>
        <v/>
      </c>
      <c r="AN2080" s="2862" t="str">
        <f>IF(ISNA(INDEX(PoderesDeCriatura_Adquiridos,MATCH(AM$2074&amp;$A5,Principal!$U$42:$U$69,0))),"",IF(INDEX(Principal!$AP$42:$AP$69,MATCH(AM$2074&amp;$A5,Principal!$U$42:$U$69,0))&gt;0,INDEX(Principal!$AF$42:$AF$69,MATCH(AM$2074&amp;$A5,Principal!$U$42:$U$69,0)),INDEX(PoderesDeCriatura_Adquiridos,MATCH(AM$2074&amp;$A5,Principal!$U$42:$U$69,0))))</f>
        <v/>
      </c>
      <c r="AO2080" s="837" t="str">
        <f t="shared" si="329"/>
        <v/>
      </c>
      <c r="AP2080" s="834" t="str">
        <f>IF(OR(AQ2080=0,ISNUMBER(MATCH(AQ2080,$AQ$2077:$AQ2079,0))),"",MAX($AP$2076:AP2079)+1)</f>
        <v/>
      </c>
      <c r="AQ2080" s="1290">
        <f>Principal!V45</f>
        <v>0</v>
      </c>
    </row>
    <row r="2081" spans="1:43" ht="12.75" customHeight="1" x14ac:dyDescent="0.2">
      <c r="A2081" s="227">
        <v>2081</v>
      </c>
      <c r="B2081" s="5988"/>
      <c r="C2081" s="856" t="str">
        <f t="shared" si="314"/>
        <v/>
      </c>
      <c r="D2081" s="489" t="str">
        <f t="shared" si="317"/>
        <v/>
      </c>
      <c r="E2081" s="489" t="str">
        <f t="shared" si="318"/>
        <v/>
      </c>
      <c r="F2081" s="829" t="str">
        <f t="shared" si="316"/>
        <v/>
      </c>
      <c r="G2081" s="6291"/>
      <c r="H2081" s="1354" t="str">
        <f>Combate!AB24</f>
        <v/>
      </c>
      <c r="I2081" s="1362" t="str">
        <f t="shared" si="319"/>
        <v/>
      </c>
      <c r="J2081" s="820" t="str">
        <f>IF(ISNA(VLOOKUP(A7,Principal!$S$42:$AH$69,10,FALSE)),"",IF(VLOOKUP(A7,Principal!$S$42:$AH$69,10,FALSE)=0,"",INDEX(PoderesDeCriatura_Adquiridos,MATCH(A7,Principal!$S$42:$S$69,0))))</f>
        <v/>
      </c>
      <c r="K2081" s="2859" t="str">
        <f>IF(AND(COUNTA($K$2075:K2080)-COUNTBLANK($K$2075:K2080)&gt;0,J2081&lt;&gt;""),", ","")&amp;J2081</f>
        <v/>
      </c>
      <c r="L2081" s="2861" t="str">
        <f>IF(ISNA(INDEX(PoderesDeCriatura_AdquiridosNombres,MATCH(L$2074&amp;$A6,Principal!$U$42:$U$69,0))),"",INDEX(PoderesDeCriatura_AdquiridosNombres,MATCH(L$2074&amp;$A6,Principal!$U$42:$U$69,0)))</f>
        <v/>
      </c>
      <c r="M2081" s="2862" t="str">
        <f>IF(ISNA(INDEX(PoderesDeCriatura_Adquiridos,MATCH(L$2074&amp;$A6,Principal!$U$42:$U$69,0))),"",IF(INDEX(Principal!$AP$42:$AP$69,MATCH(L$2074&amp;$A6,Principal!$U$42:$U$69,0))&gt;0,INDEX(Principal!$AF$42:$AF$69,MATCH(L$2074&amp;$A6,Principal!$U$42:$U$69,0)),INDEX(PoderesDeCriatura_Adquiridos,MATCH(L$2074&amp;$A6,Principal!$U$42:$U$69,0))))</f>
        <v/>
      </c>
      <c r="N2081" s="2859" t="str">
        <f t="shared" si="320"/>
        <v/>
      </c>
      <c r="O2081" s="2861" t="str">
        <f>IF(ISNA(INDEX(PoderesDeCriatura_AdquiridosNombres,MATCH(O$2074&amp;$A6,Principal!$U$42:$U$69,0))),"",INDEX(PoderesDeCriatura_AdquiridosNombres,MATCH(O$2074&amp;$A6,Principal!$U$42:$U$69,0)))</f>
        <v/>
      </c>
      <c r="P2081" s="2862" t="str">
        <f>IF(ISNA(INDEX(PoderesDeCriatura_Adquiridos,MATCH(O$2074&amp;$A6,Principal!$U$42:$U$69,0))),"",IF(INDEX(Principal!$AP$42:$AP$69,MATCH(O$2074&amp;$A6,Principal!$U$42:$U$69,0))&gt;0,INDEX(Principal!$AF$42:$AF$69,MATCH(O$2074&amp;$A6,Principal!$U$42:$U$69,0)),INDEX(PoderesDeCriatura_Adquiridos,MATCH(O$2074&amp;$A6,Principal!$U$42:$U$69,0))))</f>
        <v/>
      </c>
      <c r="Q2081" s="2859" t="str">
        <f t="shared" si="321"/>
        <v/>
      </c>
      <c r="R2081" s="2861" t="str">
        <f>IF(ISNA(INDEX(PoderesDeCriatura_AdquiridosNombres,MATCH(R$2074&amp;$A6,Principal!$U$42:$U$69,0))),"",INDEX(PoderesDeCriatura_AdquiridosNombres,MATCH(R$2074&amp;$A6,Principal!$U$42:$U$69,0)))</f>
        <v/>
      </c>
      <c r="S2081" s="2862" t="str">
        <f>IF(ISNA(INDEX(PoderesDeCriatura_Adquiridos,MATCH(R$2074&amp;$A6,Principal!$U$42:$U$69,0))),"",IF(INDEX(Principal!$AP$42:$AP$69,MATCH(R$2074&amp;$A6,Principal!$U$42:$U$69,0))&gt;0,INDEX(Principal!$AF$42:$AF$69,MATCH(R$2074&amp;$A6,Principal!$U$42:$U$69,0)),INDEX(PoderesDeCriatura_Adquiridos,MATCH(R$2074&amp;$A6,Principal!$U$42:$U$69,0))))</f>
        <v/>
      </c>
      <c r="T2081" s="2859" t="str">
        <f t="shared" si="322"/>
        <v/>
      </c>
      <c r="U2081" s="2861" t="str">
        <f>IF(ISNA(INDEX(PoderesDeCriatura_AdquiridosNombres,MATCH(U$2074&amp;$A6,Principal!$U$42:$U$69,0))),"",INDEX(PoderesDeCriatura_AdquiridosNombres,MATCH(U$2074&amp;$A6,Principal!$U$42:$U$69,0)))</f>
        <v/>
      </c>
      <c r="V2081" s="2862" t="str">
        <f>IF(ISNA(INDEX(PoderesDeCriatura_Adquiridos,MATCH(U$2074&amp;$A6,Principal!$U$42:$U$69,0))),"",IF(INDEX(Principal!$AP$42:$AP$69,MATCH(U$2074&amp;$A6,Principal!$U$42:$U$69,0))&gt;0,INDEX(Principal!$AF$42:$AF$69,MATCH(U$2074&amp;$A6,Principal!$U$42:$U$69,0)),INDEX(PoderesDeCriatura_Adquiridos,MATCH(U$2074&amp;$A6,Principal!$U$42:$U$69,0))))</f>
        <v/>
      </c>
      <c r="W2081" s="2859" t="str">
        <f t="shared" si="323"/>
        <v/>
      </c>
      <c r="X2081" s="2861" t="str">
        <f>IF(ISNA(INDEX(PoderesDeCriatura_AdquiridosNombres,MATCH(X$2074&amp;$A6,Principal!$U$42:$U$69,0))),"",INDEX(PoderesDeCriatura_AdquiridosNombres,MATCH(X$2074&amp;$A6,Principal!$U$42:$U$69,0)))</f>
        <v/>
      </c>
      <c r="Y2081" s="2862" t="str">
        <f>IF(ISNA(INDEX(PoderesDeCriatura_Adquiridos,MATCH(X$2074&amp;$A6,Principal!$U$42:$U$69,0))),"",IF(INDEX(Principal!$AP$42:$AP$69,MATCH(X$2074&amp;$A6,Principal!$U$42:$U$69,0))&gt;0,INDEX(Principal!$AF$42:$AF$69,MATCH(X$2074&amp;$A6,Principal!$U$42:$U$69,0)),INDEX(PoderesDeCriatura_Adquiridos,MATCH(X$2074&amp;$A6,Principal!$U$42:$U$69,0))))</f>
        <v/>
      </c>
      <c r="Z2081" s="2859" t="str">
        <f t="shared" si="324"/>
        <v/>
      </c>
      <c r="AA2081" s="2861" t="str">
        <f>IF(ISNA(INDEX(PoderesDeCriatura_AdquiridosNombres,MATCH(AA$2074&amp;$A6,Principal!$U$42:$U$69,0))),"",INDEX(PoderesDeCriatura_AdquiridosNombres,MATCH(AA$2074&amp;$A6,Principal!$U$42:$U$69,0)))</f>
        <v/>
      </c>
      <c r="AB2081" s="2862" t="str">
        <f>IF(ISNA(INDEX(PoderesDeCriatura_Adquiridos,MATCH(AA$2074&amp;$A6,Principal!$U$42:$U$69,0))),"",IF(INDEX(Principal!$AP$42:$AP$69,MATCH(AA$2074&amp;$A6,Principal!$U$42:$U$69,0))&gt;0,INDEX(Principal!$AF$42:$AF$69,MATCH(AA$2074&amp;$A6,Principal!$U$42:$U$69,0)),INDEX(PoderesDeCriatura_Adquiridos,MATCH(AA$2074&amp;$A6,Principal!$U$42:$U$69,0))))</f>
        <v/>
      </c>
      <c r="AC2081" s="2859" t="str">
        <f t="shared" si="325"/>
        <v/>
      </c>
      <c r="AD2081" s="2861" t="str">
        <f>IF(ISNA(INDEX(PoderesDeCriatura_AdquiridosNombres,MATCH(AD$2074&amp;$A6,Principal!$U$42:$U$69,0))),"",INDEX(PoderesDeCriatura_AdquiridosNombres,MATCH(AD$2074&amp;$A6,Principal!$U$42:$U$69,0)))</f>
        <v/>
      </c>
      <c r="AE2081" s="2862" t="str">
        <f>IF(ISNA(INDEX(PoderesDeCriatura_Adquiridos,MATCH(AD$2074&amp;$A6,Principal!$U$42:$U$69,0))),"",IF(INDEX(Principal!$AP$42:$AP$69,MATCH(AD$2074&amp;$A6,Principal!$U$42:$U$69,0))&gt;0,INDEX(Principal!$AF$42:$AF$69,MATCH(AD$2074&amp;$A6,Principal!$U$42:$U$69,0)),INDEX(PoderesDeCriatura_Adquiridos,MATCH(AD$2074&amp;$A6,Principal!$U$42:$U$69,0))))</f>
        <v/>
      </c>
      <c r="AF2081" s="2859" t="str">
        <f t="shared" si="326"/>
        <v/>
      </c>
      <c r="AG2081" s="2861" t="str">
        <f>IF(ISNA(INDEX(PoderesDeCriatura_AdquiridosNombres,MATCH(AG$2074&amp;$A6,Principal!$U$42:$U$69,0))),"",INDEX(PoderesDeCriatura_AdquiridosNombres,MATCH(AG$2074&amp;$A6,Principal!$U$42:$U$69,0)))</f>
        <v/>
      </c>
      <c r="AH2081" s="2862" t="str">
        <f>IF(ISNA(INDEX(PoderesDeCriatura_Adquiridos,MATCH(AG$2074&amp;$A6,Principal!$U$42:$U$69,0))),"",IF(INDEX(Principal!$AP$42:$AP$69,MATCH(AG$2074&amp;$A6,Principal!$U$42:$U$69,0))&gt;0,INDEX(Principal!$AF$42:$AF$69,MATCH(AG$2074&amp;$A6,Principal!$U$42:$U$69,0)),INDEX(PoderesDeCriatura_Adquiridos,MATCH(AG$2074&amp;$A6,Principal!$U$42:$U$69,0))))</f>
        <v/>
      </c>
      <c r="AI2081" s="2859" t="str">
        <f t="shared" si="327"/>
        <v/>
      </c>
      <c r="AJ2081" s="2861" t="str">
        <f>IF(ISNA(INDEX(PoderesDeCriatura_AdquiridosNombres,MATCH(AJ$2074&amp;$A6,Principal!$U$42:$U$69,0))),"",INDEX(PoderesDeCriatura_AdquiridosNombres,MATCH(AJ$2074&amp;$A6,Principal!$U$42:$U$69,0)))</f>
        <v/>
      </c>
      <c r="AK2081" s="2862" t="str">
        <f>IF(ISNA(INDEX(PoderesDeCriatura_Adquiridos,MATCH(AJ$2074&amp;$A6,Principal!$U$42:$U$69,0))),"",IF(INDEX(Principal!$AP$42:$AP$69,MATCH(AJ$2074&amp;$A6,Principal!$U$42:$U$69,0))&gt;0,INDEX(Principal!$AF$42:$AF$69,MATCH(AJ$2074&amp;$A6,Principal!$U$42:$U$69,0)),INDEX(PoderesDeCriatura_Adquiridos,MATCH(AJ$2074&amp;$A6,Principal!$U$42:$U$69,0))))</f>
        <v/>
      </c>
      <c r="AL2081" s="2859" t="str">
        <f t="shared" si="328"/>
        <v/>
      </c>
      <c r="AM2081" s="2861" t="str">
        <f>IF(ISNA(INDEX(PoderesDeCriatura_AdquiridosNombres,MATCH(AM$2074&amp;$A6,Principal!$U$42:$U$69,0))),"",INDEX(PoderesDeCriatura_AdquiridosNombres,MATCH(AM$2074&amp;$A6,Principal!$U$42:$U$69,0)))</f>
        <v/>
      </c>
      <c r="AN2081" s="2862" t="str">
        <f>IF(ISNA(INDEX(PoderesDeCriatura_Adquiridos,MATCH(AM$2074&amp;$A6,Principal!$U$42:$U$69,0))),"",IF(INDEX(Principal!$AP$42:$AP$69,MATCH(AM$2074&amp;$A6,Principal!$U$42:$U$69,0))&gt;0,INDEX(Principal!$AF$42:$AF$69,MATCH(AM$2074&amp;$A6,Principal!$U$42:$U$69,0)),INDEX(PoderesDeCriatura_Adquiridos,MATCH(AM$2074&amp;$A6,Principal!$U$42:$U$69,0))))</f>
        <v/>
      </c>
      <c r="AO2081" s="837" t="str">
        <f t="shared" si="329"/>
        <v/>
      </c>
      <c r="AP2081" s="834" t="str">
        <f>IF(OR(AQ2081=0,ISNUMBER(MATCH(AQ2081,$AQ$2077:$AQ2080,0))),"",MAX($AP$2076:AP2080)+1)</f>
        <v/>
      </c>
      <c r="AQ2081" s="1290">
        <f>Principal!V46</f>
        <v>0</v>
      </c>
    </row>
    <row r="2082" spans="1:43" ht="12.75" customHeight="1" x14ac:dyDescent="0.2">
      <c r="A2082" s="227">
        <v>2082</v>
      </c>
      <c r="B2082" s="5988"/>
      <c r="C2082" s="856" t="str">
        <f t="shared" si="314"/>
        <v/>
      </c>
      <c r="D2082" s="489" t="str">
        <f t="shared" si="317"/>
        <v/>
      </c>
      <c r="E2082" s="489" t="str">
        <f t="shared" si="318"/>
        <v/>
      </c>
      <c r="F2082" s="829" t="str">
        <f t="shared" si="316"/>
        <v/>
      </c>
      <c r="G2082" s="6291"/>
      <c r="H2082" s="1354" t="str">
        <f>Combate!AB25</f>
        <v/>
      </c>
      <c r="I2082" s="1362" t="str">
        <f t="shared" si="319"/>
        <v/>
      </c>
      <c r="J2082" s="820" t="str">
        <f>IF(ISNA(VLOOKUP(A8,Principal!$S$42:$AH$69,10,FALSE)),"",IF(VLOOKUP(A8,Principal!$S$42:$AH$69,10,FALSE)=0,"",INDEX(PoderesDeCriatura_Adquiridos,MATCH(A8,Principal!$S$42:$S$69,0))))</f>
        <v/>
      </c>
      <c r="K2082" s="2859" t="str">
        <f>IF(AND(COUNTA($K$2075:K2081)-COUNTBLANK($K$2075:K2081)&gt;0,J2082&lt;&gt;""),", ","")&amp;J2082</f>
        <v/>
      </c>
      <c r="L2082" s="2861" t="str">
        <f>IF(ISNA(INDEX(PoderesDeCriatura_AdquiridosNombres,MATCH(L$2074&amp;$A7,Principal!$U$42:$U$69,0))),"",INDEX(PoderesDeCriatura_AdquiridosNombres,MATCH(L$2074&amp;$A7,Principal!$U$42:$U$69,0)))</f>
        <v/>
      </c>
      <c r="M2082" s="2862" t="str">
        <f>IF(ISNA(INDEX(PoderesDeCriatura_Adquiridos,MATCH(L$2074&amp;$A7,Principal!$U$42:$U$69,0))),"",IF(INDEX(Principal!$AP$42:$AP$69,MATCH(L$2074&amp;$A7,Principal!$U$42:$U$69,0))&gt;0,INDEX(Principal!$AF$42:$AF$69,MATCH(L$2074&amp;$A7,Principal!$U$42:$U$69,0)),INDEX(PoderesDeCriatura_Adquiridos,MATCH(L$2074&amp;$A7,Principal!$U$42:$U$69,0))))</f>
        <v/>
      </c>
      <c r="N2082" s="2859" t="str">
        <f t="shared" si="320"/>
        <v/>
      </c>
      <c r="O2082" s="2861" t="str">
        <f>IF(ISNA(INDEX(PoderesDeCriatura_AdquiridosNombres,MATCH(O$2074&amp;$A7,Principal!$U$42:$U$69,0))),"",INDEX(PoderesDeCriatura_AdquiridosNombres,MATCH(O$2074&amp;$A7,Principal!$U$42:$U$69,0)))</f>
        <v/>
      </c>
      <c r="P2082" s="2862" t="str">
        <f>IF(ISNA(INDEX(PoderesDeCriatura_Adquiridos,MATCH(O$2074&amp;$A7,Principal!$U$42:$U$69,0))),"",IF(INDEX(Principal!$AP$42:$AP$69,MATCH(O$2074&amp;$A7,Principal!$U$42:$U$69,0))&gt;0,INDEX(Principal!$AF$42:$AF$69,MATCH(O$2074&amp;$A7,Principal!$U$42:$U$69,0)),INDEX(PoderesDeCriatura_Adquiridos,MATCH(O$2074&amp;$A7,Principal!$U$42:$U$69,0))))</f>
        <v/>
      </c>
      <c r="Q2082" s="2859" t="str">
        <f t="shared" si="321"/>
        <v/>
      </c>
      <c r="R2082" s="2861" t="str">
        <f>IF(ISNA(INDEX(PoderesDeCriatura_AdquiridosNombres,MATCH(R$2074&amp;$A7,Principal!$U$42:$U$69,0))),"",INDEX(PoderesDeCriatura_AdquiridosNombres,MATCH(R$2074&amp;$A7,Principal!$U$42:$U$69,0)))</f>
        <v/>
      </c>
      <c r="S2082" s="2862" t="str">
        <f>IF(ISNA(INDEX(PoderesDeCriatura_Adquiridos,MATCH(R$2074&amp;$A7,Principal!$U$42:$U$69,0))),"",IF(INDEX(Principal!$AP$42:$AP$69,MATCH(R$2074&amp;$A7,Principal!$U$42:$U$69,0))&gt;0,INDEX(Principal!$AF$42:$AF$69,MATCH(R$2074&amp;$A7,Principal!$U$42:$U$69,0)),INDEX(PoderesDeCriatura_Adquiridos,MATCH(R$2074&amp;$A7,Principal!$U$42:$U$69,0))))</f>
        <v/>
      </c>
      <c r="T2082" s="2859" t="str">
        <f t="shared" si="322"/>
        <v/>
      </c>
      <c r="U2082" s="2861" t="str">
        <f>IF(ISNA(INDEX(PoderesDeCriatura_AdquiridosNombres,MATCH(U$2074&amp;$A7,Principal!$U$42:$U$69,0))),"",INDEX(PoderesDeCriatura_AdquiridosNombres,MATCH(U$2074&amp;$A7,Principal!$U$42:$U$69,0)))</f>
        <v/>
      </c>
      <c r="V2082" s="2862" t="str">
        <f>IF(ISNA(INDEX(PoderesDeCriatura_Adquiridos,MATCH(U$2074&amp;$A7,Principal!$U$42:$U$69,0))),"",IF(INDEX(Principal!$AP$42:$AP$69,MATCH(U$2074&amp;$A7,Principal!$U$42:$U$69,0))&gt;0,INDEX(Principal!$AF$42:$AF$69,MATCH(U$2074&amp;$A7,Principal!$U$42:$U$69,0)),INDEX(PoderesDeCriatura_Adquiridos,MATCH(U$2074&amp;$A7,Principal!$U$42:$U$69,0))))</f>
        <v/>
      </c>
      <c r="W2082" s="2859" t="str">
        <f t="shared" si="323"/>
        <v/>
      </c>
      <c r="X2082" s="2861" t="str">
        <f>IF(ISNA(INDEX(PoderesDeCriatura_AdquiridosNombres,MATCH(X$2074&amp;$A7,Principal!$U$42:$U$69,0))),"",INDEX(PoderesDeCriatura_AdquiridosNombres,MATCH(X$2074&amp;$A7,Principal!$U$42:$U$69,0)))</f>
        <v/>
      </c>
      <c r="Y2082" s="2862" t="str">
        <f>IF(ISNA(INDEX(PoderesDeCriatura_Adquiridos,MATCH(X$2074&amp;$A7,Principal!$U$42:$U$69,0))),"",IF(INDEX(Principal!$AP$42:$AP$69,MATCH(X$2074&amp;$A7,Principal!$U$42:$U$69,0))&gt;0,INDEX(Principal!$AF$42:$AF$69,MATCH(X$2074&amp;$A7,Principal!$U$42:$U$69,0)),INDEX(PoderesDeCriatura_Adquiridos,MATCH(X$2074&amp;$A7,Principal!$U$42:$U$69,0))))</f>
        <v/>
      </c>
      <c r="Z2082" s="2859" t="str">
        <f t="shared" si="324"/>
        <v/>
      </c>
      <c r="AA2082" s="2861" t="str">
        <f>IF(ISNA(INDEX(PoderesDeCriatura_AdquiridosNombres,MATCH(AA$2074&amp;$A7,Principal!$U$42:$U$69,0))),"",INDEX(PoderesDeCriatura_AdquiridosNombres,MATCH(AA$2074&amp;$A7,Principal!$U$42:$U$69,0)))</f>
        <v/>
      </c>
      <c r="AB2082" s="2862" t="str">
        <f>IF(ISNA(INDEX(PoderesDeCriatura_Adquiridos,MATCH(AA$2074&amp;$A7,Principal!$U$42:$U$69,0))),"",IF(INDEX(Principal!$AP$42:$AP$69,MATCH(AA$2074&amp;$A7,Principal!$U$42:$U$69,0))&gt;0,INDEX(Principal!$AF$42:$AF$69,MATCH(AA$2074&amp;$A7,Principal!$U$42:$U$69,0)),INDEX(PoderesDeCriatura_Adquiridos,MATCH(AA$2074&amp;$A7,Principal!$U$42:$U$69,0))))</f>
        <v/>
      </c>
      <c r="AC2082" s="2859" t="str">
        <f t="shared" si="325"/>
        <v/>
      </c>
      <c r="AD2082" s="2861" t="str">
        <f>IF(ISNA(INDEX(PoderesDeCriatura_AdquiridosNombres,MATCH(AD$2074&amp;$A7,Principal!$U$42:$U$69,0))),"",INDEX(PoderesDeCriatura_AdquiridosNombres,MATCH(AD$2074&amp;$A7,Principal!$U$42:$U$69,0)))</f>
        <v/>
      </c>
      <c r="AE2082" s="2862" t="str">
        <f>IF(ISNA(INDEX(PoderesDeCriatura_Adquiridos,MATCH(AD$2074&amp;$A7,Principal!$U$42:$U$69,0))),"",IF(INDEX(Principal!$AP$42:$AP$69,MATCH(AD$2074&amp;$A7,Principal!$U$42:$U$69,0))&gt;0,INDEX(Principal!$AF$42:$AF$69,MATCH(AD$2074&amp;$A7,Principal!$U$42:$U$69,0)),INDEX(PoderesDeCriatura_Adquiridos,MATCH(AD$2074&amp;$A7,Principal!$U$42:$U$69,0))))</f>
        <v/>
      </c>
      <c r="AF2082" s="2859" t="str">
        <f t="shared" si="326"/>
        <v/>
      </c>
      <c r="AG2082" s="2861" t="str">
        <f>IF(ISNA(INDEX(PoderesDeCriatura_AdquiridosNombres,MATCH(AG$2074&amp;$A7,Principal!$U$42:$U$69,0))),"",INDEX(PoderesDeCriatura_AdquiridosNombres,MATCH(AG$2074&amp;$A7,Principal!$U$42:$U$69,0)))</f>
        <v/>
      </c>
      <c r="AH2082" s="2862" t="str">
        <f>IF(ISNA(INDEX(PoderesDeCriatura_Adquiridos,MATCH(AG$2074&amp;$A7,Principal!$U$42:$U$69,0))),"",IF(INDEX(Principal!$AP$42:$AP$69,MATCH(AG$2074&amp;$A7,Principal!$U$42:$U$69,0))&gt;0,INDEX(Principal!$AF$42:$AF$69,MATCH(AG$2074&amp;$A7,Principal!$U$42:$U$69,0)),INDEX(PoderesDeCriatura_Adquiridos,MATCH(AG$2074&amp;$A7,Principal!$U$42:$U$69,0))))</f>
        <v/>
      </c>
      <c r="AI2082" s="2859" t="str">
        <f t="shared" si="327"/>
        <v/>
      </c>
      <c r="AJ2082" s="2861" t="str">
        <f>IF(ISNA(INDEX(PoderesDeCriatura_AdquiridosNombres,MATCH(AJ$2074&amp;$A7,Principal!$U$42:$U$69,0))),"",INDEX(PoderesDeCriatura_AdquiridosNombres,MATCH(AJ$2074&amp;$A7,Principal!$U$42:$U$69,0)))</f>
        <v/>
      </c>
      <c r="AK2082" s="2862" t="str">
        <f>IF(ISNA(INDEX(PoderesDeCriatura_Adquiridos,MATCH(AJ$2074&amp;$A7,Principal!$U$42:$U$69,0))),"",IF(INDEX(Principal!$AP$42:$AP$69,MATCH(AJ$2074&amp;$A7,Principal!$U$42:$U$69,0))&gt;0,INDEX(Principal!$AF$42:$AF$69,MATCH(AJ$2074&amp;$A7,Principal!$U$42:$U$69,0)),INDEX(PoderesDeCriatura_Adquiridos,MATCH(AJ$2074&amp;$A7,Principal!$U$42:$U$69,0))))</f>
        <v/>
      </c>
      <c r="AL2082" s="2859" t="str">
        <f t="shared" si="328"/>
        <v/>
      </c>
      <c r="AM2082" s="2861" t="str">
        <f>IF(ISNA(INDEX(PoderesDeCriatura_AdquiridosNombres,MATCH(AM$2074&amp;$A7,Principal!$U$42:$U$69,0))),"",INDEX(PoderesDeCriatura_AdquiridosNombres,MATCH(AM$2074&amp;$A7,Principal!$U$42:$U$69,0)))</f>
        <v/>
      </c>
      <c r="AN2082" s="2862" t="str">
        <f>IF(ISNA(INDEX(PoderesDeCriatura_Adquiridos,MATCH(AM$2074&amp;$A7,Principal!$U$42:$U$69,0))),"",IF(INDEX(Principal!$AP$42:$AP$69,MATCH(AM$2074&amp;$A7,Principal!$U$42:$U$69,0))&gt;0,INDEX(Principal!$AF$42:$AF$69,MATCH(AM$2074&amp;$A7,Principal!$U$42:$U$69,0)),INDEX(PoderesDeCriatura_Adquiridos,MATCH(AM$2074&amp;$A7,Principal!$U$42:$U$69,0))))</f>
        <v/>
      </c>
      <c r="AO2082" s="837" t="str">
        <f t="shared" si="329"/>
        <v/>
      </c>
      <c r="AP2082" s="834" t="str">
        <f>IF(OR(AQ2082=0,ISNUMBER(MATCH(AQ2082,$AQ$2077:$AQ2081,0))),"",MAX($AP$2076:AP2081)+1)</f>
        <v/>
      </c>
      <c r="AQ2082" s="1290">
        <f>Principal!V47</f>
        <v>0</v>
      </c>
    </row>
    <row r="2083" spans="1:43" ht="12.75" customHeight="1" x14ac:dyDescent="0.2">
      <c r="A2083" s="227">
        <v>2083</v>
      </c>
      <c r="B2083" s="5988"/>
      <c r="C2083" s="856" t="str">
        <f t="shared" si="314"/>
        <v/>
      </c>
      <c r="D2083" s="489" t="str">
        <f t="shared" si="317"/>
        <v/>
      </c>
      <c r="E2083" s="489" t="str">
        <f t="shared" si="318"/>
        <v/>
      </c>
      <c r="F2083" s="829" t="str">
        <f t="shared" si="316"/>
        <v/>
      </c>
      <c r="G2083" s="6291"/>
      <c r="H2083" s="1354" t="str">
        <f>Combate!AB26</f>
        <v/>
      </c>
      <c r="I2083" s="1362" t="str">
        <f t="shared" si="319"/>
        <v/>
      </c>
      <c r="J2083" s="820" t="str">
        <f>IF(ISNA(VLOOKUP(A9,Principal!$S$42:$AH$69,10,FALSE)),"",IF(VLOOKUP(A9,Principal!$S$42:$AH$69,10,FALSE)=0,"",INDEX(PoderesDeCriatura_Adquiridos,MATCH(A9,Principal!$S$42:$S$69,0))))</f>
        <v/>
      </c>
      <c r="K2083" s="2859" t="str">
        <f>IF(AND(COUNTA($K$2075:K2082)-COUNTBLANK($K$2075:K2082)&gt;0,J2083&lt;&gt;""),", ","")&amp;J2083</f>
        <v/>
      </c>
      <c r="L2083" s="2861" t="str">
        <f>IF(ISNA(INDEX(PoderesDeCriatura_AdquiridosNombres,MATCH(L$2074&amp;$A8,Principal!$U$42:$U$69,0))),"",INDEX(PoderesDeCriatura_AdquiridosNombres,MATCH(L$2074&amp;$A8,Principal!$U$42:$U$69,0)))</f>
        <v/>
      </c>
      <c r="M2083" s="2862" t="str">
        <f>IF(ISNA(INDEX(PoderesDeCriatura_Adquiridos,MATCH(L$2074&amp;$A8,Principal!$U$42:$U$69,0))),"",IF(INDEX(Principal!$AP$42:$AP$69,MATCH(L$2074&amp;$A8,Principal!$U$42:$U$69,0))&gt;0,INDEX(Principal!$AF$42:$AF$69,MATCH(L$2074&amp;$A8,Principal!$U$42:$U$69,0)),INDEX(PoderesDeCriatura_Adquiridos,MATCH(L$2074&amp;$A8,Principal!$U$42:$U$69,0))))</f>
        <v/>
      </c>
      <c r="N2083" s="2859" t="str">
        <f t="shared" si="320"/>
        <v/>
      </c>
      <c r="O2083" s="2861" t="str">
        <f>IF(ISNA(INDEX(PoderesDeCriatura_AdquiridosNombres,MATCH(O$2074&amp;$A8,Principal!$U$42:$U$69,0))),"",INDEX(PoderesDeCriatura_AdquiridosNombres,MATCH(O$2074&amp;$A8,Principal!$U$42:$U$69,0)))</f>
        <v/>
      </c>
      <c r="P2083" s="2862" t="str">
        <f>IF(ISNA(INDEX(PoderesDeCriatura_Adquiridos,MATCH(O$2074&amp;$A8,Principal!$U$42:$U$69,0))),"",IF(INDEX(Principal!$AP$42:$AP$69,MATCH(O$2074&amp;$A8,Principal!$U$42:$U$69,0))&gt;0,INDEX(Principal!$AF$42:$AF$69,MATCH(O$2074&amp;$A8,Principal!$U$42:$U$69,0)),INDEX(PoderesDeCriatura_Adquiridos,MATCH(O$2074&amp;$A8,Principal!$U$42:$U$69,0))))</f>
        <v/>
      </c>
      <c r="Q2083" s="2859" t="str">
        <f t="shared" si="321"/>
        <v/>
      </c>
      <c r="R2083" s="2861" t="str">
        <f>IF(ISNA(INDEX(PoderesDeCriatura_AdquiridosNombres,MATCH(R$2074&amp;$A8,Principal!$U$42:$U$69,0))),"",INDEX(PoderesDeCriatura_AdquiridosNombres,MATCH(R$2074&amp;$A8,Principal!$U$42:$U$69,0)))</f>
        <v/>
      </c>
      <c r="S2083" s="2862" t="str">
        <f>IF(ISNA(INDEX(PoderesDeCriatura_Adquiridos,MATCH(R$2074&amp;$A8,Principal!$U$42:$U$69,0))),"",IF(INDEX(Principal!$AP$42:$AP$69,MATCH(R$2074&amp;$A8,Principal!$U$42:$U$69,0))&gt;0,INDEX(Principal!$AF$42:$AF$69,MATCH(R$2074&amp;$A8,Principal!$U$42:$U$69,0)),INDEX(PoderesDeCriatura_Adquiridos,MATCH(R$2074&amp;$A8,Principal!$U$42:$U$69,0))))</f>
        <v/>
      </c>
      <c r="T2083" s="2859" t="str">
        <f t="shared" si="322"/>
        <v/>
      </c>
      <c r="U2083" s="2861" t="str">
        <f>IF(ISNA(INDEX(PoderesDeCriatura_AdquiridosNombres,MATCH(U$2074&amp;$A8,Principal!$U$42:$U$69,0))),"",INDEX(PoderesDeCriatura_AdquiridosNombres,MATCH(U$2074&amp;$A8,Principal!$U$42:$U$69,0)))</f>
        <v/>
      </c>
      <c r="V2083" s="2862" t="str">
        <f>IF(ISNA(INDEX(PoderesDeCriatura_Adquiridos,MATCH(U$2074&amp;$A8,Principal!$U$42:$U$69,0))),"",IF(INDEX(Principal!$AP$42:$AP$69,MATCH(U$2074&amp;$A8,Principal!$U$42:$U$69,0))&gt;0,INDEX(Principal!$AF$42:$AF$69,MATCH(U$2074&amp;$A8,Principal!$U$42:$U$69,0)),INDEX(PoderesDeCriatura_Adquiridos,MATCH(U$2074&amp;$A8,Principal!$U$42:$U$69,0))))</f>
        <v/>
      </c>
      <c r="W2083" s="2859" t="str">
        <f t="shared" si="323"/>
        <v/>
      </c>
      <c r="X2083" s="2861" t="str">
        <f>IF(ISNA(INDEX(PoderesDeCriatura_AdquiridosNombres,MATCH(X$2074&amp;$A8,Principal!$U$42:$U$69,0))),"",INDEX(PoderesDeCriatura_AdquiridosNombres,MATCH(X$2074&amp;$A8,Principal!$U$42:$U$69,0)))</f>
        <v/>
      </c>
      <c r="Y2083" s="2862" t="str">
        <f>IF(ISNA(INDEX(PoderesDeCriatura_Adquiridos,MATCH(X$2074&amp;$A8,Principal!$U$42:$U$69,0))),"",IF(INDEX(Principal!$AP$42:$AP$69,MATCH(X$2074&amp;$A8,Principal!$U$42:$U$69,0))&gt;0,INDEX(Principal!$AF$42:$AF$69,MATCH(X$2074&amp;$A8,Principal!$U$42:$U$69,0)),INDEX(PoderesDeCriatura_Adquiridos,MATCH(X$2074&amp;$A8,Principal!$U$42:$U$69,0))))</f>
        <v/>
      </c>
      <c r="Z2083" s="2859" t="str">
        <f t="shared" si="324"/>
        <v/>
      </c>
      <c r="AA2083" s="2861" t="str">
        <f>IF(ISNA(INDEX(PoderesDeCriatura_AdquiridosNombres,MATCH(AA$2074&amp;$A8,Principal!$U$42:$U$69,0))),"",INDEX(PoderesDeCriatura_AdquiridosNombres,MATCH(AA$2074&amp;$A8,Principal!$U$42:$U$69,0)))</f>
        <v/>
      </c>
      <c r="AB2083" s="2862" t="str">
        <f>IF(ISNA(INDEX(PoderesDeCriatura_Adquiridos,MATCH(AA$2074&amp;$A8,Principal!$U$42:$U$69,0))),"",IF(INDEX(Principal!$AP$42:$AP$69,MATCH(AA$2074&amp;$A8,Principal!$U$42:$U$69,0))&gt;0,INDEX(Principal!$AF$42:$AF$69,MATCH(AA$2074&amp;$A8,Principal!$U$42:$U$69,0)),INDEX(PoderesDeCriatura_Adquiridos,MATCH(AA$2074&amp;$A8,Principal!$U$42:$U$69,0))))</f>
        <v/>
      </c>
      <c r="AC2083" s="2859" t="str">
        <f t="shared" si="325"/>
        <v/>
      </c>
      <c r="AD2083" s="2861" t="str">
        <f>IF(ISNA(INDEX(PoderesDeCriatura_AdquiridosNombres,MATCH(AD$2074&amp;$A8,Principal!$U$42:$U$69,0))),"",INDEX(PoderesDeCriatura_AdquiridosNombres,MATCH(AD$2074&amp;$A8,Principal!$U$42:$U$69,0)))</f>
        <v/>
      </c>
      <c r="AE2083" s="2862" t="str">
        <f>IF(ISNA(INDEX(PoderesDeCriatura_Adquiridos,MATCH(AD$2074&amp;$A8,Principal!$U$42:$U$69,0))),"",IF(INDEX(Principal!$AP$42:$AP$69,MATCH(AD$2074&amp;$A8,Principal!$U$42:$U$69,0))&gt;0,INDEX(Principal!$AF$42:$AF$69,MATCH(AD$2074&amp;$A8,Principal!$U$42:$U$69,0)),INDEX(PoderesDeCriatura_Adquiridos,MATCH(AD$2074&amp;$A8,Principal!$U$42:$U$69,0))))</f>
        <v/>
      </c>
      <c r="AF2083" s="2859" t="str">
        <f t="shared" si="326"/>
        <v/>
      </c>
      <c r="AG2083" s="2861" t="str">
        <f>IF(ISNA(INDEX(PoderesDeCriatura_AdquiridosNombres,MATCH(AG$2074&amp;$A8,Principal!$U$42:$U$69,0))),"",INDEX(PoderesDeCriatura_AdquiridosNombres,MATCH(AG$2074&amp;$A8,Principal!$U$42:$U$69,0)))</f>
        <v/>
      </c>
      <c r="AH2083" s="2862" t="str">
        <f>IF(ISNA(INDEX(PoderesDeCriatura_Adquiridos,MATCH(AG$2074&amp;$A8,Principal!$U$42:$U$69,0))),"",IF(INDEX(Principal!$AP$42:$AP$69,MATCH(AG$2074&amp;$A8,Principal!$U$42:$U$69,0))&gt;0,INDEX(Principal!$AF$42:$AF$69,MATCH(AG$2074&amp;$A8,Principal!$U$42:$U$69,0)),INDEX(PoderesDeCriatura_Adquiridos,MATCH(AG$2074&amp;$A8,Principal!$U$42:$U$69,0))))</f>
        <v/>
      </c>
      <c r="AI2083" s="2859" t="str">
        <f t="shared" si="327"/>
        <v/>
      </c>
      <c r="AJ2083" s="2861" t="str">
        <f>IF(ISNA(INDEX(PoderesDeCriatura_AdquiridosNombres,MATCH(AJ$2074&amp;$A8,Principal!$U$42:$U$69,0))),"",INDEX(PoderesDeCriatura_AdquiridosNombres,MATCH(AJ$2074&amp;$A8,Principal!$U$42:$U$69,0)))</f>
        <v/>
      </c>
      <c r="AK2083" s="2862" t="str">
        <f>IF(ISNA(INDEX(PoderesDeCriatura_Adquiridos,MATCH(AJ$2074&amp;$A8,Principal!$U$42:$U$69,0))),"",IF(INDEX(Principal!$AP$42:$AP$69,MATCH(AJ$2074&amp;$A8,Principal!$U$42:$U$69,0))&gt;0,INDEX(Principal!$AF$42:$AF$69,MATCH(AJ$2074&amp;$A8,Principal!$U$42:$U$69,0)),INDEX(PoderesDeCriatura_Adquiridos,MATCH(AJ$2074&amp;$A8,Principal!$U$42:$U$69,0))))</f>
        <v/>
      </c>
      <c r="AL2083" s="2859" t="str">
        <f t="shared" si="328"/>
        <v/>
      </c>
      <c r="AM2083" s="2861" t="str">
        <f>IF(ISNA(INDEX(PoderesDeCriatura_AdquiridosNombres,MATCH(AM$2074&amp;$A8,Principal!$U$42:$U$69,0))),"",INDEX(PoderesDeCriatura_AdquiridosNombres,MATCH(AM$2074&amp;$A8,Principal!$U$42:$U$69,0)))</f>
        <v/>
      </c>
      <c r="AN2083" s="2862" t="str">
        <f>IF(ISNA(INDEX(PoderesDeCriatura_Adquiridos,MATCH(AM$2074&amp;$A8,Principal!$U$42:$U$69,0))),"",IF(INDEX(Principal!$AP$42:$AP$69,MATCH(AM$2074&amp;$A8,Principal!$U$42:$U$69,0))&gt;0,INDEX(Principal!$AF$42:$AF$69,MATCH(AM$2074&amp;$A8,Principal!$U$42:$U$69,0)),INDEX(PoderesDeCriatura_Adquiridos,MATCH(AM$2074&amp;$A8,Principal!$U$42:$U$69,0))))</f>
        <v/>
      </c>
      <c r="AO2083" s="837" t="str">
        <f t="shared" si="329"/>
        <v/>
      </c>
      <c r="AP2083" s="834" t="str">
        <f>IF(OR(AQ2083=0,ISNUMBER(MATCH(AQ2083,$AQ$2077:$AQ2082,0))),"",MAX($AP$2076:AP2082)+1)</f>
        <v/>
      </c>
      <c r="AQ2083" s="1290">
        <f>Principal!V48</f>
        <v>0</v>
      </c>
    </row>
    <row r="2084" spans="1:43" ht="12.75" customHeight="1" x14ac:dyDescent="0.2">
      <c r="A2084" s="227">
        <v>2084</v>
      </c>
      <c r="B2084" s="5988"/>
      <c r="C2084" s="856" t="str">
        <f t="shared" si="314"/>
        <v/>
      </c>
      <c r="D2084" s="489" t="str">
        <f t="shared" si="317"/>
        <v/>
      </c>
      <c r="E2084" s="489" t="str">
        <f t="shared" si="318"/>
        <v/>
      </c>
      <c r="F2084" s="829" t="str">
        <f t="shared" si="316"/>
        <v/>
      </c>
      <c r="G2084" s="6291"/>
      <c r="H2084" s="1354" t="str">
        <f>Combate!AB27</f>
        <v/>
      </c>
      <c r="I2084" s="1362" t="str">
        <f t="shared" si="319"/>
        <v/>
      </c>
      <c r="J2084" s="820" t="str">
        <f>IF(ISNA(VLOOKUP(A10,Principal!$S$42:$AH$69,10,FALSE)),"",IF(VLOOKUP(A10,Principal!$S$42:$AH$69,10,FALSE)=0,"",INDEX(PoderesDeCriatura_Adquiridos,MATCH(A10,Principal!$S$42:$S$69,0))))</f>
        <v/>
      </c>
      <c r="K2084" s="2859" t="str">
        <f>IF(AND(COUNTA($K$2075:K2083)-COUNTBLANK($K$2075:K2083)&gt;0,J2084&lt;&gt;""),", ","")&amp;J2084</f>
        <v/>
      </c>
      <c r="L2084" s="2861" t="str">
        <f>IF(ISNA(INDEX(PoderesDeCriatura_AdquiridosNombres,MATCH(L$2074&amp;$A9,Principal!$U$42:$U$69,0))),"",INDEX(PoderesDeCriatura_AdquiridosNombres,MATCH(L$2074&amp;$A9,Principal!$U$42:$U$69,0)))</f>
        <v/>
      </c>
      <c r="M2084" s="2862" t="str">
        <f>IF(ISNA(INDEX(PoderesDeCriatura_Adquiridos,MATCH(L$2074&amp;$A9,Principal!$U$42:$U$69,0))),"",IF(INDEX(Principal!$AP$42:$AP$69,MATCH(L$2074&amp;$A9,Principal!$U$42:$U$69,0))&gt;0,INDEX(Principal!$AF$42:$AF$69,MATCH(L$2074&amp;$A9,Principal!$U$42:$U$69,0)),INDEX(PoderesDeCriatura_Adquiridos,MATCH(L$2074&amp;$A9,Principal!$U$42:$U$69,0))))</f>
        <v/>
      </c>
      <c r="N2084" s="2859" t="str">
        <f t="shared" si="320"/>
        <v/>
      </c>
      <c r="O2084" s="2861" t="str">
        <f>IF(ISNA(INDEX(PoderesDeCriatura_AdquiridosNombres,MATCH(O$2074&amp;$A9,Principal!$U$42:$U$69,0))),"",INDEX(PoderesDeCriatura_AdquiridosNombres,MATCH(O$2074&amp;$A9,Principal!$U$42:$U$69,0)))</f>
        <v/>
      </c>
      <c r="P2084" s="2862" t="str">
        <f>IF(ISNA(INDEX(PoderesDeCriatura_Adquiridos,MATCH(O$2074&amp;$A9,Principal!$U$42:$U$69,0))),"",IF(INDEX(Principal!$AP$42:$AP$69,MATCH(O$2074&amp;$A9,Principal!$U$42:$U$69,0))&gt;0,INDEX(Principal!$AF$42:$AF$69,MATCH(O$2074&amp;$A9,Principal!$U$42:$U$69,0)),INDEX(PoderesDeCriatura_Adquiridos,MATCH(O$2074&amp;$A9,Principal!$U$42:$U$69,0))))</f>
        <v/>
      </c>
      <c r="Q2084" s="2859" t="str">
        <f t="shared" si="321"/>
        <v/>
      </c>
      <c r="R2084" s="2861" t="str">
        <f>IF(ISNA(INDEX(PoderesDeCriatura_AdquiridosNombres,MATCH(R$2074&amp;$A9,Principal!$U$42:$U$69,0))),"",INDEX(PoderesDeCriatura_AdquiridosNombres,MATCH(R$2074&amp;$A9,Principal!$U$42:$U$69,0)))</f>
        <v/>
      </c>
      <c r="S2084" s="2862" t="str">
        <f>IF(ISNA(INDEX(PoderesDeCriatura_Adquiridos,MATCH(R$2074&amp;$A9,Principal!$U$42:$U$69,0))),"",IF(INDEX(Principal!$AP$42:$AP$69,MATCH(R$2074&amp;$A9,Principal!$U$42:$U$69,0))&gt;0,INDEX(Principal!$AF$42:$AF$69,MATCH(R$2074&amp;$A9,Principal!$U$42:$U$69,0)),INDEX(PoderesDeCriatura_Adquiridos,MATCH(R$2074&amp;$A9,Principal!$U$42:$U$69,0))))</f>
        <v/>
      </c>
      <c r="T2084" s="2859" t="str">
        <f t="shared" si="322"/>
        <v/>
      </c>
      <c r="U2084" s="2861" t="str">
        <f>IF(ISNA(INDEX(PoderesDeCriatura_AdquiridosNombres,MATCH(U$2074&amp;$A9,Principal!$U$42:$U$69,0))),"",INDEX(PoderesDeCriatura_AdquiridosNombres,MATCH(U$2074&amp;$A9,Principal!$U$42:$U$69,0)))</f>
        <v/>
      </c>
      <c r="V2084" s="2862" t="str">
        <f>IF(ISNA(INDEX(PoderesDeCriatura_Adquiridos,MATCH(U$2074&amp;$A9,Principal!$U$42:$U$69,0))),"",IF(INDEX(Principal!$AP$42:$AP$69,MATCH(U$2074&amp;$A9,Principal!$U$42:$U$69,0))&gt;0,INDEX(Principal!$AF$42:$AF$69,MATCH(U$2074&amp;$A9,Principal!$U$42:$U$69,0)),INDEX(PoderesDeCriatura_Adquiridos,MATCH(U$2074&amp;$A9,Principal!$U$42:$U$69,0))))</f>
        <v/>
      </c>
      <c r="W2084" s="2859" t="str">
        <f t="shared" si="323"/>
        <v/>
      </c>
      <c r="X2084" s="2861" t="str">
        <f>IF(ISNA(INDEX(PoderesDeCriatura_AdquiridosNombres,MATCH(X$2074&amp;$A9,Principal!$U$42:$U$69,0))),"",INDEX(PoderesDeCriatura_AdquiridosNombres,MATCH(X$2074&amp;$A9,Principal!$U$42:$U$69,0)))</f>
        <v/>
      </c>
      <c r="Y2084" s="2862" t="str">
        <f>IF(ISNA(INDEX(PoderesDeCriatura_Adquiridos,MATCH(X$2074&amp;$A9,Principal!$U$42:$U$69,0))),"",IF(INDEX(Principal!$AP$42:$AP$69,MATCH(X$2074&amp;$A9,Principal!$U$42:$U$69,0))&gt;0,INDEX(Principal!$AF$42:$AF$69,MATCH(X$2074&amp;$A9,Principal!$U$42:$U$69,0)),INDEX(PoderesDeCriatura_Adquiridos,MATCH(X$2074&amp;$A9,Principal!$U$42:$U$69,0))))</f>
        <v/>
      </c>
      <c r="Z2084" s="2859" t="str">
        <f t="shared" si="324"/>
        <v/>
      </c>
      <c r="AA2084" s="2861" t="str">
        <f>IF(ISNA(INDEX(PoderesDeCriatura_AdquiridosNombres,MATCH(AA$2074&amp;$A9,Principal!$U$42:$U$69,0))),"",INDEX(PoderesDeCriatura_AdquiridosNombres,MATCH(AA$2074&amp;$A9,Principal!$U$42:$U$69,0)))</f>
        <v/>
      </c>
      <c r="AB2084" s="2862" t="str">
        <f>IF(ISNA(INDEX(PoderesDeCriatura_Adquiridos,MATCH(AA$2074&amp;$A9,Principal!$U$42:$U$69,0))),"",IF(INDEX(Principal!$AP$42:$AP$69,MATCH(AA$2074&amp;$A9,Principal!$U$42:$U$69,0))&gt;0,INDEX(Principal!$AF$42:$AF$69,MATCH(AA$2074&amp;$A9,Principal!$U$42:$U$69,0)),INDEX(PoderesDeCriatura_Adquiridos,MATCH(AA$2074&amp;$A9,Principal!$U$42:$U$69,0))))</f>
        <v/>
      </c>
      <c r="AC2084" s="2859" t="str">
        <f t="shared" si="325"/>
        <v/>
      </c>
      <c r="AD2084" s="2861" t="str">
        <f>IF(ISNA(INDEX(PoderesDeCriatura_AdquiridosNombres,MATCH(AD$2074&amp;$A9,Principal!$U$42:$U$69,0))),"",INDEX(PoderesDeCriatura_AdquiridosNombres,MATCH(AD$2074&amp;$A9,Principal!$U$42:$U$69,0)))</f>
        <v/>
      </c>
      <c r="AE2084" s="2862" t="str">
        <f>IF(ISNA(INDEX(PoderesDeCriatura_Adquiridos,MATCH(AD$2074&amp;$A9,Principal!$U$42:$U$69,0))),"",IF(INDEX(Principal!$AP$42:$AP$69,MATCH(AD$2074&amp;$A9,Principal!$U$42:$U$69,0))&gt;0,INDEX(Principal!$AF$42:$AF$69,MATCH(AD$2074&amp;$A9,Principal!$U$42:$U$69,0)),INDEX(PoderesDeCriatura_Adquiridos,MATCH(AD$2074&amp;$A9,Principal!$U$42:$U$69,0))))</f>
        <v/>
      </c>
      <c r="AF2084" s="2859" t="str">
        <f t="shared" si="326"/>
        <v/>
      </c>
      <c r="AG2084" s="2861" t="str">
        <f>IF(ISNA(INDEX(PoderesDeCriatura_AdquiridosNombres,MATCH(AG$2074&amp;$A9,Principal!$U$42:$U$69,0))),"",INDEX(PoderesDeCriatura_AdquiridosNombres,MATCH(AG$2074&amp;$A9,Principal!$U$42:$U$69,0)))</f>
        <v/>
      </c>
      <c r="AH2084" s="2862" t="str">
        <f>IF(ISNA(INDEX(PoderesDeCriatura_Adquiridos,MATCH(AG$2074&amp;$A9,Principal!$U$42:$U$69,0))),"",IF(INDEX(Principal!$AP$42:$AP$69,MATCH(AG$2074&amp;$A9,Principal!$U$42:$U$69,0))&gt;0,INDEX(Principal!$AF$42:$AF$69,MATCH(AG$2074&amp;$A9,Principal!$U$42:$U$69,0)),INDEX(PoderesDeCriatura_Adquiridos,MATCH(AG$2074&amp;$A9,Principal!$U$42:$U$69,0))))</f>
        <v/>
      </c>
      <c r="AI2084" s="2859" t="str">
        <f t="shared" si="327"/>
        <v/>
      </c>
      <c r="AJ2084" s="2861" t="str">
        <f>IF(ISNA(INDEX(PoderesDeCriatura_AdquiridosNombres,MATCH(AJ$2074&amp;$A9,Principal!$U$42:$U$69,0))),"",INDEX(PoderesDeCriatura_AdquiridosNombres,MATCH(AJ$2074&amp;$A9,Principal!$U$42:$U$69,0)))</f>
        <v/>
      </c>
      <c r="AK2084" s="2862" t="str">
        <f>IF(ISNA(INDEX(PoderesDeCriatura_Adquiridos,MATCH(AJ$2074&amp;$A9,Principal!$U$42:$U$69,0))),"",IF(INDEX(Principal!$AP$42:$AP$69,MATCH(AJ$2074&amp;$A9,Principal!$U$42:$U$69,0))&gt;0,INDEX(Principal!$AF$42:$AF$69,MATCH(AJ$2074&amp;$A9,Principal!$U$42:$U$69,0)),INDEX(PoderesDeCriatura_Adquiridos,MATCH(AJ$2074&amp;$A9,Principal!$U$42:$U$69,0))))</f>
        <v/>
      </c>
      <c r="AL2084" s="2859" t="str">
        <f t="shared" si="328"/>
        <v/>
      </c>
      <c r="AM2084" s="2861" t="str">
        <f>IF(ISNA(INDEX(PoderesDeCriatura_AdquiridosNombres,MATCH(AM$2074&amp;$A9,Principal!$U$42:$U$69,0))),"",INDEX(PoderesDeCriatura_AdquiridosNombres,MATCH(AM$2074&amp;$A9,Principal!$U$42:$U$69,0)))</f>
        <v/>
      </c>
      <c r="AN2084" s="2862" t="str">
        <f>IF(ISNA(INDEX(PoderesDeCriatura_Adquiridos,MATCH(AM$2074&amp;$A9,Principal!$U$42:$U$69,0))),"",IF(INDEX(Principal!$AP$42:$AP$69,MATCH(AM$2074&amp;$A9,Principal!$U$42:$U$69,0))&gt;0,INDEX(Principal!$AF$42:$AF$69,MATCH(AM$2074&amp;$A9,Principal!$U$42:$U$69,0)),INDEX(PoderesDeCriatura_Adquiridos,MATCH(AM$2074&amp;$A9,Principal!$U$42:$U$69,0))))</f>
        <v/>
      </c>
      <c r="AO2084" s="837" t="str">
        <f t="shared" si="329"/>
        <v/>
      </c>
      <c r="AP2084" s="834" t="str">
        <f>IF(OR(AQ2084=0,ISNUMBER(MATCH(AQ2084,$AQ$2077:$AQ2083,0))),"",MAX($AP$2076:AP2083)+1)</f>
        <v/>
      </c>
      <c r="AQ2084" s="1290">
        <f>Principal!V49</f>
        <v>0</v>
      </c>
    </row>
    <row r="2085" spans="1:43" ht="12.75" customHeight="1" x14ac:dyDescent="0.2">
      <c r="A2085" s="227">
        <v>2085</v>
      </c>
      <c r="B2085" s="5988"/>
      <c r="C2085" s="856" t="str">
        <f>IF(D2085="","",COUNTIF($D$2070:$D$2112,"&lt;="&amp;D2085)-SUMPRODUCT(--($D$2070:$D$2112="")))</f>
        <v/>
      </c>
      <c r="D2085" s="827" t="str">
        <f t="shared" si="317"/>
        <v/>
      </c>
      <c r="E2085" s="827" t="str">
        <f t="shared" si="318"/>
        <v/>
      </c>
      <c r="F2085" s="829" t="str">
        <f t="shared" si="316"/>
        <v/>
      </c>
      <c r="G2085" s="6291"/>
      <c r="H2085" s="1355" t="str">
        <f>Combate!AB28</f>
        <v/>
      </c>
      <c r="I2085" s="1363" t="str">
        <f t="shared" si="319"/>
        <v/>
      </c>
      <c r="J2085" s="820" t="str">
        <f>IF(ISNA(VLOOKUP(A11,Principal!$S$42:$AH$69,10,FALSE)),"",IF(VLOOKUP(A11,Principal!$S$42:$AH$69,10,FALSE)=0,"",INDEX(PoderesDeCriatura_Adquiridos,MATCH(A11,Principal!$S$42:$S$69,0))))</f>
        <v/>
      </c>
      <c r="K2085" s="2859" t="str">
        <f>IF(AND(COUNTA($K$2075:K2084)-COUNTBLANK($K$2075:K2084)&gt;0,J2085&lt;&gt;""),", ","")&amp;J2085</f>
        <v/>
      </c>
      <c r="L2085" s="2861" t="str">
        <f>IF(ISNA(INDEX(PoderesDeCriatura_AdquiridosNombres,MATCH(L$2074&amp;$A10,Principal!$U$42:$U$69,0))),"",INDEX(PoderesDeCriatura_AdquiridosNombres,MATCH(L$2074&amp;$A10,Principal!$U$42:$U$69,0)))</f>
        <v/>
      </c>
      <c r="M2085" s="2862" t="str">
        <f>IF(ISNA(INDEX(PoderesDeCriatura_Adquiridos,MATCH(L$2074&amp;$A10,Principal!$U$42:$U$69,0))),"",IF(INDEX(Principal!$AP$42:$AP$69,MATCH(L$2074&amp;$A10,Principal!$U$42:$U$69,0))&gt;0,INDEX(Principal!$AF$42:$AF$69,MATCH(L$2074&amp;$A10,Principal!$U$42:$U$69,0)),INDEX(PoderesDeCriatura_Adquiridos,MATCH(L$2074&amp;$A10,Principal!$U$42:$U$69,0))))</f>
        <v/>
      </c>
      <c r="N2085" s="2859" t="str">
        <f t="shared" si="320"/>
        <v/>
      </c>
      <c r="O2085" s="2861" t="str">
        <f>IF(ISNA(INDEX(PoderesDeCriatura_AdquiridosNombres,MATCH(O$2074&amp;$A10,Principal!$U$42:$U$69,0))),"",INDEX(PoderesDeCriatura_AdquiridosNombres,MATCH(O$2074&amp;$A10,Principal!$U$42:$U$69,0)))</f>
        <v/>
      </c>
      <c r="P2085" s="2862" t="str">
        <f>IF(ISNA(INDEX(PoderesDeCriatura_Adquiridos,MATCH(O$2074&amp;$A10,Principal!$U$42:$U$69,0))),"",IF(INDEX(Principal!$AP$42:$AP$69,MATCH(O$2074&amp;$A10,Principal!$U$42:$U$69,0))&gt;0,INDEX(Principal!$AF$42:$AF$69,MATCH(O$2074&amp;$A10,Principal!$U$42:$U$69,0)),INDEX(PoderesDeCriatura_Adquiridos,MATCH(O$2074&amp;$A10,Principal!$U$42:$U$69,0))))</f>
        <v/>
      </c>
      <c r="Q2085" s="2859" t="str">
        <f t="shared" si="321"/>
        <v/>
      </c>
      <c r="R2085" s="2861" t="str">
        <f>IF(ISNA(INDEX(PoderesDeCriatura_AdquiridosNombres,MATCH(R$2074&amp;$A10,Principal!$U$42:$U$69,0))),"",INDEX(PoderesDeCriatura_AdquiridosNombres,MATCH(R$2074&amp;$A10,Principal!$U$42:$U$69,0)))</f>
        <v/>
      </c>
      <c r="S2085" s="2862" t="str">
        <f>IF(ISNA(INDEX(PoderesDeCriatura_Adquiridos,MATCH(R$2074&amp;$A10,Principal!$U$42:$U$69,0))),"",IF(INDEX(Principal!$AP$42:$AP$69,MATCH(R$2074&amp;$A10,Principal!$U$42:$U$69,0))&gt;0,INDEX(Principal!$AF$42:$AF$69,MATCH(R$2074&amp;$A10,Principal!$U$42:$U$69,0)),INDEX(PoderesDeCriatura_Adquiridos,MATCH(R$2074&amp;$A10,Principal!$U$42:$U$69,0))))</f>
        <v/>
      </c>
      <c r="T2085" s="2859" t="str">
        <f t="shared" si="322"/>
        <v/>
      </c>
      <c r="U2085" s="2861" t="str">
        <f>IF(ISNA(INDEX(PoderesDeCriatura_AdquiridosNombres,MATCH(U$2074&amp;$A10,Principal!$U$42:$U$69,0))),"",INDEX(PoderesDeCriatura_AdquiridosNombres,MATCH(U$2074&amp;$A10,Principal!$U$42:$U$69,0)))</f>
        <v/>
      </c>
      <c r="V2085" s="2862" t="str">
        <f>IF(ISNA(INDEX(PoderesDeCriatura_Adquiridos,MATCH(U$2074&amp;$A10,Principal!$U$42:$U$69,0))),"",IF(INDEX(Principal!$AP$42:$AP$69,MATCH(U$2074&amp;$A10,Principal!$U$42:$U$69,0))&gt;0,INDEX(Principal!$AF$42:$AF$69,MATCH(U$2074&amp;$A10,Principal!$U$42:$U$69,0)),INDEX(PoderesDeCriatura_Adquiridos,MATCH(U$2074&amp;$A10,Principal!$U$42:$U$69,0))))</f>
        <v/>
      </c>
      <c r="W2085" s="2859" t="str">
        <f t="shared" si="323"/>
        <v/>
      </c>
      <c r="X2085" s="2861" t="str">
        <f>IF(ISNA(INDEX(PoderesDeCriatura_AdquiridosNombres,MATCH(X$2074&amp;$A10,Principal!$U$42:$U$69,0))),"",INDEX(PoderesDeCriatura_AdquiridosNombres,MATCH(X$2074&amp;$A10,Principal!$U$42:$U$69,0)))</f>
        <v/>
      </c>
      <c r="Y2085" s="2862" t="str">
        <f>IF(ISNA(INDEX(PoderesDeCriatura_Adquiridos,MATCH(X$2074&amp;$A10,Principal!$U$42:$U$69,0))),"",IF(INDEX(Principal!$AP$42:$AP$69,MATCH(X$2074&amp;$A10,Principal!$U$42:$U$69,0))&gt;0,INDEX(Principal!$AF$42:$AF$69,MATCH(X$2074&amp;$A10,Principal!$U$42:$U$69,0)),INDEX(PoderesDeCriatura_Adquiridos,MATCH(X$2074&amp;$A10,Principal!$U$42:$U$69,0))))</f>
        <v/>
      </c>
      <c r="Z2085" s="2859" t="str">
        <f t="shared" si="324"/>
        <v/>
      </c>
      <c r="AA2085" s="2861" t="str">
        <f>IF(ISNA(INDEX(PoderesDeCriatura_AdquiridosNombres,MATCH(AA$2074&amp;$A10,Principal!$U$42:$U$69,0))),"",INDEX(PoderesDeCriatura_AdquiridosNombres,MATCH(AA$2074&amp;$A10,Principal!$U$42:$U$69,0)))</f>
        <v/>
      </c>
      <c r="AB2085" s="2862" t="str">
        <f>IF(ISNA(INDEX(PoderesDeCriatura_Adquiridos,MATCH(AA$2074&amp;$A10,Principal!$U$42:$U$69,0))),"",IF(INDEX(Principal!$AP$42:$AP$69,MATCH(AA$2074&amp;$A10,Principal!$U$42:$U$69,0))&gt;0,INDEX(Principal!$AF$42:$AF$69,MATCH(AA$2074&amp;$A10,Principal!$U$42:$U$69,0)),INDEX(PoderesDeCriatura_Adquiridos,MATCH(AA$2074&amp;$A10,Principal!$U$42:$U$69,0))))</f>
        <v/>
      </c>
      <c r="AC2085" s="2859" t="str">
        <f t="shared" si="325"/>
        <v/>
      </c>
      <c r="AD2085" s="2861" t="str">
        <f>IF(ISNA(INDEX(PoderesDeCriatura_AdquiridosNombres,MATCH(AD$2074&amp;$A10,Principal!$U$42:$U$69,0))),"",INDEX(PoderesDeCriatura_AdquiridosNombres,MATCH(AD$2074&amp;$A10,Principal!$U$42:$U$69,0)))</f>
        <v/>
      </c>
      <c r="AE2085" s="2862" t="str">
        <f>IF(ISNA(INDEX(PoderesDeCriatura_Adquiridos,MATCH(AD$2074&amp;$A10,Principal!$U$42:$U$69,0))),"",IF(INDEX(Principal!$AP$42:$AP$69,MATCH(AD$2074&amp;$A10,Principal!$U$42:$U$69,0))&gt;0,INDEX(Principal!$AF$42:$AF$69,MATCH(AD$2074&amp;$A10,Principal!$U$42:$U$69,0)),INDEX(PoderesDeCriatura_Adquiridos,MATCH(AD$2074&amp;$A10,Principal!$U$42:$U$69,0))))</f>
        <v/>
      </c>
      <c r="AF2085" s="2859" t="str">
        <f t="shared" si="326"/>
        <v/>
      </c>
      <c r="AG2085" s="2861" t="str">
        <f>IF(ISNA(INDEX(PoderesDeCriatura_AdquiridosNombres,MATCH(AG$2074&amp;$A10,Principal!$U$42:$U$69,0))),"",INDEX(PoderesDeCriatura_AdquiridosNombres,MATCH(AG$2074&amp;$A10,Principal!$U$42:$U$69,0)))</f>
        <v/>
      </c>
      <c r="AH2085" s="2862" t="str">
        <f>IF(ISNA(INDEX(PoderesDeCriatura_Adquiridos,MATCH(AG$2074&amp;$A10,Principal!$U$42:$U$69,0))),"",IF(INDEX(Principal!$AP$42:$AP$69,MATCH(AG$2074&amp;$A10,Principal!$U$42:$U$69,0))&gt;0,INDEX(Principal!$AF$42:$AF$69,MATCH(AG$2074&amp;$A10,Principal!$U$42:$U$69,0)),INDEX(PoderesDeCriatura_Adquiridos,MATCH(AG$2074&amp;$A10,Principal!$U$42:$U$69,0))))</f>
        <v/>
      </c>
      <c r="AI2085" s="2859" t="str">
        <f t="shared" si="327"/>
        <v/>
      </c>
      <c r="AJ2085" s="2861" t="str">
        <f>IF(ISNA(INDEX(PoderesDeCriatura_AdquiridosNombres,MATCH(AJ$2074&amp;$A10,Principal!$U$42:$U$69,0))),"",INDEX(PoderesDeCriatura_AdquiridosNombres,MATCH(AJ$2074&amp;$A10,Principal!$U$42:$U$69,0)))</f>
        <v/>
      </c>
      <c r="AK2085" s="2862" t="str">
        <f>IF(ISNA(INDEX(PoderesDeCriatura_Adquiridos,MATCH(AJ$2074&amp;$A10,Principal!$U$42:$U$69,0))),"",IF(INDEX(Principal!$AP$42:$AP$69,MATCH(AJ$2074&amp;$A10,Principal!$U$42:$U$69,0))&gt;0,INDEX(Principal!$AF$42:$AF$69,MATCH(AJ$2074&amp;$A10,Principal!$U$42:$U$69,0)),INDEX(PoderesDeCriatura_Adquiridos,MATCH(AJ$2074&amp;$A10,Principal!$U$42:$U$69,0))))</f>
        <v/>
      </c>
      <c r="AL2085" s="2859" t="str">
        <f t="shared" si="328"/>
        <v/>
      </c>
      <c r="AM2085" s="2861" t="str">
        <f>IF(ISNA(INDEX(PoderesDeCriatura_AdquiridosNombres,MATCH(AM$2074&amp;$A10,Principal!$U$42:$U$69,0))),"",INDEX(PoderesDeCriatura_AdquiridosNombres,MATCH(AM$2074&amp;$A10,Principal!$U$42:$U$69,0)))</f>
        <v/>
      </c>
      <c r="AN2085" s="2862" t="str">
        <f>IF(ISNA(INDEX(PoderesDeCriatura_Adquiridos,MATCH(AM$2074&amp;$A10,Principal!$U$42:$U$69,0))),"",IF(INDEX(Principal!$AP$42:$AP$69,MATCH(AM$2074&amp;$A10,Principal!$U$42:$U$69,0))&gt;0,INDEX(Principal!$AF$42:$AF$69,MATCH(AM$2074&amp;$A10,Principal!$U$42:$U$69,0)),INDEX(PoderesDeCriatura_Adquiridos,MATCH(AM$2074&amp;$A10,Principal!$U$42:$U$69,0))))</f>
        <v/>
      </c>
      <c r="AO2085" s="837" t="str">
        <f t="shared" si="329"/>
        <v/>
      </c>
      <c r="AP2085" s="834" t="str">
        <f>IF(OR(AQ2085=0,ISNUMBER(MATCH(AQ2085,$AQ$2077:$AQ2084,0))),"",MAX($AP$2076:AP2084)+1)</f>
        <v/>
      </c>
      <c r="AQ2085" s="1290">
        <f>Principal!V50</f>
        <v>0</v>
      </c>
    </row>
    <row r="2086" spans="1:43" ht="12.75" customHeight="1" x14ac:dyDescent="0.2">
      <c r="A2086" s="227">
        <v>2086</v>
      </c>
      <c r="B2086" s="5988"/>
      <c r="C2086" s="860" t="str">
        <f>IF(D2086="","",COUNTIF($D$2070:$D$2112,"&lt;="&amp;D2086)-SUMPRODUCT(--($D$2070:$D$2112="")))</f>
        <v/>
      </c>
      <c r="D2086" s="489" t="str">
        <f>IFERROR(LEFT(H2086,FIND("(",H2086)-2),"")</f>
        <v/>
      </c>
      <c r="E2086" s="489" t="str">
        <f>IFERROR(VLOOKUP(D2086&amp;" (Arcano)",$H$2086:$H$2104,1,0),IFERROR(VLOOKUP(D2086&amp;" (Supremo)",$H$2086:$H$2104,1,0),IFERROR(VLOOKUP(D2086&amp;" (Avanzado)",$H$2086:$H$2104,1,0),IFERROR(VLOOKUP(D2086&amp;" (Base)",$H$2086:$H$2104,1,0),""))))</f>
        <v/>
      </c>
      <c r="F2086" s="829" t="str">
        <f t="shared" si="316"/>
        <v/>
      </c>
      <c r="G2086" s="6291"/>
      <c r="H2086" s="1354" t="str">
        <f>Combate!AB31</f>
        <v/>
      </c>
      <c r="J2086" s="820" t="str">
        <f>IF(ISNA(VLOOKUP(A12,Principal!$S$42:$AH$69,10,FALSE)),"",IF(VLOOKUP(A12,Principal!$S$42:$AH$69,10,FALSE)=0,"",INDEX(PoderesDeCriatura_Adquiridos,MATCH(A12,Principal!$S$42:$S$69,0))))</f>
        <v/>
      </c>
      <c r="K2086" s="2859" t="str">
        <f>IF(AND(COUNTA($K$2075:K2085)-COUNTBLANK($K$2075:K2085)&gt;0,J2086&lt;&gt;""),", ","")&amp;J2086</f>
        <v/>
      </c>
      <c r="L2086" s="2861" t="str">
        <f>IF(ISNA(INDEX(PoderesDeCriatura_AdquiridosNombres,MATCH(L$2074&amp;$A11,Principal!$U$42:$U$69,0))),"",INDEX(PoderesDeCriatura_AdquiridosNombres,MATCH(L$2074&amp;$A11,Principal!$U$42:$U$69,0)))</f>
        <v/>
      </c>
      <c r="M2086" s="2862" t="str">
        <f>IF(ISNA(INDEX(PoderesDeCriatura_Adquiridos,MATCH(L$2074&amp;$A11,Principal!$U$42:$U$69,0))),"",IF(INDEX(Principal!$AP$42:$AP$69,MATCH(L$2074&amp;$A11,Principal!$U$42:$U$69,0))&gt;0,INDEX(Principal!$AF$42:$AF$69,MATCH(L$2074&amp;$A11,Principal!$U$42:$U$69,0)),INDEX(PoderesDeCriatura_Adquiridos,MATCH(L$2074&amp;$A11,Principal!$U$42:$U$69,0))))</f>
        <v/>
      </c>
      <c r="N2086" s="2859" t="str">
        <f t="shared" si="320"/>
        <v/>
      </c>
      <c r="O2086" s="2861" t="str">
        <f>IF(ISNA(INDEX(PoderesDeCriatura_AdquiridosNombres,MATCH(O$2074&amp;$A11,Principal!$U$42:$U$69,0))),"",INDEX(PoderesDeCriatura_AdquiridosNombres,MATCH(O$2074&amp;$A11,Principal!$U$42:$U$69,0)))</f>
        <v/>
      </c>
      <c r="P2086" s="2862" t="str">
        <f>IF(ISNA(INDEX(PoderesDeCriatura_Adquiridos,MATCH(O$2074&amp;$A11,Principal!$U$42:$U$69,0))),"",IF(INDEX(Principal!$AP$42:$AP$69,MATCH(O$2074&amp;$A11,Principal!$U$42:$U$69,0))&gt;0,INDEX(Principal!$AF$42:$AF$69,MATCH(O$2074&amp;$A11,Principal!$U$42:$U$69,0)),INDEX(PoderesDeCriatura_Adquiridos,MATCH(O$2074&amp;$A11,Principal!$U$42:$U$69,0))))</f>
        <v/>
      </c>
      <c r="Q2086" s="2859" t="str">
        <f t="shared" si="321"/>
        <v/>
      </c>
      <c r="R2086" s="2861" t="str">
        <f>IF(ISNA(INDEX(PoderesDeCriatura_AdquiridosNombres,MATCH(R$2074&amp;$A11,Principal!$U$42:$U$69,0))),"",INDEX(PoderesDeCriatura_AdquiridosNombres,MATCH(R$2074&amp;$A11,Principal!$U$42:$U$69,0)))</f>
        <v/>
      </c>
      <c r="S2086" s="2862" t="str">
        <f>IF(ISNA(INDEX(PoderesDeCriatura_Adquiridos,MATCH(R$2074&amp;$A11,Principal!$U$42:$U$69,0))),"",IF(INDEX(Principal!$AP$42:$AP$69,MATCH(R$2074&amp;$A11,Principal!$U$42:$U$69,0))&gt;0,INDEX(Principal!$AF$42:$AF$69,MATCH(R$2074&amp;$A11,Principal!$U$42:$U$69,0)),INDEX(PoderesDeCriatura_Adquiridos,MATCH(R$2074&amp;$A11,Principal!$U$42:$U$69,0))))</f>
        <v/>
      </c>
      <c r="T2086" s="2859" t="str">
        <f t="shared" si="322"/>
        <v/>
      </c>
      <c r="U2086" s="2861" t="str">
        <f>IF(ISNA(INDEX(PoderesDeCriatura_AdquiridosNombres,MATCH(U$2074&amp;$A11,Principal!$U$42:$U$69,0))),"",INDEX(PoderesDeCriatura_AdquiridosNombres,MATCH(U$2074&amp;$A11,Principal!$U$42:$U$69,0)))</f>
        <v/>
      </c>
      <c r="V2086" s="2862" t="str">
        <f>IF(ISNA(INDEX(PoderesDeCriatura_Adquiridos,MATCH(U$2074&amp;$A11,Principal!$U$42:$U$69,0))),"",IF(INDEX(Principal!$AP$42:$AP$69,MATCH(U$2074&amp;$A11,Principal!$U$42:$U$69,0))&gt;0,INDEX(Principal!$AF$42:$AF$69,MATCH(U$2074&amp;$A11,Principal!$U$42:$U$69,0)),INDEX(PoderesDeCriatura_Adquiridos,MATCH(U$2074&amp;$A11,Principal!$U$42:$U$69,0))))</f>
        <v/>
      </c>
      <c r="W2086" s="2859" t="str">
        <f t="shared" si="323"/>
        <v/>
      </c>
      <c r="X2086" s="2861" t="str">
        <f>IF(ISNA(INDEX(PoderesDeCriatura_AdquiridosNombres,MATCH(X$2074&amp;$A11,Principal!$U$42:$U$69,0))),"",INDEX(PoderesDeCriatura_AdquiridosNombres,MATCH(X$2074&amp;$A11,Principal!$U$42:$U$69,0)))</f>
        <v/>
      </c>
      <c r="Y2086" s="2862" t="str">
        <f>IF(ISNA(INDEX(PoderesDeCriatura_Adquiridos,MATCH(X$2074&amp;$A11,Principal!$U$42:$U$69,0))),"",IF(INDEX(Principal!$AP$42:$AP$69,MATCH(X$2074&amp;$A11,Principal!$U$42:$U$69,0))&gt;0,INDEX(Principal!$AF$42:$AF$69,MATCH(X$2074&amp;$A11,Principal!$U$42:$U$69,0)),INDEX(PoderesDeCriatura_Adquiridos,MATCH(X$2074&amp;$A11,Principal!$U$42:$U$69,0))))</f>
        <v/>
      </c>
      <c r="Z2086" s="2859" t="str">
        <f t="shared" si="324"/>
        <v/>
      </c>
      <c r="AA2086" s="2861" t="str">
        <f>IF(ISNA(INDEX(PoderesDeCriatura_AdquiridosNombres,MATCH(AA$2074&amp;$A11,Principal!$U$42:$U$69,0))),"",INDEX(PoderesDeCriatura_AdquiridosNombres,MATCH(AA$2074&amp;$A11,Principal!$U$42:$U$69,0)))</f>
        <v/>
      </c>
      <c r="AB2086" s="2862" t="str">
        <f>IF(ISNA(INDEX(PoderesDeCriatura_Adquiridos,MATCH(AA$2074&amp;$A11,Principal!$U$42:$U$69,0))),"",IF(INDEX(Principal!$AP$42:$AP$69,MATCH(AA$2074&amp;$A11,Principal!$U$42:$U$69,0))&gt;0,INDEX(Principal!$AF$42:$AF$69,MATCH(AA$2074&amp;$A11,Principal!$U$42:$U$69,0)),INDEX(PoderesDeCriatura_Adquiridos,MATCH(AA$2074&amp;$A11,Principal!$U$42:$U$69,0))))</f>
        <v/>
      </c>
      <c r="AC2086" s="2859" t="str">
        <f t="shared" si="325"/>
        <v/>
      </c>
      <c r="AD2086" s="2861" t="str">
        <f>IF(ISNA(INDEX(PoderesDeCriatura_AdquiridosNombres,MATCH(AD$2074&amp;$A11,Principal!$U$42:$U$69,0))),"",INDEX(PoderesDeCriatura_AdquiridosNombres,MATCH(AD$2074&amp;$A11,Principal!$U$42:$U$69,0)))</f>
        <v/>
      </c>
      <c r="AE2086" s="2862" t="str">
        <f>IF(ISNA(INDEX(PoderesDeCriatura_Adquiridos,MATCH(AD$2074&amp;$A11,Principal!$U$42:$U$69,0))),"",IF(INDEX(Principal!$AP$42:$AP$69,MATCH(AD$2074&amp;$A11,Principal!$U$42:$U$69,0))&gt;0,INDEX(Principal!$AF$42:$AF$69,MATCH(AD$2074&amp;$A11,Principal!$U$42:$U$69,0)),INDEX(PoderesDeCriatura_Adquiridos,MATCH(AD$2074&amp;$A11,Principal!$U$42:$U$69,0))))</f>
        <v/>
      </c>
      <c r="AF2086" s="2859" t="str">
        <f t="shared" si="326"/>
        <v/>
      </c>
      <c r="AG2086" s="2861" t="str">
        <f>IF(ISNA(INDEX(PoderesDeCriatura_AdquiridosNombres,MATCH(AG$2074&amp;$A11,Principal!$U$42:$U$69,0))),"",INDEX(PoderesDeCriatura_AdquiridosNombres,MATCH(AG$2074&amp;$A11,Principal!$U$42:$U$69,0)))</f>
        <v/>
      </c>
      <c r="AH2086" s="2862" t="str">
        <f>IF(ISNA(INDEX(PoderesDeCriatura_Adquiridos,MATCH(AG$2074&amp;$A11,Principal!$U$42:$U$69,0))),"",IF(INDEX(Principal!$AP$42:$AP$69,MATCH(AG$2074&amp;$A11,Principal!$U$42:$U$69,0))&gt;0,INDEX(Principal!$AF$42:$AF$69,MATCH(AG$2074&amp;$A11,Principal!$U$42:$U$69,0)),INDEX(PoderesDeCriatura_Adquiridos,MATCH(AG$2074&amp;$A11,Principal!$U$42:$U$69,0))))</f>
        <v/>
      </c>
      <c r="AI2086" s="2859" t="str">
        <f t="shared" si="327"/>
        <v/>
      </c>
      <c r="AJ2086" s="2861" t="str">
        <f>IF(ISNA(INDEX(PoderesDeCriatura_AdquiridosNombres,MATCH(AJ$2074&amp;$A11,Principal!$U$42:$U$69,0))),"",INDEX(PoderesDeCriatura_AdquiridosNombres,MATCH(AJ$2074&amp;$A11,Principal!$U$42:$U$69,0)))</f>
        <v/>
      </c>
      <c r="AK2086" s="2862" t="str">
        <f>IF(ISNA(INDEX(PoderesDeCriatura_Adquiridos,MATCH(AJ$2074&amp;$A11,Principal!$U$42:$U$69,0))),"",IF(INDEX(Principal!$AP$42:$AP$69,MATCH(AJ$2074&amp;$A11,Principal!$U$42:$U$69,0))&gt;0,INDEX(Principal!$AF$42:$AF$69,MATCH(AJ$2074&amp;$A11,Principal!$U$42:$U$69,0)),INDEX(PoderesDeCriatura_Adquiridos,MATCH(AJ$2074&amp;$A11,Principal!$U$42:$U$69,0))))</f>
        <v/>
      </c>
      <c r="AL2086" s="2859" t="str">
        <f t="shared" si="328"/>
        <v/>
      </c>
      <c r="AM2086" s="2861" t="str">
        <f>IF(ISNA(INDEX(PoderesDeCriatura_AdquiridosNombres,MATCH(AM$2074&amp;$A11,Principal!$U$42:$U$69,0))),"",INDEX(PoderesDeCriatura_AdquiridosNombres,MATCH(AM$2074&amp;$A11,Principal!$U$42:$U$69,0)))</f>
        <v/>
      </c>
      <c r="AN2086" s="2862" t="str">
        <f>IF(ISNA(INDEX(PoderesDeCriatura_Adquiridos,MATCH(AM$2074&amp;$A11,Principal!$U$42:$U$69,0))),"",IF(INDEX(Principal!$AP$42:$AP$69,MATCH(AM$2074&amp;$A11,Principal!$U$42:$U$69,0))&gt;0,INDEX(Principal!$AF$42:$AF$69,MATCH(AM$2074&amp;$A11,Principal!$U$42:$U$69,0)),INDEX(PoderesDeCriatura_Adquiridos,MATCH(AM$2074&amp;$A11,Principal!$U$42:$U$69,0))))</f>
        <v/>
      </c>
      <c r="AO2086" s="837" t="str">
        <f t="shared" si="329"/>
        <v/>
      </c>
      <c r="AP2086" s="834" t="str">
        <f>IF(OR(AQ2086=0,ISNUMBER(MATCH(AQ2086,$AQ$2077:$AQ2085,0))),"",MAX($AP$2076:AP2085)+1)</f>
        <v/>
      </c>
      <c r="AQ2086" s="1290">
        <f>Principal!V51</f>
        <v>0</v>
      </c>
    </row>
    <row r="2087" spans="1:43" ht="12.75" customHeight="1" x14ac:dyDescent="0.2">
      <c r="A2087" s="227">
        <v>2087</v>
      </c>
      <c r="B2087" s="5988"/>
      <c r="C2087" s="860" t="str">
        <f t="shared" si="314"/>
        <v/>
      </c>
      <c r="D2087" s="489" t="str">
        <f t="shared" ref="D2087:D2104" si="330">IFERROR(LEFT(H2087,FIND("(",H2087)-2),"")</f>
        <v/>
      </c>
      <c r="E2087" s="489" t="str">
        <f t="shared" ref="E2087:E2104" si="331">IFERROR(VLOOKUP(D2087&amp;" (Arcano)",$H$2086:$H$2104,1,0),IFERROR(VLOOKUP(D2087&amp;" (Supremo)",$H$2086:$H$2104,1,0),IFERROR(VLOOKUP(D2087&amp;" (Avanzado)",$H$2086:$H$2104,1,0),IFERROR(VLOOKUP(D2087&amp;" (Base)",$H$2086:$H$2104,1,0),""))))</f>
        <v/>
      </c>
      <c r="F2087" s="829" t="str">
        <f t="shared" si="316"/>
        <v/>
      </c>
      <c r="G2087" s="6291"/>
      <c r="H2087" s="1354" t="str">
        <f>Combate!AB32</f>
        <v/>
      </c>
      <c r="I2087" s="559"/>
      <c r="J2087" s="820" t="str">
        <f>IF(ISNA(VLOOKUP(A13,Principal!$S$42:$AH$69,10,FALSE)),"",IF(VLOOKUP(A13,Principal!$S$42:$AH$69,10,FALSE)=0,"",INDEX(PoderesDeCriatura_Adquiridos,MATCH(A13,Principal!$S$42:$S$69,0))))</f>
        <v/>
      </c>
      <c r="K2087" s="2859" t="str">
        <f>IF(AND(COUNTA($K$2075:K2086)-COUNTBLANK($K$2075:K2086)&gt;0,J2087&lt;&gt;""),", ","")&amp;J2087</f>
        <v/>
      </c>
      <c r="L2087" s="2861" t="str">
        <f>IF(ISNA(INDEX(PoderesDeCriatura_AdquiridosNombres,MATCH(L$2074&amp;$A12,Principal!$U$42:$U$69,0))),"",INDEX(PoderesDeCriatura_AdquiridosNombres,MATCH(L$2074&amp;$A12,Principal!$U$42:$U$69,0)))</f>
        <v/>
      </c>
      <c r="M2087" s="2862" t="str">
        <f>IF(ISNA(INDEX(PoderesDeCriatura_Adquiridos,MATCH(L$2074&amp;$A12,Principal!$U$42:$U$69,0))),"",IF(INDEX(Principal!$AP$42:$AP$69,MATCH(L$2074&amp;$A12,Principal!$U$42:$U$69,0))&gt;0,INDEX(Principal!$AF$42:$AF$69,MATCH(L$2074&amp;$A12,Principal!$U$42:$U$69,0)),INDEX(PoderesDeCriatura_Adquiridos,MATCH(L$2074&amp;$A12,Principal!$U$42:$U$69,0))))</f>
        <v/>
      </c>
      <c r="N2087" s="2859" t="str">
        <f t="shared" si="320"/>
        <v/>
      </c>
      <c r="O2087" s="2861" t="str">
        <f>IF(ISNA(INDEX(PoderesDeCriatura_AdquiridosNombres,MATCH(O$2074&amp;$A12,Principal!$U$42:$U$69,0))),"",INDEX(PoderesDeCriatura_AdquiridosNombres,MATCH(O$2074&amp;$A12,Principal!$U$42:$U$69,0)))</f>
        <v/>
      </c>
      <c r="P2087" s="2862" t="str">
        <f>IF(ISNA(INDEX(PoderesDeCriatura_Adquiridos,MATCH(O$2074&amp;$A12,Principal!$U$42:$U$69,0))),"",IF(INDEX(Principal!$AP$42:$AP$69,MATCH(O$2074&amp;$A12,Principal!$U$42:$U$69,0))&gt;0,INDEX(Principal!$AF$42:$AF$69,MATCH(O$2074&amp;$A12,Principal!$U$42:$U$69,0)),INDEX(PoderesDeCriatura_Adquiridos,MATCH(O$2074&amp;$A12,Principal!$U$42:$U$69,0))))</f>
        <v/>
      </c>
      <c r="Q2087" s="2859" t="str">
        <f t="shared" si="321"/>
        <v/>
      </c>
      <c r="R2087" s="2861" t="str">
        <f>IF(ISNA(INDEX(PoderesDeCriatura_AdquiridosNombres,MATCH(R$2074&amp;$A12,Principal!$U$42:$U$69,0))),"",INDEX(PoderesDeCriatura_AdquiridosNombres,MATCH(R$2074&amp;$A12,Principal!$U$42:$U$69,0)))</f>
        <v/>
      </c>
      <c r="S2087" s="2862" t="str">
        <f>IF(ISNA(INDEX(PoderesDeCriatura_Adquiridos,MATCH(R$2074&amp;$A12,Principal!$U$42:$U$69,0))),"",IF(INDEX(Principal!$AP$42:$AP$69,MATCH(R$2074&amp;$A12,Principal!$U$42:$U$69,0))&gt;0,INDEX(Principal!$AF$42:$AF$69,MATCH(R$2074&amp;$A12,Principal!$U$42:$U$69,0)),INDEX(PoderesDeCriatura_Adquiridos,MATCH(R$2074&amp;$A12,Principal!$U$42:$U$69,0))))</f>
        <v/>
      </c>
      <c r="T2087" s="2859" t="str">
        <f t="shared" si="322"/>
        <v/>
      </c>
      <c r="U2087" s="2861" t="str">
        <f>IF(ISNA(INDEX(PoderesDeCriatura_AdquiridosNombres,MATCH(U$2074&amp;$A12,Principal!$U$42:$U$69,0))),"",INDEX(PoderesDeCriatura_AdquiridosNombres,MATCH(U$2074&amp;$A12,Principal!$U$42:$U$69,0)))</f>
        <v/>
      </c>
      <c r="V2087" s="2862" t="str">
        <f>IF(ISNA(INDEX(PoderesDeCriatura_Adquiridos,MATCH(U$2074&amp;$A12,Principal!$U$42:$U$69,0))),"",IF(INDEX(Principal!$AP$42:$AP$69,MATCH(U$2074&amp;$A12,Principal!$U$42:$U$69,0))&gt;0,INDEX(Principal!$AF$42:$AF$69,MATCH(U$2074&amp;$A12,Principal!$U$42:$U$69,0)),INDEX(PoderesDeCriatura_Adquiridos,MATCH(U$2074&amp;$A12,Principal!$U$42:$U$69,0))))</f>
        <v/>
      </c>
      <c r="W2087" s="2859" t="str">
        <f t="shared" si="323"/>
        <v/>
      </c>
      <c r="X2087" s="2861" t="str">
        <f>IF(ISNA(INDEX(PoderesDeCriatura_AdquiridosNombres,MATCH(X$2074&amp;$A12,Principal!$U$42:$U$69,0))),"",INDEX(PoderesDeCriatura_AdquiridosNombres,MATCH(X$2074&amp;$A12,Principal!$U$42:$U$69,0)))</f>
        <v/>
      </c>
      <c r="Y2087" s="2862" t="str">
        <f>IF(ISNA(INDEX(PoderesDeCriatura_Adquiridos,MATCH(X$2074&amp;$A12,Principal!$U$42:$U$69,0))),"",IF(INDEX(Principal!$AP$42:$AP$69,MATCH(X$2074&amp;$A12,Principal!$U$42:$U$69,0))&gt;0,INDEX(Principal!$AF$42:$AF$69,MATCH(X$2074&amp;$A12,Principal!$U$42:$U$69,0)),INDEX(PoderesDeCriatura_Adquiridos,MATCH(X$2074&amp;$A12,Principal!$U$42:$U$69,0))))</f>
        <v/>
      </c>
      <c r="Z2087" s="2859" t="str">
        <f t="shared" si="324"/>
        <v/>
      </c>
      <c r="AA2087" s="2861" t="str">
        <f>IF(ISNA(INDEX(PoderesDeCriatura_AdquiridosNombres,MATCH(AA$2074&amp;$A12,Principal!$U$42:$U$69,0))),"",INDEX(PoderesDeCriatura_AdquiridosNombres,MATCH(AA$2074&amp;$A12,Principal!$U$42:$U$69,0)))</f>
        <v/>
      </c>
      <c r="AB2087" s="2862" t="str">
        <f>IF(ISNA(INDEX(PoderesDeCriatura_Adquiridos,MATCH(AA$2074&amp;$A12,Principal!$U$42:$U$69,0))),"",IF(INDEX(Principal!$AP$42:$AP$69,MATCH(AA$2074&amp;$A12,Principal!$U$42:$U$69,0))&gt;0,INDEX(Principal!$AF$42:$AF$69,MATCH(AA$2074&amp;$A12,Principal!$U$42:$U$69,0)),INDEX(PoderesDeCriatura_Adquiridos,MATCH(AA$2074&amp;$A12,Principal!$U$42:$U$69,0))))</f>
        <v/>
      </c>
      <c r="AC2087" s="2859" t="str">
        <f t="shared" si="325"/>
        <v/>
      </c>
      <c r="AD2087" s="2861" t="str">
        <f>IF(ISNA(INDEX(PoderesDeCriatura_AdquiridosNombres,MATCH(AD$2074&amp;$A12,Principal!$U$42:$U$69,0))),"",INDEX(PoderesDeCriatura_AdquiridosNombres,MATCH(AD$2074&amp;$A12,Principal!$U$42:$U$69,0)))</f>
        <v/>
      </c>
      <c r="AE2087" s="2862" t="str">
        <f>IF(ISNA(INDEX(PoderesDeCriatura_Adquiridos,MATCH(AD$2074&amp;$A12,Principal!$U$42:$U$69,0))),"",IF(INDEX(Principal!$AP$42:$AP$69,MATCH(AD$2074&amp;$A12,Principal!$U$42:$U$69,0))&gt;0,INDEX(Principal!$AF$42:$AF$69,MATCH(AD$2074&amp;$A12,Principal!$U$42:$U$69,0)),INDEX(PoderesDeCriatura_Adquiridos,MATCH(AD$2074&amp;$A12,Principal!$U$42:$U$69,0))))</f>
        <v/>
      </c>
      <c r="AF2087" s="2859" t="str">
        <f t="shared" si="326"/>
        <v/>
      </c>
      <c r="AG2087" s="2861" t="str">
        <f>IF(ISNA(INDEX(PoderesDeCriatura_AdquiridosNombres,MATCH(AG$2074&amp;$A12,Principal!$U$42:$U$69,0))),"",INDEX(PoderesDeCriatura_AdquiridosNombres,MATCH(AG$2074&amp;$A12,Principal!$U$42:$U$69,0)))</f>
        <v/>
      </c>
      <c r="AH2087" s="2862" t="str">
        <f>IF(ISNA(INDEX(PoderesDeCriatura_Adquiridos,MATCH(AG$2074&amp;$A12,Principal!$U$42:$U$69,0))),"",IF(INDEX(Principal!$AP$42:$AP$69,MATCH(AG$2074&amp;$A12,Principal!$U$42:$U$69,0))&gt;0,INDEX(Principal!$AF$42:$AF$69,MATCH(AG$2074&amp;$A12,Principal!$U$42:$U$69,0)),INDEX(PoderesDeCriatura_Adquiridos,MATCH(AG$2074&amp;$A12,Principal!$U$42:$U$69,0))))</f>
        <v/>
      </c>
      <c r="AI2087" s="2859" t="str">
        <f t="shared" si="327"/>
        <v/>
      </c>
      <c r="AJ2087" s="2861" t="str">
        <f>IF(ISNA(INDEX(PoderesDeCriatura_AdquiridosNombres,MATCH(AJ$2074&amp;$A12,Principal!$U$42:$U$69,0))),"",INDEX(PoderesDeCriatura_AdquiridosNombres,MATCH(AJ$2074&amp;$A12,Principal!$U$42:$U$69,0)))</f>
        <v/>
      </c>
      <c r="AK2087" s="2862" t="str">
        <f>IF(ISNA(INDEX(PoderesDeCriatura_Adquiridos,MATCH(AJ$2074&amp;$A12,Principal!$U$42:$U$69,0))),"",IF(INDEX(Principal!$AP$42:$AP$69,MATCH(AJ$2074&amp;$A12,Principal!$U$42:$U$69,0))&gt;0,INDEX(Principal!$AF$42:$AF$69,MATCH(AJ$2074&amp;$A12,Principal!$U$42:$U$69,0)),INDEX(PoderesDeCriatura_Adquiridos,MATCH(AJ$2074&amp;$A12,Principal!$U$42:$U$69,0))))</f>
        <v/>
      </c>
      <c r="AL2087" s="2859" t="str">
        <f t="shared" si="328"/>
        <v/>
      </c>
      <c r="AM2087" s="2861" t="str">
        <f>IF(ISNA(INDEX(PoderesDeCriatura_AdquiridosNombres,MATCH(AM$2074&amp;$A12,Principal!$U$42:$U$69,0))),"",INDEX(PoderesDeCriatura_AdquiridosNombres,MATCH(AM$2074&amp;$A12,Principal!$U$42:$U$69,0)))</f>
        <v/>
      </c>
      <c r="AN2087" s="2862" t="str">
        <f>IF(ISNA(INDEX(PoderesDeCriatura_Adquiridos,MATCH(AM$2074&amp;$A12,Principal!$U$42:$U$69,0))),"",IF(INDEX(Principal!$AP$42:$AP$69,MATCH(AM$2074&amp;$A12,Principal!$U$42:$U$69,0))&gt;0,INDEX(Principal!$AF$42:$AF$69,MATCH(AM$2074&amp;$A12,Principal!$U$42:$U$69,0)),INDEX(PoderesDeCriatura_Adquiridos,MATCH(AM$2074&amp;$A12,Principal!$U$42:$U$69,0))))</f>
        <v/>
      </c>
      <c r="AO2087" s="837" t="str">
        <f t="shared" si="329"/>
        <v/>
      </c>
      <c r="AP2087" s="834" t="str">
        <f>IF(OR(AQ2087=0,ISNUMBER(MATCH(AQ2087,$AQ$2077:$AQ2086,0))),"",MAX($AP$2076:AP2086)+1)</f>
        <v/>
      </c>
      <c r="AQ2087" s="1290">
        <f>Principal!V52</f>
        <v>0</v>
      </c>
    </row>
    <row r="2088" spans="1:43" ht="12.75" customHeight="1" x14ac:dyDescent="0.2">
      <c r="A2088" s="227">
        <v>2088</v>
      </c>
      <c r="B2088" s="5988"/>
      <c r="C2088" s="860" t="str">
        <f t="shared" si="314"/>
        <v/>
      </c>
      <c r="D2088" s="489" t="str">
        <f t="shared" si="330"/>
        <v/>
      </c>
      <c r="E2088" s="489" t="str">
        <f t="shared" si="331"/>
        <v/>
      </c>
      <c r="F2088" s="829" t="str">
        <f t="shared" si="316"/>
        <v/>
      </c>
      <c r="G2088" s="6291"/>
      <c r="H2088" s="1354" t="str">
        <f>Combate!AB33</f>
        <v/>
      </c>
      <c r="I2088" s="559"/>
      <c r="J2088" s="820" t="str">
        <f>IF(ISNA(VLOOKUP(A14,Principal!$S$42:$AH$69,10,FALSE)),"",IF(VLOOKUP(A14,Principal!$S$42:$AH$69,10,FALSE)=0,"",INDEX(PoderesDeCriatura_Adquiridos,MATCH(A14,Principal!$S$42:$S$69,0))))</f>
        <v/>
      </c>
      <c r="K2088" s="2859" t="str">
        <f>IF(AND(COUNTA($K$2075:K2087)-COUNTBLANK($K$2075:K2087)&gt;0,J2088&lt;&gt;""),", ","")&amp;J2088</f>
        <v/>
      </c>
      <c r="L2088" s="2861" t="str">
        <f>IF(ISNA(INDEX(PoderesDeCriatura_AdquiridosNombres,MATCH(L$2074&amp;$A13,Principal!$U$42:$U$69,0))),"",INDEX(PoderesDeCriatura_AdquiridosNombres,MATCH(L$2074&amp;$A13,Principal!$U$42:$U$69,0)))</f>
        <v/>
      </c>
      <c r="M2088" s="2862" t="str">
        <f>IF(ISNA(INDEX(PoderesDeCriatura_Adquiridos,MATCH(L$2074&amp;$A13,Principal!$U$42:$U$69,0))),"",IF(INDEX(Principal!$AP$42:$AP$69,MATCH(L$2074&amp;$A13,Principal!$U$42:$U$69,0))&gt;0,INDEX(Principal!$AF$42:$AF$69,MATCH(L$2074&amp;$A13,Principal!$U$42:$U$69,0)),INDEX(PoderesDeCriatura_Adquiridos,MATCH(L$2074&amp;$A13,Principal!$U$42:$U$69,0))))</f>
        <v/>
      </c>
      <c r="N2088" s="2859" t="str">
        <f t="shared" si="320"/>
        <v/>
      </c>
      <c r="O2088" s="2861" t="str">
        <f>IF(ISNA(INDEX(PoderesDeCriatura_AdquiridosNombres,MATCH(O$2074&amp;$A13,Principal!$U$42:$U$69,0))),"",INDEX(PoderesDeCriatura_AdquiridosNombres,MATCH(O$2074&amp;$A13,Principal!$U$42:$U$69,0)))</f>
        <v/>
      </c>
      <c r="P2088" s="2862" t="str">
        <f>IF(ISNA(INDEX(PoderesDeCriatura_Adquiridos,MATCH(O$2074&amp;$A13,Principal!$U$42:$U$69,0))),"",IF(INDEX(Principal!$AP$42:$AP$69,MATCH(O$2074&amp;$A13,Principal!$U$42:$U$69,0))&gt;0,INDEX(Principal!$AF$42:$AF$69,MATCH(O$2074&amp;$A13,Principal!$U$42:$U$69,0)),INDEX(PoderesDeCriatura_Adquiridos,MATCH(O$2074&amp;$A13,Principal!$U$42:$U$69,0))))</f>
        <v/>
      </c>
      <c r="Q2088" s="2859" t="str">
        <f t="shared" si="321"/>
        <v/>
      </c>
      <c r="R2088" s="2861" t="str">
        <f>IF(ISNA(INDEX(PoderesDeCriatura_AdquiridosNombres,MATCH(R$2074&amp;$A13,Principal!$U$42:$U$69,0))),"",INDEX(PoderesDeCriatura_AdquiridosNombres,MATCH(R$2074&amp;$A13,Principal!$U$42:$U$69,0)))</f>
        <v/>
      </c>
      <c r="S2088" s="2862" t="str">
        <f>IF(ISNA(INDEX(PoderesDeCriatura_Adquiridos,MATCH(R$2074&amp;$A13,Principal!$U$42:$U$69,0))),"",IF(INDEX(Principal!$AP$42:$AP$69,MATCH(R$2074&amp;$A13,Principal!$U$42:$U$69,0))&gt;0,INDEX(Principal!$AF$42:$AF$69,MATCH(R$2074&amp;$A13,Principal!$U$42:$U$69,0)),INDEX(PoderesDeCriatura_Adquiridos,MATCH(R$2074&amp;$A13,Principal!$U$42:$U$69,0))))</f>
        <v/>
      </c>
      <c r="T2088" s="2859" t="str">
        <f t="shared" si="322"/>
        <v/>
      </c>
      <c r="U2088" s="2861" t="str">
        <f>IF(ISNA(INDEX(PoderesDeCriatura_AdquiridosNombres,MATCH(U$2074&amp;$A13,Principal!$U$42:$U$69,0))),"",INDEX(PoderesDeCriatura_AdquiridosNombres,MATCH(U$2074&amp;$A13,Principal!$U$42:$U$69,0)))</f>
        <v/>
      </c>
      <c r="V2088" s="2862" t="str">
        <f>IF(ISNA(INDEX(PoderesDeCriatura_Adquiridos,MATCH(U$2074&amp;$A13,Principal!$U$42:$U$69,0))),"",IF(INDEX(Principal!$AP$42:$AP$69,MATCH(U$2074&amp;$A13,Principal!$U$42:$U$69,0))&gt;0,INDEX(Principal!$AF$42:$AF$69,MATCH(U$2074&amp;$A13,Principal!$U$42:$U$69,0)),INDEX(PoderesDeCriatura_Adquiridos,MATCH(U$2074&amp;$A13,Principal!$U$42:$U$69,0))))</f>
        <v/>
      </c>
      <c r="W2088" s="2859" t="str">
        <f t="shared" si="323"/>
        <v/>
      </c>
      <c r="X2088" s="2861" t="str">
        <f>IF(ISNA(INDEX(PoderesDeCriatura_AdquiridosNombres,MATCH(X$2074&amp;$A13,Principal!$U$42:$U$69,0))),"",INDEX(PoderesDeCriatura_AdquiridosNombres,MATCH(X$2074&amp;$A13,Principal!$U$42:$U$69,0)))</f>
        <v/>
      </c>
      <c r="Y2088" s="2862" t="str">
        <f>IF(ISNA(INDEX(PoderesDeCriatura_Adquiridos,MATCH(X$2074&amp;$A13,Principal!$U$42:$U$69,0))),"",IF(INDEX(Principal!$AP$42:$AP$69,MATCH(X$2074&amp;$A13,Principal!$U$42:$U$69,0))&gt;0,INDEX(Principal!$AF$42:$AF$69,MATCH(X$2074&amp;$A13,Principal!$U$42:$U$69,0)),INDEX(PoderesDeCriatura_Adquiridos,MATCH(X$2074&amp;$A13,Principal!$U$42:$U$69,0))))</f>
        <v/>
      </c>
      <c r="Z2088" s="2859" t="str">
        <f t="shared" si="324"/>
        <v/>
      </c>
      <c r="AA2088" s="2861" t="str">
        <f>IF(ISNA(INDEX(PoderesDeCriatura_AdquiridosNombres,MATCH(AA$2074&amp;$A13,Principal!$U$42:$U$69,0))),"",INDEX(PoderesDeCriatura_AdquiridosNombres,MATCH(AA$2074&amp;$A13,Principal!$U$42:$U$69,0)))</f>
        <v/>
      </c>
      <c r="AB2088" s="2862" t="str">
        <f>IF(ISNA(INDEX(PoderesDeCriatura_Adquiridos,MATCH(AA$2074&amp;$A13,Principal!$U$42:$U$69,0))),"",IF(INDEX(Principal!$AP$42:$AP$69,MATCH(AA$2074&amp;$A13,Principal!$U$42:$U$69,0))&gt;0,INDEX(Principal!$AF$42:$AF$69,MATCH(AA$2074&amp;$A13,Principal!$U$42:$U$69,0)),INDEX(PoderesDeCriatura_Adquiridos,MATCH(AA$2074&amp;$A13,Principal!$U$42:$U$69,0))))</f>
        <v/>
      </c>
      <c r="AC2088" s="2859" t="str">
        <f t="shared" si="325"/>
        <v/>
      </c>
      <c r="AD2088" s="2861" t="str">
        <f>IF(ISNA(INDEX(PoderesDeCriatura_AdquiridosNombres,MATCH(AD$2074&amp;$A13,Principal!$U$42:$U$69,0))),"",INDEX(PoderesDeCriatura_AdquiridosNombres,MATCH(AD$2074&amp;$A13,Principal!$U$42:$U$69,0)))</f>
        <v/>
      </c>
      <c r="AE2088" s="2862" t="str">
        <f>IF(ISNA(INDEX(PoderesDeCriatura_Adquiridos,MATCH(AD$2074&amp;$A13,Principal!$U$42:$U$69,0))),"",IF(INDEX(Principal!$AP$42:$AP$69,MATCH(AD$2074&amp;$A13,Principal!$U$42:$U$69,0))&gt;0,INDEX(Principal!$AF$42:$AF$69,MATCH(AD$2074&amp;$A13,Principal!$U$42:$U$69,0)),INDEX(PoderesDeCriatura_Adquiridos,MATCH(AD$2074&amp;$A13,Principal!$U$42:$U$69,0))))</f>
        <v/>
      </c>
      <c r="AF2088" s="2859" t="str">
        <f t="shared" si="326"/>
        <v/>
      </c>
      <c r="AG2088" s="2861" t="str">
        <f>IF(ISNA(INDEX(PoderesDeCriatura_AdquiridosNombres,MATCH(AG$2074&amp;$A13,Principal!$U$42:$U$69,0))),"",INDEX(PoderesDeCriatura_AdquiridosNombres,MATCH(AG$2074&amp;$A13,Principal!$U$42:$U$69,0)))</f>
        <v/>
      </c>
      <c r="AH2088" s="2862" t="str">
        <f>IF(ISNA(INDEX(PoderesDeCriatura_Adquiridos,MATCH(AG$2074&amp;$A13,Principal!$U$42:$U$69,0))),"",IF(INDEX(Principal!$AP$42:$AP$69,MATCH(AG$2074&amp;$A13,Principal!$U$42:$U$69,0))&gt;0,INDEX(Principal!$AF$42:$AF$69,MATCH(AG$2074&amp;$A13,Principal!$U$42:$U$69,0)),INDEX(PoderesDeCriatura_Adquiridos,MATCH(AG$2074&amp;$A13,Principal!$U$42:$U$69,0))))</f>
        <v/>
      </c>
      <c r="AI2088" s="2859" t="str">
        <f t="shared" si="327"/>
        <v/>
      </c>
      <c r="AJ2088" s="2861" t="str">
        <f>IF(ISNA(INDEX(PoderesDeCriatura_AdquiridosNombres,MATCH(AJ$2074&amp;$A13,Principal!$U$42:$U$69,0))),"",INDEX(PoderesDeCriatura_AdquiridosNombres,MATCH(AJ$2074&amp;$A13,Principal!$U$42:$U$69,0)))</f>
        <v/>
      </c>
      <c r="AK2088" s="2862" t="str">
        <f>IF(ISNA(INDEX(PoderesDeCriatura_Adquiridos,MATCH(AJ$2074&amp;$A13,Principal!$U$42:$U$69,0))),"",IF(INDEX(Principal!$AP$42:$AP$69,MATCH(AJ$2074&amp;$A13,Principal!$U$42:$U$69,0))&gt;0,INDEX(Principal!$AF$42:$AF$69,MATCH(AJ$2074&amp;$A13,Principal!$U$42:$U$69,0)),INDEX(PoderesDeCriatura_Adquiridos,MATCH(AJ$2074&amp;$A13,Principal!$U$42:$U$69,0))))</f>
        <v/>
      </c>
      <c r="AL2088" s="2859" t="str">
        <f t="shared" si="328"/>
        <v/>
      </c>
      <c r="AM2088" s="2861" t="str">
        <f>IF(ISNA(INDEX(PoderesDeCriatura_AdquiridosNombres,MATCH(AM$2074&amp;$A13,Principal!$U$42:$U$69,0))),"",INDEX(PoderesDeCriatura_AdquiridosNombres,MATCH(AM$2074&amp;$A13,Principal!$U$42:$U$69,0)))</f>
        <v/>
      </c>
      <c r="AN2088" s="2862" t="str">
        <f>IF(ISNA(INDEX(PoderesDeCriatura_Adquiridos,MATCH(AM$2074&amp;$A13,Principal!$U$42:$U$69,0))),"",IF(INDEX(Principal!$AP$42:$AP$69,MATCH(AM$2074&amp;$A13,Principal!$U$42:$U$69,0))&gt;0,INDEX(Principal!$AF$42:$AF$69,MATCH(AM$2074&amp;$A13,Principal!$U$42:$U$69,0)),INDEX(PoderesDeCriatura_Adquiridos,MATCH(AM$2074&amp;$A13,Principal!$U$42:$U$69,0))))</f>
        <v/>
      </c>
      <c r="AO2088" s="837" t="str">
        <f t="shared" si="329"/>
        <v/>
      </c>
      <c r="AP2088" s="834" t="str">
        <f>IF(OR(AQ2088=0,ISNUMBER(MATCH(AQ2088,$AQ$2077:$AQ2087,0))),"",MAX($AP$2076:AP2087)+1)</f>
        <v/>
      </c>
      <c r="AQ2088" s="1290">
        <f>Principal!V53</f>
        <v>0</v>
      </c>
    </row>
    <row r="2089" spans="1:43" ht="12.75" customHeight="1" x14ac:dyDescent="0.2">
      <c r="A2089" s="227">
        <v>2089</v>
      </c>
      <c r="B2089" s="5988"/>
      <c r="C2089" s="860" t="str">
        <f t="shared" si="314"/>
        <v/>
      </c>
      <c r="D2089" s="489" t="str">
        <f t="shared" si="330"/>
        <v/>
      </c>
      <c r="E2089" s="489" t="str">
        <f t="shared" si="331"/>
        <v/>
      </c>
      <c r="F2089" s="829" t="str">
        <f t="shared" si="316"/>
        <v/>
      </c>
      <c r="G2089" s="6291"/>
      <c r="H2089" s="1354" t="str">
        <f>Combate!AB34</f>
        <v/>
      </c>
      <c r="I2089" s="559"/>
      <c r="J2089" s="820" t="str">
        <f>IF(ISNA(VLOOKUP(A15,Principal!$S$42:$AH$69,10,FALSE)),"",IF(VLOOKUP(A15,Principal!$S$42:$AH$69,10,FALSE)=0,"",INDEX(PoderesDeCriatura_Adquiridos,MATCH(A15,Principal!$S$42:$S$69,0))))</f>
        <v/>
      </c>
      <c r="K2089" s="2859" t="str">
        <f>IF(AND(COUNTA($K$2075:K2088)-COUNTBLANK($K$2075:K2088)&gt;0,J2089&lt;&gt;""),", ","")&amp;J2089</f>
        <v/>
      </c>
      <c r="L2089" s="2861" t="str">
        <f>IF(ISNA(INDEX(PoderesDeCriatura_AdquiridosNombres,MATCH(L$2074&amp;$A14,Principal!$U$42:$U$69,0))),"",INDEX(PoderesDeCriatura_AdquiridosNombres,MATCH(L$2074&amp;$A14,Principal!$U$42:$U$69,0)))</f>
        <v/>
      </c>
      <c r="M2089" s="2862" t="str">
        <f>IF(ISNA(INDEX(PoderesDeCriatura_Adquiridos,MATCH(L$2074&amp;$A14,Principal!$U$42:$U$69,0))),"",IF(INDEX(Principal!$AP$42:$AP$69,MATCH(L$2074&amp;$A14,Principal!$U$42:$U$69,0))&gt;0,INDEX(Principal!$AF$42:$AF$69,MATCH(L$2074&amp;$A14,Principal!$U$42:$U$69,0)),INDEX(PoderesDeCriatura_Adquiridos,MATCH(L$2074&amp;$A14,Principal!$U$42:$U$69,0))))</f>
        <v/>
      </c>
      <c r="N2089" s="2859" t="str">
        <f t="shared" si="320"/>
        <v/>
      </c>
      <c r="O2089" s="2861" t="str">
        <f>IF(ISNA(INDEX(PoderesDeCriatura_AdquiridosNombres,MATCH(O$2074&amp;$A14,Principal!$U$42:$U$69,0))),"",INDEX(PoderesDeCriatura_AdquiridosNombres,MATCH(O$2074&amp;$A14,Principal!$U$42:$U$69,0)))</f>
        <v/>
      </c>
      <c r="P2089" s="2862" t="str">
        <f>IF(ISNA(INDEX(PoderesDeCriatura_Adquiridos,MATCH(O$2074&amp;$A14,Principal!$U$42:$U$69,0))),"",IF(INDEX(Principal!$AP$42:$AP$69,MATCH(O$2074&amp;$A14,Principal!$U$42:$U$69,0))&gt;0,INDEX(Principal!$AF$42:$AF$69,MATCH(O$2074&amp;$A14,Principal!$U$42:$U$69,0)),INDEX(PoderesDeCriatura_Adquiridos,MATCH(O$2074&amp;$A14,Principal!$U$42:$U$69,0))))</f>
        <v/>
      </c>
      <c r="Q2089" s="2859" t="str">
        <f t="shared" si="321"/>
        <v/>
      </c>
      <c r="R2089" s="2861" t="str">
        <f>IF(ISNA(INDEX(PoderesDeCriatura_AdquiridosNombres,MATCH(R$2074&amp;$A14,Principal!$U$42:$U$69,0))),"",INDEX(PoderesDeCriatura_AdquiridosNombres,MATCH(R$2074&amp;$A14,Principal!$U$42:$U$69,0)))</f>
        <v/>
      </c>
      <c r="S2089" s="2862" t="str">
        <f>IF(ISNA(INDEX(PoderesDeCriatura_Adquiridos,MATCH(R$2074&amp;$A14,Principal!$U$42:$U$69,0))),"",IF(INDEX(Principal!$AP$42:$AP$69,MATCH(R$2074&amp;$A14,Principal!$U$42:$U$69,0))&gt;0,INDEX(Principal!$AF$42:$AF$69,MATCH(R$2074&amp;$A14,Principal!$U$42:$U$69,0)),INDEX(PoderesDeCriatura_Adquiridos,MATCH(R$2074&amp;$A14,Principal!$U$42:$U$69,0))))</f>
        <v/>
      </c>
      <c r="T2089" s="2859" t="str">
        <f t="shared" si="322"/>
        <v/>
      </c>
      <c r="U2089" s="2861" t="str">
        <f>IF(ISNA(INDEX(PoderesDeCriatura_AdquiridosNombres,MATCH(U$2074&amp;$A14,Principal!$U$42:$U$69,0))),"",INDEX(PoderesDeCriatura_AdquiridosNombres,MATCH(U$2074&amp;$A14,Principal!$U$42:$U$69,0)))</f>
        <v/>
      </c>
      <c r="V2089" s="2862" t="str">
        <f>IF(ISNA(INDEX(PoderesDeCriatura_Adquiridos,MATCH(U$2074&amp;$A14,Principal!$U$42:$U$69,0))),"",IF(INDEX(Principal!$AP$42:$AP$69,MATCH(U$2074&amp;$A14,Principal!$U$42:$U$69,0))&gt;0,INDEX(Principal!$AF$42:$AF$69,MATCH(U$2074&amp;$A14,Principal!$U$42:$U$69,0)),INDEX(PoderesDeCriatura_Adquiridos,MATCH(U$2074&amp;$A14,Principal!$U$42:$U$69,0))))</f>
        <v/>
      </c>
      <c r="W2089" s="2859" t="str">
        <f t="shared" si="323"/>
        <v/>
      </c>
      <c r="X2089" s="2861" t="str">
        <f>IF(ISNA(INDEX(PoderesDeCriatura_AdquiridosNombres,MATCH(X$2074&amp;$A14,Principal!$U$42:$U$69,0))),"",INDEX(PoderesDeCriatura_AdquiridosNombres,MATCH(X$2074&amp;$A14,Principal!$U$42:$U$69,0)))</f>
        <v/>
      </c>
      <c r="Y2089" s="2862" t="str">
        <f>IF(ISNA(INDEX(PoderesDeCriatura_Adquiridos,MATCH(X$2074&amp;$A14,Principal!$U$42:$U$69,0))),"",IF(INDEX(Principal!$AP$42:$AP$69,MATCH(X$2074&amp;$A14,Principal!$U$42:$U$69,0))&gt;0,INDEX(Principal!$AF$42:$AF$69,MATCH(X$2074&amp;$A14,Principal!$U$42:$U$69,0)),INDEX(PoderesDeCriatura_Adquiridos,MATCH(X$2074&amp;$A14,Principal!$U$42:$U$69,0))))</f>
        <v/>
      </c>
      <c r="Z2089" s="2859" t="str">
        <f t="shared" si="324"/>
        <v/>
      </c>
      <c r="AA2089" s="2861" t="str">
        <f>IF(ISNA(INDEX(PoderesDeCriatura_AdquiridosNombres,MATCH(AA$2074&amp;$A14,Principal!$U$42:$U$69,0))),"",INDEX(PoderesDeCriatura_AdquiridosNombres,MATCH(AA$2074&amp;$A14,Principal!$U$42:$U$69,0)))</f>
        <v/>
      </c>
      <c r="AB2089" s="2862" t="str">
        <f>IF(ISNA(INDEX(PoderesDeCriatura_Adquiridos,MATCH(AA$2074&amp;$A14,Principal!$U$42:$U$69,0))),"",IF(INDEX(Principal!$AP$42:$AP$69,MATCH(AA$2074&amp;$A14,Principal!$U$42:$U$69,0))&gt;0,INDEX(Principal!$AF$42:$AF$69,MATCH(AA$2074&amp;$A14,Principal!$U$42:$U$69,0)),INDEX(PoderesDeCriatura_Adquiridos,MATCH(AA$2074&amp;$A14,Principal!$U$42:$U$69,0))))</f>
        <v/>
      </c>
      <c r="AC2089" s="2859" t="str">
        <f t="shared" si="325"/>
        <v/>
      </c>
      <c r="AD2089" s="2861" t="str">
        <f>IF(ISNA(INDEX(PoderesDeCriatura_AdquiridosNombres,MATCH(AD$2074&amp;$A14,Principal!$U$42:$U$69,0))),"",INDEX(PoderesDeCriatura_AdquiridosNombres,MATCH(AD$2074&amp;$A14,Principal!$U$42:$U$69,0)))</f>
        <v/>
      </c>
      <c r="AE2089" s="2862" t="str">
        <f>IF(ISNA(INDEX(PoderesDeCriatura_Adquiridos,MATCH(AD$2074&amp;$A14,Principal!$U$42:$U$69,0))),"",IF(INDEX(Principal!$AP$42:$AP$69,MATCH(AD$2074&amp;$A14,Principal!$U$42:$U$69,0))&gt;0,INDEX(Principal!$AF$42:$AF$69,MATCH(AD$2074&amp;$A14,Principal!$U$42:$U$69,0)),INDEX(PoderesDeCriatura_Adquiridos,MATCH(AD$2074&amp;$A14,Principal!$U$42:$U$69,0))))</f>
        <v/>
      </c>
      <c r="AF2089" s="2859" t="str">
        <f t="shared" si="326"/>
        <v/>
      </c>
      <c r="AG2089" s="2861" t="str">
        <f>IF(ISNA(INDEX(PoderesDeCriatura_AdquiridosNombres,MATCH(AG$2074&amp;$A14,Principal!$U$42:$U$69,0))),"",INDEX(PoderesDeCriatura_AdquiridosNombres,MATCH(AG$2074&amp;$A14,Principal!$U$42:$U$69,0)))</f>
        <v/>
      </c>
      <c r="AH2089" s="2862" t="str">
        <f>IF(ISNA(INDEX(PoderesDeCriatura_Adquiridos,MATCH(AG$2074&amp;$A14,Principal!$U$42:$U$69,0))),"",IF(INDEX(Principal!$AP$42:$AP$69,MATCH(AG$2074&amp;$A14,Principal!$U$42:$U$69,0))&gt;0,INDEX(Principal!$AF$42:$AF$69,MATCH(AG$2074&amp;$A14,Principal!$U$42:$U$69,0)),INDEX(PoderesDeCriatura_Adquiridos,MATCH(AG$2074&amp;$A14,Principal!$U$42:$U$69,0))))</f>
        <v/>
      </c>
      <c r="AI2089" s="2859" t="str">
        <f t="shared" si="327"/>
        <v/>
      </c>
      <c r="AJ2089" s="2861" t="str">
        <f>IF(ISNA(INDEX(PoderesDeCriatura_AdquiridosNombres,MATCH(AJ$2074&amp;$A14,Principal!$U$42:$U$69,0))),"",INDEX(PoderesDeCriatura_AdquiridosNombres,MATCH(AJ$2074&amp;$A14,Principal!$U$42:$U$69,0)))</f>
        <v/>
      </c>
      <c r="AK2089" s="2862" t="str">
        <f>IF(ISNA(INDEX(PoderesDeCriatura_Adquiridos,MATCH(AJ$2074&amp;$A14,Principal!$U$42:$U$69,0))),"",IF(INDEX(Principal!$AP$42:$AP$69,MATCH(AJ$2074&amp;$A14,Principal!$U$42:$U$69,0))&gt;0,INDEX(Principal!$AF$42:$AF$69,MATCH(AJ$2074&amp;$A14,Principal!$U$42:$U$69,0)),INDEX(PoderesDeCriatura_Adquiridos,MATCH(AJ$2074&amp;$A14,Principal!$U$42:$U$69,0))))</f>
        <v/>
      </c>
      <c r="AL2089" s="2859" t="str">
        <f t="shared" si="328"/>
        <v/>
      </c>
      <c r="AM2089" s="2861" t="str">
        <f>IF(ISNA(INDEX(PoderesDeCriatura_AdquiridosNombres,MATCH(AM$2074&amp;$A14,Principal!$U$42:$U$69,0))),"",INDEX(PoderesDeCriatura_AdquiridosNombres,MATCH(AM$2074&amp;$A14,Principal!$U$42:$U$69,0)))</f>
        <v/>
      </c>
      <c r="AN2089" s="2862" t="str">
        <f>IF(ISNA(INDEX(PoderesDeCriatura_Adquiridos,MATCH(AM$2074&amp;$A14,Principal!$U$42:$U$69,0))),"",IF(INDEX(Principal!$AP$42:$AP$69,MATCH(AM$2074&amp;$A14,Principal!$U$42:$U$69,0))&gt;0,INDEX(Principal!$AF$42:$AF$69,MATCH(AM$2074&amp;$A14,Principal!$U$42:$U$69,0)),INDEX(PoderesDeCriatura_Adquiridos,MATCH(AM$2074&amp;$A14,Principal!$U$42:$U$69,0))))</f>
        <v/>
      </c>
      <c r="AO2089" s="837" t="str">
        <f t="shared" si="329"/>
        <v/>
      </c>
      <c r="AP2089" s="834" t="str">
        <f>IF(OR(AQ2089=0,ISNUMBER(MATCH(AQ2089,$AQ$2077:$AQ2088,0))),"",MAX($AP$2076:AP2088)+1)</f>
        <v/>
      </c>
      <c r="AQ2089" s="1290">
        <f>Principal!V54</f>
        <v>0</v>
      </c>
    </row>
    <row r="2090" spans="1:43" ht="12.75" customHeight="1" x14ac:dyDescent="0.2">
      <c r="A2090" s="227">
        <v>2090</v>
      </c>
      <c r="B2090" s="5988"/>
      <c r="C2090" s="860" t="str">
        <f t="shared" si="314"/>
        <v/>
      </c>
      <c r="D2090" s="489" t="str">
        <f t="shared" si="330"/>
        <v/>
      </c>
      <c r="E2090" s="489" t="str">
        <f t="shared" si="331"/>
        <v/>
      </c>
      <c r="F2090" s="829" t="str">
        <f t="shared" si="316"/>
        <v/>
      </c>
      <c r="G2090" s="6291"/>
      <c r="H2090" s="1354" t="str">
        <f>Combate!AB35</f>
        <v/>
      </c>
      <c r="J2090" s="820" t="str">
        <f>IF(ISNA(VLOOKUP(A16,Principal!$S$42:$AH$69,10,FALSE)),"",IF(VLOOKUP(A16,Principal!$S$42:$AH$69,10,FALSE)=0,"",INDEX(PoderesDeCriatura_Adquiridos,MATCH(A16,Principal!$S$42:$S$69,0))))</f>
        <v/>
      </c>
      <c r="K2090" s="2859" t="str">
        <f>IF(AND(COUNTA($K$2075:K2089)-COUNTBLANK($K$2075:K2089)&gt;0,J2090&lt;&gt;""),", ","")&amp;J2090</f>
        <v/>
      </c>
      <c r="L2090" s="2861" t="str">
        <f>IF(ISNA(INDEX(PoderesDeCriatura_AdquiridosNombres,MATCH(L$2074&amp;$A15,Principal!$U$42:$U$69,0))),"",INDEX(PoderesDeCriatura_AdquiridosNombres,MATCH(L$2074&amp;$A15,Principal!$U$42:$U$69,0)))</f>
        <v/>
      </c>
      <c r="M2090" s="2862" t="str">
        <f>IF(ISNA(INDEX(PoderesDeCriatura_Adquiridos,MATCH(L$2074&amp;$A15,Principal!$U$42:$U$69,0))),"",IF(INDEX(Principal!$AP$42:$AP$69,MATCH(L$2074&amp;$A15,Principal!$U$42:$U$69,0))&gt;0,INDEX(Principal!$AF$42:$AF$69,MATCH(L$2074&amp;$A15,Principal!$U$42:$U$69,0)),INDEX(PoderesDeCriatura_Adquiridos,MATCH(L$2074&amp;$A15,Principal!$U$42:$U$69,0))))</f>
        <v/>
      </c>
      <c r="N2090" s="2859" t="str">
        <f t="shared" si="320"/>
        <v/>
      </c>
      <c r="O2090" s="2861" t="str">
        <f>IF(ISNA(INDEX(PoderesDeCriatura_AdquiridosNombres,MATCH(O$2074&amp;$A15,Principal!$U$42:$U$69,0))),"",INDEX(PoderesDeCriatura_AdquiridosNombres,MATCH(O$2074&amp;$A15,Principal!$U$42:$U$69,0)))</f>
        <v/>
      </c>
      <c r="P2090" s="2862" t="str">
        <f>IF(ISNA(INDEX(PoderesDeCriatura_Adquiridos,MATCH(O$2074&amp;$A15,Principal!$U$42:$U$69,0))),"",IF(INDEX(Principal!$AP$42:$AP$69,MATCH(O$2074&amp;$A15,Principal!$U$42:$U$69,0))&gt;0,INDEX(Principal!$AF$42:$AF$69,MATCH(O$2074&amp;$A15,Principal!$U$42:$U$69,0)),INDEX(PoderesDeCriatura_Adquiridos,MATCH(O$2074&amp;$A15,Principal!$U$42:$U$69,0))))</f>
        <v/>
      </c>
      <c r="Q2090" s="2859" t="str">
        <f t="shared" si="321"/>
        <v/>
      </c>
      <c r="R2090" s="2861" t="str">
        <f>IF(ISNA(INDEX(PoderesDeCriatura_AdquiridosNombres,MATCH(R$2074&amp;$A15,Principal!$U$42:$U$69,0))),"",INDEX(PoderesDeCriatura_AdquiridosNombres,MATCH(R$2074&amp;$A15,Principal!$U$42:$U$69,0)))</f>
        <v/>
      </c>
      <c r="S2090" s="2862" t="str">
        <f>IF(ISNA(INDEX(PoderesDeCriatura_Adquiridos,MATCH(R$2074&amp;$A15,Principal!$U$42:$U$69,0))),"",IF(INDEX(Principal!$AP$42:$AP$69,MATCH(R$2074&amp;$A15,Principal!$U$42:$U$69,0))&gt;0,INDEX(Principal!$AF$42:$AF$69,MATCH(R$2074&amp;$A15,Principal!$U$42:$U$69,0)),INDEX(PoderesDeCriatura_Adquiridos,MATCH(R$2074&amp;$A15,Principal!$U$42:$U$69,0))))</f>
        <v/>
      </c>
      <c r="T2090" s="2859" t="str">
        <f t="shared" si="322"/>
        <v/>
      </c>
      <c r="U2090" s="2861" t="str">
        <f>IF(ISNA(INDEX(PoderesDeCriatura_AdquiridosNombres,MATCH(U$2074&amp;$A15,Principal!$U$42:$U$69,0))),"",INDEX(PoderesDeCriatura_AdquiridosNombres,MATCH(U$2074&amp;$A15,Principal!$U$42:$U$69,0)))</f>
        <v/>
      </c>
      <c r="V2090" s="2862" t="str">
        <f>IF(ISNA(INDEX(PoderesDeCriatura_Adquiridos,MATCH(U$2074&amp;$A15,Principal!$U$42:$U$69,0))),"",IF(INDEX(Principal!$AP$42:$AP$69,MATCH(U$2074&amp;$A15,Principal!$U$42:$U$69,0))&gt;0,INDEX(Principal!$AF$42:$AF$69,MATCH(U$2074&amp;$A15,Principal!$U$42:$U$69,0)),INDEX(PoderesDeCriatura_Adquiridos,MATCH(U$2074&amp;$A15,Principal!$U$42:$U$69,0))))</f>
        <v/>
      </c>
      <c r="W2090" s="2859" t="str">
        <f t="shared" si="323"/>
        <v/>
      </c>
      <c r="X2090" s="2861" t="str">
        <f>IF(ISNA(INDEX(PoderesDeCriatura_AdquiridosNombres,MATCH(X$2074&amp;$A15,Principal!$U$42:$U$69,0))),"",INDEX(PoderesDeCriatura_AdquiridosNombres,MATCH(X$2074&amp;$A15,Principal!$U$42:$U$69,0)))</f>
        <v/>
      </c>
      <c r="Y2090" s="2862" t="str">
        <f>IF(ISNA(INDEX(PoderesDeCriatura_Adquiridos,MATCH(X$2074&amp;$A15,Principal!$U$42:$U$69,0))),"",IF(INDEX(Principal!$AP$42:$AP$69,MATCH(X$2074&amp;$A15,Principal!$U$42:$U$69,0))&gt;0,INDEX(Principal!$AF$42:$AF$69,MATCH(X$2074&amp;$A15,Principal!$U$42:$U$69,0)),INDEX(PoderesDeCriatura_Adquiridos,MATCH(X$2074&amp;$A15,Principal!$U$42:$U$69,0))))</f>
        <v/>
      </c>
      <c r="Z2090" s="2859" t="str">
        <f t="shared" si="324"/>
        <v/>
      </c>
      <c r="AA2090" s="2861" t="str">
        <f>IF(ISNA(INDEX(PoderesDeCriatura_AdquiridosNombres,MATCH(AA$2074&amp;$A15,Principal!$U$42:$U$69,0))),"",INDEX(PoderesDeCriatura_AdquiridosNombres,MATCH(AA$2074&amp;$A15,Principal!$U$42:$U$69,0)))</f>
        <v/>
      </c>
      <c r="AB2090" s="2862" t="str">
        <f>IF(ISNA(INDEX(PoderesDeCriatura_Adquiridos,MATCH(AA$2074&amp;$A15,Principal!$U$42:$U$69,0))),"",IF(INDEX(Principal!$AP$42:$AP$69,MATCH(AA$2074&amp;$A15,Principal!$U$42:$U$69,0))&gt;0,INDEX(Principal!$AF$42:$AF$69,MATCH(AA$2074&amp;$A15,Principal!$U$42:$U$69,0)),INDEX(PoderesDeCriatura_Adquiridos,MATCH(AA$2074&amp;$A15,Principal!$U$42:$U$69,0))))</f>
        <v/>
      </c>
      <c r="AC2090" s="2859" t="str">
        <f t="shared" si="325"/>
        <v/>
      </c>
      <c r="AD2090" s="2861" t="str">
        <f>IF(ISNA(INDEX(PoderesDeCriatura_AdquiridosNombres,MATCH(AD$2074&amp;$A15,Principal!$U$42:$U$69,0))),"",INDEX(PoderesDeCriatura_AdquiridosNombres,MATCH(AD$2074&amp;$A15,Principal!$U$42:$U$69,0)))</f>
        <v/>
      </c>
      <c r="AE2090" s="2862" t="str">
        <f>IF(ISNA(INDEX(PoderesDeCriatura_Adquiridos,MATCH(AD$2074&amp;$A15,Principal!$U$42:$U$69,0))),"",IF(INDEX(Principal!$AP$42:$AP$69,MATCH(AD$2074&amp;$A15,Principal!$U$42:$U$69,0))&gt;0,INDEX(Principal!$AF$42:$AF$69,MATCH(AD$2074&amp;$A15,Principal!$U$42:$U$69,0)),INDEX(PoderesDeCriatura_Adquiridos,MATCH(AD$2074&amp;$A15,Principal!$U$42:$U$69,0))))</f>
        <v/>
      </c>
      <c r="AF2090" s="2859" t="str">
        <f t="shared" si="326"/>
        <v/>
      </c>
      <c r="AG2090" s="2861" t="str">
        <f>IF(ISNA(INDEX(PoderesDeCriatura_AdquiridosNombres,MATCH(AG$2074&amp;$A15,Principal!$U$42:$U$69,0))),"",INDEX(PoderesDeCriatura_AdquiridosNombres,MATCH(AG$2074&amp;$A15,Principal!$U$42:$U$69,0)))</f>
        <v/>
      </c>
      <c r="AH2090" s="2862" t="str">
        <f>IF(ISNA(INDEX(PoderesDeCriatura_Adquiridos,MATCH(AG$2074&amp;$A15,Principal!$U$42:$U$69,0))),"",IF(INDEX(Principal!$AP$42:$AP$69,MATCH(AG$2074&amp;$A15,Principal!$U$42:$U$69,0))&gt;0,INDEX(Principal!$AF$42:$AF$69,MATCH(AG$2074&amp;$A15,Principal!$U$42:$U$69,0)),INDEX(PoderesDeCriatura_Adquiridos,MATCH(AG$2074&amp;$A15,Principal!$U$42:$U$69,0))))</f>
        <v/>
      </c>
      <c r="AI2090" s="2859" t="str">
        <f t="shared" si="327"/>
        <v/>
      </c>
      <c r="AJ2090" s="2861" t="str">
        <f>IF(ISNA(INDEX(PoderesDeCriatura_AdquiridosNombres,MATCH(AJ$2074&amp;$A15,Principal!$U$42:$U$69,0))),"",INDEX(PoderesDeCriatura_AdquiridosNombres,MATCH(AJ$2074&amp;$A15,Principal!$U$42:$U$69,0)))</f>
        <v/>
      </c>
      <c r="AK2090" s="2862" t="str">
        <f>IF(ISNA(INDEX(PoderesDeCriatura_Adquiridos,MATCH(AJ$2074&amp;$A15,Principal!$U$42:$U$69,0))),"",IF(INDEX(Principal!$AP$42:$AP$69,MATCH(AJ$2074&amp;$A15,Principal!$U$42:$U$69,0))&gt;0,INDEX(Principal!$AF$42:$AF$69,MATCH(AJ$2074&amp;$A15,Principal!$U$42:$U$69,0)),INDEX(PoderesDeCriatura_Adquiridos,MATCH(AJ$2074&amp;$A15,Principal!$U$42:$U$69,0))))</f>
        <v/>
      </c>
      <c r="AL2090" s="2859" t="str">
        <f t="shared" si="328"/>
        <v/>
      </c>
      <c r="AM2090" s="2861" t="str">
        <f>IF(ISNA(INDEX(PoderesDeCriatura_AdquiridosNombres,MATCH(AM$2074&amp;$A15,Principal!$U$42:$U$69,0))),"",INDEX(PoderesDeCriatura_AdquiridosNombres,MATCH(AM$2074&amp;$A15,Principal!$U$42:$U$69,0)))</f>
        <v/>
      </c>
      <c r="AN2090" s="2862" t="str">
        <f>IF(ISNA(INDEX(PoderesDeCriatura_Adquiridos,MATCH(AM$2074&amp;$A15,Principal!$U$42:$U$69,0))),"",IF(INDEX(Principal!$AP$42:$AP$69,MATCH(AM$2074&amp;$A15,Principal!$U$42:$U$69,0))&gt;0,INDEX(Principal!$AF$42:$AF$69,MATCH(AM$2074&amp;$A15,Principal!$U$42:$U$69,0)),INDEX(PoderesDeCriatura_Adquiridos,MATCH(AM$2074&amp;$A15,Principal!$U$42:$U$69,0))))</f>
        <v/>
      </c>
      <c r="AO2090" s="837" t="str">
        <f t="shared" si="329"/>
        <v/>
      </c>
      <c r="AP2090" s="834" t="str">
        <f>IF(OR(AQ2090=0,ISNUMBER(MATCH(AQ2090,$AQ$2077:$AQ2089,0))),"",MAX($AP$2076:AP2089)+1)</f>
        <v/>
      </c>
      <c r="AQ2090" s="1290">
        <f>Principal!V55</f>
        <v>0</v>
      </c>
    </row>
    <row r="2091" spans="1:43" ht="12.75" customHeight="1" x14ac:dyDescent="0.2">
      <c r="A2091" s="227">
        <v>2091</v>
      </c>
      <c r="B2091" s="5988"/>
      <c r="C2091" s="860" t="str">
        <f t="shared" si="314"/>
        <v/>
      </c>
      <c r="D2091" s="489" t="str">
        <f t="shared" si="330"/>
        <v/>
      </c>
      <c r="E2091" s="489" t="str">
        <f t="shared" si="331"/>
        <v/>
      </c>
      <c r="F2091" s="829" t="str">
        <f t="shared" si="316"/>
        <v/>
      </c>
      <c r="G2091" s="6291"/>
      <c r="H2091" s="1354" t="str">
        <f>Combate!AB36</f>
        <v/>
      </c>
      <c r="J2091" s="820" t="str">
        <f>IF(ISNA(VLOOKUP(A17,Principal!$S$42:$AH$69,10,FALSE)),"",IF(VLOOKUP(A17,Principal!$S$42:$AH$69,10,FALSE)=0,"",INDEX(PoderesDeCriatura_Adquiridos,MATCH(A17,Principal!$S$42:$S$69,0))))</f>
        <v/>
      </c>
      <c r="K2091" s="2859" t="str">
        <f>IF(AND(COUNTA($K$2075:K2090)-COUNTBLANK($K$2075:K2090)&gt;0,J2091&lt;&gt;""),", ","")&amp;J2091</f>
        <v/>
      </c>
      <c r="L2091" s="2861" t="str">
        <f>IF(ISNA(INDEX(PoderesDeCriatura_AdquiridosNombres,MATCH(L$2074&amp;$A16,Principal!$U$42:$U$69,0))),"",INDEX(PoderesDeCriatura_AdquiridosNombres,MATCH(L$2074&amp;$A16,Principal!$U$42:$U$69,0)))</f>
        <v/>
      </c>
      <c r="M2091" s="2862" t="str">
        <f>IF(ISNA(INDEX(PoderesDeCriatura_Adquiridos,MATCH(L$2074&amp;$A16,Principal!$U$42:$U$69,0))),"",IF(INDEX(Principal!$AP$42:$AP$69,MATCH(L$2074&amp;$A16,Principal!$U$42:$U$69,0))&gt;0,INDEX(Principal!$AF$42:$AF$69,MATCH(L$2074&amp;$A16,Principal!$U$42:$U$69,0)),INDEX(PoderesDeCriatura_Adquiridos,MATCH(L$2074&amp;$A16,Principal!$U$42:$U$69,0))))</f>
        <v/>
      </c>
      <c r="N2091" s="2859" t="str">
        <f t="shared" si="320"/>
        <v/>
      </c>
      <c r="O2091" s="2861" t="str">
        <f>IF(ISNA(INDEX(PoderesDeCriatura_AdquiridosNombres,MATCH(O$2074&amp;$A16,Principal!$U$42:$U$69,0))),"",INDEX(PoderesDeCriatura_AdquiridosNombres,MATCH(O$2074&amp;$A16,Principal!$U$42:$U$69,0)))</f>
        <v/>
      </c>
      <c r="P2091" s="2862" t="str">
        <f>IF(ISNA(INDEX(PoderesDeCriatura_Adquiridos,MATCH(O$2074&amp;$A16,Principal!$U$42:$U$69,0))),"",IF(INDEX(Principal!$AP$42:$AP$69,MATCH(O$2074&amp;$A16,Principal!$U$42:$U$69,0))&gt;0,INDEX(Principal!$AF$42:$AF$69,MATCH(O$2074&amp;$A16,Principal!$U$42:$U$69,0)),INDEX(PoderesDeCriatura_Adquiridos,MATCH(O$2074&amp;$A16,Principal!$U$42:$U$69,0))))</f>
        <v/>
      </c>
      <c r="Q2091" s="2859" t="str">
        <f t="shared" si="321"/>
        <v/>
      </c>
      <c r="R2091" s="2861" t="str">
        <f>IF(ISNA(INDEX(PoderesDeCriatura_AdquiridosNombres,MATCH(R$2074&amp;$A16,Principal!$U$42:$U$69,0))),"",INDEX(PoderesDeCriatura_AdquiridosNombres,MATCH(R$2074&amp;$A16,Principal!$U$42:$U$69,0)))</f>
        <v/>
      </c>
      <c r="S2091" s="2862" t="str">
        <f>IF(ISNA(INDEX(PoderesDeCriatura_Adquiridos,MATCH(R$2074&amp;$A16,Principal!$U$42:$U$69,0))),"",IF(INDEX(Principal!$AP$42:$AP$69,MATCH(R$2074&amp;$A16,Principal!$U$42:$U$69,0))&gt;0,INDEX(Principal!$AF$42:$AF$69,MATCH(R$2074&amp;$A16,Principal!$U$42:$U$69,0)),INDEX(PoderesDeCriatura_Adquiridos,MATCH(R$2074&amp;$A16,Principal!$U$42:$U$69,0))))</f>
        <v/>
      </c>
      <c r="T2091" s="2859" t="str">
        <f t="shared" si="322"/>
        <v/>
      </c>
      <c r="U2091" s="2861" t="str">
        <f>IF(ISNA(INDEX(PoderesDeCriatura_AdquiridosNombres,MATCH(U$2074&amp;$A16,Principal!$U$42:$U$69,0))),"",INDEX(PoderesDeCriatura_AdquiridosNombres,MATCH(U$2074&amp;$A16,Principal!$U$42:$U$69,0)))</f>
        <v/>
      </c>
      <c r="V2091" s="2862" t="str">
        <f>IF(ISNA(INDEX(PoderesDeCriatura_Adquiridos,MATCH(U$2074&amp;$A16,Principal!$U$42:$U$69,0))),"",IF(INDEX(Principal!$AP$42:$AP$69,MATCH(U$2074&amp;$A16,Principal!$U$42:$U$69,0))&gt;0,INDEX(Principal!$AF$42:$AF$69,MATCH(U$2074&amp;$A16,Principal!$U$42:$U$69,0)),INDEX(PoderesDeCriatura_Adquiridos,MATCH(U$2074&amp;$A16,Principal!$U$42:$U$69,0))))</f>
        <v/>
      </c>
      <c r="W2091" s="2859" t="str">
        <f t="shared" si="323"/>
        <v/>
      </c>
      <c r="X2091" s="2861" t="str">
        <f>IF(ISNA(INDEX(PoderesDeCriatura_AdquiridosNombres,MATCH(X$2074&amp;$A16,Principal!$U$42:$U$69,0))),"",INDEX(PoderesDeCriatura_AdquiridosNombres,MATCH(X$2074&amp;$A16,Principal!$U$42:$U$69,0)))</f>
        <v/>
      </c>
      <c r="Y2091" s="2862" t="str">
        <f>IF(ISNA(INDEX(PoderesDeCriatura_Adquiridos,MATCH(X$2074&amp;$A16,Principal!$U$42:$U$69,0))),"",IF(INDEX(Principal!$AP$42:$AP$69,MATCH(X$2074&amp;$A16,Principal!$U$42:$U$69,0))&gt;0,INDEX(Principal!$AF$42:$AF$69,MATCH(X$2074&amp;$A16,Principal!$U$42:$U$69,0)),INDEX(PoderesDeCriatura_Adquiridos,MATCH(X$2074&amp;$A16,Principal!$U$42:$U$69,0))))</f>
        <v/>
      </c>
      <c r="Z2091" s="2859" t="str">
        <f t="shared" si="324"/>
        <v/>
      </c>
      <c r="AA2091" s="2861" t="str">
        <f>IF(ISNA(INDEX(PoderesDeCriatura_AdquiridosNombres,MATCH(AA$2074&amp;$A16,Principal!$U$42:$U$69,0))),"",INDEX(PoderesDeCriatura_AdquiridosNombres,MATCH(AA$2074&amp;$A16,Principal!$U$42:$U$69,0)))</f>
        <v/>
      </c>
      <c r="AB2091" s="2862" t="str">
        <f>IF(ISNA(INDEX(PoderesDeCriatura_Adquiridos,MATCH(AA$2074&amp;$A16,Principal!$U$42:$U$69,0))),"",IF(INDEX(Principal!$AP$42:$AP$69,MATCH(AA$2074&amp;$A16,Principal!$U$42:$U$69,0))&gt;0,INDEX(Principal!$AF$42:$AF$69,MATCH(AA$2074&amp;$A16,Principal!$U$42:$U$69,0)),INDEX(PoderesDeCriatura_Adquiridos,MATCH(AA$2074&amp;$A16,Principal!$U$42:$U$69,0))))</f>
        <v/>
      </c>
      <c r="AC2091" s="2859" t="str">
        <f t="shared" si="325"/>
        <v/>
      </c>
      <c r="AD2091" s="2861" t="str">
        <f>IF(ISNA(INDEX(PoderesDeCriatura_AdquiridosNombres,MATCH(AD$2074&amp;$A16,Principal!$U$42:$U$69,0))),"",INDEX(PoderesDeCriatura_AdquiridosNombres,MATCH(AD$2074&amp;$A16,Principal!$U$42:$U$69,0)))</f>
        <v/>
      </c>
      <c r="AE2091" s="2862" t="str">
        <f>IF(ISNA(INDEX(PoderesDeCriatura_Adquiridos,MATCH(AD$2074&amp;$A16,Principal!$U$42:$U$69,0))),"",IF(INDEX(Principal!$AP$42:$AP$69,MATCH(AD$2074&amp;$A16,Principal!$U$42:$U$69,0))&gt;0,INDEX(Principal!$AF$42:$AF$69,MATCH(AD$2074&amp;$A16,Principal!$U$42:$U$69,0)),INDEX(PoderesDeCriatura_Adquiridos,MATCH(AD$2074&amp;$A16,Principal!$U$42:$U$69,0))))</f>
        <v/>
      </c>
      <c r="AF2091" s="2859" t="str">
        <f t="shared" si="326"/>
        <v/>
      </c>
      <c r="AG2091" s="2861" t="str">
        <f>IF(ISNA(INDEX(PoderesDeCriatura_AdquiridosNombres,MATCH(AG$2074&amp;$A16,Principal!$U$42:$U$69,0))),"",INDEX(PoderesDeCriatura_AdquiridosNombres,MATCH(AG$2074&amp;$A16,Principal!$U$42:$U$69,0)))</f>
        <v/>
      </c>
      <c r="AH2091" s="2862" t="str">
        <f>IF(ISNA(INDEX(PoderesDeCriatura_Adquiridos,MATCH(AG$2074&amp;$A16,Principal!$U$42:$U$69,0))),"",IF(INDEX(Principal!$AP$42:$AP$69,MATCH(AG$2074&amp;$A16,Principal!$U$42:$U$69,0))&gt;0,INDEX(Principal!$AF$42:$AF$69,MATCH(AG$2074&amp;$A16,Principal!$U$42:$U$69,0)),INDEX(PoderesDeCriatura_Adquiridos,MATCH(AG$2074&amp;$A16,Principal!$U$42:$U$69,0))))</f>
        <v/>
      </c>
      <c r="AI2091" s="2859" t="str">
        <f t="shared" si="327"/>
        <v/>
      </c>
      <c r="AJ2091" s="2861" t="str">
        <f>IF(ISNA(INDEX(PoderesDeCriatura_AdquiridosNombres,MATCH(AJ$2074&amp;$A16,Principal!$U$42:$U$69,0))),"",INDEX(PoderesDeCriatura_AdquiridosNombres,MATCH(AJ$2074&amp;$A16,Principal!$U$42:$U$69,0)))</f>
        <v/>
      </c>
      <c r="AK2091" s="2862" t="str">
        <f>IF(ISNA(INDEX(PoderesDeCriatura_Adquiridos,MATCH(AJ$2074&amp;$A16,Principal!$U$42:$U$69,0))),"",IF(INDEX(Principal!$AP$42:$AP$69,MATCH(AJ$2074&amp;$A16,Principal!$U$42:$U$69,0))&gt;0,INDEX(Principal!$AF$42:$AF$69,MATCH(AJ$2074&amp;$A16,Principal!$U$42:$U$69,0)),INDEX(PoderesDeCriatura_Adquiridos,MATCH(AJ$2074&amp;$A16,Principal!$U$42:$U$69,0))))</f>
        <v/>
      </c>
      <c r="AL2091" s="2859" t="str">
        <f t="shared" si="328"/>
        <v/>
      </c>
      <c r="AM2091" s="2861" t="str">
        <f>IF(ISNA(INDEX(PoderesDeCriatura_AdquiridosNombres,MATCH(AM$2074&amp;$A16,Principal!$U$42:$U$69,0))),"",INDEX(PoderesDeCriatura_AdquiridosNombres,MATCH(AM$2074&amp;$A16,Principal!$U$42:$U$69,0)))</f>
        <v/>
      </c>
      <c r="AN2091" s="2862" t="str">
        <f>IF(ISNA(INDEX(PoderesDeCriatura_Adquiridos,MATCH(AM$2074&amp;$A16,Principal!$U$42:$U$69,0))),"",IF(INDEX(Principal!$AP$42:$AP$69,MATCH(AM$2074&amp;$A16,Principal!$U$42:$U$69,0))&gt;0,INDEX(Principal!$AF$42:$AF$69,MATCH(AM$2074&amp;$A16,Principal!$U$42:$U$69,0)),INDEX(PoderesDeCriatura_Adquiridos,MATCH(AM$2074&amp;$A16,Principal!$U$42:$U$69,0))))</f>
        <v/>
      </c>
      <c r="AO2091" s="837" t="str">
        <f t="shared" si="329"/>
        <v/>
      </c>
      <c r="AP2091" s="834" t="str">
        <f>IF(OR(AQ2091=0,ISNUMBER(MATCH(AQ2091,$AQ$2077:$AQ2090,0))),"",MAX($AP$2076:AP2090)+1)</f>
        <v/>
      </c>
      <c r="AQ2091" s="1290">
        <f>Principal!V56</f>
        <v>0</v>
      </c>
    </row>
    <row r="2092" spans="1:43" ht="12.75" customHeight="1" x14ac:dyDescent="0.2">
      <c r="A2092" s="227">
        <v>2092</v>
      </c>
      <c r="B2092" s="5988"/>
      <c r="C2092" s="860" t="str">
        <f t="shared" si="314"/>
        <v/>
      </c>
      <c r="D2092" s="489" t="str">
        <f t="shared" si="330"/>
        <v/>
      </c>
      <c r="E2092" s="489" t="str">
        <f t="shared" si="331"/>
        <v/>
      </c>
      <c r="F2092" s="829" t="str">
        <f t="shared" si="316"/>
        <v/>
      </c>
      <c r="G2092" s="6291"/>
      <c r="H2092" s="1354" t="str">
        <f>Combate!AB37</f>
        <v/>
      </c>
      <c r="J2092" s="820" t="str">
        <f>IF(ISNA(VLOOKUP(A18,Principal!$S$42:$AH$69,10,FALSE)),"",IF(VLOOKUP(A18,Principal!$S$42:$AH$69,10,FALSE)=0,"",INDEX(PoderesDeCriatura_Adquiridos,MATCH(A18,Principal!$S$42:$S$69,0))))</f>
        <v/>
      </c>
      <c r="K2092" s="2859" t="str">
        <f>IF(AND(COUNTA($K$2075:K2091)-COUNTBLANK($K$2075:K2091)&gt;0,J2092&lt;&gt;""),", ","")&amp;J2092</f>
        <v/>
      </c>
      <c r="L2092" s="2861" t="str">
        <f>IF(ISNA(INDEX(PoderesDeCriatura_AdquiridosNombres,MATCH(L$2074&amp;$A17,Principal!$U$42:$U$69,0))),"",INDEX(PoderesDeCriatura_AdquiridosNombres,MATCH(L$2074&amp;$A17,Principal!$U$42:$U$69,0)))</f>
        <v/>
      </c>
      <c r="M2092" s="2862" t="str">
        <f>IF(ISNA(INDEX(PoderesDeCriatura_Adquiridos,MATCH(L$2074&amp;$A17,Principal!$U$42:$U$69,0))),"",IF(INDEX(Principal!$AP$42:$AP$69,MATCH(L$2074&amp;$A17,Principal!$U$42:$U$69,0))&gt;0,INDEX(Principal!$AF$42:$AF$69,MATCH(L$2074&amp;$A17,Principal!$U$42:$U$69,0)),INDEX(PoderesDeCriatura_Adquiridos,MATCH(L$2074&amp;$A17,Principal!$U$42:$U$69,0))))</f>
        <v/>
      </c>
      <c r="N2092" s="2859" t="str">
        <f t="shared" si="320"/>
        <v/>
      </c>
      <c r="O2092" s="2861" t="str">
        <f>IF(ISNA(INDEX(PoderesDeCriatura_AdquiridosNombres,MATCH(O$2074&amp;$A17,Principal!$U$42:$U$69,0))),"",INDEX(PoderesDeCriatura_AdquiridosNombres,MATCH(O$2074&amp;$A17,Principal!$U$42:$U$69,0)))</f>
        <v/>
      </c>
      <c r="P2092" s="2862" t="str">
        <f>IF(ISNA(INDEX(PoderesDeCriatura_Adquiridos,MATCH(O$2074&amp;$A17,Principal!$U$42:$U$69,0))),"",IF(INDEX(Principal!$AP$42:$AP$69,MATCH(O$2074&amp;$A17,Principal!$U$42:$U$69,0))&gt;0,INDEX(Principal!$AF$42:$AF$69,MATCH(O$2074&amp;$A17,Principal!$U$42:$U$69,0)),INDEX(PoderesDeCriatura_Adquiridos,MATCH(O$2074&amp;$A17,Principal!$U$42:$U$69,0))))</f>
        <v/>
      </c>
      <c r="Q2092" s="2859" t="str">
        <f t="shared" si="321"/>
        <v/>
      </c>
      <c r="R2092" s="2861" t="str">
        <f>IF(ISNA(INDEX(PoderesDeCriatura_AdquiridosNombres,MATCH(R$2074&amp;$A17,Principal!$U$42:$U$69,0))),"",INDEX(PoderesDeCriatura_AdquiridosNombres,MATCH(R$2074&amp;$A17,Principal!$U$42:$U$69,0)))</f>
        <v/>
      </c>
      <c r="S2092" s="2862" t="str">
        <f>IF(ISNA(INDEX(PoderesDeCriatura_Adquiridos,MATCH(R$2074&amp;$A17,Principal!$U$42:$U$69,0))),"",IF(INDEX(Principal!$AP$42:$AP$69,MATCH(R$2074&amp;$A17,Principal!$U$42:$U$69,0))&gt;0,INDEX(Principal!$AF$42:$AF$69,MATCH(R$2074&amp;$A17,Principal!$U$42:$U$69,0)),INDEX(PoderesDeCriatura_Adquiridos,MATCH(R$2074&amp;$A17,Principal!$U$42:$U$69,0))))</f>
        <v/>
      </c>
      <c r="T2092" s="2859" t="str">
        <f t="shared" si="322"/>
        <v/>
      </c>
      <c r="U2092" s="2861" t="str">
        <f>IF(ISNA(INDEX(PoderesDeCriatura_AdquiridosNombres,MATCH(U$2074&amp;$A17,Principal!$U$42:$U$69,0))),"",INDEX(PoderesDeCriatura_AdquiridosNombres,MATCH(U$2074&amp;$A17,Principal!$U$42:$U$69,0)))</f>
        <v/>
      </c>
      <c r="V2092" s="2862" t="str">
        <f>IF(ISNA(INDEX(PoderesDeCriatura_Adquiridos,MATCH(U$2074&amp;$A17,Principal!$U$42:$U$69,0))),"",IF(INDEX(Principal!$AP$42:$AP$69,MATCH(U$2074&amp;$A17,Principal!$U$42:$U$69,0))&gt;0,INDEX(Principal!$AF$42:$AF$69,MATCH(U$2074&amp;$A17,Principal!$U$42:$U$69,0)),INDEX(PoderesDeCriatura_Adquiridos,MATCH(U$2074&amp;$A17,Principal!$U$42:$U$69,0))))</f>
        <v/>
      </c>
      <c r="W2092" s="2859" t="str">
        <f t="shared" si="323"/>
        <v/>
      </c>
      <c r="X2092" s="2861" t="str">
        <f>IF(ISNA(INDEX(PoderesDeCriatura_AdquiridosNombres,MATCH(X$2074&amp;$A17,Principal!$U$42:$U$69,0))),"",INDEX(PoderesDeCriatura_AdquiridosNombres,MATCH(X$2074&amp;$A17,Principal!$U$42:$U$69,0)))</f>
        <v/>
      </c>
      <c r="Y2092" s="2862" t="str">
        <f>IF(ISNA(INDEX(PoderesDeCriatura_Adquiridos,MATCH(X$2074&amp;$A17,Principal!$U$42:$U$69,0))),"",IF(INDEX(Principal!$AP$42:$AP$69,MATCH(X$2074&amp;$A17,Principal!$U$42:$U$69,0))&gt;0,INDEX(Principal!$AF$42:$AF$69,MATCH(X$2074&amp;$A17,Principal!$U$42:$U$69,0)),INDEX(PoderesDeCriatura_Adquiridos,MATCH(X$2074&amp;$A17,Principal!$U$42:$U$69,0))))</f>
        <v/>
      </c>
      <c r="Z2092" s="2859" t="str">
        <f t="shared" si="324"/>
        <v/>
      </c>
      <c r="AA2092" s="2861" t="str">
        <f>IF(ISNA(INDEX(PoderesDeCriatura_AdquiridosNombres,MATCH(AA$2074&amp;$A17,Principal!$U$42:$U$69,0))),"",INDEX(PoderesDeCriatura_AdquiridosNombres,MATCH(AA$2074&amp;$A17,Principal!$U$42:$U$69,0)))</f>
        <v/>
      </c>
      <c r="AB2092" s="2862" t="str">
        <f>IF(ISNA(INDEX(PoderesDeCriatura_Adquiridos,MATCH(AA$2074&amp;$A17,Principal!$U$42:$U$69,0))),"",IF(INDEX(Principal!$AP$42:$AP$69,MATCH(AA$2074&amp;$A17,Principal!$U$42:$U$69,0))&gt;0,INDEX(Principal!$AF$42:$AF$69,MATCH(AA$2074&amp;$A17,Principal!$U$42:$U$69,0)),INDEX(PoderesDeCriatura_Adquiridos,MATCH(AA$2074&amp;$A17,Principal!$U$42:$U$69,0))))</f>
        <v/>
      </c>
      <c r="AC2092" s="2859" t="str">
        <f t="shared" si="325"/>
        <v/>
      </c>
      <c r="AD2092" s="2861" t="str">
        <f>IF(ISNA(INDEX(PoderesDeCriatura_AdquiridosNombres,MATCH(AD$2074&amp;$A17,Principal!$U$42:$U$69,0))),"",INDEX(PoderesDeCriatura_AdquiridosNombres,MATCH(AD$2074&amp;$A17,Principal!$U$42:$U$69,0)))</f>
        <v/>
      </c>
      <c r="AE2092" s="2862" t="str">
        <f>IF(ISNA(INDEX(PoderesDeCriatura_Adquiridos,MATCH(AD$2074&amp;$A17,Principal!$U$42:$U$69,0))),"",IF(INDEX(Principal!$AP$42:$AP$69,MATCH(AD$2074&amp;$A17,Principal!$U$42:$U$69,0))&gt;0,INDEX(Principal!$AF$42:$AF$69,MATCH(AD$2074&amp;$A17,Principal!$U$42:$U$69,0)),INDEX(PoderesDeCriatura_Adquiridos,MATCH(AD$2074&amp;$A17,Principal!$U$42:$U$69,0))))</f>
        <v/>
      </c>
      <c r="AF2092" s="2859" t="str">
        <f t="shared" si="326"/>
        <v/>
      </c>
      <c r="AG2092" s="2861" t="str">
        <f>IF(ISNA(INDEX(PoderesDeCriatura_AdquiridosNombres,MATCH(AG$2074&amp;$A17,Principal!$U$42:$U$69,0))),"",INDEX(PoderesDeCriatura_AdquiridosNombres,MATCH(AG$2074&amp;$A17,Principal!$U$42:$U$69,0)))</f>
        <v/>
      </c>
      <c r="AH2092" s="2862" t="str">
        <f>IF(ISNA(INDEX(PoderesDeCriatura_Adquiridos,MATCH(AG$2074&amp;$A17,Principal!$U$42:$U$69,0))),"",IF(INDEX(Principal!$AP$42:$AP$69,MATCH(AG$2074&amp;$A17,Principal!$U$42:$U$69,0))&gt;0,INDEX(Principal!$AF$42:$AF$69,MATCH(AG$2074&amp;$A17,Principal!$U$42:$U$69,0)),INDEX(PoderesDeCriatura_Adquiridos,MATCH(AG$2074&amp;$A17,Principal!$U$42:$U$69,0))))</f>
        <v/>
      </c>
      <c r="AI2092" s="2859" t="str">
        <f t="shared" si="327"/>
        <v/>
      </c>
      <c r="AJ2092" s="2861" t="str">
        <f>IF(ISNA(INDEX(PoderesDeCriatura_AdquiridosNombres,MATCH(AJ$2074&amp;$A17,Principal!$U$42:$U$69,0))),"",INDEX(PoderesDeCriatura_AdquiridosNombres,MATCH(AJ$2074&amp;$A17,Principal!$U$42:$U$69,0)))</f>
        <v/>
      </c>
      <c r="AK2092" s="2862" t="str">
        <f>IF(ISNA(INDEX(PoderesDeCriatura_Adquiridos,MATCH(AJ$2074&amp;$A17,Principal!$U$42:$U$69,0))),"",IF(INDEX(Principal!$AP$42:$AP$69,MATCH(AJ$2074&amp;$A17,Principal!$U$42:$U$69,0))&gt;0,INDEX(Principal!$AF$42:$AF$69,MATCH(AJ$2074&amp;$A17,Principal!$U$42:$U$69,0)),INDEX(PoderesDeCriatura_Adquiridos,MATCH(AJ$2074&amp;$A17,Principal!$U$42:$U$69,0))))</f>
        <v/>
      </c>
      <c r="AL2092" s="2859" t="str">
        <f t="shared" si="328"/>
        <v/>
      </c>
      <c r="AM2092" s="2861" t="str">
        <f>IF(ISNA(INDEX(PoderesDeCriatura_AdquiridosNombres,MATCH(AM$2074&amp;$A17,Principal!$U$42:$U$69,0))),"",INDEX(PoderesDeCriatura_AdquiridosNombres,MATCH(AM$2074&amp;$A17,Principal!$U$42:$U$69,0)))</f>
        <v/>
      </c>
      <c r="AN2092" s="2862" t="str">
        <f>IF(ISNA(INDEX(PoderesDeCriatura_Adquiridos,MATCH(AM$2074&amp;$A17,Principal!$U$42:$U$69,0))),"",IF(INDEX(Principal!$AP$42:$AP$69,MATCH(AM$2074&amp;$A17,Principal!$U$42:$U$69,0))&gt;0,INDEX(Principal!$AF$42:$AF$69,MATCH(AM$2074&amp;$A17,Principal!$U$42:$U$69,0)),INDEX(PoderesDeCriatura_Adquiridos,MATCH(AM$2074&amp;$A17,Principal!$U$42:$U$69,0))))</f>
        <v/>
      </c>
      <c r="AO2092" s="837" t="str">
        <f t="shared" si="329"/>
        <v/>
      </c>
      <c r="AP2092" s="834" t="str">
        <f>IF(OR(AQ2092=0,ISNUMBER(MATCH(AQ2092,$AQ$2077:$AQ2091,0))),"",MAX($AP$2076:AP2091)+1)</f>
        <v/>
      </c>
      <c r="AQ2092" s="1290">
        <f>Principal!V57</f>
        <v>0</v>
      </c>
    </row>
    <row r="2093" spans="1:43" ht="12.75" customHeight="1" x14ac:dyDescent="0.2">
      <c r="A2093" s="227">
        <v>2093</v>
      </c>
      <c r="B2093" s="5988"/>
      <c r="C2093" s="860" t="str">
        <f t="shared" si="314"/>
        <v/>
      </c>
      <c r="D2093" s="489" t="str">
        <f t="shared" si="330"/>
        <v/>
      </c>
      <c r="E2093" s="489" t="str">
        <f t="shared" si="331"/>
        <v/>
      </c>
      <c r="F2093" s="829" t="str">
        <f t="shared" si="316"/>
        <v/>
      </c>
      <c r="G2093" s="6291"/>
      <c r="H2093" s="1354" t="str">
        <f>Combate!AB38</f>
        <v/>
      </c>
      <c r="J2093" s="820" t="str">
        <f>IF(ISNA(VLOOKUP(A19,Principal!$S$42:$AH$69,10,FALSE)),"",IF(VLOOKUP(A19,Principal!$S$42:$AH$69,10,FALSE)=0,"",INDEX(PoderesDeCriatura_Adquiridos,MATCH(A19,Principal!$S$42:$S$69,0))))</f>
        <v/>
      </c>
      <c r="K2093" s="2859" t="str">
        <f>IF(AND(COUNTA($K$2075:K2092)-COUNTBLANK($K$2075:K2092)&gt;0,J2093&lt;&gt;""),", ","")&amp;J2093</f>
        <v/>
      </c>
      <c r="L2093" s="2861" t="str">
        <f>IF(ISNA(INDEX(PoderesDeCriatura_AdquiridosNombres,MATCH(L$2074&amp;$A18,Principal!$U$42:$U$69,0))),"",INDEX(PoderesDeCriatura_AdquiridosNombres,MATCH(L$2074&amp;$A18,Principal!$U$42:$U$69,0)))</f>
        <v/>
      </c>
      <c r="M2093" s="2862" t="str">
        <f>IF(ISNA(INDEX(PoderesDeCriatura_Adquiridos,MATCH(L$2074&amp;$A18,Principal!$U$42:$U$69,0))),"",IF(INDEX(Principal!$AP$42:$AP$69,MATCH(L$2074&amp;$A18,Principal!$U$42:$U$69,0))&gt;0,INDEX(Principal!$AF$42:$AF$69,MATCH(L$2074&amp;$A18,Principal!$U$42:$U$69,0)),INDEX(PoderesDeCriatura_Adquiridos,MATCH(L$2074&amp;$A18,Principal!$U$42:$U$69,0))))</f>
        <v/>
      </c>
      <c r="N2093" s="2859" t="str">
        <f t="shared" si="320"/>
        <v/>
      </c>
      <c r="O2093" s="2861" t="str">
        <f>IF(ISNA(INDEX(PoderesDeCriatura_AdquiridosNombres,MATCH(O$2074&amp;$A18,Principal!$U$42:$U$69,0))),"",INDEX(PoderesDeCriatura_AdquiridosNombres,MATCH(O$2074&amp;$A18,Principal!$U$42:$U$69,0)))</f>
        <v/>
      </c>
      <c r="P2093" s="2862" t="str">
        <f>IF(ISNA(INDEX(PoderesDeCriatura_Adquiridos,MATCH(O$2074&amp;$A18,Principal!$U$42:$U$69,0))),"",IF(INDEX(Principal!$AP$42:$AP$69,MATCH(O$2074&amp;$A18,Principal!$U$42:$U$69,0))&gt;0,INDEX(Principal!$AF$42:$AF$69,MATCH(O$2074&amp;$A18,Principal!$U$42:$U$69,0)),INDEX(PoderesDeCriatura_Adquiridos,MATCH(O$2074&amp;$A18,Principal!$U$42:$U$69,0))))</f>
        <v/>
      </c>
      <c r="Q2093" s="2859" t="str">
        <f t="shared" si="321"/>
        <v/>
      </c>
      <c r="R2093" s="2861" t="str">
        <f>IF(ISNA(INDEX(PoderesDeCriatura_AdquiridosNombres,MATCH(R$2074&amp;$A18,Principal!$U$42:$U$69,0))),"",INDEX(PoderesDeCriatura_AdquiridosNombres,MATCH(R$2074&amp;$A18,Principal!$U$42:$U$69,0)))</f>
        <v/>
      </c>
      <c r="S2093" s="2862" t="str">
        <f>IF(ISNA(INDEX(PoderesDeCriatura_Adquiridos,MATCH(R$2074&amp;$A18,Principal!$U$42:$U$69,0))),"",IF(INDEX(Principal!$AP$42:$AP$69,MATCH(R$2074&amp;$A18,Principal!$U$42:$U$69,0))&gt;0,INDEX(Principal!$AF$42:$AF$69,MATCH(R$2074&amp;$A18,Principal!$U$42:$U$69,0)),INDEX(PoderesDeCriatura_Adquiridos,MATCH(R$2074&amp;$A18,Principal!$U$42:$U$69,0))))</f>
        <v/>
      </c>
      <c r="T2093" s="2859" t="str">
        <f t="shared" si="322"/>
        <v/>
      </c>
      <c r="U2093" s="2861" t="str">
        <f>IF(ISNA(INDEX(PoderesDeCriatura_AdquiridosNombres,MATCH(U$2074&amp;$A18,Principal!$U$42:$U$69,0))),"",INDEX(PoderesDeCriatura_AdquiridosNombres,MATCH(U$2074&amp;$A18,Principal!$U$42:$U$69,0)))</f>
        <v/>
      </c>
      <c r="V2093" s="2862" t="str">
        <f>IF(ISNA(INDEX(PoderesDeCriatura_Adquiridos,MATCH(U$2074&amp;$A18,Principal!$U$42:$U$69,0))),"",IF(INDEX(Principal!$AP$42:$AP$69,MATCH(U$2074&amp;$A18,Principal!$U$42:$U$69,0))&gt;0,INDEX(Principal!$AF$42:$AF$69,MATCH(U$2074&amp;$A18,Principal!$U$42:$U$69,0)),INDEX(PoderesDeCriatura_Adquiridos,MATCH(U$2074&amp;$A18,Principal!$U$42:$U$69,0))))</f>
        <v/>
      </c>
      <c r="W2093" s="2859" t="str">
        <f t="shared" si="323"/>
        <v/>
      </c>
      <c r="X2093" s="2861" t="str">
        <f>IF(ISNA(INDEX(PoderesDeCriatura_AdquiridosNombres,MATCH(X$2074&amp;$A18,Principal!$U$42:$U$69,0))),"",INDEX(PoderesDeCriatura_AdquiridosNombres,MATCH(X$2074&amp;$A18,Principal!$U$42:$U$69,0)))</f>
        <v/>
      </c>
      <c r="Y2093" s="2862" t="str">
        <f>IF(ISNA(INDEX(PoderesDeCriatura_Adquiridos,MATCH(X$2074&amp;$A18,Principal!$U$42:$U$69,0))),"",IF(INDEX(Principal!$AP$42:$AP$69,MATCH(X$2074&amp;$A18,Principal!$U$42:$U$69,0))&gt;0,INDEX(Principal!$AF$42:$AF$69,MATCH(X$2074&amp;$A18,Principal!$U$42:$U$69,0)),INDEX(PoderesDeCriatura_Adquiridos,MATCH(X$2074&amp;$A18,Principal!$U$42:$U$69,0))))</f>
        <v/>
      </c>
      <c r="Z2093" s="2859" t="str">
        <f t="shared" si="324"/>
        <v/>
      </c>
      <c r="AA2093" s="2861" t="str">
        <f>IF(ISNA(INDEX(PoderesDeCriatura_AdquiridosNombres,MATCH(AA$2074&amp;$A18,Principal!$U$42:$U$69,0))),"",INDEX(PoderesDeCriatura_AdquiridosNombres,MATCH(AA$2074&amp;$A18,Principal!$U$42:$U$69,0)))</f>
        <v/>
      </c>
      <c r="AB2093" s="2862" t="str">
        <f>IF(ISNA(INDEX(PoderesDeCriatura_Adquiridos,MATCH(AA$2074&amp;$A18,Principal!$U$42:$U$69,0))),"",IF(INDEX(Principal!$AP$42:$AP$69,MATCH(AA$2074&amp;$A18,Principal!$U$42:$U$69,0))&gt;0,INDEX(Principal!$AF$42:$AF$69,MATCH(AA$2074&amp;$A18,Principal!$U$42:$U$69,0)),INDEX(PoderesDeCriatura_Adquiridos,MATCH(AA$2074&amp;$A18,Principal!$U$42:$U$69,0))))</f>
        <v/>
      </c>
      <c r="AC2093" s="2859" t="str">
        <f t="shared" si="325"/>
        <v/>
      </c>
      <c r="AD2093" s="2861" t="str">
        <f>IF(ISNA(INDEX(PoderesDeCriatura_AdquiridosNombres,MATCH(AD$2074&amp;$A18,Principal!$U$42:$U$69,0))),"",INDEX(PoderesDeCriatura_AdquiridosNombres,MATCH(AD$2074&amp;$A18,Principal!$U$42:$U$69,0)))</f>
        <v/>
      </c>
      <c r="AE2093" s="2862" t="str">
        <f>IF(ISNA(INDEX(PoderesDeCriatura_Adquiridos,MATCH(AD$2074&amp;$A18,Principal!$U$42:$U$69,0))),"",IF(INDEX(Principal!$AP$42:$AP$69,MATCH(AD$2074&amp;$A18,Principal!$U$42:$U$69,0))&gt;0,INDEX(Principal!$AF$42:$AF$69,MATCH(AD$2074&amp;$A18,Principal!$U$42:$U$69,0)),INDEX(PoderesDeCriatura_Adquiridos,MATCH(AD$2074&amp;$A18,Principal!$U$42:$U$69,0))))</f>
        <v/>
      </c>
      <c r="AF2093" s="2859" t="str">
        <f t="shared" si="326"/>
        <v/>
      </c>
      <c r="AG2093" s="2861" t="str">
        <f>IF(ISNA(INDEX(PoderesDeCriatura_AdquiridosNombres,MATCH(AG$2074&amp;$A18,Principal!$U$42:$U$69,0))),"",INDEX(PoderesDeCriatura_AdquiridosNombres,MATCH(AG$2074&amp;$A18,Principal!$U$42:$U$69,0)))</f>
        <v/>
      </c>
      <c r="AH2093" s="2862" t="str">
        <f>IF(ISNA(INDEX(PoderesDeCriatura_Adquiridos,MATCH(AG$2074&amp;$A18,Principal!$U$42:$U$69,0))),"",IF(INDEX(Principal!$AP$42:$AP$69,MATCH(AG$2074&amp;$A18,Principal!$U$42:$U$69,0))&gt;0,INDEX(Principal!$AF$42:$AF$69,MATCH(AG$2074&amp;$A18,Principal!$U$42:$U$69,0)),INDEX(PoderesDeCriatura_Adquiridos,MATCH(AG$2074&amp;$A18,Principal!$U$42:$U$69,0))))</f>
        <v/>
      </c>
      <c r="AI2093" s="2859" t="str">
        <f t="shared" si="327"/>
        <v/>
      </c>
      <c r="AJ2093" s="2861" t="str">
        <f>IF(ISNA(INDEX(PoderesDeCriatura_AdquiridosNombres,MATCH(AJ$2074&amp;$A18,Principal!$U$42:$U$69,0))),"",INDEX(PoderesDeCriatura_AdquiridosNombres,MATCH(AJ$2074&amp;$A18,Principal!$U$42:$U$69,0)))</f>
        <v/>
      </c>
      <c r="AK2093" s="2862" t="str">
        <f>IF(ISNA(INDEX(PoderesDeCriatura_Adquiridos,MATCH(AJ$2074&amp;$A18,Principal!$U$42:$U$69,0))),"",IF(INDEX(Principal!$AP$42:$AP$69,MATCH(AJ$2074&amp;$A18,Principal!$U$42:$U$69,0))&gt;0,INDEX(Principal!$AF$42:$AF$69,MATCH(AJ$2074&amp;$A18,Principal!$U$42:$U$69,0)),INDEX(PoderesDeCriatura_Adquiridos,MATCH(AJ$2074&amp;$A18,Principal!$U$42:$U$69,0))))</f>
        <v/>
      </c>
      <c r="AL2093" s="2859" t="str">
        <f t="shared" si="328"/>
        <v/>
      </c>
      <c r="AM2093" s="2861" t="str">
        <f>IF(ISNA(INDEX(PoderesDeCriatura_AdquiridosNombres,MATCH(AM$2074&amp;$A18,Principal!$U$42:$U$69,0))),"",INDEX(PoderesDeCriatura_AdquiridosNombres,MATCH(AM$2074&amp;$A18,Principal!$U$42:$U$69,0)))</f>
        <v/>
      </c>
      <c r="AN2093" s="2862" t="str">
        <f>IF(ISNA(INDEX(PoderesDeCriatura_Adquiridos,MATCH(AM$2074&amp;$A18,Principal!$U$42:$U$69,0))),"",IF(INDEX(Principal!$AP$42:$AP$69,MATCH(AM$2074&amp;$A18,Principal!$U$42:$U$69,0))&gt;0,INDEX(Principal!$AF$42:$AF$69,MATCH(AM$2074&amp;$A18,Principal!$U$42:$U$69,0)),INDEX(PoderesDeCriatura_Adquiridos,MATCH(AM$2074&amp;$A18,Principal!$U$42:$U$69,0))))</f>
        <v/>
      </c>
      <c r="AO2093" s="837" t="str">
        <f t="shared" si="329"/>
        <v/>
      </c>
      <c r="AP2093" s="834" t="str">
        <f>IF(OR(AQ2093=0,ISNUMBER(MATCH(AQ2093,$AQ$2077:$AQ2092,0))),"",MAX($AP$2076:AP2092)+1)</f>
        <v/>
      </c>
      <c r="AQ2093" s="1290">
        <f>Principal!V58</f>
        <v>0</v>
      </c>
    </row>
    <row r="2094" spans="1:43" ht="12.75" customHeight="1" x14ac:dyDescent="0.2">
      <c r="A2094" s="227">
        <v>2094</v>
      </c>
      <c r="B2094" s="5988"/>
      <c r="C2094" s="860" t="str">
        <f t="shared" si="314"/>
        <v/>
      </c>
      <c r="D2094" s="489" t="str">
        <f t="shared" si="330"/>
        <v/>
      </c>
      <c r="E2094" s="489" t="str">
        <f t="shared" si="331"/>
        <v/>
      </c>
      <c r="F2094" s="829" t="str">
        <f t="shared" si="316"/>
        <v/>
      </c>
      <c r="G2094" s="6291"/>
      <c r="H2094" s="1354" t="str">
        <f>Combate!AB39</f>
        <v/>
      </c>
      <c r="J2094" s="820" t="str">
        <f>IF(ISNA(VLOOKUP(A20,Principal!$S$42:$AH$69,10,FALSE)),"",IF(VLOOKUP(A20,Principal!$S$42:$AH$69,10,FALSE)=0,"",INDEX(PoderesDeCriatura_Adquiridos,MATCH(A20,Principal!$S$42:$S$69,0))))</f>
        <v/>
      </c>
      <c r="K2094" s="2859" t="str">
        <f>IF(AND(COUNTA($K$2075:K2093)-COUNTBLANK($K$2075:K2093)&gt;0,J2094&lt;&gt;""),", ","")&amp;J2094</f>
        <v/>
      </c>
      <c r="L2094" s="2861" t="str">
        <f>IF(ISNA(INDEX(PoderesDeCriatura_AdquiridosNombres,MATCH(L$2074&amp;$A19,Principal!$U$42:$U$69,0))),"",INDEX(PoderesDeCriatura_AdquiridosNombres,MATCH(L$2074&amp;$A19,Principal!$U$42:$U$69,0)))</f>
        <v/>
      </c>
      <c r="M2094" s="2862" t="str">
        <f>IF(ISNA(INDEX(PoderesDeCriatura_Adquiridos,MATCH(L$2074&amp;$A19,Principal!$U$42:$U$69,0))),"",IF(INDEX(Principal!$AP$42:$AP$69,MATCH(L$2074&amp;$A19,Principal!$U$42:$U$69,0))&gt;0,INDEX(Principal!$AF$42:$AF$69,MATCH(L$2074&amp;$A19,Principal!$U$42:$U$69,0)),INDEX(PoderesDeCriatura_Adquiridos,MATCH(L$2074&amp;$A19,Principal!$U$42:$U$69,0))))</f>
        <v/>
      </c>
      <c r="N2094" s="2859" t="str">
        <f t="shared" si="320"/>
        <v/>
      </c>
      <c r="O2094" s="2861" t="str">
        <f>IF(ISNA(INDEX(PoderesDeCriatura_AdquiridosNombres,MATCH(O$2074&amp;$A19,Principal!$U$42:$U$69,0))),"",INDEX(PoderesDeCriatura_AdquiridosNombres,MATCH(O$2074&amp;$A19,Principal!$U$42:$U$69,0)))</f>
        <v/>
      </c>
      <c r="P2094" s="2862" t="str">
        <f>IF(ISNA(INDEX(PoderesDeCriatura_Adquiridos,MATCH(O$2074&amp;$A19,Principal!$U$42:$U$69,0))),"",IF(INDEX(Principal!$AP$42:$AP$69,MATCH(O$2074&amp;$A19,Principal!$U$42:$U$69,0))&gt;0,INDEX(Principal!$AF$42:$AF$69,MATCH(O$2074&amp;$A19,Principal!$U$42:$U$69,0)),INDEX(PoderesDeCriatura_Adquiridos,MATCH(O$2074&amp;$A19,Principal!$U$42:$U$69,0))))</f>
        <v/>
      </c>
      <c r="Q2094" s="2859" t="str">
        <f t="shared" si="321"/>
        <v/>
      </c>
      <c r="R2094" s="2861" t="str">
        <f>IF(ISNA(INDEX(PoderesDeCriatura_AdquiridosNombres,MATCH(R$2074&amp;$A19,Principal!$U$42:$U$69,0))),"",INDEX(PoderesDeCriatura_AdquiridosNombres,MATCH(R$2074&amp;$A19,Principal!$U$42:$U$69,0)))</f>
        <v/>
      </c>
      <c r="S2094" s="2862" t="str">
        <f>IF(ISNA(INDEX(PoderesDeCriatura_Adquiridos,MATCH(R$2074&amp;$A19,Principal!$U$42:$U$69,0))),"",IF(INDEX(Principal!$AP$42:$AP$69,MATCH(R$2074&amp;$A19,Principal!$U$42:$U$69,0))&gt;0,INDEX(Principal!$AF$42:$AF$69,MATCH(R$2074&amp;$A19,Principal!$U$42:$U$69,0)),INDEX(PoderesDeCriatura_Adquiridos,MATCH(R$2074&amp;$A19,Principal!$U$42:$U$69,0))))</f>
        <v/>
      </c>
      <c r="T2094" s="2859" t="str">
        <f t="shared" si="322"/>
        <v/>
      </c>
      <c r="U2094" s="2861" t="str">
        <f>IF(ISNA(INDEX(PoderesDeCriatura_AdquiridosNombres,MATCH(U$2074&amp;$A19,Principal!$U$42:$U$69,0))),"",INDEX(PoderesDeCriatura_AdquiridosNombres,MATCH(U$2074&amp;$A19,Principal!$U$42:$U$69,0)))</f>
        <v/>
      </c>
      <c r="V2094" s="2862" t="str">
        <f>IF(ISNA(INDEX(PoderesDeCriatura_Adquiridos,MATCH(U$2074&amp;$A19,Principal!$U$42:$U$69,0))),"",IF(INDEX(Principal!$AP$42:$AP$69,MATCH(U$2074&amp;$A19,Principal!$U$42:$U$69,0))&gt;0,INDEX(Principal!$AF$42:$AF$69,MATCH(U$2074&amp;$A19,Principal!$U$42:$U$69,0)),INDEX(PoderesDeCriatura_Adquiridos,MATCH(U$2074&amp;$A19,Principal!$U$42:$U$69,0))))</f>
        <v/>
      </c>
      <c r="W2094" s="2859" t="str">
        <f t="shared" si="323"/>
        <v/>
      </c>
      <c r="X2094" s="2861" t="str">
        <f>IF(ISNA(INDEX(PoderesDeCriatura_AdquiridosNombres,MATCH(X$2074&amp;$A19,Principal!$U$42:$U$69,0))),"",INDEX(PoderesDeCriatura_AdquiridosNombres,MATCH(X$2074&amp;$A19,Principal!$U$42:$U$69,0)))</f>
        <v/>
      </c>
      <c r="Y2094" s="2862" t="str">
        <f>IF(ISNA(INDEX(PoderesDeCriatura_Adquiridos,MATCH(X$2074&amp;$A19,Principal!$U$42:$U$69,0))),"",IF(INDEX(Principal!$AP$42:$AP$69,MATCH(X$2074&amp;$A19,Principal!$U$42:$U$69,0))&gt;0,INDEX(Principal!$AF$42:$AF$69,MATCH(X$2074&amp;$A19,Principal!$U$42:$U$69,0)),INDEX(PoderesDeCriatura_Adquiridos,MATCH(X$2074&amp;$A19,Principal!$U$42:$U$69,0))))</f>
        <v/>
      </c>
      <c r="Z2094" s="2859" t="str">
        <f t="shared" si="324"/>
        <v/>
      </c>
      <c r="AA2094" s="2861" t="str">
        <f>IF(ISNA(INDEX(PoderesDeCriatura_AdquiridosNombres,MATCH(AA$2074&amp;$A19,Principal!$U$42:$U$69,0))),"",INDEX(PoderesDeCriatura_AdquiridosNombres,MATCH(AA$2074&amp;$A19,Principal!$U$42:$U$69,0)))</f>
        <v/>
      </c>
      <c r="AB2094" s="2862" t="str">
        <f>IF(ISNA(INDEX(PoderesDeCriatura_Adquiridos,MATCH(AA$2074&amp;$A19,Principal!$U$42:$U$69,0))),"",IF(INDEX(Principal!$AP$42:$AP$69,MATCH(AA$2074&amp;$A19,Principal!$U$42:$U$69,0))&gt;0,INDEX(Principal!$AF$42:$AF$69,MATCH(AA$2074&amp;$A19,Principal!$U$42:$U$69,0)),INDEX(PoderesDeCriatura_Adquiridos,MATCH(AA$2074&amp;$A19,Principal!$U$42:$U$69,0))))</f>
        <v/>
      </c>
      <c r="AC2094" s="2859" t="str">
        <f t="shared" si="325"/>
        <v/>
      </c>
      <c r="AD2094" s="2861" t="str">
        <f>IF(ISNA(INDEX(PoderesDeCriatura_AdquiridosNombres,MATCH(AD$2074&amp;$A19,Principal!$U$42:$U$69,0))),"",INDEX(PoderesDeCriatura_AdquiridosNombres,MATCH(AD$2074&amp;$A19,Principal!$U$42:$U$69,0)))</f>
        <v/>
      </c>
      <c r="AE2094" s="2862" t="str">
        <f>IF(ISNA(INDEX(PoderesDeCriatura_Adquiridos,MATCH(AD$2074&amp;$A19,Principal!$U$42:$U$69,0))),"",IF(INDEX(Principal!$AP$42:$AP$69,MATCH(AD$2074&amp;$A19,Principal!$U$42:$U$69,0))&gt;0,INDEX(Principal!$AF$42:$AF$69,MATCH(AD$2074&amp;$A19,Principal!$U$42:$U$69,0)),INDEX(PoderesDeCriatura_Adquiridos,MATCH(AD$2074&amp;$A19,Principal!$U$42:$U$69,0))))</f>
        <v/>
      </c>
      <c r="AF2094" s="2859" t="str">
        <f t="shared" si="326"/>
        <v/>
      </c>
      <c r="AG2094" s="2861" t="str">
        <f>IF(ISNA(INDEX(PoderesDeCriatura_AdquiridosNombres,MATCH(AG$2074&amp;$A19,Principal!$U$42:$U$69,0))),"",INDEX(PoderesDeCriatura_AdquiridosNombres,MATCH(AG$2074&amp;$A19,Principal!$U$42:$U$69,0)))</f>
        <v/>
      </c>
      <c r="AH2094" s="2862" t="str">
        <f>IF(ISNA(INDEX(PoderesDeCriatura_Adquiridos,MATCH(AG$2074&amp;$A19,Principal!$U$42:$U$69,0))),"",IF(INDEX(Principal!$AP$42:$AP$69,MATCH(AG$2074&amp;$A19,Principal!$U$42:$U$69,0))&gt;0,INDEX(Principal!$AF$42:$AF$69,MATCH(AG$2074&amp;$A19,Principal!$U$42:$U$69,0)),INDEX(PoderesDeCriatura_Adquiridos,MATCH(AG$2074&amp;$A19,Principal!$U$42:$U$69,0))))</f>
        <v/>
      </c>
      <c r="AI2094" s="2859" t="str">
        <f t="shared" si="327"/>
        <v/>
      </c>
      <c r="AJ2094" s="2861" t="str">
        <f>IF(ISNA(INDEX(PoderesDeCriatura_AdquiridosNombres,MATCH(AJ$2074&amp;$A19,Principal!$U$42:$U$69,0))),"",INDEX(PoderesDeCriatura_AdquiridosNombres,MATCH(AJ$2074&amp;$A19,Principal!$U$42:$U$69,0)))</f>
        <v/>
      </c>
      <c r="AK2094" s="2862" t="str">
        <f>IF(ISNA(INDEX(PoderesDeCriatura_Adquiridos,MATCH(AJ$2074&amp;$A19,Principal!$U$42:$U$69,0))),"",IF(INDEX(Principal!$AP$42:$AP$69,MATCH(AJ$2074&amp;$A19,Principal!$U$42:$U$69,0))&gt;0,INDEX(Principal!$AF$42:$AF$69,MATCH(AJ$2074&amp;$A19,Principal!$U$42:$U$69,0)),INDEX(PoderesDeCriatura_Adquiridos,MATCH(AJ$2074&amp;$A19,Principal!$U$42:$U$69,0))))</f>
        <v/>
      </c>
      <c r="AL2094" s="2859" t="str">
        <f t="shared" si="328"/>
        <v/>
      </c>
      <c r="AM2094" s="2861" t="str">
        <f>IF(ISNA(INDEX(PoderesDeCriatura_AdquiridosNombres,MATCH(AM$2074&amp;$A19,Principal!$U$42:$U$69,0))),"",INDEX(PoderesDeCriatura_AdquiridosNombres,MATCH(AM$2074&amp;$A19,Principal!$U$42:$U$69,0)))</f>
        <v/>
      </c>
      <c r="AN2094" s="2862" t="str">
        <f>IF(ISNA(INDEX(PoderesDeCriatura_Adquiridos,MATCH(AM$2074&amp;$A19,Principal!$U$42:$U$69,0))),"",IF(INDEX(Principal!$AP$42:$AP$69,MATCH(AM$2074&amp;$A19,Principal!$U$42:$U$69,0))&gt;0,INDEX(Principal!$AF$42:$AF$69,MATCH(AM$2074&amp;$A19,Principal!$U$42:$U$69,0)),INDEX(PoderesDeCriatura_Adquiridos,MATCH(AM$2074&amp;$A19,Principal!$U$42:$U$69,0))))</f>
        <v/>
      </c>
      <c r="AO2094" s="837" t="str">
        <f t="shared" si="329"/>
        <v/>
      </c>
      <c r="AP2094" s="834" t="str">
        <f>IF(OR(AQ2094=0,ISNUMBER(MATCH(AQ2094,$AQ$2077:$AQ2093,0))),"",MAX($AP$2076:AP2093)+1)</f>
        <v/>
      </c>
      <c r="AQ2094" s="1290">
        <f>Principal!V59</f>
        <v>0</v>
      </c>
    </row>
    <row r="2095" spans="1:43" ht="12.75" customHeight="1" x14ac:dyDescent="0.2">
      <c r="A2095" s="227">
        <v>2095</v>
      </c>
      <c r="B2095" s="5988"/>
      <c r="C2095" s="860" t="str">
        <f t="shared" si="314"/>
        <v/>
      </c>
      <c r="D2095" s="489" t="str">
        <f t="shared" si="330"/>
        <v/>
      </c>
      <c r="E2095" s="489" t="str">
        <f t="shared" si="331"/>
        <v/>
      </c>
      <c r="F2095" s="829" t="str">
        <f t="shared" si="316"/>
        <v/>
      </c>
      <c r="G2095" s="6291"/>
      <c r="H2095" s="1354" t="str">
        <f>Combate!AB40</f>
        <v/>
      </c>
      <c r="J2095" s="820" t="str">
        <f>IF(ISNA(VLOOKUP(A21,Principal!$S$42:$AH$69,10,FALSE)),"",IF(VLOOKUP(A21,Principal!$S$42:$AH$69,10,FALSE)=0,"",INDEX(PoderesDeCriatura_Adquiridos,MATCH(A21,Principal!$S$42:$S$69,0))))</f>
        <v/>
      </c>
      <c r="K2095" s="2859" t="str">
        <f>IF(AND(COUNTA($K$2075:K2094)-COUNTBLANK($K$2075:K2094)&gt;0,J2095&lt;&gt;""),", ","")&amp;J2095</f>
        <v/>
      </c>
      <c r="L2095" s="2861" t="str">
        <f>IF(ISNA(INDEX(PoderesDeCriatura_AdquiridosNombres,MATCH(L$2074&amp;$A20,Principal!$U$42:$U$69,0))),"",INDEX(PoderesDeCriatura_AdquiridosNombres,MATCH(L$2074&amp;$A20,Principal!$U$42:$U$69,0)))</f>
        <v/>
      </c>
      <c r="M2095" s="2862" t="str">
        <f>IF(ISNA(INDEX(PoderesDeCriatura_Adquiridos,MATCH(L$2074&amp;$A20,Principal!$U$42:$U$69,0))),"",IF(INDEX(Principal!$AP$42:$AP$69,MATCH(L$2074&amp;$A20,Principal!$U$42:$U$69,0))&gt;0,INDEX(Principal!$AF$42:$AF$69,MATCH(L$2074&amp;$A20,Principal!$U$42:$U$69,0)),INDEX(PoderesDeCriatura_Adquiridos,MATCH(L$2074&amp;$A20,Principal!$U$42:$U$69,0))))</f>
        <v/>
      </c>
      <c r="N2095" s="2859" t="str">
        <f t="shared" si="320"/>
        <v/>
      </c>
      <c r="O2095" s="2861" t="str">
        <f>IF(ISNA(INDEX(PoderesDeCriatura_AdquiridosNombres,MATCH(O$2074&amp;$A20,Principal!$U$42:$U$69,0))),"",INDEX(PoderesDeCriatura_AdquiridosNombres,MATCH(O$2074&amp;$A20,Principal!$U$42:$U$69,0)))</f>
        <v/>
      </c>
      <c r="P2095" s="2862" t="str">
        <f>IF(ISNA(INDEX(PoderesDeCriatura_Adquiridos,MATCH(O$2074&amp;$A20,Principal!$U$42:$U$69,0))),"",IF(INDEX(Principal!$AP$42:$AP$69,MATCH(O$2074&amp;$A20,Principal!$U$42:$U$69,0))&gt;0,INDEX(Principal!$AF$42:$AF$69,MATCH(O$2074&amp;$A20,Principal!$U$42:$U$69,0)),INDEX(PoderesDeCriatura_Adquiridos,MATCH(O$2074&amp;$A20,Principal!$U$42:$U$69,0))))</f>
        <v/>
      </c>
      <c r="Q2095" s="2859" t="str">
        <f t="shared" si="321"/>
        <v/>
      </c>
      <c r="R2095" s="2861" t="str">
        <f>IF(ISNA(INDEX(PoderesDeCriatura_AdquiridosNombres,MATCH(R$2074&amp;$A20,Principal!$U$42:$U$69,0))),"",INDEX(PoderesDeCriatura_AdquiridosNombres,MATCH(R$2074&amp;$A20,Principal!$U$42:$U$69,0)))</f>
        <v/>
      </c>
      <c r="S2095" s="2862" t="str">
        <f>IF(ISNA(INDEX(PoderesDeCriatura_Adquiridos,MATCH(R$2074&amp;$A20,Principal!$U$42:$U$69,0))),"",IF(INDEX(Principal!$AP$42:$AP$69,MATCH(R$2074&amp;$A20,Principal!$U$42:$U$69,0))&gt;0,INDEX(Principal!$AF$42:$AF$69,MATCH(R$2074&amp;$A20,Principal!$U$42:$U$69,0)),INDEX(PoderesDeCriatura_Adquiridos,MATCH(R$2074&amp;$A20,Principal!$U$42:$U$69,0))))</f>
        <v/>
      </c>
      <c r="T2095" s="2859" t="str">
        <f t="shared" si="322"/>
        <v/>
      </c>
      <c r="U2095" s="2861" t="str">
        <f>IF(ISNA(INDEX(PoderesDeCriatura_AdquiridosNombres,MATCH(U$2074&amp;$A20,Principal!$U$42:$U$69,0))),"",INDEX(PoderesDeCriatura_AdquiridosNombres,MATCH(U$2074&amp;$A20,Principal!$U$42:$U$69,0)))</f>
        <v/>
      </c>
      <c r="V2095" s="2862" t="str">
        <f>IF(ISNA(INDEX(PoderesDeCriatura_Adquiridos,MATCH(U$2074&amp;$A20,Principal!$U$42:$U$69,0))),"",IF(INDEX(Principal!$AP$42:$AP$69,MATCH(U$2074&amp;$A20,Principal!$U$42:$U$69,0))&gt;0,INDEX(Principal!$AF$42:$AF$69,MATCH(U$2074&amp;$A20,Principal!$U$42:$U$69,0)),INDEX(PoderesDeCriatura_Adquiridos,MATCH(U$2074&amp;$A20,Principal!$U$42:$U$69,0))))</f>
        <v/>
      </c>
      <c r="W2095" s="2859" t="str">
        <f t="shared" si="323"/>
        <v/>
      </c>
      <c r="X2095" s="2861" t="str">
        <f>IF(ISNA(INDEX(PoderesDeCriatura_AdquiridosNombres,MATCH(X$2074&amp;$A20,Principal!$U$42:$U$69,0))),"",INDEX(PoderesDeCriatura_AdquiridosNombres,MATCH(X$2074&amp;$A20,Principal!$U$42:$U$69,0)))</f>
        <v/>
      </c>
      <c r="Y2095" s="2862" t="str">
        <f>IF(ISNA(INDEX(PoderesDeCriatura_Adquiridos,MATCH(X$2074&amp;$A20,Principal!$U$42:$U$69,0))),"",IF(INDEX(Principal!$AP$42:$AP$69,MATCH(X$2074&amp;$A20,Principal!$U$42:$U$69,0))&gt;0,INDEX(Principal!$AF$42:$AF$69,MATCH(X$2074&amp;$A20,Principal!$U$42:$U$69,0)),INDEX(PoderesDeCriatura_Adquiridos,MATCH(X$2074&amp;$A20,Principal!$U$42:$U$69,0))))</f>
        <v/>
      </c>
      <c r="Z2095" s="2859" t="str">
        <f t="shared" si="324"/>
        <v/>
      </c>
      <c r="AA2095" s="2861" t="str">
        <f>IF(ISNA(INDEX(PoderesDeCriatura_AdquiridosNombres,MATCH(AA$2074&amp;$A20,Principal!$U$42:$U$69,0))),"",INDEX(PoderesDeCriatura_AdquiridosNombres,MATCH(AA$2074&amp;$A20,Principal!$U$42:$U$69,0)))</f>
        <v/>
      </c>
      <c r="AB2095" s="2862" t="str">
        <f>IF(ISNA(INDEX(PoderesDeCriatura_Adquiridos,MATCH(AA$2074&amp;$A20,Principal!$U$42:$U$69,0))),"",IF(INDEX(Principal!$AP$42:$AP$69,MATCH(AA$2074&amp;$A20,Principal!$U$42:$U$69,0))&gt;0,INDEX(Principal!$AF$42:$AF$69,MATCH(AA$2074&amp;$A20,Principal!$U$42:$U$69,0)),INDEX(PoderesDeCriatura_Adquiridos,MATCH(AA$2074&amp;$A20,Principal!$U$42:$U$69,0))))</f>
        <v/>
      </c>
      <c r="AC2095" s="2859" t="str">
        <f t="shared" si="325"/>
        <v/>
      </c>
      <c r="AD2095" s="2861" t="str">
        <f>IF(ISNA(INDEX(PoderesDeCriatura_AdquiridosNombres,MATCH(AD$2074&amp;$A20,Principal!$U$42:$U$69,0))),"",INDEX(PoderesDeCriatura_AdquiridosNombres,MATCH(AD$2074&amp;$A20,Principal!$U$42:$U$69,0)))</f>
        <v/>
      </c>
      <c r="AE2095" s="2862" t="str">
        <f>IF(ISNA(INDEX(PoderesDeCriatura_Adquiridos,MATCH(AD$2074&amp;$A20,Principal!$U$42:$U$69,0))),"",IF(INDEX(Principal!$AP$42:$AP$69,MATCH(AD$2074&amp;$A20,Principal!$U$42:$U$69,0))&gt;0,INDEX(Principal!$AF$42:$AF$69,MATCH(AD$2074&amp;$A20,Principal!$U$42:$U$69,0)),INDEX(PoderesDeCriatura_Adquiridos,MATCH(AD$2074&amp;$A20,Principal!$U$42:$U$69,0))))</f>
        <v/>
      </c>
      <c r="AF2095" s="2859" t="str">
        <f t="shared" si="326"/>
        <v/>
      </c>
      <c r="AG2095" s="2861" t="str">
        <f>IF(ISNA(INDEX(PoderesDeCriatura_AdquiridosNombres,MATCH(AG$2074&amp;$A20,Principal!$U$42:$U$69,0))),"",INDEX(PoderesDeCriatura_AdquiridosNombres,MATCH(AG$2074&amp;$A20,Principal!$U$42:$U$69,0)))</f>
        <v/>
      </c>
      <c r="AH2095" s="2862" t="str">
        <f>IF(ISNA(INDEX(PoderesDeCriatura_Adquiridos,MATCH(AG$2074&amp;$A20,Principal!$U$42:$U$69,0))),"",IF(INDEX(Principal!$AP$42:$AP$69,MATCH(AG$2074&amp;$A20,Principal!$U$42:$U$69,0))&gt;0,INDEX(Principal!$AF$42:$AF$69,MATCH(AG$2074&amp;$A20,Principal!$U$42:$U$69,0)),INDEX(PoderesDeCriatura_Adquiridos,MATCH(AG$2074&amp;$A20,Principal!$U$42:$U$69,0))))</f>
        <v/>
      </c>
      <c r="AI2095" s="2859" t="str">
        <f t="shared" si="327"/>
        <v/>
      </c>
      <c r="AJ2095" s="2861" t="str">
        <f>IF(ISNA(INDEX(PoderesDeCriatura_AdquiridosNombres,MATCH(AJ$2074&amp;$A20,Principal!$U$42:$U$69,0))),"",INDEX(PoderesDeCriatura_AdquiridosNombres,MATCH(AJ$2074&amp;$A20,Principal!$U$42:$U$69,0)))</f>
        <v/>
      </c>
      <c r="AK2095" s="2862" t="str">
        <f>IF(ISNA(INDEX(PoderesDeCriatura_Adquiridos,MATCH(AJ$2074&amp;$A20,Principal!$U$42:$U$69,0))),"",IF(INDEX(Principal!$AP$42:$AP$69,MATCH(AJ$2074&amp;$A20,Principal!$U$42:$U$69,0))&gt;0,INDEX(Principal!$AF$42:$AF$69,MATCH(AJ$2074&amp;$A20,Principal!$U$42:$U$69,0)),INDEX(PoderesDeCriatura_Adquiridos,MATCH(AJ$2074&amp;$A20,Principal!$U$42:$U$69,0))))</f>
        <v/>
      </c>
      <c r="AL2095" s="2859" t="str">
        <f t="shared" si="328"/>
        <v/>
      </c>
      <c r="AM2095" s="2861" t="str">
        <f>IF(ISNA(INDEX(PoderesDeCriatura_AdquiridosNombres,MATCH(AM$2074&amp;$A20,Principal!$U$42:$U$69,0))),"",INDEX(PoderesDeCriatura_AdquiridosNombres,MATCH(AM$2074&amp;$A20,Principal!$U$42:$U$69,0)))</f>
        <v/>
      </c>
      <c r="AN2095" s="2862" t="str">
        <f>IF(ISNA(INDEX(PoderesDeCriatura_Adquiridos,MATCH(AM$2074&amp;$A20,Principal!$U$42:$U$69,0))),"",IF(INDEX(Principal!$AP$42:$AP$69,MATCH(AM$2074&amp;$A20,Principal!$U$42:$U$69,0))&gt;0,INDEX(Principal!$AF$42:$AF$69,MATCH(AM$2074&amp;$A20,Principal!$U$42:$U$69,0)),INDEX(PoderesDeCriatura_Adquiridos,MATCH(AM$2074&amp;$A20,Principal!$U$42:$U$69,0))))</f>
        <v/>
      </c>
      <c r="AO2095" s="837" t="str">
        <f t="shared" si="329"/>
        <v/>
      </c>
      <c r="AP2095" s="834" t="str">
        <f>IF(OR(AQ2095=0,ISNUMBER(MATCH(AQ2095,$AQ$2077:$AQ2094,0))),"",MAX($AP$2076:AP2094)+1)</f>
        <v/>
      </c>
      <c r="AQ2095" s="1290">
        <f>Principal!V60</f>
        <v>0</v>
      </c>
    </row>
    <row r="2096" spans="1:43" ht="12.75" customHeight="1" x14ac:dyDescent="0.2">
      <c r="A2096" s="227">
        <v>2096</v>
      </c>
      <c r="B2096" s="5988"/>
      <c r="C2096" s="860" t="str">
        <f t="shared" si="314"/>
        <v/>
      </c>
      <c r="D2096" s="489" t="str">
        <f t="shared" si="330"/>
        <v/>
      </c>
      <c r="E2096" s="489" t="str">
        <f t="shared" si="331"/>
        <v/>
      </c>
      <c r="F2096" s="829" t="str">
        <f t="shared" si="316"/>
        <v/>
      </c>
      <c r="G2096" s="6291"/>
      <c r="H2096" s="1354" t="str">
        <f>Combate!AB41</f>
        <v/>
      </c>
      <c r="J2096" s="820" t="str">
        <f>IF(ISNA(VLOOKUP(A22,Principal!$S$42:$AH$69,10,FALSE)),"",IF(VLOOKUP(A22,Principal!$S$42:$AH$69,10,FALSE)=0,"",INDEX(PoderesDeCriatura_Adquiridos,MATCH(A22,Principal!$S$42:$S$69,0))))</f>
        <v/>
      </c>
      <c r="K2096" s="2859" t="str">
        <f>IF(AND(COUNTA($K$2075:K2095)-COUNTBLANK($K$2075:K2095)&gt;0,J2096&lt;&gt;""),", ","")&amp;J2096</f>
        <v/>
      </c>
      <c r="L2096" s="2861" t="str">
        <f>IF(ISNA(INDEX(PoderesDeCriatura_AdquiridosNombres,MATCH(L$2074&amp;$A21,Principal!$U$42:$U$69,0))),"",INDEX(PoderesDeCriatura_AdquiridosNombres,MATCH(L$2074&amp;$A21,Principal!$U$42:$U$69,0)))</f>
        <v/>
      </c>
      <c r="M2096" s="2862" t="str">
        <f>IF(ISNA(INDEX(PoderesDeCriatura_Adquiridos,MATCH(L$2074&amp;$A21,Principal!$U$42:$U$69,0))),"",IF(INDEX(Principal!$AP$42:$AP$69,MATCH(L$2074&amp;$A21,Principal!$U$42:$U$69,0))&gt;0,INDEX(Principal!$AF$42:$AF$69,MATCH(L$2074&amp;$A21,Principal!$U$42:$U$69,0)),INDEX(PoderesDeCriatura_Adquiridos,MATCH(L$2074&amp;$A21,Principal!$U$42:$U$69,0))))</f>
        <v/>
      </c>
      <c r="N2096" s="2859" t="str">
        <f t="shared" si="320"/>
        <v/>
      </c>
      <c r="O2096" s="2861" t="str">
        <f>IF(ISNA(INDEX(PoderesDeCriatura_AdquiridosNombres,MATCH(O$2074&amp;$A21,Principal!$U$42:$U$69,0))),"",INDEX(PoderesDeCriatura_AdquiridosNombres,MATCH(O$2074&amp;$A21,Principal!$U$42:$U$69,0)))</f>
        <v/>
      </c>
      <c r="P2096" s="2862" t="str">
        <f>IF(ISNA(INDEX(PoderesDeCriatura_Adquiridos,MATCH(O$2074&amp;$A21,Principal!$U$42:$U$69,0))),"",IF(INDEX(Principal!$AP$42:$AP$69,MATCH(O$2074&amp;$A21,Principal!$U$42:$U$69,0))&gt;0,INDEX(Principal!$AF$42:$AF$69,MATCH(O$2074&amp;$A21,Principal!$U$42:$U$69,0)),INDEX(PoderesDeCriatura_Adquiridos,MATCH(O$2074&amp;$A21,Principal!$U$42:$U$69,0))))</f>
        <v/>
      </c>
      <c r="Q2096" s="2859" t="str">
        <f t="shared" si="321"/>
        <v/>
      </c>
      <c r="R2096" s="2861" t="str">
        <f>IF(ISNA(INDEX(PoderesDeCriatura_AdquiridosNombres,MATCH(R$2074&amp;$A21,Principal!$U$42:$U$69,0))),"",INDEX(PoderesDeCriatura_AdquiridosNombres,MATCH(R$2074&amp;$A21,Principal!$U$42:$U$69,0)))</f>
        <v/>
      </c>
      <c r="S2096" s="2862" t="str">
        <f>IF(ISNA(INDEX(PoderesDeCriatura_Adquiridos,MATCH(R$2074&amp;$A21,Principal!$U$42:$U$69,0))),"",IF(INDEX(Principal!$AP$42:$AP$69,MATCH(R$2074&amp;$A21,Principal!$U$42:$U$69,0))&gt;0,INDEX(Principal!$AF$42:$AF$69,MATCH(R$2074&amp;$A21,Principal!$U$42:$U$69,0)),INDEX(PoderesDeCriatura_Adquiridos,MATCH(R$2074&amp;$A21,Principal!$U$42:$U$69,0))))</f>
        <v/>
      </c>
      <c r="T2096" s="2859" t="str">
        <f t="shared" si="322"/>
        <v/>
      </c>
      <c r="U2096" s="2861" t="str">
        <f>IF(ISNA(INDEX(PoderesDeCriatura_AdquiridosNombres,MATCH(U$2074&amp;$A21,Principal!$U$42:$U$69,0))),"",INDEX(PoderesDeCriatura_AdquiridosNombres,MATCH(U$2074&amp;$A21,Principal!$U$42:$U$69,0)))</f>
        <v/>
      </c>
      <c r="V2096" s="2862" t="str">
        <f>IF(ISNA(INDEX(PoderesDeCriatura_Adquiridos,MATCH(U$2074&amp;$A21,Principal!$U$42:$U$69,0))),"",IF(INDEX(Principal!$AP$42:$AP$69,MATCH(U$2074&amp;$A21,Principal!$U$42:$U$69,0))&gt;0,INDEX(Principal!$AF$42:$AF$69,MATCH(U$2074&amp;$A21,Principal!$U$42:$U$69,0)),INDEX(PoderesDeCriatura_Adquiridos,MATCH(U$2074&amp;$A21,Principal!$U$42:$U$69,0))))</f>
        <v/>
      </c>
      <c r="W2096" s="2859" t="str">
        <f t="shared" si="323"/>
        <v/>
      </c>
      <c r="X2096" s="2861" t="str">
        <f>IF(ISNA(INDEX(PoderesDeCriatura_AdquiridosNombres,MATCH(X$2074&amp;$A21,Principal!$U$42:$U$69,0))),"",INDEX(PoderesDeCriatura_AdquiridosNombres,MATCH(X$2074&amp;$A21,Principal!$U$42:$U$69,0)))</f>
        <v/>
      </c>
      <c r="Y2096" s="2862" t="str">
        <f>IF(ISNA(INDEX(PoderesDeCriatura_Adquiridos,MATCH(X$2074&amp;$A21,Principal!$U$42:$U$69,0))),"",IF(INDEX(Principal!$AP$42:$AP$69,MATCH(X$2074&amp;$A21,Principal!$U$42:$U$69,0))&gt;0,INDEX(Principal!$AF$42:$AF$69,MATCH(X$2074&amp;$A21,Principal!$U$42:$U$69,0)),INDEX(PoderesDeCriatura_Adquiridos,MATCH(X$2074&amp;$A21,Principal!$U$42:$U$69,0))))</f>
        <v/>
      </c>
      <c r="Z2096" s="2859" t="str">
        <f t="shared" si="324"/>
        <v/>
      </c>
      <c r="AA2096" s="2861" t="str">
        <f>IF(ISNA(INDEX(PoderesDeCriatura_AdquiridosNombres,MATCH(AA$2074&amp;$A21,Principal!$U$42:$U$69,0))),"",INDEX(PoderesDeCriatura_AdquiridosNombres,MATCH(AA$2074&amp;$A21,Principal!$U$42:$U$69,0)))</f>
        <v/>
      </c>
      <c r="AB2096" s="2862" t="str">
        <f>IF(ISNA(INDEX(PoderesDeCriatura_Adquiridos,MATCH(AA$2074&amp;$A21,Principal!$U$42:$U$69,0))),"",IF(INDEX(Principal!$AP$42:$AP$69,MATCH(AA$2074&amp;$A21,Principal!$U$42:$U$69,0))&gt;0,INDEX(Principal!$AF$42:$AF$69,MATCH(AA$2074&amp;$A21,Principal!$U$42:$U$69,0)),INDEX(PoderesDeCriatura_Adquiridos,MATCH(AA$2074&amp;$A21,Principal!$U$42:$U$69,0))))</f>
        <v/>
      </c>
      <c r="AC2096" s="2859" t="str">
        <f t="shared" si="325"/>
        <v/>
      </c>
      <c r="AD2096" s="2861" t="str">
        <f>IF(ISNA(INDEX(PoderesDeCriatura_AdquiridosNombres,MATCH(AD$2074&amp;$A21,Principal!$U$42:$U$69,0))),"",INDEX(PoderesDeCriatura_AdquiridosNombres,MATCH(AD$2074&amp;$A21,Principal!$U$42:$U$69,0)))</f>
        <v/>
      </c>
      <c r="AE2096" s="2862" t="str">
        <f>IF(ISNA(INDEX(PoderesDeCriatura_Adquiridos,MATCH(AD$2074&amp;$A21,Principal!$U$42:$U$69,0))),"",IF(INDEX(Principal!$AP$42:$AP$69,MATCH(AD$2074&amp;$A21,Principal!$U$42:$U$69,0))&gt;0,INDEX(Principal!$AF$42:$AF$69,MATCH(AD$2074&amp;$A21,Principal!$U$42:$U$69,0)),INDEX(PoderesDeCriatura_Adquiridos,MATCH(AD$2074&amp;$A21,Principal!$U$42:$U$69,0))))</f>
        <v/>
      </c>
      <c r="AF2096" s="2859" t="str">
        <f t="shared" si="326"/>
        <v/>
      </c>
      <c r="AG2096" s="2861" t="str">
        <f>IF(ISNA(INDEX(PoderesDeCriatura_AdquiridosNombres,MATCH(AG$2074&amp;$A21,Principal!$U$42:$U$69,0))),"",INDEX(PoderesDeCriatura_AdquiridosNombres,MATCH(AG$2074&amp;$A21,Principal!$U$42:$U$69,0)))</f>
        <v/>
      </c>
      <c r="AH2096" s="2862" t="str">
        <f>IF(ISNA(INDEX(PoderesDeCriatura_Adquiridos,MATCH(AG$2074&amp;$A21,Principal!$U$42:$U$69,0))),"",IF(INDEX(Principal!$AP$42:$AP$69,MATCH(AG$2074&amp;$A21,Principal!$U$42:$U$69,0))&gt;0,INDEX(Principal!$AF$42:$AF$69,MATCH(AG$2074&amp;$A21,Principal!$U$42:$U$69,0)),INDEX(PoderesDeCriatura_Adquiridos,MATCH(AG$2074&amp;$A21,Principal!$U$42:$U$69,0))))</f>
        <v/>
      </c>
      <c r="AI2096" s="2859" t="str">
        <f t="shared" si="327"/>
        <v/>
      </c>
      <c r="AJ2096" s="2861" t="str">
        <f>IF(ISNA(INDEX(PoderesDeCriatura_AdquiridosNombres,MATCH(AJ$2074&amp;$A21,Principal!$U$42:$U$69,0))),"",INDEX(PoderesDeCriatura_AdquiridosNombres,MATCH(AJ$2074&amp;$A21,Principal!$U$42:$U$69,0)))</f>
        <v/>
      </c>
      <c r="AK2096" s="2862" t="str">
        <f>IF(ISNA(INDEX(PoderesDeCriatura_Adquiridos,MATCH(AJ$2074&amp;$A21,Principal!$U$42:$U$69,0))),"",IF(INDEX(Principal!$AP$42:$AP$69,MATCH(AJ$2074&amp;$A21,Principal!$U$42:$U$69,0))&gt;0,INDEX(Principal!$AF$42:$AF$69,MATCH(AJ$2074&amp;$A21,Principal!$U$42:$U$69,0)),INDEX(PoderesDeCriatura_Adquiridos,MATCH(AJ$2074&amp;$A21,Principal!$U$42:$U$69,0))))</f>
        <v/>
      </c>
      <c r="AL2096" s="2859" t="str">
        <f t="shared" si="328"/>
        <v/>
      </c>
      <c r="AM2096" s="2861" t="str">
        <f>IF(ISNA(INDEX(PoderesDeCriatura_AdquiridosNombres,MATCH(AM$2074&amp;$A21,Principal!$U$42:$U$69,0))),"",INDEX(PoderesDeCriatura_AdquiridosNombres,MATCH(AM$2074&amp;$A21,Principal!$U$42:$U$69,0)))</f>
        <v/>
      </c>
      <c r="AN2096" s="2862" t="str">
        <f>IF(ISNA(INDEX(PoderesDeCriatura_Adquiridos,MATCH(AM$2074&amp;$A21,Principal!$U$42:$U$69,0))),"",IF(INDEX(Principal!$AP$42:$AP$69,MATCH(AM$2074&amp;$A21,Principal!$U$42:$U$69,0))&gt;0,INDEX(Principal!$AF$42:$AF$69,MATCH(AM$2074&amp;$A21,Principal!$U$42:$U$69,0)),INDEX(PoderesDeCriatura_Adquiridos,MATCH(AM$2074&amp;$A21,Principal!$U$42:$U$69,0))))</f>
        <v/>
      </c>
      <c r="AO2096" s="837" t="str">
        <f t="shared" si="329"/>
        <v/>
      </c>
      <c r="AP2096" s="834" t="str">
        <f>IF(OR(AQ2096=0,ISNUMBER(MATCH(AQ2096,$AQ$2077:$AQ2095,0))),"",MAX($AP$2076:AP2095)+1)</f>
        <v/>
      </c>
      <c r="AQ2096" s="1290">
        <f>Principal!V61</f>
        <v>0</v>
      </c>
    </row>
    <row r="2097" spans="1:43" ht="12.75" customHeight="1" x14ac:dyDescent="0.2">
      <c r="A2097" s="227">
        <v>2097</v>
      </c>
      <c r="B2097" s="5988"/>
      <c r="C2097" s="860" t="str">
        <f t="shared" si="314"/>
        <v/>
      </c>
      <c r="D2097" s="489" t="str">
        <f t="shared" si="330"/>
        <v/>
      </c>
      <c r="E2097" s="489" t="str">
        <f t="shared" si="331"/>
        <v/>
      </c>
      <c r="F2097" s="829" t="str">
        <f t="shared" si="316"/>
        <v/>
      </c>
      <c r="G2097" s="6291"/>
      <c r="H2097" s="1354" t="str">
        <f>Combate!AB42</f>
        <v/>
      </c>
      <c r="J2097" s="820" t="str">
        <f>IF(ISNA(VLOOKUP(A23,Principal!$S$42:$AH$69,10,FALSE)),"",IF(VLOOKUP(A23,Principal!$S$42:$AH$69,10,FALSE)=0,"",INDEX(PoderesDeCriatura_Adquiridos,MATCH(A23,Principal!$S$42:$S$69,0))))</f>
        <v/>
      </c>
      <c r="K2097" s="2859" t="str">
        <f>IF(AND(COUNTA($K$2075:K2096)-COUNTBLANK($K$2075:K2096)&gt;0,J2097&lt;&gt;""),", ","")&amp;J2097</f>
        <v/>
      </c>
      <c r="L2097" s="2861" t="str">
        <f>IF(ISNA(INDEX(PoderesDeCriatura_AdquiridosNombres,MATCH(L$2074&amp;$A22,Principal!$U$42:$U$69,0))),"",INDEX(PoderesDeCriatura_AdquiridosNombres,MATCH(L$2074&amp;$A22,Principal!$U$42:$U$69,0)))</f>
        <v/>
      </c>
      <c r="M2097" s="2862" t="str">
        <f>IF(ISNA(INDEX(PoderesDeCriatura_Adquiridos,MATCH(L$2074&amp;$A22,Principal!$U$42:$U$69,0))),"",IF(INDEX(Principal!$AP$42:$AP$69,MATCH(L$2074&amp;$A22,Principal!$U$42:$U$69,0))&gt;0,INDEX(Principal!$AF$42:$AF$69,MATCH(L$2074&amp;$A22,Principal!$U$42:$U$69,0)),INDEX(PoderesDeCriatura_Adquiridos,MATCH(L$2074&amp;$A22,Principal!$U$42:$U$69,0))))</f>
        <v/>
      </c>
      <c r="N2097" s="2859" t="str">
        <f t="shared" si="320"/>
        <v/>
      </c>
      <c r="O2097" s="2861" t="str">
        <f>IF(ISNA(INDEX(PoderesDeCriatura_AdquiridosNombres,MATCH(O$2074&amp;$A22,Principal!$U$42:$U$69,0))),"",INDEX(PoderesDeCriatura_AdquiridosNombres,MATCH(O$2074&amp;$A22,Principal!$U$42:$U$69,0)))</f>
        <v/>
      </c>
      <c r="P2097" s="2862" t="str">
        <f>IF(ISNA(INDEX(PoderesDeCriatura_Adquiridos,MATCH(O$2074&amp;$A22,Principal!$U$42:$U$69,0))),"",IF(INDEX(Principal!$AP$42:$AP$69,MATCH(O$2074&amp;$A22,Principal!$U$42:$U$69,0))&gt;0,INDEX(Principal!$AF$42:$AF$69,MATCH(O$2074&amp;$A22,Principal!$U$42:$U$69,0)),INDEX(PoderesDeCriatura_Adquiridos,MATCH(O$2074&amp;$A22,Principal!$U$42:$U$69,0))))</f>
        <v/>
      </c>
      <c r="Q2097" s="2859" t="str">
        <f t="shared" si="321"/>
        <v/>
      </c>
      <c r="R2097" s="2861" t="str">
        <f>IF(ISNA(INDEX(PoderesDeCriatura_AdquiridosNombres,MATCH(R$2074&amp;$A22,Principal!$U$42:$U$69,0))),"",INDEX(PoderesDeCriatura_AdquiridosNombres,MATCH(R$2074&amp;$A22,Principal!$U$42:$U$69,0)))</f>
        <v/>
      </c>
      <c r="S2097" s="2862" t="str">
        <f>IF(ISNA(INDEX(PoderesDeCriatura_Adquiridos,MATCH(R$2074&amp;$A22,Principal!$U$42:$U$69,0))),"",IF(INDEX(Principal!$AP$42:$AP$69,MATCH(R$2074&amp;$A22,Principal!$U$42:$U$69,0))&gt;0,INDEX(Principal!$AF$42:$AF$69,MATCH(R$2074&amp;$A22,Principal!$U$42:$U$69,0)),INDEX(PoderesDeCriatura_Adquiridos,MATCH(R$2074&amp;$A22,Principal!$U$42:$U$69,0))))</f>
        <v/>
      </c>
      <c r="T2097" s="2859" t="str">
        <f t="shared" si="322"/>
        <v/>
      </c>
      <c r="U2097" s="2861" t="str">
        <f>IF(ISNA(INDEX(PoderesDeCriatura_AdquiridosNombres,MATCH(U$2074&amp;$A22,Principal!$U$42:$U$69,0))),"",INDEX(PoderesDeCriatura_AdquiridosNombres,MATCH(U$2074&amp;$A22,Principal!$U$42:$U$69,0)))</f>
        <v/>
      </c>
      <c r="V2097" s="2862" t="str">
        <f>IF(ISNA(INDEX(PoderesDeCriatura_Adquiridos,MATCH(U$2074&amp;$A22,Principal!$U$42:$U$69,0))),"",IF(INDEX(Principal!$AP$42:$AP$69,MATCH(U$2074&amp;$A22,Principal!$U$42:$U$69,0))&gt;0,INDEX(Principal!$AF$42:$AF$69,MATCH(U$2074&amp;$A22,Principal!$U$42:$U$69,0)),INDEX(PoderesDeCriatura_Adquiridos,MATCH(U$2074&amp;$A22,Principal!$U$42:$U$69,0))))</f>
        <v/>
      </c>
      <c r="W2097" s="2859" t="str">
        <f t="shared" si="323"/>
        <v/>
      </c>
      <c r="X2097" s="2861" t="str">
        <f>IF(ISNA(INDEX(PoderesDeCriatura_AdquiridosNombres,MATCH(X$2074&amp;$A22,Principal!$U$42:$U$69,0))),"",INDEX(PoderesDeCriatura_AdquiridosNombres,MATCH(X$2074&amp;$A22,Principal!$U$42:$U$69,0)))</f>
        <v/>
      </c>
      <c r="Y2097" s="2862" t="str">
        <f>IF(ISNA(INDEX(PoderesDeCriatura_Adquiridos,MATCH(X$2074&amp;$A22,Principal!$U$42:$U$69,0))),"",IF(INDEX(Principal!$AP$42:$AP$69,MATCH(X$2074&amp;$A22,Principal!$U$42:$U$69,0))&gt;0,INDEX(Principal!$AF$42:$AF$69,MATCH(X$2074&amp;$A22,Principal!$U$42:$U$69,0)),INDEX(PoderesDeCriatura_Adquiridos,MATCH(X$2074&amp;$A22,Principal!$U$42:$U$69,0))))</f>
        <v/>
      </c>
      <c r="Z2097" s="2859" t="str">
        <f t="shared" si="324"/>
        <v/>
      </c>
      <c r="AA2097" s="2861" t="str">
        <f>IF(ISNA(INDEX(PoderesDeCriatura_AdquiridosNombres,MATCH(AA$2074&amp;$A22,Principal!$U$42:$U$69,0))),"",INDEX(PoderesDeCriatura_AdquiridosNombres,MATCH(AA$2074&amp;$A22,Principal!$U$42:$U$69,0)))</f>
        <v/>
      </c>
      <c r="AB2097" s="2862" t="str">
        <f>IF(ISNA(INDEX(PoderesDeCriatura_Adquiridos,MATCH(AA$2074&amp;$A22,Principal!$U$42:$U$69,0))),"",IF(INDEX(Principal!$AP$42:$AP$69,MATCH(AA$2074&amp;$A22,Principal!$U$42:$U$69,0))&gt;0,INDEX(Principal!$AF$42:$AF$69,MATCH(AA$2074&amp;$A22,Principal!$U$42:$U$69,0)),INDEX(PoderesDeCriatura_Adquiridos,MATCH(AA$2074&amp;$A22,Principal!$U$42:$U$69,0))))</f>
        <v/>
      </c>
      <c r="AC2097" s="2859" t="str">
        <f t="shared" si="325"/>
        <v/>
      </c>
      <c r="AD2097" s="2861" t="str">
        <f>IF(ISNA(INDEX(PoderesDeCriatura_AdquiridosNombres,MATCH(AD$2074&amp;$A22,Principal!$U$42:$U$69,0))),"",INDEX(PoderesDeCriatura_AdquiridosNombres,MATCH(AD$2074&amp;$A22,Principal!$U$42:$U$69,0)))</f>
        <v/>
      </c>
      <c r="AE2097" s="2862" t="str">
        <f>IF(ISNA(INDEX(PoderesDeCriatura_Adquiridos,MATCH(AD$2074&amp;$A22,Principal!$U$42:$U$69,0))),"",IF(INDEX(Principal!$AP$42:$AP$69,MATCH(AD$2074&amp;$A22,Principal!$U$42:$U$69,0))&gt;0,INDEX(Principal!$AF$42:$AF$69,MATCH(AD$2074&amp;$A22,Principal!$U$42:$U$69,0)),INDEX(PoderesDeCriatura_Adquiridos,MATCH(AD$2074&amp;$A22,Principal!$U$42:$U$69,0))))</f>
        <v/>
      </c>
      <c r="AF2097" s="2859" t="str">
        <f t="shared" si="326"/>
        <v/>
      </c>
      <c r="AG2097" s="2861" t="str">
        <f>IF(ISNA(INDEX(PoderesDeCriatura_AdquiridosNombres,MATCH(AG$2074&amp;$A22,Principal!$U$42:$U$69,0))),"",INDEX(PoderesDeCriatura_AdquiridosNombres,MATCH(AG$2074&amp;$A22,Principal!$U$42:$U$69,0)))</f>
        <v/>
      </c>
      <c r="AH2097" s="2862" t="str">
        <f>IF(ISNA(INDEX(PoderesDeCriatura_Adquiridos,MATCH(AG$2074&amp;$A22,Principal!$U$42:$U$69,0))),"",IF(INDEX(Principal!$AP$42:$AP$69,MATCH(AG$2074&amp;$A22,Principal!$U$42:$U$69,0))&gt;0,INDEX(Principal!$AF$42:$AF$69,MATCH(AG$2074&amp;$A22,Principal!$U$42:$U$69,0)),INDEX(PoderesDeCriatura_Adquiridos,MATCH(AG$2074&amp;$A22,Principal!$U$42:$U$69,0))))</f>
        <v/>
      </c>
      <c r="AI2097" s="2859" t="str">
        <f t="shared" si="327"/>
        <v/>
      </c>
      <c r="AJ2097" s="2861" t="str">
        <f>IF(ISNA(INDEX(PoderesDeCriatura_AdquiridosNombres,MATCH(AJ$2074&amp;$A22,Principal!$U$42:$U$69,0))),"",INDEX(PoderesDeCriatura_AdquiridosNombres,MATCH(AJ$2074&amp;$A22,Principal!$U$42:$U$69,0)))</f>
        <v/>
      </c>
      <c r="AK2097" s="2862" t="str">
        <f>IF(ISNA(INDEX(PoderesDeCriatura_Adquiridos,MATCH(AJ$2074&amp;$A22,Principal!$U$42:$U$69,0))),"",IF(INDEX(Principal!$AP$42:$AP$69,MATCH(AJ$2074&amp;$A22,Principal!$U$42:$U$69,0))&gt;0,INDEX(Principal!$AF$42:$AF$69,MATCH(AJ$2074&amp;$A22,Principal!$U$42:$U$69,0)),INDEX(PoderesDeCriatura_Adquiridos,MATCH(AJ$2074&amp;$A22,Principal!$U$42:$U$69,0))))</f>
        <v/>
      </c>
      <c r="AL2097" s="2859" t="str">
        <f t="shared" si="328"/>
        <v/>
      </c>
      <c r="AM2097" s="2861" t="str">
        <f>IF(ISNA(INDEX(PoderesDeCriatura_AdquiridosNombres,MATCH(AM$2074&amp;$A22,Principal!$U$42:$U$69,0))),"",INDEX(PoderesDeCriatura_AdquiridosNombres,MATCH(AM$2074&amp;$A22,Principal!$U$42:$U$69,0)))</f>
        <v/>
      </c>
      <c r="AN2097" s="2862" t="str">
        <f>IF(ISNA(INDEX(PoderesDeCriatura_Adquiridos,MATCH(AM$2074&amp;$A22,Principal!$U$42:$U$69,0))),"",IF(INDEX(Principal!$AP$42:$AP$69,MATCH(AM$2074&amp;$A22,Principal!$U$42:$U$69,0))&gt;0,INDEX(Principal!$AF$42:$AF$69,MATCH(AM$2074&amp;$A22,Principal!$U$42:$U$69,0)),INDEX(PoderesDeCriatura_Adquiridos,MATCH(AM$2074&amp;$A22,Principal!$U$42:$U$69,0))))</f>
        <v/>
      </c>
      <c r="AO2097" s="837" t="str">
        <f t="shared" si="329"/>
        <v/>
      </c>
      <c r="AP2097" s="834" t="str">
        <f>IF(OR(AQ2097=0,ISNUMBER(MATCH(AQ2097,$AQ$2077:$AQ2096,0))),"",MAX($AP$2076:AP2096)+1)</f>
        <v/>
      </c>
      <c r="AQ2097" s="1290">
        <f>Principal!V62</f>
        <v>0</v>
      </c>
    </row>
    <row r="2098" spans="1:43" ht="12.75" customHeight="1" x14ac:dyDescent="0.2">
      <c r="A2098" s="227">
        <v>2098</v>
      </c>
      <c r="B2098" s="5988"/>
      <c r="C2098" s="860" t="str">
        <f t="shared" si="314"/>
        <v/>
      </c>
      <c r="D2098" s="489" t="str">
        <f t="shared" si="330"/>
        <v/>
      </c>
      <c r="E2098" s="489" t="str">
        <f t="shared" si="331"/>
        <v/>
      </c>
      <c r="F2098" s="829" t="str">
        <f t="shared" si="316"/>
        <v/>
      </c>
      <c r="G2098" s="6291"/>
      <c r="H2098" s="1354" t="str">
        <f>Combate!AB43</f>
        <v/>
      </c>
      <c r="J2098" s="820" t="str">
        <f>IF(ISNA(VLOOKUP(A24,Principal!$S$42:$AH$69,10,FALSE)),"",IF(VLOOKUP(A24,Principal!$S$42:$AH$69,10,FALSE)=0,"",INDEX(PoderesDeCriatura_Adquiridos,MATCH(A24,Principal!$S$42:$S$69,0))))</f>
        <v/>
      </c>
      <c r="K2098" s="2859" t="str">
        <f>IF(AND(COUNTA($K$2075:K2097)-COUNTBLANK($K$2075:K2097)&gt;0,J2098&lt;&gt;""),", ","")&amp;J2098</f>
        <v/>
      </c>
      <c r="L2098" s="2861" t="str">
        <f>IF(ISNA(INDEX(PoderesDeCriatura_AdquiridosNombres,MATCH(L$2074&amp;$A23,Principal!$U$42:$U$69,0))),"",INDEX(PoderesDeCriatura_AdquiridosNombres,MATCH(L$2074&amp;$A23,Principal!$U$42:$U$69,0)))</f>
        <v/>
      </c>
      <c r="M2098" s="2862" t="str">
        <f>IF(ISNA(INDEX(PoderesDeCriatura_Adquiridos,MATCH(L$2074&amp;$A23,Principal!$U$42:$U$69,0))),"",IF(INDEX(Principal!$AP$42:$AP$69,MATCH(L$2074&amp;$A23,Principal!$U$42:$U$69,0))&gt;0,INDEX(Principal!$AF$42:$AF$69,MATCH(L$2074&amp;$A23,Principal!$U$42:$U$69,0)),INDEX(PoderesDeCriatura_Adquiridos,MATCH(L$2074&amp;$A23,Principal!$U$42:$U$69,0))))</f>
        <v/>
      </c>
      <c r="N2098" s="2859" t="str">
        <f t="shared" si="320"/>
        <v/>
      </c>
      <c r="O2098" s="2861" t="str">
        <f>IF(ISNA(INDEX(PoderesDeCriatura_AdquiridosNombres,MATCH(O$2074&amp;$A23,Principal!$U$42:$U$69,0))),"",INDEX(PoderesDeCriatura_AdquiridosNombres,MATCH(O$2074&amp;$A23,Principal!$U$42:$U$69,0)))</f>
        <v/>
      </c>
      <c r="P2098" s="2862" t="str">
        <f>IF(ISNA(INDEX(PoderesDeCriatura_Adquiridos,MATCH(O$2074&amp;$A23,Principal!$U$42:$U$69,0))),"",IF(INDEX(Principal!$AP$42:$AP$69,MATCH(O$2074&amp;$A23,Principal!$U$42:$U$69,0))&gt;0,INDEX(Principal!$AF$42:$AF$69,MATCH(O$2074&amp;$A23,Principal!$U$42:$U$69,0)),INDEX(PoderesDeCriatura_Adquiridos,MATCH(O$2074&amp;$A23,Principal!$U$42:$U$69,0))))</f>
        <v/>
      </c>
      <c r="Q2098" s="2859" t="str">
        <f t="shared" si="321"/>
        <v/>
      </c>
      <c r="R2098" s="2861" t="str">
        <f>IF(ISNA(INDEX(PoderesDeCriatura_AdquiridosNombres,MATCH(R$2074&amp;$A23,Principal!$U$42:$U$69,0))),"",INDEX(PoderesDeCriatura_AdquiridosNombres,MATCH(R$2074&amp;$A23,Principal!$U$42:$U$69,0)))</f>
        <v/>
      </c>
      <c r="S2098" s="2862" t="str">
        <f>IF(ISNA(INDEX(PoderesDeCriatura_Adquiridos,MATCH(R$2074&amp;$A23,Principal!$U$42:$U$69,0))),"",IF(INDEX(Principal!$AP$42:$AP$69,MATCH(R$2074&amp;$A23,Principal!$U$42:$U$69,0))&gt;0,INDEX(Principal!$AF$42:$AF$69,MATCH(R$2074&amp;$A23,Principal!$U$42:$U$69,0)),INDEX(PoderesDeCriatura_Adquiridos,MATCH(R$2074&amp;$A23,Principal!$U$42:$U$69,0))))</f>
        <v/>
      </c>
      <c r="T2098" s="2859" t="str">
        <f t="shared" si="322"/>
        <v/>
      </c>
      <c r="U2098" s="2861" t="str">
        <f>IF(ISNA(INDEX(PoderesDeCriatura_AdquiridosNombres,MATCH(U$2074&amp;$A23,Principal!$U$42:$U$69,0))),"",INDEX(PoderesDeCriatura_AdquiridosNombres,MATCH(U$2074&amp;$A23,Principal!$U$42:$U$69,0)))</f>
        <v/>
      </c>
      <c r="V2098" s="2862" t="str">
        <f>IF(ISNA(INDEX(PoderesDeCriatura_Adquiridos,MATCH(U$2074&amp;$A23,Principal!$U$42:$U$69,0))),"",IF(INDEX(Principal!$AP$42:$AP$69,MATCH(U$2074&amp;$A23,Principal!$U$42:$U$69,0))&gt;0,INDEX(Principal!$AF$42:$AF$69,MATCH(U$2074&amp;$A23,Principal!$U$42:$U$69,0)),INDEX(PoderesDeCriatura_Adquiridos,MATCH(U$2074&amp;$A23,Principal!$U$42:$U$69,0))))</f>
        <v/>
      </c>
      <c r="W2098" s="2859" t="str">
        <f t="shared" si="323"/>
        <v/>
      </c>
      <c r="X2098" s="2861" t="str">
        <f>IF(ISNA(INDEX(PoderesDeCriatura_AdquiridosNombres,MATCH(X$2074&amp;$A23,Principal!$U$42:$U$69,0))),"",INDEX(PoderesDeCriatura_AdquiridosNombres,MATCH(X$2074&amp;$A23,Principal!$U$42:$U$69,0)))</f>
        <v/>
      </c>
      <c r="Y2098" s="2862" t="str">
        <f>IF(ISNA(INDEX(PoderesDeCriatura_Adquiridos,MATCH(X$2074&amp;$A23,Principal!$U$42:$U$69,0))),"",IF(INDEX(Principal!$AP$42:$AP$69,MATCH(X$2074&amp;$A23,Principal!$U$42:$U$69,0))&gt;0,INDEX(Principal!$AF$42:$AF$69,MATCH(X$2074&amp;$A23,Principal!$U$42:$U$69,0)),INDEX(PoderesDeCriatura_Adquiridos,MATCH(X$2074&amp;$A23,Principal!$U$42:$U$69,0))))</f>
        <v/>
      </c>
      <c r="Z2098" s="2859" t="str">
        <f t="shared" si="324"/>
        <v/>
      </c>
      <c r="AA2098" s="2861" t="str">
        <f>IF(ISNA(INDEX(PoderesDeCriatura_AdquiridosNombres,MATCH(AA$2074&amp;$A23,Principal!$U$42:$U$69,0))),"",INDEX(PoderesDeCriatura_AdquiridosNombres,MATCH(AA$2074&amp;$A23,Principal!$U$42:$U$69,0)))</f>
        <v/>
      </c>
      <c r="AB2098" s="2862" t="str">
        <f>IF(ISNA(INDEX(PoderesDeCriatura_Adquiridos,MATCH(AA$2074&amp;$A23,Principal!$U$42:$U$69,0))),"",IF(INDEX(Principal!$AP$42:$AP$69,MATCH(AA$2074&amp;$A23,Principal!$U$42:$U$69,0))&gt;0,INDEX(Principal!$AF$42:$AF$69,MATCH(AA$2074&amp;$A23,Principal!$U$42:$U$69,0)),INDEX(PoderesDeCriatura_Adquiridos,MATCH(AA$2074&amp;$A23,Principal!$U$42:$U$69,0))))</f>
        <v/>
      </c>
      <c r="AC2098" s="2859" t="str">
        <f t="shared" si="325"/>
        <v/>
      </c>
      <c r="AD2098" s="2861" t="str">
        <f>IF(ISNA(INDEX(PoderesDeCriatura_AdquiridosNombres,MATCH(AD$2074&amp;$A23,Principal!$U$42:$U$69,0))),"",INDEX(PoderesDeCriatura_AdquiridosNombres,MATCH(AD$2074&amp;$A23,Principal!$U$42:$U$69,0)))</f>
        <v/>
      </c>
      <c r="AE2098" s="2862" t="str">
        <f>IF(ISNA(INDEX(PoderesDeCriatura_Adquiridos,MATCH(AD$2074&amp;$A23,Principal!$U$42:$U$69,0))),"",IF(INDEX(Principal!$AP$42:$AP$69,MATCH(AD$2074&amp;$A23,Principal!$U$42:$U$69,0))&gt;0,INDEX(Principal!$AF$42:$AF$69,MATCH(AD$2074&amp;$A23,Principal!$U$42:$U$69,0)),INDEX(PoderesDeCriatura_Adquiridos,MATCH(AD$2074&amp;$A23,Principal!$U$42:$U$69,0))))</f>
        <v/>
      </c>
      <c r="AF2098" s="2859" t="str">
        <f t="shared" si="326"/>
        <v/>
      </c>
      <c r="AG2098" s="2861" t="str">
        <f>IF(ISNA(INDEX(PoderesDeCriatura_AdquiridosNombres,MATCH(AG$2074&amp;$A23,Principal!$U$42:$U$69,0))),"",INDEX(PoderesDeCriatura_AdquiridosNombres,MATCH(AG$2074&amp;$A23,Principal!$U$42:$U$69,0)))</f>
        <v/>
      </c>
      <c r="AH2098" s="2862" t="str">
        <f>IF(ISNA(INDEX(PoderesDeCriatura_Adquiridos,MATCH(AG$2074&amp;$A23,Principal!$U$42:$U$69,0))),"",IF(INDEX(Principal!$AP$42:$AP$69,MATCH(AG$2074&amp;$A23,Principal!$U$42:$U$69,0))&gt;0,INDEX(Principal!$AF$42:$AF$69,MATCH(AG$2074&amp;$A23,Principal!$U$42:$U$69,0)),INDEX(PoderesDeCriatura_Adquiridos,MATCH(AG$2074&amp;$A23,Principal!$U$42:$U$69,0))))</f>
        <v/>
      </c>
      <c r="AI2098" s="2859" t="str">
        <f t="shared" si="327"/>
        <v/>
      </c>
      <c r="AJ2098" s="2861" t="str">
        <f>IF(ISNA(INDEX(PoderesDeCriatura_AdquiridosNombres,MATCH(AJ$2074&amp;$A23,Principal!$U$42:$U$69,0))),"",INDEX(PoderesDeCriatura_AdquiridosNombres,MATCH(AJ$2074&amp;$A23,Principal!$U$42:$U$69,0)))</f>
        <v/>
      </c>
      <c r="AK2098" s="2862" t="str">
        <f>IF(ISNA(INDEX(PoderesDeCriatura_Adquiridos,MATCH(AJ$2074&amp;$A23,Principal!$U$42:$U$69,0))),"",IF(INDEX(Principal!$AP$42:$AP$69,MATCH(AJ$2074&amp;$A23,Principal!$U$42:$U$69,0))&gt;0,INDEX(Principal!$AF$42:$AF$69,MATCH(AJ$2074&amp;$A23,Principal!$U$42:$U$69,0)),INDEX(PoderesDeCriatura_Adquiridos,MATCH(AJ$2074&amp;$A23,Principal!$U$42:$U$69,0))))</f>
        <v/>
      </c>
      <c r="AL2098" s="2859" t="str">
        <f t="shared" si="328"/>
        <v/>
      </c>
      <c r="AM2098" s="2861" t="str">
        <f>IF(ISNA(INDEX(PoderesDeCriatura_AdquiridosNombres,MATCH(AM$2074&amp;$A23,Principal!$U$42:$U$69,0))),"",INDEX(PoderesDeCriatura_AdquiridosNombres,MATCH(AM$2074&amp;$A23,Principal!$U$42:$U$69,0)))</f>
        <v/>
      </c>
      <c r="AN2098" s="2862" t="str">
        <f>IF(ISNA(INDEX(PoderesDeCriatura_Adquiridos,MATCH(AM$2074&amp;$A23,Principal!$U$42:$U$69,0))),"",IF(INDEX(Principal!$AP$42:$AP$69,MATCH(AM$2074&amp;$A23,Principal!$U$42:$U$69,0))&gt;0,INDEX(Principal!$AF$42:$AF$69,MATCH(AM$2074&amp;$A23,Principal!$U$42:$U$69,0)),INDEX(PoderesDeCriatura_Adquiridos,MATCH(AM$2074&amp;$A23,Principal!$U$42:$U$69,0))))</f>
        <v/>
      </c>
      <c r="AO2098" s="837" t="str">
        <f t="shared" si="329"/>
        <v/>
      </c>
      <c r="AP2098" s="834" t="str">
        <f>IF(OR(AQ2098=0,ISNUMBER(MATCH(AQ2098,$AQ$2077:$AQ2097,0))),"",MAX($AP$2076:AP2097)+1)</f>
        <v/>
      </c>
      <c r="AQ2098" s="1290">
        <f>Principal!V63</f>
        <v>0</v>
      </c>
    </row>
    <row r="2099" spans="1:43" ht="12.75" customHeight="1" x14ac:dyDescent="0.2">
      <c r="A2099" s="227">
        <v>2099</v>
      </c>
      <c r="B2099" s="5988"/>
      <c r="C2099" s="860" t="str">
        <f t="shared" si="314"/>
        <v/>
      </c>
      <c r="D2099" s="489" t="str">
        <f t="shared" si="330"/>
        <v/>
      </c>
      <c r="E2099" s="489" t="str">
        <f t="shared" si="331"/>
        <v/>
      </c>
      <c r="F2099" s="829" t="str">
        <f t="shared" si="316"/>
        <v/>
      </c>
      <c r="G2099" s="6291"/>
      <c r="H2099" s="1354" t="str">
        <f>Combate!AB44</f>
        <v/>
      </c>
      <c r="J2099" s="820" t="str">
        <f>IF(ISNA(VLOOKUP(A25,Principal!$S$42:$AH$69,10,FALSE)),"",IF(VLOOKUP(A25,Principal!$S$42:$AH$69,10,FALSE)=0,"",INDEX(PoderesDeCriatura_Adquiridos,MATCH(A25,Principal!$S$42:$S$69,0))))</f>
        <v/>
      </c>
      <c r="K2099" s="2859" t="str">
        <f>IF(AND(COUNTA($K$2075:K2098)-COUNTBLANK($K$2075:K2098)&gt;0,J2099&lt;&gt;""),", ","")&amp;J2099</f>
        <v/>
      </c>
      <c r="L2099" s="2861" t="str">
        <f>IF(ISNA(INDEX(PoderesDeCriatura_AdquiridosNombres,MATCH(L$2074&amp;$A24,Principal!$U$42:$U$69,0))),"",INDEX(PoderesDeCriatura_AdquiridosNombres,MATCH(L$2074&amp;$A24,Principal!$U$42:$U$69,0)))</f>
        <v/>
      </c>
      <c r="M2099" s="2862" t="str">
        <f>IF(ISNA(INDEX(PoderesDeCriatura_Adquiridos,MATCH(L$2074&amp;$A24,Principal!$U$42:$U$69,0))),"",IF(INDEX(Principal!$AP$42:$AP$69,MATCH(L$2074&amp;$A24,Principal!$U$42:$U$69,0))&gt;0,INDEX(Principal!$AF$42:$AF$69,MATCH(L$2074&amp;$A24,Principal!$U$42:$U$69,0)),INDEX(PoderesDeCriatura_Adquiridos,MATCH(L$2074&amp;$A24,Principal!$U$42:$U$69,0))))</f>
        <v/>
      </c>
      <c r="N2099" s="2859" t="str">
        <f t="shared" si="320"/>
        <v/>
      </c>
      <c r="O2099" s="2861" t="str">
        <f>IF(ISNA(INDEX(PoderesDeCriatura_AdquiridosNombres,MATCH(O$2074&amp;$A24,Principal!$U$42:$U$69,0))),"",INDEX(PoderesDeCriatura_AdquiridosNombres,MATCH(O$2074&amp;$A24,Principal!$U$42:$U$69,0)))</f>
        <v/>
      </c>
      <c r="P2099" s="2862" t="str">
        <f>IF(ISNA(INDEX(PoderesDeCriatura_Adquiridos,MATCH(O$2074&amp;$A24,Principal!$U$42:$U$69,0))),"",IF(INDEX(Principal!$AP$42:$AP$69,MATCH(O$2074&amp;$A24,Principal!$U$42:$U$69,0))&gt;0,INDEX(Principal!$AF$42:$AF$69,MATCH(O$2074&amp;$A24,Principal!$U$42:$U$69,0)),INDEX(PoderesDeCriatura_Adquiridos,MATCH(O$2074&amp;$A24,Principal!$U$42:$U$69,0))))</f>
        <v/>
      </c>
      <c r="Q2099" s="2859" t="str">
        <f t="shared" si="321"/>
        <v/>
      </c>
      <c r="R2099" s="2861" t="str">
        <f>IF(ISNA(INDEX(PoderesDeCriatura_AdquiridosNombres,MATCH(R$2074&amp;$A24,Principal!$U$42:$U$69,0))),"",INDEX(PoderesDeCriatura_AdquiridosNombres,MATCH(R$2074&amp;$A24,Principal!$U$42:$U$69,0)))</f>
        <v/>
      </c>
      <c r="S2099" s="2862" t="str">
        <f>IF(ISNA(INDEX(PoderesDeCriatura_Adquiridos,MATCH(R$2074&amp;$A24,Principal!$U$42:$U$69,0))),"",IF(INDEX(Principal!$AP$42:$AP$69,MATCH(R$2074&amp;$A24,Principal!$U$42:$U$69,0))&gt;0,INDEX(Principal!$AF$42:$AF$69,MATCH(R$2074&amp;$A24,Principal!$U$42:$U$69,0)),INDEX(PoderesDeCriatura_Adquiridos,MATCH(R$2074&amp;$A24,Principal!$U$42:$U$69,0))))</f>
        <v/>
      </c>
      <c r="T2099" s="2859" t="str">
        <f t="shared" si="322"/>
        <v/>
      </c>
      <c r="U2099" s="2861" t="str">
        <f>IF(ISNA(INDEX(PoderesDeCriatura_AdquiridosNombres,MATCH(U$2074&amp;$A24,Principal!$U$42:$U$69,0))),"",INDEX(PoderesDeCriatura_AdquiridosNombres,MATCH(U$2074&amp;$A24,Principal!$U$42:$U$69,0)))</f>
        <v/>
      </c>
      <c r="V2099" s="2862" t="str">
        <f>IF(ISNA(INDEX(PoderesDeCriatura_Adquiridos,MATCH(U$2074&amp;$A24,Principal!$U$42:$U$69,0))),"",IF(INDEX(Principal!$AP$42:$AP$69,MATCH(U$2074&amp;$A24,Principal!$U$42:$U$69,0))&gt;0,INDEX(Principal!$AF$42:$AF$69,MATCH(U$2074&amp;$A24,Principal!$U$42:$U$69,0)),INDEX(PoderesDeCriatura_Adquiridos,MATCH(U$2074&amp;$A24,Principal!$U$42:$U$69,0))))</f>
        <v/>
      </c>
      <c r="W2099" s="2859" t="str">
        <f t="shared" si="323"/>
        <v/>
      </c>
      <c r="X2099" s="2861" t="str">
        <f>IF(ISNA(INDEX(PoderesDeCriatura_AdquiridosNombres,MATCH(X$2074&amp;$A24,Principal!$U$42:$U$69,0))),"",INDEX(PoderesDeCriatura_AdquiridosNombres,MATCH(X$2074&amp;$A24,Principal!$U$42:$U$69,0)))</f>
        <v/>
      </c>
      <c r="Y2099" s="2862" t="str">
        <f>IF(ISNA(INDEX(PoderesDeCriatura_Adquiridos,MATCH(X$2074&amp;$A24,Principal!$U$42:$U$69,0))),"",IF(INDEX(Principal!$AP$42:$AP$69,MATCH(X$2074&amp;$A24,Principal!$U$42:$U$69,0))&gt;0,INDEX(Principal!$AF$42:$AF$69,MATCH(X$2074&amp;$A24,Principal!$U$42:$U$69,0)),INDEX(PoderesDeCriatura_Adquiridos,MATCH(X$2074&amp;$A24,Principal!$U$42:$U$69,0))))</f>
        <v/>
      </c>
      <c r="Z2099" s="2859" t="str">
        <f t="shared" si="324"/>
        <v/>
      </c>
      <c r="AA2099" s="2861" t="str">
        <f>IF(ISNA(INDEX(PoderesDeCriatura_AdquiridosNombres,MATCH(AA$2074&amp;$A24,Principal!$U$42:$U$69,0))),"",INDEX(PoderesDeCriatura_AdquiridosNombres,MATCH(AA$2074&amp;$A24,Principal!$U$42:$U$69,0)))</f>
        <v/>
      </c>
      <c r="AB2099" s="2862" t="str">
        <f>IF(ISNA(INDEX(PoderesDeCriatura_Adquiridos,MATCH(AA$2074&amp;$A24,Principal!$U$42:$U$69,0))),"",IF(INDEX(Principal!$AP$42:$AP$69,MATCH(AA$2074&amp;$A24,Principal!$U$42:$U$69,0))&gt;0,INDEX(Principal!$AF$42:$AF$69,MATCH(AA$2074&amp;$A24,Principal!$U$42:$U$69,0)),INDEX(PoderesDeCriatura_Adquiridos,MATCH(AA$2074&amp;$A24,Principal!$U$42:$U$69,0))))</f>
        <v/>
      </c>
      <c r="AC2099" s="2859" t="str">
        <f t="shared" si="325"/>
        <v/>
      </c>
      <c r="AD2099" s="2861" t="str">
        <f>IF(ISNA(INDEX(PoderesDeCriatura_AdquiridosNombres,MATCH(AD$2074&amp;$A24,Principal!$U$42:$U$69,0))),"",INDEX(PoderesDeCriatura_AdquiridosNombres,MATCH(AD$2074&amp;$A24,Principal!$U$42:$U$69,0)))</f>
        <v/>
      </c>
      <c r="AE2099" s="2862" t="str">
        <f>IF(ISNA(INDEX(PoderesDeCriatura_Adquiridos,MATCH(AD$2074&amp;$A24,Principal!$U$42:$U$69,0))),"",IF(INDEX(Principal!$AP$42:$AP$69,MATCH(AD$2074&amp;$A24,Principal!$U$42:$U$69,0))&gt;0,INDEX(Principal!$AF$42:$AF$69,MATCH(AD$2074&amp;$A24,Principal!$U$42:$U$69,0)),INDEX(PoderesDeCriatura_Adquiridos,MATCH(AD$2074&amp;$A24,Principal!$U$42:$U$69,0))))</f>
        <v/>
      </c>
      <c r="AF2099" s="2859" t="str">
        <f t="shared" si="326"/>
        <v/>
      </c>
      <c r="AG2099" s="2861" t="str">
        <f>IF(ISNA(INDEX(PoderesDeCriatura_AdquiridosNombres,MATCH(AG$2074&amp;$A24,Principal!$U$42:$U$69,0))),"",INDEX(PoderesDeCriatura_AdquiridosNombres,MATCH(AG$2074&amp;$A24,Principal!$U$42:$U$69,0)))</f>
        <v/>
      </c>
      <c r="AH2099" s="2862" t="str">
        <f>IF(ISNA(INDEX(PoderesDeCriatura_Adquiridos,MATCH(AG$2074&amp;$A24,Principal!$U$42:$U$69,0))),"",IF(INDEX(Principal!$AP$42:$AP$69,MATCH(AG$2074&amp;$A24,Principal!$U$42:$U$69,0))&gt;0,INDEX(Principal!$AF$42:$AF$69,MATCH(AG$2074&amp;$A24,Principal!$U$42:$U$69,0)),INDEX(PoderesDeCriatura_Adquiridos,MATCH(AG$2074&amp;$A24,Principal!$U$42:$U$69,0))))</f>
        <v/>
      </c>
      <c r="AI2099" s="2859" t="str">
        <f t="shared" si="327"/>
        <v/>
      </c>
      <c r="AJ2099" s="2861" t="str">
        <f>IF(ISNA(INDEX(PoderesDeCriatura_AdquiridosNombres,MATCH(AJ$2074&amp;$A24,Principal!$U$42:$U$69,0))),"",INDEX(PoderesDeCriatura_AdquiridosNombres,MATCH(AJ$2074&amp;$A24,Principal!$U$42:$U$69,0)))</f>
        <v/>
      </c>
      <c r="AK2099" s="2862" t="str">
        <f>IF(ISNA(INDEX(PoderesDeCriatura_Adquiridos,MATCH(AJ$2074&amp;$A24,Principal!$U$42:$U$69,0))),"",IF(INDEX(Principal!$AP$42:$AP$69,MATCH(AJ$2074&amp;$A24,Principal!$U$42:$U$69,0))&gt;0,INDEX(Principal!$AF$42:$AF$69,MATCH(AJ$2074&amp;$A24,Principal!$U$42:$U$69,0)),INDEX(PoderesDeCriatura_Adquiridos,MATCH(AJ$2074&amp;$A24,Principal!$U$42:$U$69,0))))</f>
        <v/>
      </c>
      <c r="AL2099" s="2859" t="str">
        <f t="shared" si="328"/>
        <v/>
      </c>
      <c r="AM2099" s="2861" t="str">
        <f>IF(ISNA(INDEX(PoderesDeCriatura_AdquiridosNombres,MATCH(AM$2074&amp;$A24,Principal!$U$42:$U$69,0))),"",INDEX(PoderesDeCriatura_AdquiridosNombres,MATCH(AM$2074&amp;$A24,Principal!$U$42:$U$69,0)))</f>
        <v/>
      </c>
      <c r="AN2099" s="2862" t="str">
        <f>IF(ISNA(INDEX(PoderesDeCriatura_Adquiridos,MATCH(AM$2074&amp;$A24,Principal!$U$42:$U$69,0))),"",IF(INDEX(Principal!$AP$42:$AP$69,MATCH(AM$2074&amp;$A24,Principal!$U$42:$U$69,0))&gt;0,INDEX(Principal!$AF$42:$AF$69,MATCH(AM$2074&amp;$A24,Principal!$U$42:$U$69,0)),INDEX(PoderesDeCriatura_Adquiridos,MATCH(AM$2074&amp;$A24,Principal!$U$42:$U$69,0))))</f>
        <v/>
      </c>
      <c r="AO2099" s="837" t="str">
        <f t="shared" si="329"/>
        <v/>
      </c>
      <c r="AP2099" s="834" t="str">
        <f>IF(OR(AQ2099=0,ISNUMBER(MATCH(AQ2099,$AQ$2077:$AQ2098,0))),"",MAX($AP$2076:AP2098)+1)</f>
        <v/>
      </c>
      <c r="AQ2099" s="1290">
        <f>Principal!V64</f>
        <v>0</v>
      </c>
    </row>
    <row r="2100" spans="1:43" ht="12.75" customHeight="1" x14ac:dyDescent="0.2">
      <c r="A2100" s="227">
        <v>2100</v>
      </c>
      <c r="B2100" s="5988"/>
      <c r="C2100" s="860" t="str">
        <f t="shared" si="314"/>
        <v/>
      </c>
      <c r="D2100" s="489" t="str">
        <f t="shared" si="330"/>
        <v/>
      </c>
      <c r="E2100" s="489" t="str">
        <f t="shared" si="331"/>
        <v/>
      </c>
      <c r="F2100" s="829" t="str">
        <f t="shared" si="316"/>
        <v/>
      </c>
      <c r="G2100" s="6291"/>
      <c r="H2100" s="1354" t="str">
        <f>Combate!AB45</f>
        <v/>
      </c>
      <c r="J2100" s="820" t="str">
        <f>IF(ISNA(VLOOKUP(A26,Principal!$S$42:$AH$69,10,FALSE)),"",IF(VLOOKUP(A26,Principal!$S$42:$AH$69,10,FALSE)=0,"",INDEX(PoderesDeCriatura_Adquiridos,MATCH(A26,Principal!$S$42:$S$69,0))))</f>
        <v/>
      </c>
      <c r="K2100" s="2859" t="str">
        <f>IF(AND(COUNTA($K$2075:K2099)-COUNTBLANK($K$2075:K2099)&gt;0,J2100&lt;&gt;""),", ","")&amp;J2100</f>
        <v/>
      </c>
      <c r="L2100" s="2861" t="str">
        <f>IF(ISNA(INDEX(PoderesDeCriatura_AdquiridosNombres,MATCH(L$2074&amp;$A25,Principal!$U$42:$U$69,0))),"",INDEX(PoderesDeCriatura_AdquiridosNombres,MATCH(L$2074&amp;$A25,Principal!$U$42:$U$69,0)))</f>
        <v/>
      </c>
      <c r="M2100" s="2862" t="str">
        <f>IF(ISNA(INDEX(PoderesDeCriatura_Adquiridos,MATCH(L$2074&amp;$A25,Principal!$U$42:$U$69,0))),"",IF(INDEX(Principal!$AP$42:$AP$69,MATCH(L$2074&amp;$A25,Principal!$U$42:$U$69,0))&gt;0,INDEX(Principal!$AF$42:$AF$69,MATCH(L$2074&amp;$A25,Principal!$U$42:$U$69,0)),INDEX(PoderesDeCriatura_Adquiridos,MATCH(L$2074&amp;$A25,Principal!$U$42:$U$69,0))))</f>
        <v/>
      </c>
      <c r="N2100" s="2859" t="str">
        <f t="shared" si="320"/>
        <v/>
      </c>
      <c r="O2100" s="2861" t="str">
        <f>IF(ISNA(INDEX(PoderesDeCriatura_AdquiridosNombres,MATCH(O$2074&amp;$A25,Principal!$U$42:$U$69,0))),"",INDEX(PoderesDeCriatura_AdquiridosNombres,MATCH(O$2074&amp;$A25,Principal!$U$42:$U$69,0)))</f>
        <v/>
      </c>
      <c r="P2100" s="2862" t="str">
        <f>IF(ISNA(INDEX(PoderesDeCriatura_Adquiridos,MATCH(O$2074&amp;$A25,Principal!$U$42:$U$69,0))),"",IF(INDEX(Principal!$AP$42:$AP$69,MATCH(O$2074&amp;$A25,Principal!$U$42:$U$69,0))&gt;0,INDEX(Principal!$AF$42:$AF$69,MATCH(O$2074&amp;$A25,Principal!$U$42:$U$69,0)),INDEX(PoderesDeCriatura_Adquiridos,MATCH(O$2074&amp;$A25,Principal!$U$42:$U$69,0))))</f>
        <v/>
      </c>
      <c r="Q2100" s="2859" t="str">
        <f t="shared" si="321"/>
        <v/>
      </c>
      <c r="R2100" s="2861" t="str">
        <f>IF(ISNA(INDEX(PoderesDeCriatura_AdquiridosNombres,MATCH(R$2074&amp;$A25,Principal!$U$42:$U$69,0))),"",INDEX(PoderesDeCriatura_AdquiridosNombres,MATCH(R$2074&amp;$A25,Principal!$U$42:$U$69,0)))</f>
        <v/>
      </c>
      <c r="S2100" s="2862" t="str">
        <f>IF(ISNA(INDEX(PoderesDeCriatura_Adquiridos,MATCH(R$2074&amp;$A25,Principal!$U$42:$U$69,0))),"",IF(INDEX(Principal!$AP$42:$AP$69,MATCH(R$2074&amp;$A25,Principal!$U$42:$U$69,0))&gt;0,INDEX(Principal!$AF$42:$AF$69,MATCH(R$2074&amp;$A25,Principal!$U$42:$U$69,0)),INDEX(PoderesDeCriatura_Adquiridos,MATCH(R$2074&amp;$A25,Principal!$U$42:$U$69,0))))</f>
        <v/>
      </c>
      <c r="T2100" s="2859" t="str">
        <f t="shared" si="322"/>
        <v/>
      </c>
      <c r="U2100" s="2861" t="str">
        <f>IF(ISNA(INDEX(PoderesDeCriatura_AdquiridosNombres,MATCH(U$2074&amp;$A25,Principal!$U$42:$U$69,0))),"",INDEX(PoderesDeCriatura_AdquiridosNombres,MATCH(U$2074&amp;$A25,Principal!$U$42:$U$69,0)))</f>
        <v/>
      </c>
      <c r="V2100" s="2862" t="str">
        <f>IF(ISNA(INDEX(PoderesDeCriatura_Adquiridos,MATCH(U$2074&amp;$A25,Principal!$U$42:$U$69,0))),"",IF(INDEX(Principal!$AP$42:$AP$69,MATCH(U$2074&amp;$A25,Principal!$U$42:$U$69,0))&gt;0,INDEX(Principal!$AF$42:$AF$69,MATCH(U$2074&amp;$A25,Principal!$U$42:$U$69,0)),INDEX(PoderesDeCriatura_Adquiridos,MATCH(U$2074&amp;$A25,Principal!$U$42:$U$69,0))))</f>
        <v/>
      </c>
      <c r="W2100" s="2859" t="str">
        <f t="shared" si="323"/>
        <v/>
      </c>
      <c r="X2100" s="2861" t="str">
        <f>IF(ISNA(INDEX(PoderesDeCriatura_AdquiridosNombres,MATCH(X$2074&amp;$A25,Principal!$U$42:$U$69,0))),"",INDEX(PoderesDeCriatura_AdquiridosNombres,MATCH(X$2074&amp;$A25,Principal!$U$42:$U$69,0)))</f>
        <v/>
      </c>
      <c r="Y2100" s="2862" t="str">
        <f>IF(ISNA(INDEX(PoderesDeCriatura_Adquiridos,MATCH(X$2074&amp;$A25,Principal!$U$42:$U$69,0))),"",IF(INDEX(Principal!$AP$42:$AP$69,MATCH(X$2074&amp;$A25,Principal!$U$42:$U$69,0))&gt;0,INDEX(Principal!$AF$42:$AF$69,MATCH(X$2074&amp;$A25,Principal!$U$42:$U$69,0)),INDEX(PoderesDeCriatura_Adquiridos,MATCH(X$2074&amp;$A25,Principal!$U$42:$U$69,0))))</f>
        <v/>
      </c>
      <c r="Z2100" s="2859" t="str">
        <f t="shared" si="324"/>
        <v/>
      </c>
      <c r="AA2100" s="2861" t="str">
        <f>IF(ISNA(INDEX(PoderesDeCriatura_AdquiridosNombres,MATCH(AA$2074&amp;$A25,Principal!$U$42:$U$69,0))),"",INDEX(PoderesDeCriatura_AdquiridosNombres,MATCH(AA$2074&amp;$A25,Principal!$U$42:$U$69,0)))</f>
        <v/>
      </c>
      <c r="AB2100" s="2862" t="str">
        <f>IF(ISNA(INDEX(PoderesDeCriatura_Adquiridos,MATCH(AA$2074&amp;$A25,Principal!$U$42:$U$69,0))),"",IF(INDEX(Principal!$AP$42:$AP$69,MATCH(AA$2074&amp;$A25,Principal!$U$42:$U$69,0))&gt;0,INDEX(Principal!$AF$42:$AF$69,MATCH(AA$2074&amp;$A25,Principal!$U$42:$U$69,0)),INDEX(PoderesDeCriatura_Adquiridos,MATCH(AA$2074&amp;$A25,Principal!$U$42:$U$69,0))))</f>
        <v/>
      </c>
      <c r="AC2100" s="2859" t="str">
        <f t="shared" si="325"/>
        <v/>
      </c>
      <c r="AD2100" s="2861" t="str">
        <f>IF(ISNA(INDEX(PoderesDeCriatura_AdquiridosNombres,MATCH(AD$2074&amp;$A25,Principal!$U$42:$U$69,0))),"",INDEX(PoderesDeCriatura_AdquiridosNombres,MATCH(AD$2074&amp;$A25,Principal!$U$42:$U$69,0)))</f>
        <v/>
      </c>
      <c r="AE2100" s="2862" t="str">
        <f>IF(ISNA(INDEX(PoderesDeCriatura_Adquiridos,MATCH(AD$2074&amp;$A25,Principal!$U$42:$U$69,0))),"",IF(INDEX(Principal!$AP$42:$AP$69,MATCH(AD$2074&amp;$A25,Principal!$U$42:$U$69,0))&gt;0,INDEX(Principal!$AF$42:$AF$69,MATCH(AD$2074&amp;$A25,Principal!$U$42:$U$69,0)),INDEX(PoderesDeCriatura_Adquiridos,MATCH(AD$2074&amp;$A25,Principal!$U$42:$U$69,0))))</f>
        <v/>
      </c>
      <c r="AF2100" s="2859" t="str">
        <f t="shared" si="326"/>
        <v/>
      </c>
      <c r="AG2100" s="2861" t="str">
        <f>IF(ISNA(INDEX(PoderesDeCriatura_AdquiridosNombres,MATCH(AG$2074&amp;$A25,Principal!$U$42:$U$69,0))),"",INDEX(PoderesDeCriatura_AdquiridosNombres,MATCH(AG$2074&amp;$A25,Principal!$U$42:$U$69,0)))</f>
        <v/>
      </c>
      <c r="AH2100" s="2862" t="str">
        <f>IF(ISNA(INDEX(PoderesDeCriatura_Adquiridos,MATCH(AG$2074&amp;$A25,Principal!$U$42:$U$69,0))),"",IF(INDEX(Principal!$AP$42:$AP$69,MATCH(AG$2074&amp;$A25,Principal!$U$42:$U$69,0))&gt;0,INDEX(Principal!$AF$42:$AF$69,MATCH(AG$2074&amp;$A25,Principal!$U$42:$U$69,0)),INDEX(PoderesDeCriatura_Adquiridos,MATCH(AG$2074&amp;$A25,Principal!$U$42:$U$69,0))))</f>
        <v/>
      </c>
      <c r="AI2100" s="2859" t="str">
        <f t="shared" si="327"/>
        <v/>
      </c>
      <c r="AJ2100" s="2861" t="str">
        <f>IF(ISNA(INDEX(PoderesDeCriatura_AdquiridosNombres,MATCH(AJ$2074&amp;$A25,Principal!$U$42:$U$69,0))),"",INDEX(PoderesDeCriatura_AdquiridosNombres,MATCH(AJ$2074&amp;$A25,Principal!$U$42:$U$69,0)))</f>
        <v/>
      </c>
      <c r="AK2100" s="2862" t="str">
        <f>IF(ISNA(INDEX(PoderesDeCriatura_Adquiridos,MATCH(AJ$2074&amp;$A25,Principal!$U$42:$U$69,0))),"",IF(INDEX(Principal!$AP$42:$AP$69,MATCH(AJ$2074&amp;$A25,Principal!$U$42:$U$69,0))&gt;0,INDEX(Principal!$AF$42:$AF$69,MATCH(AJ$2074&amp;$A25,Principal!$U$42:$U$69,0)),INDEX(PoderesDeCriatura_Adquiridos,MATCH(AJ$2074&amp;$A25,Principal!$U$42:$U$69,0))))</f>
        <v/>
      </c>
      <c r="AL2100" s="2859" t="str">
        <f t="shared" si="328"/>
        <v/>
      </c>
      <c r="AM2100" s="2861" t="str">
        <f>IF(ISNA(INDEX(PoderesDeCriatura_AdquiridosNombres,MATCH(AM$2074&amp;$A25,Principal!$U$42:$U$69,0))),"",INDEX(PoderesDeCriatura_AdquiridosNombres,MATCH(AM$2074&amp;$A25,Principal!$U$42:$U$69,0)))</f>
        <v/>
      </c>
      <c r="AN2100" s="2862" t="str">
        <f>IF(ISNA(INDEX(PoderesDeCriatura_Adquiridos,MATCH(AM$2074&amp;$A25,Principal!$U$42:$U$69,0))),"",IF(INDEX(Principal!$AP$42:$AP$69,MATCH(AM$2074&amp;$A25,Principal!$U$42:$U$69,0))&gt;0,INDEX(Principal!$AF$42:$AF$69,MATCH(AM$2074&amp;$A25,Principal!$U$42:$U$69,0)),INDEX(PoderesDeCriatura_Adquiridos,MATCH(AM$2074&amp;$A25,Principal!$U$42:$U$69,0))))</f>
        <v/>
      </c>
      <c r="AO2100" s="837" t="str">
        <f t="shared" si="329"/>
        <v/>
      </c>
      <c r="AP2100" s="834" t="str">
        <f>IF(OR(AQ2100=0,ISNUMBER(MATCH(AQ2100,$AQ$2077:$AQ2099,0))),"",MAX($AP$2076:AP2099)+1)</f>
        <v/>
      </c>
      <c r="AQ2100" s="1290">
        <f>Principal!V65</f>
        <v>0</v>
      </c>
    </row>
    <row r="2101" spans="1:43" ht="12.75" customHeight="1" x14ac:dyDescent="0.2">
      <c r="A2101" s="227">
        <v>2101</v>
      </c>
      <c r="B2101" s="5988"/>
      <c r="C2101" s="860" t="str">
        <f t="shared" si="314"/>
        <v/>
      </c>
      <c r="D2101" s="489" t="str">
        <f t="shared" si="330"/>
        <v/>
      </c>
      <c r="E2101" s="489" t="str">
        <f t="shared" si="331"/>
        <v/>
      </c>
      <c r="F2101" s="829" t="str">
        <f t="shared" si="316"/>
        <v/>
      </c>
      <c r="G2101" s="6291"/>
      <c r="H2101" s="1354" t="str">
        <f>Combate!AB46</f>
        <v/>
      </c>
      <c r="J2101" s="820" t="str">
        <f>IF(ISNA(VLOOKUP(A27,Principal!$S$42:$AH$69,10,FALSE)),"",IF(VLOOKUP(A27,Principal!$S$42:$AH$69,10,FALSE)=0,"",INDEX(PoderesDeCriatura_Adquiridos,MATCH(A27,Principal!$S$42:$S$69,0))))</f>
        <v/>
      </c>
      <c r="K2101" s="2859" t="str">
        <f>IF(AND(COUNTA($K$2075:K2100)-COUNTBLANK($K$2075:K2100)&gt;0,J2101&lt;&gt;""),", ","")&amp;J2101</f>
        <v/>
      </c>
      <c r="L2101" s="2861" t="str">
        <f>IF(ISNA(INDEX(PoderesDeCriatura_AdquiridosNombres,MATCH(L$2074&amp;$A26,Principal!$U$42:$U$69,0))),"",INDEX(PoderesDeCriatura_AdquiridosNombres,MATCH(L$2074&amp;$A26,Principal!$U$42:$U$69,0)))</f>
        <v/>
      </c>
      <c r="M2101" s="2862" t="str">
        <f>IF(ISNA(INDEX(PoderesDeCriatura_Adquiridos,MATCH(L$2074&amp;$A26,Principal!$U$42:$U$69,0))),"",IF(INDEX(Principal!$AP$42:$AP$69,MATCH(L$2074&amp;$A26,Principal!$U$42:$U$69,0))&gt;0,INDEX(Principal!$AF$42:$AF$69,MATCH(L$2074&amp;$A26,Principal!$U$42:$U$69,0)),INDEX(PoderesDeCriatura_Adquiridos,MATCH(L$2074&amp;$A26,Principal!$U$42:$U$69,0))))</f>
        <v/>
      </c>
      <c r="N2101" s="2859" t="str">
        <f t="shared" si="320"/>
        <v/>
      </c>
      <c r="O2101" s="2861" t="str">
        <f>IF(ISNA(INDEX(PoderesDeCriatura_AdquiridosNombres,MATCH(O$2074&amp;$A26,Principal!$U$42:$U$69,0))),"",INDEX(PoderesDeCriatura_AdquiridosNombres,MATCH(O$2074&amp;$A26,Principal!$U$42:$U$69,0)))</f>
        <v/>
      </c>
      <c r="P2101" s="2862" t="str">
        <f>IF(ISNA(INDEX(PoderesDeCriatura_Adquiridos,MATCH(O$2074&amp;$A26,Principal!$U$42:$U$69,0))),"",IF(INDEX(Principal!$AP$42:$AP$69,MATCH(O$2074&amp;$A26,Principal!$U$42:$U$69,0))&gt;0,INDEX(Principal!$AF$42:$AF$69,MATCH(O$2074&amp;$A26,Principal!$U$42:$U$69,0)),INDEX(PoderesDeCriatura_Adquiridos,MATCH(O$2074&amp;$A26,Principal!$U$42:$U$69,0))))</f>
        <v/>
      </c>
      <c r="Q2101" s="2859" t="str">
        <f t="shared" si="321"/>
        <v/>
      </c>
      <c r="R2101" s="2861" t="str">
        <f>IF(ISNA(INDEX(PoderesDeCriatura_AdquiridosNombres,MATCH(R$2074&amp;$A26,Principal!$U$42:$U$69,0))),"",INDEX(PoderesDeCriatura_AdquiridosNombres,MATCH(R$2074&amp;$A26,Principal!$U$42:$U$69,0)))</f>
        <v/>
      </c>
      <c r="S2101" s="2862" t="str">
        <f>IF(ISNA(INDEX(PoderesDeCriatura_Adquiridos,MATCH(R$2074&amp;$A26,Principal!$U$42:$U$69,0))),"",IF(INDEX(Principal!$AP$42:$AP$69,MATCH(R$2074&amp;$A26,Principal!$U$42:$U$69,0))&gt;0,INDEX(Principal!$AF$42:$AF$69,MATCH(R$2074&amp;$A26,Principal!$U$42:$U$69,0)),INDEX(PoderesDeCriatura_Adquiridos,MATCH(R$2074&amp;$A26,Principal!$U$42:$U$69,0))))</f>
        <v/>
      </c>
      <c r="T2101" s="2859" t="str">
        <f t="shared" si="322"/>
        <v/>
      </c>
      <c r="U2101" s="2861" t="str">
        <f>IF(ISNA(INDEX(PoderesDeCriatura_AdquiridosNombres,MATCH(U$2074&amp;$A26,Principal!$U$42:$U$69,0))),"",INDEX(PoderesDeCriatura_AdquiridosNombres,MATCH(U$2074&amp;$A26,Principal!$U$42:$U$69,0)))</f>
        <v/>
      </c>
      <c r="V2101" s="2862" t="str">
        <f>IF(ISNA(INDEX(PoderesDeCriatura_Adquiridos,MATCH(U$2074&amp;$A26,Principal!$U$42:$U$69,0))),"",IF(INDEX(Principal!$AP$42:$AP$69,MATCH(U$2074&amp;$A26,Principal!$U$42:$U$69,0))&gt;0,INDEX(Principal!$AF$42:$AF$69,MATCH(U$2074&amp;$A26,Principal!$U$42:$U$69,0)),INDEX(PoderesDeCriatura_Adquiridos,MATCH(U$2074&amp;$A26,Principal!$U$42:$U$69,0))))</f>
        <v/>
      </c>
      <c r="W2101" s="2859" t="str">
        <f t="shared" si="323"/>
        <v/>
      </c>
      <c r="X2101" s="2861" t="str">
        <f>IF(ISNA(INDEX(PoderesDeCriatura_AdquiridosNombres,MATCH(X$2074&amp;$A26,Principal!$U$42:$U$69,0))),"",INDEX(PoderesDeCriatura_AdquiridosNombres,MATCH(X$2074&amp;$A26,Principal!$U$42:$U$69,0)))</f>
        <v/>
      </c>
      <c r="Y2101" s="2862" t="str">
        <f>IF(ISNA(INDEX(PoderesDeCriatura_Adquiridos,MATCH(X$2074&amp;$A26,Principal!$U$42:$U$69,0))),"",IF(INDEX(Principal!$AP$42:$AP$69,MATCH(X$2074&amp;$A26,Principal!$U$42:$U$69,0))&gt;0,INDEX(Principal!$AF$42:$AF$69,MATCH(X$2074&amp;$A26,Principal!$U$42:$U$69,0)),INDEX(PoderesDeCriatura_Adquiridos,MATCH(X$2074&amp;$A26,Principal!$U$42:$U$69,0))))</f>
        <v/>
      </c>
      <c r="Z2101" s="2859" t="str">
        <f t="shared" si="324"/>
        <v/>
      </c>
      <c r="AA2101" s="2861" t="str">
        <f>IF(ISNA(INDEX(PoderesDeCriatura_AdquiridosNombres,MATCH(AA$2074&amp;$A26,Principal!$U$42:$U$69,0))),"",INDEX(PoderesDeCriatura_AdquiridosNombres,MATCH(AA$2074&amp;$A26,Principal!$U$42:$U$69,0)))</f>
        <v/>
      </c>
      <c r="AB2101" s="2862" t="str">
        <f>IF(ISNA(INDEX(PoderesDeCriatura_Adquiridos,MATCH(AA$2074&amp;$A26,Principal!$U$42:$U$69,0))),"",IF(INDEX(Principal!$AP$42:$AP$69,MATCH(AA$2074&amp;$A26,Principal!$U$42:$U$69,0))&gt;0,INDEX(Principal!$AF$42:$AF$69,MATCH(AA$2074&amp;$A26,Principal!$U$42:$U$69,0)),INDEX(PoderesDeCriatura_Adquiridos,MATCH(AA$2074&amp;$A26,Principal!$U$42:$U$69,0))))</f>
        <v/>
      </c>
      <c r="AC2101" s="2859" t="str">
        <f t="shared" si="325"/>
        <v/>
      </c>
      <c r="AD2101" s="2861" t="str">
        <f>IF(ISNA(INDEX(PoderesDeCriatura_AdquiridosNombres,MATCH(AD$2074&amp;$A26,Principal!$U$42:$U$69,0))),"",INDEX(PoderesDeCriatura_AdquiridosNombres,MATCH(AD$2074&amp;$A26,Principal!$U$42:$U$69,0)))</f>
        <v/>
      </c>
      <c r="AE2101" s="2862" t="str">
        <f>IF(ISNA(INDEX(PoderesDeCriatura_Adquiridos,MATCH(AD$2074&amp;$A26,Principal!$U$42:$U$69,0))),"",IF(INDEX(Principal!$AP$42:$AP$69,MATCH(AD$2074&amp;$A26,Principal!$U$42:$U$69,0))&gt;0,INDEX(Principal!$AF$42:$AF$69,MATCH(AD$2074&amp;$A26,Principal!$U$42:$U$69,0)),INDEX(PoderesDeCriatura_Adquiridos,MATCH(AD$2074&amp;$A26,Principal!$U$42:$U$69,0))))</f>
        <v/>
      </c>
      <c r="AF2101" s="2859" t="str">
        <f t="shared" si="326"/>
        <v/>
      </c>
      <c r="AG2101" s="2861" t="str">
        <f>IF(ISNA(INDEX(PoderesDeCriatura_AdquiridosNombres,MATCH(AG$2074&amp;$A26,Principal!$U$42:$U$69,0))),"",INDEX(PoderesDeCriatura_AdquiridosNombres,MATCH(AG$2074&amp;$A26,Principal!$U$42:$U$69,0)))</f>
        <v/>
      </c>
      <c r="AH2101" s="2862" t="str">
        <f>IF(ISNA(INDEX(PoderesDeCriatura_Adquiridos,MATCH(AG$2074&amp;$A26,Principal!$U$42:$U$69,0))),"",IF(INDEX(Principal!$AP$42:$AP$69,MATCH(AG$2074&amp;$A26,Principal!$U$42:$U$69,0))&gt;0,INDEX(Principal!$AF$42:$AF$69,MATCH(AG$2074&amp;$A26,Principal!$U$42:$U$69,0)),INDEX(PoderesDeCriatura_Adquiridos,MATCH(AG$2074&amp;$A26,Principal!$U$42:$U$69,0))))</f>
        <v/>
      </c>
      <c r="AI2101" s="2859" t="str">
        <f t="shared" si="327"/>
        <v/>
      </c>
      <c r="AJ2101" s="2861" t="str">
        <f>IF(ISNA(INDEX(PoderesDeCriatura_AdquiridosNombres,MATCH(AJ$2074&amp;$A26,Principal!$U$42:$U$69,0))),"",INDEX(PoderesDeCriatura_AdquiridosNombres,MATCH(AJ$2074&amp;$A26,Principal!$U$42:$U$69,0)))</f>
        <v/>
      </c>
      <c r="AK2101" s="2862" t="str">
        <f>IF(ISNA(INDEX(PoderesDeCriatura_Adquiridos,MATCH(AJ$2074&amp;$A26,Principal!$U$42:$U$69,0))),"",IF(INDEX(Principal!$AP$42:$AP$69,MATCH(AJ$2074&amp;$A26,Principal!$U$42:$U$69,0))&gt;0,INDEX(Principal!$AF$42:$AF$69,MATCH(AJ$2074&amp;$A26,Principal!$U$42:$U$69,0)),INDEX(PoderesDeCriatura_Adquiridos,MATCH(AJ$2074&amp;$A26,Principal!$U$42:$U$69,0))))</f>
        <v/>
      </c>
      <c r="AL2101" s="2859" t="str">
        <f t="shared" si="328"/>
        <v/>
      </c>
      <c r="AM2101" s="2861" t="str">
        <f>IF(ISNA(INDEX(PoderesDeCriatura_AdquiridosNombres,MATCH(AM$2074&amp;$A26,Principal!$U$42:$U$69,0))),"",INDEX(PoderesDeCriatura_AdquiridosNombres,MATCH(AM$2074&amp;$A26,Principal!$U$42:$U$69,0)))</f>
        <v/>
      </c>
      <c r="AN2101" s="2862" t="str">
        <f>IF(ISNA(INDEX(PoderesDeCriatura_Adquiridos,MATCH(AM$2074&amp;$A26,Principal!$U$42:$U$69,0))),"",IF(INDEX(Principal!$AP$42:$AP$69,MATCH(AM$2074&amp;$A26,Principal!$U$42:$U$69,0))&gt;0,INDEX(Principal!$AF$42:$AF$69,MATCH(AM$2074&amp;$A26,Principal!$U$42:$U$69,0)),INDEX(PoderesDeCriatura_Adquiridos,MATCH(AM$2074&amp;$A26,Principal!$U$42:$U$69,0))))</f>
        <v/>
      </c>
      <c r="AO2101" s="837" t="str">
        <f t="shared" si="329"/>
        <v/>
      </c>
      <c r="AP2101" s="834" t="str">
        <f>IF(OR(AQ2101=0,ISNUMBER(MATCH(AQ2101,$AQ$2077:$AQ2100,0))),"",MAX($AP$2076:AP2100)+1)</f>
        <v/>
      </c>
      <c r="AQ2101" s="1290">
        <f>Principal!V66</f>
        <v>0</v>
      </c>
    </row>
    <row r="2102" spans="1:43" ht="12.75" customHeight="1" x14ac:dyDescent="0.2">
      <c r="A2102" s="227">
        <v>2102</v>
      </c>
      <c r="B2102" s="5988"/>
      <c r="C2102" s="860" t="str">
        <f t="shared" si="314"/>
        <v/>
      </c>
      <c r="D2102" s="489" t="str">
        <f t="shared" si="330"/>
        <v/>
      </c>
      <c r="E2102" s="489" t="str">
        <f t="shared" si="331"/>
        <v/>
      </c>
      <c r="F2102" s="829" t="str">
        <f t="shared" si="316"/>
        <v/>
      </c>
      <c r="G2102" s="6291"/>
      <c r="H2102" s="1354" t="str">
        <f>Combate!AB47</f>
        <v/>
      </c>
      <c r="J2102" s="820" t="str">
        <f>IF(ISNA(VLOOKUP(A28,Principal!$S$42:$AH$69,10,FALSE)),"",IF(VLOOKUP(A28,Principal!$S$42:$AH$69,10,FALSE)=0,"",INDEX(PoderesDeCriatura_Adquiridos,MATCH(A28,Principal!$S$42:$S$69,0))))</f>
        <v/>
      </c>
      <c r="K2102" s="2859" t="str">
        <f>IF(AND(COUNTA($K$2075:K2101)-COUNTBLANK($K$2075:K2101)&gt;0,J2102&lt;&gt;""),", ","")&amp;J2102</f>
        <v/>
      </c>
      <c r="L2102" s="2861" t="str">
        <f>IF(ISNA(INDEX(PoderesDeCriatura_AdquiridosNombres,MATCH(L$2074&amp;$A27,Principal!$U$42:$U$69,0))),"",INDEX(PoderesDeCriatura_AdquiridosNombres,MATCH(L$2074&amp;$A27,Principal!$U$42:$U$69,0)))</f>
        <v/>
      </c>
      <c r="M2102" s="2862" t="str">
        <f>IF(ISNA(INDEX(PoderesDeCriatura_Adquiridos,MATCH(L$2074&amp;$A27,Principal!$U$42:$U$69,0))),"",IF(INDEX(Principal!$AP$42:$AP$69,MATCH(L$2074&amp;$A27,Principal!$U$42:$U$69,0))&gt;0,INDEX(Principal!$AF$42:$AF$69,MATCH(L$2074&amp;$A27,Principal!$U$42:$U$69,0)),INDEX(PoderesDeCriatura_Adquiridos,MATCH(L$2074&amp;$A27,Principal!$U$42:$U$69,0))))</f>
        <v/>
      </c>
      <c r="N2102" s="2859" t="str">
        <f t="shared" si="320"/>
        <v/>
      </c>
      <c r="O2102" s="2861" t="str">
        <f>IF(ISNA(INDEX(PoderesDeCriatura_AdquiridosNombres,MATCH(O$2074&amp;$A27,Principal!$U$42:$U$69,0))),"",INDEX(PoderesDeCriatura_AdquiridosNombres,MATCH(O$2074&amp;$A27,Principal!$U$42:$U$69,0)))</f>
        <v/>
      </c>
      <c r="P2102" s="2862" t="str">
        <f>IF(ISNA(INDEX(PoderesDeCriatura_Adquiridos,MATCH(O$2074&amp;$A27,Principal!$U$42:$U$69,0))),"",IF(INDEX(Principal!$AP$42:$AP$69,MATCH(O$2074&amp;$A27,Principal!$U$42:$U$69,0))&gt;0,INDEX(Principal!$AF$42:$AF$69,MATCH(O$2074&amp;$A27,Principal!$U$42:$U$69,0)),INDEX(PoderesDeCriatura_Adquiridos,MATCH(O$2074&amp;$A27,Principal!$U$42:$U$69,0))))</f>
        <v/>
      </c>
      <c r="Q2102" s="2859" t="str">
        <f t="shared" si="321"/>
        <v/>
      </c>
      <c r="R2102" s="2861" t="str">
        <f>IF(ISNA(INDEX(PoderesDeCriatura_AdquiridosNombres,MATCH(R$2074&amp;$A27,Principal!$U$42:$U$69,0))),"",INDEX(PoderesDeCriatura_AdquiridosNombres,MATCH(R$2074&amp;$A27,Principal!$U$42:$U$69,0)))</f>
        <v/>
      </c>
      <c r="S2102" s="2862" t="str">
        <f>IF(ISNA(INDEX(PoderesDeCriatura_Adquiridos,MATCH(R$2074&amp;$A27,Principal!$U$42:$U$69,0))),"",IF(INDEX(Principal!$AP$42:$AP$69,MATCH(R$2074&amp;$A27,Principal!$U$42:$U$69,0))&gt;0,INDEX(Principal!$AF$42:$AF$69,MATCH(R$2074&amp;$A27,Principal!$U$42:$U$69,0)),INDEX(PoderesDeCriatura_Adquiridos,MATCH(R$2074&amp;$A27,Principal!$U$42:$U$69,0))))</f>
        <v/>
      </c>
      <c r="T2102" s="2859" t="str">
        <f t="shared" si="322"/>
        <v/>
      </c>
      <c r="U2102" s="2861" t="str">
        <f>IF(ISNA(INDEX(PoderesDeCriatura_AdquiridosNombres,MATCH(U$2074&amp;$A27,Principal!$U$42:$U$69,0))),"",INDEX(PoderesDeCriatura_AdquiridosNombres,MATCH(U$2074&amp;$A27,Principal!$U$42:$U$69,0)))</f>
        <v/>
      </c>
      <c r="V2102" s="2862" t="str">
        <f>IF(ISNA(INDEX(PoderesDeCriatura_Adquiridos,MATCH(U$2074&amp;$A27,Principal!$U$42:$U$69,0))),"",IF(INDEX(Principal!$AP$42:$AP$69,MATCH(U$2074&amp;$A27,Principal!$U$42:$U$69,0))&gt;0,INDEX(Principal!$AF$42:$AF$69,MATCH(U$2074&amp;$A27,Principal!$U$42:$U$69,0)),INDEX(PoderesDeCriatura_Adquiridos,MATCH(U$2074&amp;$A27,Principal!$U$42:$U$69,0))))</f>
        <v/>
      </c>
      <c r="W2102" s="2859" t="str">
        <f t="shared" si="323"/>
        <v/>
      </c>
      <c r="X2102" s="2861" t="str">
        <f>IF(ISNA(INDEX(PoderesDeCriatura_AdquiridosNombres,MATCH(X$2074&amp;$A27,Principal!$U$42:$U$69,0))),"",INDEX(PoderesDeCriatura_AdquiridosNombres,MATCH(X$2074&amp;$A27,Principal!$U$42:$U$69,0)))</f>
        <v/>
      </c>
      <c r="Y2102" s="2862" t="str">
        <f>IF(ISNA(INDEX(PoderesDeCriatura_Adquiridos,MATCH(X$2074&amp;$A27,Principal!$U$42:$U$69,0))),"",IF(INDEX(Principal!$AP$42:$AP$69,MATCH(X$2074&amp;$A27,Principal!$U$42:$U$69,0))&gt;0,INDEX(Principal!$AF$42:$AF$69,MATCH(X$2074&amp;$A27,Principal!$U$42:$U$69,0)),INDEX(PoderesDeCriatura_Adquiridos,MATCH(X$2074&amp;$A27,Principal!$U$42:$U$69,0))))</f>
        <v/>
      </c>
      <c r="Z2102" s="2859" t="str">
        <f t="shared" si="324"/>
        <v/>
      </c>
      <c r="AA2102" s="2861" t="str">
        <f>IF(ISNA(INDEX(PoderesDeCriatura_AdquiridosNombres,MATCH(AA$2074&amp;$A27,Principal!$U$42:$U$69,0))),"",INDEX(PoderesDeCriatura_AdquiridosNombres,MATCH(AA$2074&amp;$A27,Principal!$U$42:$U$69,0)))</f>
        <v/>
      </c>
      <c r="AB2102" s="2862" t="str">
        <f>IF(ISNA(INDEX(PoderesDeCriatura_Adquiridos,MATCH(AA$2074&amp;$A27,Principal!$U$42:$U$69,0))),"",IF(INDEX(Principal!$AP$42:$AP$69,MATCH(AA$2074&amp;$A27,Principal!$U$42:$U$69,0))&gt;0,INDEX(Principal!$AF$42:$AF$69,MATCH(AA$2074&amp;$A27,Principal!$U$42:$U$69,0)),INDEX(PoderesDeCriatura_Adquiridos,MATCH(AA$2074&amp;$A27,Principal!$U$42:$U$69,0))))</f>
        <v/>
      </c>
      <c r="AC2102" s="2859" t="str">
        <f t="shared" si="325"/>
        <v/>
      </c>
      <c r="AD2102" s="2861" t="str">
        <f>IF(ISNA(INDEX(PoderesDeCriatura_AdquiridosNombres,MATCH(AD$2074&amp;$A27,Principal!$U$42:$U$69,0))),"",INDEX(PoderesDeCriatura_AdquiridosNombres,MATCH(AD$2074&amp;$A27,Principal!$U$42:$U$69,0)))</f>
        <v/>
      </c>
      <c r="AE2102" s="2862" t="str">
        <f>IF(ISNA(INDEX(PoderesDeCriatura_Adquiridos,MATCH(AD$2074&amp;$A27,Principal!$U$42:$U$69,0))),"",IF(INDEX(Principal!$AP$42:$AP$69,MATCH(AD$2074&amp;$A27,Principal!$U$42:$U$69,0))&gt;0,INDEX(Principal!$AF$42:$AF$69,MATCH(AD$2074&amp;$A27,Principal!$U$42:$U$69,0)),INDEX(PoderesDeCriatura_Adquiridos,MATCH(AD$2074&amp;$A27,Principal!$U$42:$U$69,0))))</f>
        <v/>
      </c>
      <c r="AF2102" s="2859" t="str">
        <f t="shared" si="326"/>
        <v/>
      </c>
      <c r="AG2102" s="2861" t="str">
        <f>IF(ISNA(INDEX(PoderesDeCriatura_AdquiridosNombres,MATCH(AG$2074&amp;$A27,Principal!$U$42:$U$69,0))),"",INDEX(PoderesDeCriatura_AdquiridosNombres,MATCH(AG$2074&amp;$A27,Principal!$U$42:$U$69,0)))</f>
        <v/>
      </c>
      <c r="AH2102" s="2862" t="str">
        <f>IF(ISNA(INDEX(PoderesDeCriatura_Adquiridos,MATCH(AG$2074&amp;$A27,Principal!$U$42:$U$69,0))),"",IF(INDEX(Principal!$AP$42:$AP$69,MATCH(AG$2074&amp;$A27,Principal!$U$42:$U$69,0))&gt;0,INDEX(Principal!$AF$42:$AF$69,MATCH(AG$2074&amp;$A27,Principal!$U$42:$U$69,0)),INDEX(PoderesDeCriatura_Adquiridos,MATCH(AG$2074&amp;$A27,Principal!$U$42:$U$69,0))))</f>
        <v/>
      </c>
      <c r="AI2102" s="2859" t="str">
        <f t="shared" si="327"/>
        <v/>
      </c>
      <c r="AJ2102" s="2861" t="str">
        <f>IF(ISNA(INDEX(PoderesDeCriatura_AdquiridosNombres,MATCH(AJ$2074&amp;$A27,Principal!$U$42:$U$69,0))),"",INDEX(PoderesDeCriatura_AdquiridosNombres,MATCH(AJ$2074&amp;$A27,Principal!$U$42:$U$69,0)))</f>
        <v/>
      </c>
      <c r="AK2102" s="2862" t="str">
        <f>IF(ISNA(INDEX(PoderesDeCriatura_Adquiridos,MATCH(AJ$2074&amp;$A27,Principal!$U$42:$U$69,0))),"",IF(INDEX(Principal!$AP$42:$AP$69,MATCH(AJ$2074&amp;$A27,Principal!$U$42:$U$69,0))&gt;0,INDEX(Principal!$AF$42:$AF$69,MATCH(AJ$2074&amp;$A27,Principal!$U$42:$U$69,0)),INDEX(PoderesDeCriatura_Adquiridos,MATCH(AJ$2074&amp;$A27,Principal!$U$42:$U$69,0))))</f>
        <v/>
      </c>
      <c r="AL2102" s="2859" t="str">
        <f t="shared" si="328"/>
        <v/>
      </c>
      <c r="AM2102" s="2861" t="str">
        <f>IF(ISNA(INDEX(PoderesDeCriatura_AdquiridosNombres,MATCH(AM$2074&amp;$A27,Principal!$U$42:$U$69,0))),"",INDEX(PoderesDeCriatura_AdquiridosNombres,MATCH(AM$2074&amp;$A27,Principal!$U$42:$U$69,0)))</f>
        <v/>
      </c>
      <c r="AN2102" s="2862" t="str">
        <f>IF(ISNA(INDEX(PoderesDeCriatura_Adquiridos,MATCH(AM$2074&amp;$A27,Principal!$U$42:$U$69,0))),"",IF(INDEX(Principal!$AP$42:$AP$69,MATCH(AM$2074&amp;$A27,Principal!$U$42:$U$69,0))&gt;0,INDEX(Principal!$AF$42:$AF$69,MATCH(AM$2074&amp;$A27,Principal!$U$42:$U$69,0)),INDEX(PoderesDeCriatura_Adquiridos,MATCH(AM$2074&amp;$A27,Principal!$U$42:$U$69,0))))</f>
        <v/>
      </c>
      <c r="AO2102" s="837" t="str">
        <f t="shared" si="329"/>
        <v/>
      </c>
      <c r="AP2102" s="834" t="str">
        <f>IF(OR(AQ2102=0,ISNUMBER(MATCH(AQ2102,$AQ$2077:$AQ2101,0))),"",MAX($AP$2076:AP2101)+1)</f>
        <v/>
      </c>
      <c r="AQ2102" s="1290">
        <f>Principal!V67</f>
        <v>0</v>
      </c>
    </row>
    <row r="2103" spans="1:43" ht="12.75" customHeight="1" x14ac:dyDescent="0.2">
      <c r="A2103" s="227">
        <v>2103</v>
      </c>
      <c r="B2103" s="5988"/>
      <c r="C2103" s="860" t="str">
        <f t="shared" si="314"/>
        <v/>
      </c>
      <c r="D2103" s="489" t="str">
        <f t="shared" si="330"/>
        <v/>
      </c>
      <c r="E2103" s="489" t="str">
        <f t="shared" si="331"/>
        <v/>
      </c>
      <c r="F2103" s="829" t="str">
        <f t="shared" si="316"/>
        <v/>
      </c>
      <c r="G2103" s="6291"/>
      <c r="H2103" s="1354" t="str">
        <f>Combate!AB48</f>
        <v/>
      </c>
      <c r="J2103" s="820" t="str">
        <f>IF(ISNA(VLOOKUP(A29,Principal!$S$42:$AH$69,10,FALSE)),"",IF(VLOOKUP(A29,Principal!$S$42:$AH$69,10,FALSE)=0,"",INDEX(PoderesDeCriatura_Adquiridos,MATCH(A29,Principal!$S$42:$S$69,0))))</f>
        <v/>
      </c>
      <c r="K2103" s="2859" t="str">
        <f>IF(AND(COUNTA($K$2075:K2102)-COUNTBLANK($K$2075:K2102)&gt;0,J2103&lt;&gt;""),", ","")&amp;J2103</f>
        <v/>
      </c>
      <c r="L2103" s="2861" t="str">
        <f>IF(ISNA(INDEX(PoderesDeCriatura_AdquiridosNombres,MATCH(L$2074&amp;$A28,Principal!$U$42:$U$69,0))),"",INDEX(PoderesDeCriatura_AdquiridosNombres,MATCH(L$2074&amp;$A28,Principal!$U$42:$U$69,0)))</f>
        <v/>
      </c>
      <c r="M2103" s="2862" t="str">
        <f>IF(ISNA(INDEX(PoderesDeCriatura_Adquiridos,MATCH(L$2074&amp;$A28,Principal!$U$42:$U$69,0))),"",IF(INDEX(Principal!$AP$42:$AP$69,MATCH(L$2074&amp;$A28,Principal!$U$42:$U$69,0))&gt;0,INDEX(Principal!$AF$42:$AF$69,MATCH(L$2074&amp;$A28,Principal!$U$42:$U$69,0)),INDEX(PoderesDeCriatura_Adquiridos,MATCH(L$2074&amp;$A28,Principal!$U$42:$U$69,0))))</f>
        <v/>
      </c>
      <c r="N2103" s="2859" t="str">
        <f t="shared" si="320"/>
        <v/>
      </c>
      <c r="O2103" s="2861" t="str">
        <f>IF(ISNA(INDEX(PoderesDeCriatura_AdquiridosNombres,MATCH(O$2074&amp;$A28,Principal!$U$42:$U$69,0))),"",INDEX(PoderesDeCriatura_AdquiridosNombres,MATCH(O$2074&amp;$A28,Principal!$U$42:$U$69,0)))</f>
        <v/>
      </c>
      <c r="P2103" s="2862" t="str">
        <f>IF(ISNA(INDEX(PoderesDeCriatura_Adquiridos,MATCH(O$2074&amp;$A28,Principal!$U$42:$U$69,0))),"",IF(INDEX(Principal!$AP$42:$AP$69,MATCH(O$2074&amp;$A28,Principal!$U$42:$U$69,0))&gt;0,INDEX(Principal!$AF$42:$AF$69,MATCH(O$2074&amp;$A28,Principal!$U$42:$U$69,0)),INDEX(PoderesDeCriatura_Adquiridos,MATCH(O$2074&amp;$A28,Principal!$U$42:$U$69,0))))</f>
        <v/>
      </c>
      <c r="Q2103" s="2859" t="str">
        <f t="shared" si="321"/>
        <v/>
      </c>
      <c r="R2103" s="2861" t="str">
        <f>IF(ISNA(INDEX(PoderesDeCriatura_AdquiridosNombres,MATCH(R$2074&amp;$A28,Principal!$U$42:$U$69,0))),"",INDEX(PoderesDeCriatura_AdquiridosNombres,MATCH(R$2074&amp;$A28,Principal!$U$42:$U$69,0)))</f>
        <v/>
      </c>
      <c r="S2103" s="2862" t="str">
        <f>IF(ISNA(INDEX(PoderesDeCriatura_Adquiridos,MATCH(R$2074&amp;$A28,Principal!$U$42:$U$69,0))),"",IF(INDEX(Principal!$AP$42:$AP$69,MATCH(R$2074&amp;$A28,Principal!$U$42:$U$69,0))&gt;0,INDEX(Principal!$AF$42:$AF$69,MATCH(R$2074&amp;$A28,Principal!$U$42:$U$69,0)),INDEX(PoderesDeCriatura_Adquiridos,MATCH(R$2074&amp;$A28,Principal!$U$42:$U$69,0))))</f>
        <v/>
      </c>
      <c r="T2103" s="2859" t="str">
        <f t="shared" si="322"/>
        <v/>
      </c>
      <c r="U2103" s="2861" t="str">
        <f>IF(ISNA(INDEX(PoderesDeCriatura_AdquiridosNombres,MATCH(U$2074&amp;$A28,Principal!$U$42:$U$69,0))),"",INDEX(PoderesDeCriatura_AdquiridosNombres,MATCH(U$2074&amp;$A28,Principal!$U$42:$U$69,0)))</f>
        <v/>
      </c>
      <c r="V2103" s="2862" t="str">
        <f>IF(ISNA(INDEX(PoderesDeCriatura_Adquiridos,MATCH(U$2074&amp;$A28,Principal!$U$42:$U$69,0))),"",IF(INDEX(Principal!$AP$42:$AP$69,MATCH(U$2074&amp;$A28,Principal!$U$42:$U$69,0))&gt;0,INDEX(Principal!$AF$42:$AF$69,MATCH(U$2074&amp;$A28,Principal!$U$42:$U$69,0)),INDEX(PoderesDeCriatura_Adquiridos,MATCH(U$2074&amp;$A28,Principal!$U$42:$U$69,0))))</f>
        <v/>
      </c>
      <c r="W2103" s="2859" t="str">
        <f t="shared" si="323"/>
        <v/>
      </c>
      <c r="X2103" s="2861" t="str">
        <f>IF(ISNA(INDEX(PoderesDeCriatura_AdquiridosNombres,MATCH(X$2074&amp;$A28,Principal!$U$42:$U$69,0))),"",INDEX(PoderesDeCriatura_AdquiridosNombres,MATCH(X$2074&amp;$A28,Principal!$U$42:$U$69,0)))</f>
        <v/>
      </c>
      <c r="Y2103" s="2862" t="str">
        <f>IF(ISNA(INDEX(PoderesDeCriatura_Adquiridos,MATCH(X$2074&amp;$A28,Principal!$U$42:$U$69,0))),"",IF(INDEX(Principal!$AP$42:$AP$69,MATCH(X$2074&amp;$A28,Principal!$U$42:$U$69,0))&gt;0,INDEX(Principal!$AF$42:$AF$69,MATCH(X$2074&amp;$A28,Principal!$U$42:$U$69,0)),INDEX(PoderesDeCriatura_Adquiridos,MATCH(X$2074&amp;$A28,Principal!$U$42:$U$69,0))))</f>
        <v/>
      </c>
      <c r="Z2103" s="2859" t="str">
        <f t="shared" si="324"/>
        <v/>
      </c>
      <c r="AA2103" s="2861" t="str">
        <f>IF(ISNA(INDEX(PoderesDeCriatura_AdquiridosNombres,MATCH(AA$2074&amp;$A28,Principal!$U$42:$U$69,0))),"",INDEX(PoderesDeCriatura_AdquiridosNombres,MATCH(AA$2074&amp;$A28,Principal!$U$42:$U$69,0)))</f>
        <v/>
      </c>
      <c r="AB2103" s="2862" t="str">
        <f>IF(ISNA(INDEX(PoderesDeCriatura_Adquiridos,MATCH(AA$2074&amp;$A28,Principal!$U$42:$U$69,0))),"",IF(INDEX(Principal!$AP$42:$AP$69,MATCH(AA$2074&amp;$A28,Principal!$U$42:$U$69,0))&gt;0,INDEX(Principal!$AF$42:$AF$69,MATCH(AA$2074&amp;$A28,Principal!$U$42:$U$69,0)),INDEX(PoderesDeCriatura_Adquiridos,MATCH(AA$2074&amp;$A28,Principal!$U$42:$U$69,0))))</f>
        <v/>
      </c>
      <c r="AC2103" s="2859" t="str">
        <f t="shared" si="325"/>
        <v/>
      </c>
      <c r="AD2103" s="2861" t="str">
        <f>IF(ISNA(INDEX(PoderesDeCriatura_AdquiridosNombres,MATCH(AD$2074&amp;$A28,Principal!$U$42:$U$69,0))),"",INDEX(PoderesDeCriatura_AdquiridosNombres,MATCH(AD$2074&amp;$A28,Principal!$U$42:$U$69,0)))</f>
        <v/>
      </c>
      <c r="AE2103" s="2862" t="str">
        <f>IF(ISNA(INDEX(PoderesDeCriatura_Adquiridos,MATCH(AD$2074&amp;$A28,Principal!$U$42:$U$69,0))),"",IF(INDEX(Principal!$AP$42:$AP$69,MATCH(AD$2074&amp;$A28,Principal!$U$42:$U$69,0))&gt;0,INDEX(Principal!$AF$42:$AF$69,MATCH(AD$2074&amp;$A28,Principal!$U$42:$U$69,0)),INDEX(PoderesDeCriatura_Adquiridos,MATCH(AD$2074&amp;$A28,Principal!$U$42:$U$69,0))))</f>
        <v/>
      </c>
      <c r="AF2103" s="2859" t="str">
        <f t="shared" si="326"/>
        <v/>
      </c>
      <c r="AG2103" s="2861" t="str">
        <f>IF(ISNA(INDEX(PoderesDeCriatura_AdquiridosNombres,MATCH(AG$2074&amp;$A28,Principal!$U$42:$U$69,0))),"",INDEX(PoderesDeCriatura_AdquiridosNombres,MATCH(AG$2074&amp;$A28,Principal!$U$42:$U$69,0)))</f>
        <v/>
      </c>
      <c r="AH2103" s="2862" t="str">
        <f>IF(ISNA(INDEX(PoderesDeCriatura_Adquiridos,MATCH(AG$2074&amp;$A28,Principal!$U$42:$U$69,0))),"",IF(INDEX(Principal!$AP$42:$AP$69,MATCH(AG$2074&amp;$A28,Principal!$U$42:$U$69,0))&gt;0,INDEX(Principal!$AF$42:$AF$69,MATCH(AG$2074&amp;$A28,Principal!$U$42:$U$69,0)),INDEX(PoderesDeCriatura_Adquiridos,MATCH(AG$2074&amp;$A28,Principal!$U$42:$U$69,0))))</f>
        <v/>
      </c>
      <c r="AI2103" s="2859" t="str">
        <f t="shared" si="327"/>
        <v/>
      </c>
      <c r="AJ2103" s="2861" t="str">
        <f>IF(ISNA(INDEX(PoderesDeCriatura_AdquiridosNombres,MATCH(AJ$2074&amp;$A28,Principal!$U$42:$U$69,0))),"",INDEX(PoderesDeCriatura_AdquiridosNombres,MATCH(AJ$2074&amp;$A28,Principal!$U$42:$U$69,0)))</f>
        <v/>
      </c>
      <c r="AK2103" s="2862" t="str">
        <f>IF(ISNA(INDEX(PoderesDeCriatura_Adquiridos,MATCH(AJ$2074&amp;$A28,Principal!$U$42:$U$69,0))),"",IF(INDEX(Principal!$AP$42:$AP$69,MATCH(AJ$2074&amp;$A28,Principal!$U$42:$U$69,0))&gt;0,INDEX(Principal!$AF$42:$AF$69,MATCH(AJ$2074&amp;$A28,Principal!$U$42:$U$69,0)),INDEX(PoderesDeCriatura_Adquiridos,MATCH(AJ$2074&amp;$A28,Principal!$U$42:$U$69,0))))</f>
        <v/>
      </c>
      <c r="AL2103" s="2859" t="str">
        <f t="shared" si="328"/>
        <v/>
      </c>
      <c r="AM2103" s="2861" t="str">
        <f>IF(ISNA(INDEX(PoderesDeCriatura_AdquiridosNombres,MATCH(AM$2074&amp;$A28,Principal!$U$42:$U$69,0))),"",INDEX(PoderesDeCriatura_AdquiridosNombres,MATCH(AM$2074&amp;$A28,Principal!$U$42:$U$69,0)))</f>
        <v/>
      </c>
      <c r="AN2103" s="2862" t="str">
        <f>IF(ISNA(INDEX(PoderesDeCriatura_Adquiridos,MATCH(AM$2074&amp;$A28,Principal!$U$42:$U$69,0))),"",IF(INDEX(Principal!$AP$42:$AP$69,MATCH(AM$2074&amp;$A28,Principal!$U$42:$U$69,0))&gt;0,INDEX(Principal!$AF$42:$AF$69,MATCH(AM$2074&amp;$A28,Principal!$U$42:$U$69,0)),INDEX(PoderesDeCriatura_Adquiridos,MATCH(AM$2074&amp;$A28,Principal!$U$42:$U$69,0))))</f>
        <v/>
      </c>
      <c r="AO2103" s="837" t="str">
        <f t="shared" si="329"/>
        <v/>
      </c>
      <c r="AP2103" s="834" t="str">
        <f>IF(OR(AQ2103=0,ISNUMBER(MATCH(AQ2103,$AQ$2077:$AQ2102,0))),"",MAX($AP$2076:AP2102)+1)</f>
        <v/>
      </c>
      <c r="AQ2103" s="1290">
        <f>Principal!V68</f>
        <v>0</v>
      </c>
    </row>
    <row r="2104" spans="1:43" ht="12.75" customHeight="1" x14ac:dyDescent="0.2">
      <c r="A2104" s="227">
        <v>2104</v>
      </c>
      <c r="B2104" s="5988"/>
      <c r="C2104" s="860" t="str">
        <f t="shared" si="314"/>
        <v/>
      </c>
      <c r="D2104" s="489" t="str">
        <f t="shared" si="330"/>
        <v/>
      </c>
      <c r="E2104" s="489" t="str">
        <f t="shared" si="331"/>
        <v/>
      </c>
      <c r="F2104" s="829" t="str">
        <f t="shared" si="316"/>
        <v/>
      </c>
      <c r="G2104" s="6291"/>
      <c r="H2104" s="1355" t="str">
        <f>Combate!AB49</f>
        <v/>
      </c>
      <c r="J2104" s="820" t="str">
        <f>IF(ISNA(VLOOKUP(A30,Principal!$S$42:$AH$69,10,FALSE)),"",IF(VLOOKUP(A30,Principal!$S$42:$AH$69,10,FALSE)=0,"",INDEX(PoderesDeCriatura_Adquiridos,MATCH(A30,Principal!$S$42:$S$69,0))))</f>
        <v/>
      </c>
      <c r="K2104" s="2860" t="str">
        <f>IF(AND(COUNTA($K$2075:K2103)-COUNTBLANK($K$2075:K2103)&gt;0,J2104&lt;&gt;""),", ","")&amp;J2104</f>
        <v/>
      </c>
      <c r="L2104" s="2864" t="str">
        <f>IF(ISNA(INDEX(PoderesDeCriatura_AdquiridosNombres,MATCH(L$2074&amp;$A29,Principal!$U$42:$U$69,0))),"",INDEX(PoderesDeCriatura_AdquiridosNombres,MATCH(L$2074&amp;$A29,Principal!$U$42:$U$69,0)))</f>
        <v/>
      </c>
      <c r="M2104" s="2865" t="str">
        <f>IF(ISNA(INDEX(PoderesDeCriatura_Adquiridos,MATCH(L$2074&amp;$A29,Principal!$U$42:$U$69,0))),"",IF(INDEX(Principal!$AP$42:$AP$69,MATCH(L$2074&amp;$A29,Principal!$U$42:$U$69,0))&gt;0,INDEX(Principal!$AF$42:$AF$69,MATCH(L$2074&amp;$A29,Principal!$U$42:$U$69,0)),INDEX(PoderesDeCriatura_Adquiridos,MATCH(L$2074&amp;$A29,Principal!$U$42:$U$69,0))))</f>
        <v/>
      </c>
      <c r="N2104" s="2860" t="str">
        <f t="shared" si="320"/>
        <v/>
      </c>
      <c r="O2104" s="2864" t="str">
        <f>IF(ISNA(INDEX(PoderesDeCriatura_AdquiridosNombres,MATCH(O$2074&amp;$A29,Principal!$U$42:$U$69,0))),"",INDEX(PoderesDeCriatura_AdquiridosNombres,MATCH(O$2074&amp;$A29,Principal!$U$42:$U$69,0)))</f>
        <v/>
      </c>
      <c r="P2104" s="2865" t="str">
        <f>IF(ISNA(INDEX(PoderesDeCriatura_Adquiridos,MATCH(O$2074&amp;$A29,Principal!$U$42:$U$69,0))),"",IF(INDEX(Principal!$AP$42:$AP$69,MATCH(O$2074&amp;$A29,Principal!$U$42:$U$69,0))&gt;0,INDEX(Principal!$AF$42:$AF$69,MATCH(O$2074&amp;$A29,Principal!$U$42:$U$69,0)),INDEX(PoderesDeCriatura_Adquiridos,MATCH(O$2074&amp;$A29,Principal!$U$42:$U$69,0))))</f>
        <v/>
      </c>
      <c r="Q2104" s="2860" t="str">
        <f t="shared" si="321"/>
        <v/>
      </c>
      <c r="R2104" s="2864" t="str">
        <f>IF(ISNA(INDEX(PoderesDeCriatura_AdquiridosNombres,MATCH(R$2074&amp;$A29,Principal!$U$42:$U$69,0))),"",INDEX(PoderesDeCriatura_AdquiridosNombres,MATCH(R$2074&amp;$A29,Principal!$U$42:$U$69,0)))</f>
        <v/>
      </c>
      <c r="S2104" s="2865" t="str">
        <f>IF(ISNA(INDEX(PoderesDeCriatura_Adquiridos,MATCH(R$2074&amp;$A29,Principal!$U$42:$U$69,0))),"",IF(INDEX(Principal!$AP$42:$AP$69,MATCH(R$2074&amp;$A29,Principal!$U$42:$U$69,0))&gt;0,INDEX(Principal!$AF$42:$AF$69,MATCH(R$2074&amp;$A29,Principal!$U$42:$U$69,0)),INDEX(PoderesDeCriatura_Adquiridos,MATCH(R$2074&amp;$A29,Principal!$U$42:$U$69,0))))</f>
        <v/>
      </c>
      <c r="T2104" s="2860" t="str">
        <f t="shared" si="322"/>
        <v/>
      </c>
      <c r="U2104" s="2864" t="str">
        <f>IF(ISNA(INDEX(PoderesDeCriatura_AdquiridosNombres,MATCH(U$2074&amp;$A29,Principal!$U$42:$U$69,0))),"",INDEX(PoderesDeCriatura_AdquiridosNombres,MATCH(U$2074&amp;$A29,Principal!$U$42:$U$69,0)))</f>
        <v/>
      </c>
      <c r="V2104" s="2865" t="str">
        <f>IF(ISNA(INDEX(PoderesDeCriatura_Adquiridos,MATCH(U$2074&amp;$A29,Principal!$U$42:$U$69,0))),"",IF(INDEX(Principal!$AP$42:$AP$69,MATCH(U$2074&amp;$A29,Principal!$U$42:$U$69,0))&gt;0,INDEX(Principal!$AF$42:$AF$69,MATCH(U$2074&amp;$A29,Principal!$U$42:$U$69,0)),INDEX(PoderesDeCriatura_Adquiridos,MATCH(U$2074&amp;$A29,Principal!$U$42:$U$69,0))))</f>
        <v/>
      </c>
      <c r="W2104" s="2860" t="str">
        <f t="shared" si="323"/>
        <v/>
      </c>
      <c r="X2104" s="2864" t="str">
        <f>IF(ISNA(INDEX(PoderesDeCriatura_AdquiridosNombres,MATCH(X$2074&amp;$A29,Principal!$U$42:$U$69,0))),"",INDEX(PoderesDeCriatura_AdquiridosNombres,MATCH(X$2074&amp;$A29,Principal!$U$42:$U$69,0)))</f>
        <v/>
      </c>
      <c r="Y2104" s="2865" t="str">
        <f>IF(ISNA(INDEX(PoderesDeCriatura_Adquiridos,MATCH(X$2074&amp;$A29,Principal!$U$42:$U$69,0))),"",IF(INDEX(Principal!$AP$42:$AP$69,MATCH(X$2074&amp;$A29,Principal!$U$42:$U$69,0))&gt;0,INDEX(Principal!$AF$42:$AF$69,MATCH(X$2074&amp;$A29,Principal!$U$42:$U$69,0)),INDEX(PoderesDeCriatura_Adquiridos,MATCH(X$2074&amp;$A29,Principal!$U$42:$U$69,0))))</f>
        <v/>
      </c>
      <c r="Z2104" s="2860" t="str">
        <f t="shared" si="324"/>
        <v/>
      </c>
      <c r="AA2104" s="2864" t="str">
        <f>IF(ISNA(INDEX(PoderesDeCriatura_AdquiridosNombres,MATCH(AA$2074&amp;$A29,Principal!$U$42:$U$69,0))),"",INDEX(PoderesDeCriatura_AdquiridosNombres,MATCH(AA$2074&amp;$A29,Principal!$U$42:$U$69,0)))</f>
        <v/>
      </c>
      <c r="AB2104" s="2865" t="str">
        <f>IF(ISNA(INDEX(PoderesDeCriatura_Adquiridos,MATCH(AA$2074&amp;$A29,Principal!$U$42:$U$69,0))),"",IF(INDEX(Principal!$AP$42:$AP$69,MATCH(AA$2074&amp;$A29,Principal!$U$42:$U$69,0))&gt;0,INDEX(Principal!$AF$42:$AF$69,MATCH(AA$2074&amp;$A29,Principal!$U$42:$U$69,0)),INDEX(PoderesDeCriatura_Adquiridos,MATCH(AA$2074&amp;$A29,Principal!$U$42:$U$69,0))))</f>
        <v/>
      </c>
      <c r="AC2104" s="2860" t="str">
        <f t="shared" si="325"/>
        <v/>
      </c>
      <c r="AD2104" s="2864" t="str">
        <f>IF(ISNA(INDEX(PoderesDeCriatura_AdquiridosNombres,MATCH(AD$2074&amp;$A29,Principal!$U$42:$U$69,0))),"",INDEX(PoderesDeCriatura_AdquiridosNombres,MATCH(AD$2074&amp;$A29,Principal!$U$42:$U$69,0)))</f>
        <v/>
      </c>
      <c r="AE2104" s="2865" t="str">
        <f>IF(ISNA(INDEX(PoderesDeCriatura_Adquiridos,MATCH(AD$2074&amp;$A29,Principal!$U$42:$U$69,0))),"",IF(INDEX(Principal!$AP$42:$AP$69,MATCH(AD$2074&amp;$A29,Principal!$U$42:$U$69,0))&gt;0,INDEX(Principal!$AF$42:$AF$69,MATCH(AD$2074&amp;$A29,Principal!$U$42:$U$69,0)),INDEX(PoderesDeCriatura_Adquiridos,MATCH(AD$2074&amp;$A29,Principal!$U$42:$U$69,0))))</f>
        <v/>
      </c>
      <c r="AF2104" s="2860" t="str">
        <f t="shared" si="326"/>
        <v/>
      </c>
      <c r="AG2104" s="2864" t="str">
        <f>IF(ISNA(INDEX(PoderesDeCriatura_AdquiridosNombres,MATCH(AG$2074&amp;$A29,Principal!$U$42:$U$69,0))),"",INDEX(PoderesDeCriatura_AdquiridosNombres,MATCH(AG$2074&amp;$A29,Principal!$U$42:$U$69,0)))</f>
        <v/>
      </c>
      <c r="AH2104" s="2865" t="str">
        <f>IF(ISNA(INDEX(PoderesDeCriatura_Adquiridos,MATCH(AG$2074&amp;$A29,Principal!$U$42:$U$69,0))),"",IF(INDEX(Principal!$AP$42:$AP$69,MATCH(AG$2074&amp;$A29,Principal!$U$42:$U$69,0))&gt;0,INDEX(Principal!$AF$42:$AF$69,MATCH(AG$2074&amp;$A29,Principal!$U$42:$U$69,0)),INDEX(PoderesDeCriatura_Adquiridos,MATCH(AG$2074&amp;$A29,Principal!$U$42:$U$69,0))))</f>
        <v/>
      </c>
      <c r="AI2104" s="2860" t="str">
        <f t="shared" si="327"/>
        <v/>
      </c>
      <c r="AJ2104" s="2864" t="str">
        <f>IF(ISNA(INDEX(PoderesDeCriatura_AdquiridosNombres,MATCH(AJ$2074&amp;$A29,Principal!$U$42:$U$69,0))),"",INDEX(PoderesDeCriatura_AdquiridosNombres,MATCH(AJ$2074&amp;$A29,Principal!$U$42:$U$69,0)))</f>
        <v/>
      </c>
      <c r="AK2104" s="2865" t="str">
        <f>IF(ISNA(INDEX(PoderesDeCriatura_Adquiridos,MATCH(AJ$2074&amp;$A29,Principal!$U$42:$U$69,0))),"",IF(INDEX(Principal!$AP$42:$AP$69,MATCH(AJ$2074&amp;$A29,Principal!$U$42:$U$69,0))&gt;0,INDEX(Principal!$AF$42:$AF$69,MATCH(AJ$2074&amp;$A29,Principal!$U$42:$U$69,0)),INDEX(PoderesDeCriatura_Adquiridos,MATCH(AJ$2074&amp;$A29,Principal!$U$42:$U$69,0))))</f>
        <v/>
      </c>
      <c r="AL2104" s="2860" t="str">
        <f t="shared" si="328"/>
        <v/>
      </c>
      <c r="AM2104" s="2864" t="str">
        <f>IF(ISNA(INDEX(PoderesDeCriatura_AdquiridosNombres,MATCH(AM$2074&amp;$A29,Principal!$U$42:$U$69,0))),"",INDEX(PoderesDeCriatura_AdquiridosNombres,MATCH(AM$2074&amp;$A29,Principal!$U$42:$U$69,0)))</f>
        <v/>
      </c>
      <c r="AN2104" s="2865" t="str">
        <f>IF(ISNA(INDEX(PoderesDeCriatura_Adquiridos,MATCH(AM$2074&amp;$A29,Principal!$U$42:$U$69,0))),"",IF(INDEX(Principal!$AP$42:$AP$69,MATCH(AM$2074&amp;$A29,Principal!$U$42:$U$69,0))&gt;0,INDEX(Principal!$AF$42:$AF$69,MATCH(AM$2074&amp;$A29,Principal!$U$42:$U$69,0)),INDEX(PoderesDeCriatura_Adquiridos,MATCH(AM$2074&amp;$A29,Principal!$U$42:$U$69,0))))</f>
        <v/>
      </c>
      <c r="AO2104" s="2866" t="str">
        <f t="shared" si="329"/>
        <v/>
      </c>
      <c r="AP2104" s="1291" t="str">
        <f>IF(OR(AQ2104=0,ISNUMBER(MATCH(AQ2104,$AQ$2077:$AQ2103,0))),"",MAX($AP$2076:AP2103)+1)</f>
        <v/>
      </c>
      <c r="AQ2104" s="1292">
        <f>Principal!V69</f>
        <v>0</v>
      </c>
    </row>
    <row r="2105" spans="1:43" ht="12.75" customHeight="1" x14ac:dyDescent="0.2">
      <c r="A2105" s="227">
        <v>2105</v>
      </c>
      <c r="B2105" s="5988"/>
      <c r="C2105" s="856" t="str">
        <f t="shared" ref="C2105:C2112" si="332">IF(D2105="","",COUNTIF($D$2070:$D$2112,"&lt;="&amp;D2105)-SUMPRODUCT(--($D$2070:$D$2112="")))</f>
        <v/>
      </c>
      <c r="D2105" s="489" t="str">
        <f>Combate!AB50</f>
        <v/>
      </c>
      <c r="E2105" s="489" t="str">
        <f t="shared" ref="E2105:E2112" si="333">D2105</f>
        <v/>
      </c>
      <c r="F2105" s="829" t="str">
        <f t="shared" si="316"/>
        <v/>
      </c>
      <c r="G2105" s="6290"/>
      <c r="J2105" s="6293" t="str">
        <f>K2075&amp;K2076&amp;K2077&amp;K2078&amp;K2079&amp;K2080&amp;K2081&amp;K2082&amp;K2083&amp;K2084&amp;K2085&amp;K2086&amp;K2087&amp;K2088&amp;K2089&amp;K2090&amp;K2091&amp;K2092&amp;K2093&amp;K2094&amp;K2095&amp;K2096&amp;K2097&amp;K2099&amp;K2098&amp;K2100&amp;K2101&amp;K2103&amp;K2102&amp;K2104</f>
        <v/>
      </c>
      <c r="K2105" s="6294"/>
      <c r="L2105" s="6000" t="str">
        <f>IF(L2074="","",L2074&amp;" ("&amp;N2076&amp;N2077&amp;N2078&amp;N2079&amp;N2080&amp;N2081&amp;N2082&amp;N2083&amp;N2084&amp;N2085&amp;N2086&amp;N2087&amp;N2088&amp;N2089&amp;N2090&amp;N2091&amp;N2092&amp;N2093&amp;N2094&amp;N2095&amp;N2096&amp;N2097&amp;N2098&amp;N2099&amp;N2100&amp;N2101&amp;N2102&amp;N2103&amp;N2104&amp;")")</f>
        <v/>
      </c>
      <c r="M2105" s="6001"/>
      <c r="N2105" s="6002"/>
      <c r="O2105" s="6000" t="str">
        <f>IF(O2074="","",O2074&amp;" ("&amp;Q2076&amp;Q2077&amp;Q2078&amp;Q2079&amp;Q2080&amp;Q2081&amp;Q2082&amp;Q2083&amp;Q2084&amp;Q2085&amp;Q2086&amp;Q2087&amp;Q2088&amp;Q2089&amp;Q2090&amp;Q2091&amp;Q2092&amp;Q2093&amp;Q2094&amp;Q2095&amp;Q2096&amp;Q2097&amp;Q2098&amp;Q2099&amp;Q2100&amp;Q2101&amp;Q2102&amp;Q2103&amp;Q2104&amp;")")</f>
        <v/>
      </c>
      <c r="P2105" s="6001"/>
      <c r="Q2105" s="6002"/>
      <c r="R2105" s="6000" t="str">
        <f>IF(R2074="","",R2074&amp;" ("&amp;T2076&amp;T2077&amp;T2078&amp;T2079&amp;T2080&amp;T2081&amp;T2082&amp;T2083&amp;T2084&amp;T2085&amp;T2086&amp;T2087&amp;T2088&amp;T2089&amp;T2090&amp;T2091&amp;T2092&amp;T2093&amp;T2094&amp;T2095&amp;T2096&amp;T2097&amp;T2098&amp;T2099&amp;T2100&amp;T2101&amp;T2102&amp;T2103&amp;T2104&amp;")")</f>
        <v/>
      </c>
      <c r="S2105" s="6001"/>
      <c r="T2105" s="6002"/>
      <c r="U2105" s="6000" t="str">
        <f>IF(U2074="","",U2074&amp;" ("&amp;W2076&amp;W2077&amp;W2078&amp;W2079&amp;W2080&amp;W2081&amp;W2082&amp;W2083&amp;W2084&amp;W2085&amp;W2086&amp;W2087&amp;W2088&amp;W2089&amp;W2090&amp;W2091&amp;W2092&amp;W2093&amp;W2094&amp;W2095&amp;W2096&amp;W2097&amp;W2098&amp;W2099&amp;W2100&amp;W2101&amp;W2102&amp;W2103&amp;W2104&amp;")")</f>
        <v/>
      </c>
      <c r="V2105" s="6001"/>
      <c r="W2105" s="6002"/>
      <c r="X2105" s="6000" t="str">
        <f>IF(X2074="","",X2074&amp;" ("&amp;Z2076&amp;Z2077&amp;Z2078&amp;Z2079&amp;Z2080&amp;Z2081&amp;Z2082&amp;Z2083&amp;Z2084&amp;Z2085&amp;Z2086&amp;Z2087&amp;Z2088&amp;Z2089&amp;Z2090&amp;Z2091&amp;Z2092&amp;Z2093&amp;Z2094&amp;Z2095&amp;Z2096&amp;Z2097&amp;Z2098&amp;Z2099&amp;Z2100&amp;Z2101&amp;Z2102&amp;Z2103&amp;Z2104&amp;")")</f>
        <v/>
      </c>
      <c r="Y2105" s="6001"/>
      <c r="Z2105" s="6002"/>
      <c r="AA2105" s="6000" t="str">
        <f>IF(AA2074="","",AA2074&amp;" ("&amp;AC2076&amp;AC2077&amp;AC2078&amp;AC2079&amp;AC2080&amp;AC2081&amp;AC2082&amp;AC2083&amp;AC2084&amp;AC2085&amp;AC2086&amp;AC2087&amp;AC2088&amp;AC2089&amp;AC2090&amp;AC2091&amp;AC2092&amp;AC2093&amp;AC2094&amp;AC2095&amp;AC2096&amp;AC2097&amp;AC2098&amp;AC2099&amp;AC2100&amp;AC2101&amp;AC2102&amp;AC2103&amp;AC2104&amp;")")</f>
        <v/>
      </c>
      <c r="AB2105" s="6001"/>
      <c r="AC2105" s="6002"/>
      <c r="AD2105" s="5996" t="str">
        <f>IF(AD2074="","",AD2074&amp;" ("&amp;AF2076&amp;AF2077&amp;AF2078&amp;AF2079&amp;AF2080&amp;AF2081&amp;AF2082&amp;AF2083&amp;AF2084&amp;AF2085&amp;AF2086&amp;AF2087&amp;AF2088&amp;AF2089&amp;AF2090&amp;AF2091&amp;AF2092&amp;AF2093&amp;AF2094&amp;AF2095&amp;AF2096&amp;AF2097&amp;AF2098&amp;AF2099&amp;AF2100&amp;AF2101&amp;AF2102&amp;AF2103&amp;AF2104&amp;")")</f>
        <v/>
      </c>
      <c r="AE2105" s="5997"/>
      <c r="AF2105" s="5999"/>
      <c r="AG2105" s="5996" t="str">
        <f>IF(AG2074="","",AG2074&amp;" ("&amp;AI2076&amp;AI2077&amp;AI2078&amp;AI2079&amp;AI2080&amp;AI2081&amp;AI2082&amp;AI2083&amp;AI2084&amp;AI2085&amp;AI2086&amp;AI2087&amp;AI2088&amp;AI2089&amp;AI2090&amp;AI2091&amp;AI2092&amp;AI2093&amp;AI2094&amp;AI2095&amp;AI2096&amp;AI2097&amp;AI2098&amp;AI2099&amp;AI2100&amp;AI2101&amp;AI2102&amp;AI2103&amp;AI2104&amp;")")</f>
        <v/>
      </c>
      <c r="AH2105" s="5997"/>
      <c r="AI2105" s="5999"/>
      <c r="AJ2105" s="5996" t="str">
        <f>IF(AJ2074="","",AJ2074&amp;" ("&amp;AL2076&amp;AL2077&amp;AL2078&amp;AL2079&amp;AL2080&amp;AL2081&amp;AL2082&amp;AL2083&amp;AL2084&amp;AL2085&amp;AL2086&amp;AL2087&amp;AL2088&amp;AL2089&amp;AL2090&amp;AL2091&amp;AL2092&amp;AL2093&amp;AL2094&amp;AL2095&amp;AL2096&amp;AL2097&amp;AL2098&amp;AL2099&amp;AL2100&amp;AL2101&amp;AL2102&amp;AL2103&amp;AL2104&amp;")")</f>
        <v/>
      </c>
      <c r="AK2105" s="5997"/>
      <c r="AL2105" s="5999"/>
      <c r="AM2105" s="5996" t="str">
        <f>IF(AM2074="","",AM2074&amp;" ("&amp;AO2076&amp;AO2077&amp;AO2078&amp;AO2079&amp;AO2080&amp;AO2081&amp;AO2082&amp;AO2083&amp;AO2084&amp;AO2085&amp;AO2086&amp;AO2087&amp;AO2088&amp;AO2089&amp;AO2090&amp;AO2091&amp;AO2092&amp;AO2093&amp;AO2094&amp;AO2095&amp;AO2096&amp;AO2097&amp;AO2098&amp;AO2099&amp;AO2100&amp;AO2101&amp;AO2102&amp;AO2103&amp;AO2104&amp;")")</f>
        <v/>
      </c>
      <c r="AN2105" s="5997"/>
      <c r="AO2105" s="5998"/>
    </row>
    <row r="2106" spans="1:43" ht="12.75" customHeight="1" x14ac:dyDescent="0.2">
      <c r="A2106" s="227">
        <v>2106</v>
      </c>
      <c r="B2106" s="5988"/>
      <c r="C2106" s="856" t="str">
        <f t="shared" si="332"/>
        <v/>
      </c>
      <c r="D2106" s="489" t="str">
        <f>Combate!AB51</f>
        <v/>
      </c>
      <c r="E2106" s="489" t="str">
        <f t="shared" si="333"/>
        <v/>
      </c>
      <c r="F2106" s="829" t="str">
        <f t="shared" si="316"/>
        <v/>
      </c>
      <c r="G2106" s="6290"/>
      <c r="J2106" s="6293"/>
      <c r="K2106" s="6294"/>
      <c r="L2106" s="5991" t="str">
        <f>L2105&amp;IF(O2105="","",", "&amp;O2105)&amp;IF(R2105="","",", "&amp;R2105)&amp;IF(U2105="","",", "&amp;U2105)&amp;IF(X2105="","",", "&amp;X2105)&amp;IF(AA2105="","",", "&amp;AA2105)&amp;IF(AD2105="","",", "&amp;AD2105)&amp;IF(AG2105="","",", "&amp;AG2105)&amp;IF(AJ2105="","",", "&amp;AJ2105)&amp;IF(AM2105="","",", "&amp;AM2105)</f>
        <v/>
      </c>
      <c r="M2106" s="5992"/>
      <c r="N2106" s="5992"/>
      <c r="O2106" s="5992"/>
      <c r="P2106" s="5992"/>
      <c r="Q2106" s="5992"/>
      <c r="R2106" s="5992"/>
      <c r="S2106" s="5992"/>
      <c r="T2106" s="5992"/>
      <c r="U2106" s="5992"/>
      <c r="V2106" s="5992"/>
      <c r="W2106" s="5992"/>
      <c r="X2106" s="5992"/>
      <c r="Y2106" s="5992"/>
      <c r="Z2106" s="5992"/>
      <c r="AA2106" s="5992"/>
      <c r="AB2106" s="5992"/>
      <c r="AC2106" s="5992"/>
      <c r="AD2106" s="5992"/>
      <c r="AE2106" s="5992"/>
      <c r="AF2106" s="5992"/>
      <c r="AG2106" s="5992"/>
      <c r="AH2106" s="5992"/>
      <c r="AI2106" s="5992"/>
      <c r="AJ2106" s="5992"/>
      <c r="AK2106" s="5992"/>
      <c r="AL2106" s="5992"/>
      <c r="AM2106" s="5992"/>
      <c r="AN2106" s="5992"/>
      <c r="AO2106" s="5993"/>
    </row>
    <row r="2107" spans="1:43" ht="12.75" customHeight="1" x14ac:dyDescent="0.2">
      <c r="A2107" s="227">
        <v>2107</v>
      </c>
      <c r="B2107" s="5988"/>
      <c r="C2107" s="856" t="str">
        <f t="shared" si="332"/>
        <v/>
      </c>
      <c r="D2107" s="489" t="str">
        <f>Combate!AB52</f>
        <v/>
      </c>
      <c r="E2107" s="489" t="str">
        <f t="shared" si="333"/>
        <v/>
      </c>
      <c r="F2107" s="829" t="str">
        <f t="shared" si="316"/>
        <v/>
      </c>
      <c r="G2107" s="6290"/>
      <c r="J2107" s="6312" t="str">
        <f>L2106&amp;IF(OR(L2106="",J2105=""),"",", ")&amp;J2105</f>
        <v/>
      </c>
      <c r="K2107" s="6313"/>
      <c r="L2107" s="6313"/>
      <c r="M2107" s="6313"/>
      <c r="N2107" s="6313"/>
      <c r="O2107" s="6313"/>
      <c r="P2107" s="6313"/>
      <c r="Q2107" s="6313"/>
      <c r="R2107" s="6313"/>
      <c r="S2107" s="6313"/>
      <c r="T2107" s="6313"/>
      <c r="U2107" s="6313"/>
      <c r="V2107" s="6313"/>
      <c r="W2107" s="6313"/>
      <c r="X2107" s="6313"/>
      <c r="Y2107" s="6313"/>
      <c r="Z2107" s="6313"/>
      <c r="AA2107" s="6313"/>
      <c r="AB2107" s="6313"/>
      <c r="AC2107" s="6313"/>
      <c r="AD2107" s="6313"/>
      <c r="AE2107" s="6313"/>
      <c r="AF2107" s="6313"/>
      <c r="AG2107" s="6313"/>
      <c r="AH2107" s="6313"/>
      <c r="AI2107" s="6313"/>
      <c r="AJ2107" s="6313"/>
      <c r="AK2107" s="6313"/>
      <c r="AL2107" s="6313"/>
      <c r="AM2107" s="6313"/>
      <c r="AN2107" s="6313"/>
      <c r="AO2107" s="6314"/>
    </row>
    <row r="2108" spans="1:43" ht="12.75" customHeight="1" thickBot="1" x14ac:dyDescent="0.25">
      <c r="A2108" s="227">
        <v>2108</v>
      </c>
      <c r="B2108" s="5988"/>
      <c r="C2108" s="856" t="str">
        <f t="shared" si="332"/>
        <v/>
      </c>
      <c r="D2108" s="737" t="str">
        <f>Combate!AB55</f>
        <v/>
      </c>
      <c r="E2108" s="737" t="str">
        <f t="shared" si="333"/>
        <v/>
      </c>
      <c r="F2108" s="829" t="str">
        <f t="shared" si="316"/>
        <v/>
      </c>
      <c r="G2108" s="6290"/>
      <c r="J2108" s="6315"/>
      <c r="K2108" s="6316"/>
      <c r="L2108" s="6316"/>
      <c r="M2108" s="6316"/>
      <c r="N2108" s="6316"/>
      <c r="O2108" s="6316"/>
      <c r="P2108" s="6316"/>
      <c r="Q2108" s="6316"/>
      <c r="R2108" s="6316"/>
      <c r="S2108" s="6316"/>
      <c r="T2108" s="6316"/>
      <c r="U2108" s="6316"/>
      <c r="V2108" s="6316"/>
      <c r="W2108" s="6316"/>
      <c r="X2108" s="6316"/>
      <c r="Y2108" s="6316"/>
      <c r="Z2108" s="6316"/>
      <c r="AA2108" s="6316"/>
      <c r="AB2108" s="6316"/>
      <c r="AC2108" s="6316"/>
      <c r="AD2108" s="6316"/>
      <c r="AE2108" s="6316"/>
      <c r="AF2108" s="6316"/>
      <c r="AG2108" s="6316"/>
      <c r="AH2108" s="6316"/>
      <c r="AI2108" s="6316"/>
      <c r="AJ2108" s="6316"/>
      <c r="AK2108" s="6316"/>
      <c r="AL2108" s="6316"/>
      <c r="AM2108" s="6316"/>
      <c r="AN2108" s="6316"/>
      <c r="AO2108" s="6317"/>
    </row>
    <row r="2109" spans="1:43" ht="12.75" customHeight="1" x14ac:dyDescent="0.2">
      <c r="A2109" s="227">
        <v>2109</v>
      </c>
      <c r="B2109" s="5988"/>
      <c r="C2109" s="856" t="str">
        <f t="shared" si="332"/>
        <v/>
      </c>
      <c r="D2109" s="489" t="str">
        <f>Combate!AB57</f>
        <v/>
      </c>
      <c r="E2109" s="489" t="str">
        <f t="shared" si="333"/>
        <v/>
      </c>
      <c r="F2109" s="829" t="str">
        <f t="shared" si="316"/>
        <v/>
      </c>
      <c r="G2109" s="6290"/>
      <c r="H2109" s="835"/>
      <c r="I2109" s="835"/>
      <c r="J2109" s="835"/>
      <c r="K2109" s="835"/>
      <c r="L2109" s="835"/>
      <c r="M2109" s="835"/>
      <c r="N2109" s="835"/>
      <c r="O2109" s="835"/>
      <c r="P2109" s="835"/>
      <c r="Q2109" s="835"/>
      <c r="R2109" s="835"/>
      <c r="S2109" s="835"/>
      <c r="T2109" s="835"/>
    </row>
    <row r="2110" spans="1:43" ht="12.75" customHeight="1" x14ac:dyDescent="0.2">
      <c r="A2110" s="227">
        <v>2110</v>
      </c>
      <c r="B2110" s="5988"/>
      <c r="C2110" s="856" t="str">
        <f t="shared" si="332"/>
        <v/>
      </c>
      <c r="D2110" s="489" t="str">
        <f>Combate!AB59</f>
        <v/>
      </c>
      <c r="E2110" s="489" t="str">
        <f t="shared" si="333"/>
        <v/>
      </c>
      <c r="F2110" s="829" t="str">
        <f t="shared" si="316"/>
        <v/>
      </c>
      <c r="G2110" s="6290"/>
      <c r="H2110" s="835"/>
      <c r="I2110" s="835"/>
      <c r="J2110" s="835"/>
      <c r="K2110" s="835"/>
      <c r="L2110" s="835"/>
      <c r="M2110" s="835"/>
      <c r="N2110" s="835"/>
      <c r="O2110" s="835"/>
      <c r="P2110" s="835"/>
      <c r="Q2110" s="835"/>
      <c r="R2110" s="835"/>
      <c r="S2110" s="835"/>
      <c r="T2110" s="835"/>
    </row>
    <row r="2111" spans="1:43" ht="12.75" customHeight="1" x14ac:dyDescent="0.2">
      <c r="A2111" s="227">
        <v>2111</v>
      </c>
      <c r="B2111" s="5988"/>
      <c r="C2111" s="856" t="str">
        <f t="shared" si="332"/>
        <v/>
      </c>
      <c r="D2111" s="489" t="str">
        <f>Combate!AB61</f>
        <v/>
      </c>
      <c r="E2111" s="489" t="str">
        <f t="shared" si="333"/>
        <v/>
      </c>
      <c r="F2111" s="829" t="str">
        <f t="shared" si="316"/>
        <v/>
      </c>
      <c r="G2111" s="6290"/>
      <c r="H2111"/>
      <c r="I2111" s="559"/>
      <c r="N2111"/>
      <c r="O2111" s="559"/>
    </row>
    <row r="2112" spans="1:43" ht="12.75" customHeight="1" thickBot="1" x14ac:dyDescent="0.25">
      <c r="A2112" s="227">
        <v>2112</v>
      </c>
      <c r="B2112" s="5988"/>
      <c r="C2112" s="858" t="str">
        <f t="shared" si="332"/>
        <v/>
      </c>
      <c r="D2112" s="491" t="str">
        <f>Combate!AB63</f>
        <v/>
      </c>
      <c r="E2112" s="491" t="str">
        <f t="shared" si="333"/>
        <v/>
      </c>
      <c r="F2112" s="830" t="str">
        <f t="shared" si="316"/>
        <v/>
      </c>
      <c r="G2112" s="6292"/>
      <c r="H2112"/>
      <c r="I2112" s="559"/>
      <c r="N2112"/>
      <c r="O2112" s="559"/>
    </row>
  </sheetData>
  <sheetProtection selectLockedCells="1"/>
  <sortState ref="AB641:AB700">
    <sortCondition ref="AB700"/>
  </sortState>
  <dataConsolidate/>
  <mergeCells count="550">
    <mergeCell ref="G2038:J2038"/>
    <mergeCell ref="L1917:Q1917"/>
    <mergeCell ref="L1908:Q1908"/>
    <mergeCell ref="L1906:Q1906"/>
    <mergeCell ref="L1901:Q1901"/>
    <mergeCell ref="L1915:Q1915"/>
    <mergeCell ref="L1913:Q1913"/>
    <mergeCell ref="L1914:Q1914"/>
    <mergeCell ref="L1912:Q1912"/>
    <mergeCell ref="L1907:Q1907"/>
    <mergeCell ref="L1911:Q1911"/>
    <mergeCell ref="L1905:Q1905"/>
    <mergeCell ref="L1953:Q1953"/>
    <mergeCell ref="L1959:Q1959"/>
    <mergeCell ref="L1956:Q1956"/>
    <mergeCell ref="L1951:Q1951"/>
    <mergeCell ref="L1955:Q1955"/>
    <mergeCell ref="O1976:O1977"/>
    <mergeCell ref="L1957:Q1957"/>
    <mergeCell ref="L1966:Q1966"/>
    <mergeCell ref="L1963:Q1963"/>
    <mergeCell ref="L1962:Q1962"/>
    <mergeCell ref="L1926:Q1926"/>
    <mergeCell ref="L1936:Q1936"/>
    <mergeCell ref="L1827:Q1827"/>
    <mergeCell ref="L1809:Q1809"/>
    <mergeCell ref="L1778:Q1778"/>
    <mergeCell ref="L1779:Q1779"/>
    <mergeCell ref="L1780:Q1780"/>
    <mergeCell ref="L1800:Q1800"/>
    <mergeCell ref="L1822:Q1822"/>
    <mergeCell ref="L1802:Q1802"/>
    <mergeCell ref="G1075:H1076"/>
    <mergeCell ref="E1768:N1769"/>
    <mergeCell ref="P1769:P1770"/>
    <mergeCell ref="L1781:Q1781"/>
    <mergeCell ref="L1816:Q1816"/>
    <mergeCell ref="L1812:Q1812"/>
    <mergeCell ref="L1813:Q1813"/>
    <mergeCell ref="L1814:Q1814"/>
    <mergeCell ref="L1815:Q1815"/>
    <mergeCell ref="L1799:Q1799"/>
    <mergeCell ref="L1789:Q1789"/>
    <mergeCell ref="L1798:Q1798"/>
    <mergeCell ref="L1792:Q1792"/>
    <mergeCell ref="L1785:Q1785"/>
    <mergeCell ref="L1801:Q1801"/>
    <mergeCell ref="L1810:Q1810"/>
    <mergeCell ref="L1897:Q1897"/>
    <mergeCell ref="L1868:Q1868"/>
    <mergeCell ref="L1841:Q1841"/>
    <mergeCell ref="L1858:Q1858"/>
    <mergeCell ref="L1848:Q1848"/>
    <mergeCell ref="L1840:Q1840"/>
    <mergeCell ref="L1846:Q1846"/>
    <mergeCell ref="L1882:Q1882"/>
    <mergeCell ref="L1869:Q1869"/>
    <mergeCell ref="L1870:Q1870"/>
    <mergeCell ref="L1873:Q1873"/>
    <mergeCell ref="L1894:Q1894"/>
    <mergeCell ref="L1892:Q1892"/>
    <mergeCell ref="L1895:Q1895"/>
    <mergeCell ref="L1896:Q1896"/>
    <mergeCell ref="L1886:Q1886"/>
    <mergeCell ref="L1893:Q1893"/>
    <mergeCell ref="L1881:Q1881"/>
    <mergeCell ref="L1884:Q1884"/>
    <mergeCell ref="L1891:Q1891"/>
    <mergeCell ref="L1853:Q1853"/>
    <mergeCell ref="L1860:Q1860"/>
    <mergeCell ref="L1849:Q1849"/>
    <mergeCell ref="L1850:Q1850"/>
    <mergeCell ref="L1900:Q1900"/>
    <mergeCell ref="L1958:Q1958"/>
    <mergeCell ref="L1946:Q1946"/>
    <mergeCell ref="L1947:Q1947"/>
    <mergeCell ref="L1948:Q1948"/>
    <mergeCell ref="L1919:Q1919"/>
    <mergeCell ref="L1949:Q1949"/>
    <mergeCell ref="L1950:Q1950"/>
    <mergeCell ref="L1918:Q1918"/>
    <mergeCell ref="L1903:Q1903"/>
    <mergeCell ref="L1909:Q1909"/>
    <mergeCell ref="L1910:Q1910"/>
    <mergeCell ref="L1945:Q1945"/>
    <mergeCell ref="L1927:Q1927"/>
    <mergeCell ref="L1923:Q1923"/>
    <mergeCell ref="L1941:Q1941"/>
    <mergeCell ref="L1942:Q1942"/>
    <mergeCell ref="L1921:Q1921"/>
    <mergeCell ref="L1943:Q1943"/>
    <mergeCell ref="L1925:Q1925"/>
    <mergeCell ref="L1929:Q1929"/>
    <mergeCell ref="L1933:Q1933"/>
    <mergeCell ref="L1944:Q1944"/>
    <mergeCell ref="L1952:Q1952"/>
    <mergeCell ref="AA1978:AA1979"/>
    <mergeCell ref="S1978:S1979"/>
    <mergeCell ref="G1976:I1976"/>
    <mergeCell ref="R1976:R1977"/>
    <mergeCell ref="P1976:Q1977"/>
    <mergeCell ref="L1964:Q1964"/>
    <mergeCell ref="Y1978:Y1979"/>
    <mergeCell ref="X1978:X1979"/>
    <mergeCell ref="O1978:O1979"/>
    <mergeCell ref="K1976:N1977"/>
    <mergeCell ref="R1978:R1979"/>
    <mergeCell ref="C1972:AG1974"/>
    <mergeCell ref="L1968:Q1968"/>
    <mergeCell ref="L1969:Q1969"/>
    <mergeCell ref="L1967:Q1967"/>
    <mergeCell ref="L1965:Q1965"/>
    <mergeCell ref="C1976:E1977"/>
    <mergeCell ref="S1976:T1977"/>
    <mergeCell ref="L1970:Q1970"/>
    <mergeCell ref="C2067:G2068"/>
    <mergeCell ref="G2018:H2019"/>
    <mergeCell ref="G2048:H2049"/>
    <mergeCell ref="G2070:G2112"/>
    <mergeCell ref="J2105:K2106"/>
    <mergeCell ref="J2073:K2073"/>
    <mergeCell ref="AP2075:AQ2075"/>
    <mergeCell ref="AE1978:AE1979"/>
    <mergeCell ref="T1978:T1979"/>
    <mergeCell ref="V1978:V1979"/>
    <mergeCell ref="G2010:I2010"/>
    <mergeCell ref="AC1978:AD1978"/>
    <mergeCell ref="K1978:L1979"/>
    <mergeCell ref="M1978:N1979"/>
    <mergeCell ref="G2013:H2014"/>
    <mergeCell ref="K2036:L2036"/>
    <mergeCell ref="AB1978:AB1979"/>
    <mergeCell ref="U1978:U1979"/>
    <mergeCell ref="Z1978:Z1979"/>
    <mergeCell ref="P1978:P1979"/>
    <mergeCell ref="Q1978:Q1979"/>
    <mergeCell ref="W1978:W1979"/>
    <mergeCell ref="L2105:N2105"/>
    <mergeCell ref="J2107:AO2108"/>
    <mergeCell ref="X1770:Y1770"/>
    <mergeCell ref="O1769:O1770"/>
    <mergeCell ref="B2:B100"/>
    <mergeCell ref="B101:B227"/>
    <mergeCell ref="B228:B571"/>
    <mergeCell ref="B572:B841"/>
    <mergeCell ref="B842:B1057"/>
    <mergeCell ref="L1804:Q1804"/>
    <mergeCell ref="L1805:Q1805"/>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64:B1971"/>
    <mergeCell ref="L1960:Q1960"/>
    <mergeCell ref="L1961:Q1961"/>
    <mergeCell ref="L1782:Q1782"/>
    <mergeCell ref="L1783:Q1783"/>
    <mergeCell ref="L1803:Q1803"/>
    <mergeCell ref="L1807:Q1807"/>
    <mergeCell ref="L1806:Q1806"/>
    <mergeCell ref="T590:U590"/>
    <mergeCell ref="M1073:N1074"/>
    <mergeCell ref="S1062:U1063"/>
    <mergeCell ref="L940:L941"/>
    <mergeCell ref="M940:M941"/>
    <mergeCell ref="T1770:U1770"/>
    <mergeCell ref="C1064:D1064"/>
    <mergeCell ref="C1058:AD1060"/>
    <mergeCell ref="K1117:K1118"/>
    <mergeCell ref="C1241:CB1243"/>
    <mergeCell ref="BK1337:CB1337"/>
    <mergeCell ref="Z1245:CB1246"/>
    <mergeCell ref="AK848:AL848"/>
    <mergeCell ref="AI848:AJ848"/>
    <mergeCell ref="V778:X778"/>
    <mergeCell ref="V788:X788"/>
    <mergeCell ref="N940:N941"/>
    <mergeCell ref="G1050:L1050"/>
    <mergeCell ref="C1048:L1049"/>
    <mergeCell ref="K940:K941"/>
    <mergeCell ref="G940:G941"/>
    <mergeCell ref="AD779:AU779"/>
    <mergeCell ref="V789:X789"/>
    <mergeCell ref="V779:X779"/>
    <mergeCell ref="BI634:BM634"/>
    <mergeCell ref="AN634:AR634"/>
    <mergeCell ref="BB634:BF634"/>
    <mergeCell ref="BH634:BH775"/>
    <mergeCell ref="V784:X784"/>
    <mergeCell ref="C842:BL844"/>
    <mergeCell ref="AA848:AC848"/>
    <mergeCell ref="C846:AC847"/>
    <mergeCell ref="AB770:AE770"/>
    <mergeCell ref="V781:X781"/>
    <mergeCell ref="V782:X782"/>
    <mergeCell ref="BB847:BF847"/>
    <mergeCell ref="BG847:BK847"/>
    <mergeCell ref="AR847:AV847"/>
    <mergeCell ref="AW847:BA847"/>
    <mergeCell ref="AB819:AS819"/>
    <mergeCell ref="AI846:BL846"/>
    <mergeCell ref="AU819:AX819"/>
    <mergeCell ref="BA634:BA775"/>
    <mergeCell ref="AT634:AT775"/>
    <mergeCell ref="AU634:AY634"/>
    <mergeCell ref="V776:X776"/>
    <mergeCell ref="AM634:AM775"/>
    <mergeCell ref="L232:T233"/>
    <mergeCell ref="V790:X790"/>
    <mergeCell ref="Z1064:AB1064"/>
    <mergeCell ref="Z1062:AD1063"/>
    <mergeCell ref="V279:W279"/>
    <mergeCell ref="T279:U279"/>
    <mergeCell ref="V783:X783"/>
    <mergeCell ref="P279:Q279"/>
    <mergeCell ref="C572:BU574"/>
    <mergeCell ref="Q267:Q268"/>
    <mergeCell ref="T587:U587"/>
    <mergeCell ref="C1062:M1063"/>
    <mergeCell ref="T601:U601"/>
    <mergeCell ref="U617:AI617"/>
    <mergeCell ref="T600:U600"/>
    <mergeCell ref="X602:AA602"/>
    <mergeCell ref="AG576:AK577"/>
    <mergeCell ref="AG632:BU633"/>
    <mergeCell ref="BO634:BO775"/>
    <mergeCell ref="BP634:BT634"/>
    <mergeCell ref="AM847:AQ847"/>
    <mergeCell ref="C232:G232"/>
    <mergeCell ref="BL847:BL849"/>
    <mergeCell ref="D224:D225"/>
    <mergeCell ref="AE613:AF613"/>
    <mergeCell ref="T604:U604"/>
    <mergeCell ref="C848:D848"/>
    <mergeCell ref="AC576:AC577"/>
    <mergeCell ref="T599:U599"/>
    <mergeCell ref="AB636:AE637"/>
    <mergeCell ref="AC596:AC597"/>
    <mergeCell ref="T597:U597"/>
    <mergeCell ref="AE846:AG846"/>
    <mergeCell ref="AE596:AK596"/>
    <mergeCell ref="AE611:AF611"/>
    <mergeCell ref="AC588:AF588"/>
    <mergeCell ref="AE614:AF614"/>
    <mergeCell ref="V787:X787"/>
    <mergeCell ref="AE607:AM608"/>
    <mergeCell ref="AE612:AF612"/>
    <mergeCell ref="AG634:AK634"/>
    <mergeCell ref="T584:V584"/>
    <mergeCell ref="T585:U585"/>
    <mergeCell ref="R234:S234"/>
    <mergeCell ref="N279:O279"/>
    <mergeCell ref="C576:R577"/>
    <mergeCell ref="T593:U593"/>
    <mergeCell ref="L1938:Q1938"/>
    <mergeCell ref="L1934:Q1934"/>
    <mergeCell ref="L1935:Q1935"/>
    <mergeCell ref="L1931:Q1931"/>
    <mergeCell ref="L1924:Q1924"/>
    <mergeCell ref="K1073:K1074"/>
    <mergeCell ref="E1102:F1102"/>
    <mergeCell ref="X585:AA585"/>
    <mergeCell ref="L1826:Q1826"/>
    <mergeCell ref="L1817:Q1817"/>
    <mergeCell ref="L1818:Q1818"/>
    <mergeCell ref="L1819:Q1819"/>
    <mergeCell ref="L1820:Q1820"/>
    <mergeCell ref="L1808:Q1808"/>
    <mergeCell ref="L1786:Q1786"/>
    <mergeCell ref="L1787:Q1787"/>
    <mergeCell ref="L1791:Q1791"/>
    <mergeCell ref="L1796:Q1796"/>
    <mergeCell ref="L1824:Q1824"/>
    <mergeCell ref="L1821:Q1821"/>
    <mergeCell ref="L1823:Q1823"/>
    <mergeCell ref="T594:U594"/>
    <mergeCell ref="F940:F941"/>
    <mergeCell ref="T1768:Y1769"/>
    <mergeCell ref="L1937:Q1937"/>
    <mergeCell ref="H1100:O1100"/>
    <mergeCell ref="T586:U586"/>
    <mergeCell ref="F1064:M1064"/>
    <mergeCell ref="T1035:U1036"/>
    <mergeCell ref="T591:U591"/>
    <mergeCell ref="O940:O941"/>
    <mergeCell ref="C944:N944"/>
    <mergeCell ref="P944:AC945"/>
    <mergeCell ref="T598:U598"/>
    <mergeCell ref="C634:Y635"/>
    <mergeCell ref="I940:I941"/>
    <mergeCell ref="Z634:Z636"/>
    <mergeCell ref="AB777:AU777"/>
    <mergeCell ref="AK847:AL847"/>
    <mergeCell ref="AI847:AJ847"/>
    <mergeCell ref="W1245:X1246"/>
    <mergeCell ref="L1102:M1102"/>
    <mergeCell ref="C1188:N1189"/>
    <mergeCell ref="C1117:J1117"/>
    <mergeCell ref="C1209:D1209"/>
    <mergeCell ref="J1209:Q1209"/>
    <mergeCell ref="P1136:W1137"/>
    <mergeCell ref="C1118:J1118"/>
    <mergeCell ref="T576:U576"/>
    <mergeCell ref="L1790:Q1790"/>
    <mergeCell ref="L1788:Q1788"/>
    <mergeCell ref="L1794:Q1794"/>
    <mergeCell ref="L1793:Q1793"/>
    <mergeCell ref="C1136:M1137"/>
    <mergeCell ref="H1102:J1102"/>
    <mergeCell ref="M1117:W1117"/>
    <mergeCell ref="C849:D849"/>
    <mergeCell ref="V1770:W1770"/>
    <mergeCell ref="C1764:Y1766"/>
    <mergeCell ref="T588:U588"/>
    <mergeCell ref="T596:V596"/>
    <mergeCell ref="T592:U592"/>
    <mergeCell ref="T602:U602"/>
    <mergeCell ref="C1768:D1769"/>
    <mergeCell ref="U1087:W1088"/>
    <mergeCell ref="L1775:Q1775"/>
    <mergeCell ref="X576:AA577"/>
    <mergeCell ref="N849:R849"/>
    <mergeCell ref="H940:H941"/>
    <mergeCell ref="E1073:E1074"/>
    <mergeCell ref="G1073:H1074"/>
    <mergeCell ref="E1087:E1088"/>
    <mergeCell ref="L277:X278"/>
    <mergeCell ref="L1835:Q1835"/>
    <mergeCell ref="L1836:Q1836"/>
    <mergeCell ref="L1828:Q1828"/>
    <mergeCell ref="AM2074:AO2074"/>
    <mergeCell ref="AJ2074:AL2074"/>
    <mergeCell ref="AG2074:AI2074"/>
    <mergeCell ref="AD2074:AF2074"/>
    <mergeCell ref="AA2074:AC2074"/>
    <mergeCell ref="X2074:Z2074"/>
    <mergeCell ref="U2074:W2074"/>
    <mergeCell ref="L2073:AO2073"/>
    <mergeCell ref="J2072:AO2072"/>
    <mergeCell ref="L1904:Q1904"/>
    <mergeCell ref="L1922:Q1922"/>
    <mergeCell ref="L1832:Q1832"/>
    <mergeCell ref="L1872:Q1872"/>
    <mergeCell ref="L1855:Q1855"/>
    <mergeCell ref="L1866:Q1866"/>
    <mergeCell ref="L1861:Q1861"/>
    <mergeCell ref="L1852:Q1852"/>
    <mergeCell ref="L1874:Q1874"/>
    <mergeCell ref="L1879:Q1879"/>
    <mergeCell ref="L1844:Q1844"/>
    <mergeCell ref="C255:D255"/>
    <mergeCell ref="L1939:Q1939"/>
    <mergeCell ref="BK138:BL138"/>
    <mergeCell ref="CP138:CQ138"/>
    <mergeCell ref="BP138:BR138"/>
    <mergeCell ref="BY138:CA138"/>
    <mergeCell ref="L1876:Q1876"/>
    <mergeCell ref="C238:H239"/>
    <mergeCell ref="CE138:CF138"/>
    <mergeCell ref="CG138:CI138"/>
    <mergeCell ref="BF138:BG138"/>
    <mergeCell ref="BD138:BE138"/>
    <mergeCell ref="R1209:W1209"/>
    <mergeCell ref="T589:U589"/>
    <mergeCell ref="L1889:Q1889"/>
    <mergeCell ref="L1885:Q1885"/>
    <mergeCell ref="L1899:Q1899"/>
    <mergeCell ref="L1875:Q1875"/>
    <mergeCell ref="L1795:Q1795"/>
    <mergeCell ref="L1833:Q1833"/>
    <mergeCell ref="AB138:AC138"/>
    <mergeCell ref="AD138:AE138"/>
    <mergeCell ref="AF138:AH138"/>
    <mergeCell ref="AL138:AO138"/>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J7:Q7"/>
    <mergeCell ref="S6:X7"/>
    <mergeCell ref="AE24:AG25"/>
    <mergeCell ref="AF107:AG107"/>
    <mergeCell ref="AI107:AJ107"/>
    <mergeCell ref="AC108:AD108"/>
    <mergeCell ref="AH56:AJ56"/>
    <mergeCell ref="AC107:AD107"/>
    <mergeCell ref="AA24:AC25"/>
    <mergeCell ref="W39:X40"/>
    <mergeCell ref="CW138:CY138"/>
    <mergeCell ref="AP138:AR138"/>
    <mergeCell ref="AI138:AK138"/>
    <mergeCell ref="AH48:AJ48"/>
    <mergeCell ref="AO108:AP108"/>
    <mergeCell ref="P67:AA67"/>
    <mergeCell ref="BN105:DB106"/>
    <mergeCell ref="T40:U41"/>
    <mergeCell ref="W44:AF45"/>
    <mergeCell ref="Q47:Q48"/>
    <mergeCell ref="W57:X57"/>
    <mergeCell ref="S56:X56"/>
    <mergeCell ref="DA138:DC138"/>
    <mergeCell ref="CR138:CT138"/>
    <mergeCell ref="CU138:CV138"/>
    <mergeCell ref="AZ138:BA138"/>
    <mergeCell ref="C105:D106"/>
    <mergeCell ref="F133:DF134"/>
    <mergeCell ref="AR108:AS108"/>
    <mergeCell ref="BJ107:BK107"/>
    <mergeCell ref="BD108:BE108"/>
    <mergeCell ref="AU107:AV107"/>
    <mergeCell ref="C111:D112"/>
    <mergeCell ref="W65:X65"/>
    <mergeCell ref="AI108:AJ108"/>
    <mergeCell ref="BG108:BH108"/>
    <mergeCell ref="AL107:AM107"/>
    <mergeCell ref="I105:BL106"/>
    <mergeCell ref="AF108:AG108"/>
    <mergeCell ref="BG107:BH107"/>
    <mergeCell ref="AO107:AP107"/>
    <mergeCell ref="AR107:AS107"/>
    <mergeCell ref="AX108:AY108"/>
    <mergeCell ref="AL108:AM108"/>
    <mergeCell ref="DD138:DE138"/>
    <mergeCell ref="CB138:CD138"/>
    <mergeCell ref="CN138:CO138"/>
    <mergeCell ref="W138:X138"/>
    <mergeCell ref="BS138:BT138"/>
    <mergeCell ref="BU138:BX138"/>
    <mergeCell ref="CJ138:CM138"/>
    <mergeCell ref="AX138:AY138"/>
    <mergeCell ref="F110:G111"/>
    <mergeCell ref="H138:J138"/>
    <mergeCell ref="AS138:AT138"/>
    <mergeCell ref="Y138:AA138"/>
    <mergeCell ref="E37:F37"/>
    <mergeCell ref="F105:G106"/>
    <mergeCell ref="C67:N67"/>
    <mergeCell ref="B1972:B2112"/>
    <mergeCell ref="C228:Z230"/>
    <mergeCell ref="C101:DE103"/>
    <mergeCell ref="M1245:T1246"/>
    <mergeCell ref="C1245:K1246"/>
    <mergeCell ref="Y1245:Y1246"/>
    <mergeCell ref="C253:J254"/>
    <mergeCell ref="AE609:AF609"/>
    <mergeCell ref="AE610:AF610"/>
    <mergeCell ref="AF1978:AF1979"/>
    <mergeCell ref="C1207:W1208"/>
    <mergeCell ref="W1062:X1062"/>
    <mergeCell ref="X279:X280"/>
    <mergeCell ref="AE1980:AE2035"/>
    <mergeCell ref="BJ108:BK108"/>
    <mergeCell ref="BA107:BB107"/>
    <mergeCell ref="BA108:BB108"/>
    <mergeCell ref="BD107:BE107"/>
    <mergeCell ref="AU108:AV108"/>
    <mergeCell ref="AX107:AY107"/>
    <mergeCell ref="U138:V138"/>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F115:G115"/>
    <mergeCell ref="M138:O138"/>
    <mergeCell ref="K138:L138"/>
    <mergeCell ref="L2106:AO2106"/>
    <mergeCell ref="L1898:Q1898"/>
    <mergeCell ref="L1887:Q1887"/>
    <mergeCell ref="L1888:Q1888"/>
    <mergeCell ref="L1920:Q1920"/>
    <mergeCell ref="L2074:N2074"/>
    <mergeCell ref="O2074:Q2074"/>
    <mergeCell ref="R2074:T2074"/>
    <mergeCell ref="L1834:Q1834"/>
    <mergeCell ref="L1839:Q1839"/>
    <mergeCell ref="L1871:Q1871"/>
    <mergeCell ref="L1845:Q1845"/>
    <mergeCell ref="L1856:Q1856"/>
    <mergeCell ref="AM2105:AO2105"/>
    <mergeCell ref="AJ2105:AL2105"/>
    <mergeCell ref="AG2105:AI2105"/>
    <mergeCell ref="AD2105:AF2105"/>
    <mergeCell ref="AA2105:AC2105"/>
    <mergeCell ref="U2105:W2105"/>
    <mergeCell ref="R2105:T2105"/>
    <mergeCell ref="O2105:Q2105"/>
    <mergeCell ref="X2105:Z2105"/>
    <mergeCell ref="L1932:Q1932"/>
    <mergeCell ref="L1930:Q1930"/>
    <mergeCell ref="G2022:I2023"/>
    <mergeCell ref="B1241:B1763"/>
    <mergeCell ref="L1859:Q1859"/>
    <mergeCell ref="L1880:Q1880"/>
    <mergeCell ref="L1883:Q1883"/>
    <mergeCell ref="L1847:Q1847"/>
    <mergeCell ref="L1857:Q1857"/>
    <mergeCell ref="L1854:Q1854"/>
    <mergeCell ref="L1867:Q1867"/>
    <mergeCell ref="L1864:Q1864"/>
    <mergeCell ref="L1862:Q1862"/>
    <mergeCell ref="L1863:Q1863"/>
    <mergeCell ref="L1829:Q1829"/>
    <mergeCell ref="L1830:Q1830"/>
    <mergeCell ref="L1831:Q1831"/>
    <mergeCell ref="L1878:Q1878"/>
    <mergeCell ref="L1837:Q1837"/>
    <mergeCell ref="L1842:Q1842"/>
    <mergeCell ref="L1843:Q1843"/>
    <mergeCell ref="L1776:Q1776"/>
    <mergeCell ref="L1777:Q1777"/>
    <mergeCell ref="L1772:Q1772"/>
    <mergeCell ref="L1773:Q1773"/>
    <mergeCell ref="L1774:Q1774"/>
  </mergeCells>
  <phoneticPr fontId="9" type="noConversion"/>
  <conditionalFormatting sqref="X1247:Y1248 X1251 X1304 X1297 X1299:X1301 X1326:Y1336 X1307:X1320 X1323:X1324 X1249 X1339:Y1425 X1253:X1254 X1256:X1295 Y1249:Y1254 Y1256:Y1325">
    <cfRule type="expression" dxfId="427" priority="4">
      <formula>"No"</formula>
    </cfRule>
  </conditionalFormatting>
  <conditionalFormatting sqref="X1255:Y1255">
    <cfRule type="expression" dxfId="426" priority="2">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topLeftCell="A634" zoomScaleNormal="100" workbookViewId="0">
      <selection activeCell="C634" sqref="C634"/>
    </sheetView>
  </sheetViews>
  <sheetFormatPr baseColWidth="10" defaultColWidth="11.42578125" defaultRowHeight="12" customHeight="1" x14ac:dyDescent="0.2"/>
  <cols>
    <col min="1" max="1" width="2.42578125" style="1957" customWidth="1"/>
    <col min="2" max="2" width="2.7109375" customWidth="1"/>
    <col min="3" max="4" width="9.7109375" style="227" customWidth="1"/>
    <col min="5" max="6" width="9.7109375" style="91" customWidth="1"/>
    <col min="7" max="12" width="9.7109375" style="227" customWidth="1"/>
    <col min="13" max="13" width="9.7109375" style="917" customWidth="1"/>
    <col min="14" max="14" width="9.7109375" style="227" customWidth="1"/>
    <col min="15" max="15" width="9.7109375" style="91" customWidth="1"/>
    <col min="16" max="16" width="9.7109375" style="227" customWidth="1"/>
    <col min="17" max="18" width="9.7109375" style="91" customWidth="1"/>
    <col min="19" max="19" width="9.7109375" style="2077"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342"/>
      <c r="B2" s="6003" t="s">
        <v>8819</v>
      </c>
      <c r="C2" s="6003"/>
      <c r="D2" s="6003"/>
      <c r="E2" s="6003"/>
      <c r="F2" s="6003"/>
      <c r="G2" s="6003"/>
      <c r="H2" s="6003"/>
      <c r="I2" s="6003"/>
      <c r="J2" s="6003"/>
      <c r="K2" s="6003"/>
      <c r="L2" s="6003"/>
      <c r="M2" s="6003"/>
      <c r="N2" s="6003"/>
      <c r="O2" s="6003"/>
      <c r="P2" s="6003"/>
      <c r="Q2" s="6003"/>
      <c r="R2" s="6003"/>
      <c r="S2" s="6003"/>
      <c r="T2" s="6003"/>
      <c r="U2" s="6003"/>
      <c r="V2" s="6003"/>
      <c r="W2" s="6003"/>
      <c r="X2" s="6003"/>
    </row>
    <row r="3" spans="1:24" ht="12" customHeight="1" x14ac:dyDescent="0.2">
      <c r="A3" s="6342"/>
      <c r="B3" s="6003"/>
      <c r="C3" s="6003"/>
      <c r="D3" s="6003"/>
      <c r="E3" s="6003"/>
      <c r="F3" s="6003"/>
      <c r="G3" s="6003"/>
      <c r="H3" s="6003"/>
      <c r="I3" s="6003"/>
      <c r="J3" s="6003"/>
      <c r="K3" s="6003"/>
      <c r="L3" s="6003"/>
      <c r="M3" s="6003"/>
      <c r="N3" s="6003"/>
      <c r="O3" s="6003"/>
      <c r="P3" s="6003"/>
      <c r="Q3" s="6003"/>
      <c r="R3" s="6003"/>
      <c r="S3" s="6003"/>
      <c r="T3" s="6003"/>
      <c r="U3" s="6003"/>
      <c r="V3" s="6003"/>
      <c r="W3" s="6003"/>
      <c r="X3" s="6003"/>
    </row>
    <row r="4" spans="1:24" ht="12" customHeight="1" x14ac:dyDescent="0.2">
      <c r="A4" s="6342"/>
      <c r="B4" s="6003"/>
      <c r="C4" s="6003"/>
      <c r="D4" s="6003"/>
      <c r="E4" s="6003"/>
      <c r="F4" s="6003"/>
      <c r="G4" s="6003"/>
      <c r="H4" s="6003"/>
      <c r="I4" s="6003"/>
      <c r="J4" s="6003"/>
      <c r="K4" s="6003"/>
      <c r="L4" s="6003"/>
      <c r="M4" s="6003"/>
      <c r="N4" s="6003"/>
      <c r="O4" s="6003"/>
      <c r="P4" s="6003"/>
      <c r="Q4" s="6003"/>
      <c r="R4" s="6003"/>
      <c r="S4" s="6003"/>
      <c r="T4" s="6003"/>
      <c r="U4" s="6003"/>
      <c r="V4" s="6003"/>
      <c r="W4" s="6003"/>
      <c r="X4" s="6003"/>
    </row>
    <row r="5" spans="1:24" ht="12" customHeight="1" thickBot="1" x14ac:dyDescent="0.25">
      <c r="A5" s="6342"/>
      <c r="C5"/>
      <c r="D5" s="559"/>
      <c r="E5"/>
      <c r="F5"/>
      <c r="G5"/>
      <c r="H5"/>
      <c r="I5"/>
      <c r="J5"/>
      <c r="L5" s="1948"/>
      <c r="M5" s="1947"/>
      <c r="N5" s="1948"/>
      <c r="O5" s="1947"/>
      <c r="Q5" s="1947"/>
      <c r="R5" s="1947"/>
      <c r="S5" s="2075"/>
      <c r="T5" s="1947"/>
      <c r="U5" s="1947"/>
      <c r="V5"/>
      <c r="W5"/>
    </row>
    <row r="6" spans="1:24" ht="12" customHeight="1" x14ac:dyDescent="0.2">
      <c r="A6" s="6342"/>
      <c r="B6" s="6357"/>
      <c r="C6" s="6343" t="s">
        <v>8821</v>
      </c>
      <c r="D6" s="6343"/>
      <c r="E6" s="6343"/>
      <c r="F6" s="6343"/>
      <c r="G6" s="6343"/>
      <c r="H6" s="6343"/>
      <c r="I6" s="6343"/>
      <c r="J6" s="6343"/>
      <c r="K6" s="6343"/>
      <c r="L6" s="6344"/>
      <c r="M6" s="227"/>
      <c r="N6" s="6336"/>
      <c r="O6" s="6343" t="s">
        <v>8820</v>
      </c>
      <c r="P6" s="6343"/>
      <c r="Q6" s="6343"/>
      <c r="R6" s="6343"/>
      <c r="S6" s="6343"/>
      <c r="T6" s="6343"/>
      <c r="U6" s="6343"/>
      <c r="V6" s="6343"/>
      <c r="W6" s="6343"/>
      <c r="X6" s="6344"/>
    </row>
    <row r="7" spans="1:24" ht="12" customHeight="1" x14ac:dyDescent="0.2">
      <c r="A7" s="6342"/>
      <c r="B7" s="6358"/>
      <c r="C7" s="4729"/>
      <c r="D7" s="4729"/>
      <c r="E7" s="4729"/>
      <c r="F7" s="4729"/>
      <c r="G7" s="4729"/>
      <c r="H7" s="4729"/>
      <c r="I7" s="4729"/>
      <c r="J7" s="4729"/>
      <c r="K7" s="4729"/>
      <c r="L7" s="6345"/>
      <c r="M7" s="227"/>
      <c r="N7" s="6337"/>
      <c r="O7" s="4729"/>
      <c r="P7" s="4729"/>
      <c r="Q7" s="4729"/>
      <c r="R7" s="4729"/>
      <c r="S7" s="4729"/>
      <c r="T7" s="4729"/>
      <c r="U7" s="4729"/>
      <c r="V7" s="4729"/>
      <c r="W7" s="4729"/>
      <c r="X7" s="6345"/>
    </row>
    <row r="8" spans="1:24" ht="12" customHeight="1" x14ac:dyDescent="0.2">
      <c r="A8" s="6342"/>
      <c r="B8" s="6358"/>
      <c r="C8" s="2049" t="s">
        <v>1234</v>
      </c>
      <c r="D8" s="2049" t="s">
        <v>2827</v>
      </c>
      <c r="E8" s="2049" t="s">
        <v>8824</v>
      </c>
      <c r="F8" s="2049" t="s">
        <v>1842</v>
      </c>
      <c r="G8" s="2049" t="s">
        <v>1500</v>
      </c>
      <c r="H8" s="2049" t="s">
        <v>8825</v>
      </c>
      <c r="I8" s="2049" t="s">
        <v>2829</v>
      </c>
      <c r="J8" s="2049" t="s">
        <v>2830</v>
      </c>
      <c r="K8" s="2049" t="s">
        <v>2821</v>
      </c>
      <c r="L8" s="1950" t="s">
        <v>8455</v>
      </c>
      <c r="M8" s="227"/>
      <c r="N8" s="6337"/>
      <c r="O8" s="2048" t="s">
        <v>8822</v>
      </c>
      <c r="P8" s="2048" t="s">
        <v>8823</v>
      </c>
      <c r="Q8" s="2049" t="s">
        <v>1399</v>
      </c>
      <c r="R8" s="2049" t="s">
        <v>1370</v>
      </c>
      <c r="S8" s="2076" t="s">
        <v>1364</v>
      </c>
      <c r="T8" s="2048" t="s">
        <v>9316</v>
      </c>
      <c r="U8" s="2048" t="s">
        <v>9317</v>
      </c>
      <c r="V8" s="2048" t="s">
        <v>9318</v>
      </c>
      <c r="W8" s="2048" t="s">
        <v>9319</v>
      </c>
      <c r="X8" s="1949" t="s">
        <v>9315</v>
      </c>
    </row>
    <row r="9" spans="1:24" ht="12" customHeight="1" x14ac:dyDescent="0.2">
      <c r="A9" s="6342"/>
      <c r="B9" s="6358"/>
      <c r="C9" s="2049">
        <f>Tablas!A1</f>
        <v>1</v>
      </c>
      <c r="D9" s="2049">
        <f>Tablas!B1</f>
        <v>2</v>
      </c>
      <c r="E9" s="2049">
        <f>Tablas!C1</f>
        <v>3</v>
      </c>
      <c r="F9" s="2049">
        <f>Tablas!D1</f>
        <v>4</v>
      </c>
      <c r="G9" s="2049">
        <f>Tablas!E1</f>
        <v>5</v>
      </c>
      <c r="H9" s="2049">
        <f>Tablas!F1</f>
        <v>6</v>
      </c>
      <c r="I9" s="2049">
        <f>Tablas!G1</f>
        <v>7</v>
      </c>
      <c r="J9" s="2049">
        <f>Tablas!H1</f>
        <v>8</v>
      </c>
      <c r="K9" s="2049">
        <f>Tablas!I1</f>
        <v>9</v>
      </c>
      <c r="L9" s="1950">
        <f>Tablas!J1</f>
        <v>10</v>
      </c>
      <c r="M9" s="227"/>
      <c r="N9" s="6337"/>
      <c r="O9" s="78" t="s">
        <v>2818</v>
      </c>
      <c r="P9" s="78"/>
      <c r="Q9" s="72" t="s">
        <v>1456</v>
      </c>
      <c r="R9" s="72" t="s">
        <v>1456</v>
      </c>
      <c r="S9" s="80" t="s">
        <v>1456</v>
      </c>
      <c r="T9" s="78" t="s">
        <v>1456</v>
      </c>
      <c r="U9" s="78"/>
      <c r="V9" s="78"/>
      <c r="W9" s="78"/>
      <c r="X9" s="1951"/>
    </row>
    <row r="10" spans="1:24" ht="12" customHeight="1" x14ac:dyDescent="0.2">
      <c r="A10" s="6342"/>
      <c r="B10" s="6358"/>
      <c r="C10" s="39" t="s">
        <v>8829</v>
      </c>
      <c r="D10" s="78"/>
      <c r="E10" s="1147"/>
      <c r="F10" s="1148"/>
      <c r="G10" s="1147"/>
      <c r="H10" s="1147"/>
      <c r="I10" s="1147"/>
      <c r="J10" s="1147"/>
      <c r="K10" s="1147"/>
      <c r="L10" s="1953"/>
      <c r="M10" s="227"/>
      <c r="N10" s="6337"/>
      <c r="O10" s="78" t="s">
        <v>8826</v>
      </c>
      <c r="P10" s="78" t="str">
        <f t="shared" ref="P10:P40" si="0">IF(ISNUMBER(FIND("&gt;&gt;",O10)),"","'Tablas Técnicas'!"&amp;ADDRESS(ROW($D$9)+MATCH(O10,$C$10:$C$643,0),COLUMN($D$9))&amp;":"&amp;ADDRESS(ROW($D$9)+MATCH(O10,$C$10:$C$643,0)+COUNTIF($C$10:$C$643,O10)-1,COLUMN($D$9)))</f>
        <v>'Tablas Técnicas'!$D$11:$D$21</v>
      </c>
      <c r="Q10" s="72" t="s">
        <v>2820</v>
      </c>
      <c r="R10" s="72" t="s">
        <v>1232</v>
      </c>
      <c r="S10" s="80" t="s">
        <v>8827</v>
      </c>
      <c r="T10" s="78" t="s">
        <v>1603</v>
      </c>
      <c r="U10" s="78" t="s">
        <v>1610</v>
      </c>
      <c r="V10" s="78" t="s">
        <v>1700</v>
      </c>
      <c r="W10" s="78" t="s">
        <v>8828</v>
      </c>
      <c r="X10" s="1951" t="b">
        <f t="shared" ref="X10:X41" si="1">IFERROR(IF(VLOOKUP(T10,$O$100:$P$105,2,0),TRUE,IF(VLOOKUP(U10,$O$100:$P$105,2,0),TRUE,IF(VLOOKUP(V10,$O$100:$P$105,2,0),TRUE,FALSE))),FALSE)</f>
        <v>0</v>
      </c>
    </row>
    <row r="11" spans="1:24" ht="12" customHeight="1" x14ac:dyDescent="0.2">
      <c r="A11" s="6342"/>
      <c r="B11" s="6358"/>
      <c r="C11" s="39" t="s">
        <v>8831</v>
      </c>
      <c r="D11" s="78" t="s">
        <v>7488</v>
      </c>
      <c r="E11" s="1147">
        <v>2</v>
      </c>
      <c r="F11" s="1148">
        <v>4</v>
      </c>
      <c r="G11" s="1147">
        <v>5</v>
      </c>
      <c r="H11" s="1147">
        <v>1</v>
      </c>
      <c r="I11" s="1147">
        <v>2</v>
      </c>
      <c r="J11" s="1147">
        <v>4</v>
      </c>
      <c r="K11" s="1147">
        <v>1</v>
      </c>
      <c r="L11" s="1953" t="str">
        <f t="shared" ref="L11:L74" si="2">C11&amp;D11</f>
        <v>Habilidad De Ataque+10</v>
      </c>
      <c r="M11" s="227"/>
      <c r="N11" s="6337"/>
      <c r="O11" s="78" t="s">
        <v>8830</v>
      </c>
      <c r="P11" s="78" t="str">
        <f t="shared" si="0"/>
        <v>'Tablas Técnicas'!$D$23:$D$29</v>
      </c>
      <c r="Q11" s="72" t="s">
        <v>2823</v>
      </c>
      <c r="R11" s="72" t="s">
        <v>1232</v>
      </c>
      <c r="S11" s="80" t="s">
        <v>8827</v>
      </c>
      <c r="T11" s="78" t="s">
        <v>1603</v>
      </c>
      <c r="U11" s="78" t="s">
        <v>1610</v>
      </c>
      <c r="V11" s="78" t="s">
        <v>1700</v>
      </c>
      <c r="W11" s="78" t="s">
        <v>8828</v>
      </c>
      <c r="X11" s="1951" t="b">
        <f t="shared" si="1"/>
        <v>0</v>
      </c>
    </row>
    <row r="12" spans="1:24" ht="12" customHeight="1" x14ac:dyDescent="0.2">
      <c r="A12" s="6342"/>
      <c r="B12" s="6358"/>
      <c r="C12" s="39" t="s">
        <v>8831</v>
      </c>
      <c r="D12" s="78" t="s">
        <v>7632</v>
      </c>
      <c r="E12" s="1147">
        <v>3</v>
      </c>
      <c r="F12" s="1148">
        <v>5</v>
      </c>
      <c r="G12" s="1147">
        <v>5</v>
      </c>
      <c r="H12" s="1147">
        <v>2</v>
      </c>
      <c r="I12" s="1147">
        <v>4</v>
      </c>
      <c r="J12" s="1147">
        <v>7</v>
      </c>
      <c r="K12" s="1147">
        <v>1</v>
      </c>
      <c r="L12" s="1953" t="str">
        <f t="shared" si="2"/>
        <v>Habilidad De Ataque+25</v>
      </c>
      <c r="M12" s="227"/>
      <c r="N12" s="6337"/>
      <c r="O12" s="78" t="s">
        <v>8832</v>
      </c>
      <c r="P12" s="78" t="str">
        <f t="shared" si="0"/>
        <v>'Tablas Técnicas'!$D$31:$D$38</v>
      </c>
      <c r="Q12" s="72" t="s">
        <v>2820</v>
      </c>
      <c r="R12" s="72" t="s">
        <v>1232</v>
      </c>
      <c r="S12" s="80" t="s">
        <v>8833</v>
      </c>
      <c r="T12" s="78" t="s">
        <v>1699</v>
      </c>
      <c r="U12" s="78" t="s">
        <v>1700</v>
      </c>
      <c r="V12" s="78" t="s">
        <v>1704</v>
      </c>
      <c r="W12" s="78" t="s">
        <v>8834</v>
      </c>
      <c r="X12" s="1951" t="b">
        <f t="shared" si="1"/>
        <v>0</v>
      </c>
    </row>
    <row r="13" spans="1:24" ht="12" customHeight="1" x14ac:dyDescent="0.2">
      <c r="A13" s="6342"/>
      <c r="B13" s="6358"/>
      <c r="C13" s="39" t="s">
        <v>8831</v>
      </c>
      <c r="D13" s="78" t="s">
        <v>7490</v>
      </c>
      <c r="E13" s="1147">
        <v>4</v>
      </c>
      <c r="F13" s="1148">
        <v>6</v>
      </c>
      <c r="G13" s="1147">
        <v>10</v>
      </c>
      <c r="H13" s="1147">
        <v>3</v>
      </c>
      <c r="I13" s="1147">
        <v>6</v>
      </c>
      <c r="J13" s="1147">
        <v>11</v>
      </c>
      <c r="K13" s="1147">
        <v>1</v>
      </c>
      <c r="L13" s="1953" t="str">
        <f t="shared" si="2"/>
        <v>Habilidad De Ataque+40</v>
      </c>
      <c r="M13" s="227"/>
      <c r="N13" s="6337"/>
      <c r="O13" s="78" t="s">
        <v>8836</v>
      </c>
      <c r="P13" s="78" t="str">
        <f t="shared" si="0"/>
        <v>'Tablas Técnicas'!$D$40:$D$50</v>
      </c>
      <c r="Q13" s="72" t="s">
        <v>2820</v>
      </c>
      <c r="R13" s="72" t="s">
        <v>2889</v>
      </c>
      <c r="S13" s="80" t="s">
        <v>8827</v>
      </c>
      <c r="T13" s="78" t="s">
        <v>1606</v>
      </c>
      <c r="U13" s="78" t="s">
        <v>1603</v>
      </c>
      <c r="V13" s="78" t="s">
        <v>1704</v>
      </c>
      <c r="W13" s="78" t="s">
        <v>8837</v>
      </c>
      <c r="X13" s="1951" t="b">
        <f t="shared" si="1"/>
        <v>0</v>
      </c>
    </row>
    <row r="14" spans="1:24" ht="12" customHeight="1" x14ac:dyDescent="0.2">
      <c r="A14" s="6342"/>
      <c r="B14" s="6358"/>
      <c r="C14" s="39" t="s">
        <v>8831</v>
      </c>
      <c r="D14" s="78" t="s">
        <v>7491</v>
      </c>
      <c r="E14" s="1147">
        <v>5</v>
      </c>
      <c r="F14" s="1148">
        <v>8</v>
      </c>
      <c r="G14" s="1147">
        <v>15</v>
      </c>
      <c r="H14" s="1147">
        <v>4</v>
      </c>
      <c r="I14" s="1147">
        <v>8</v>
      </c>
      <c r="J14" s="1147">
        <v>14</v>
      </c>
      <c r="K14" s="1147">
        <v>1</v>
      </c>
      <c r="L14" s="1953" t="str">
        <f t="shared" si="2"/>
        <v>Habilidad De Ataque+50</v>
      </c>
      <c r="M14" s="227"/>
      <c r="N14" s="6337"/>
      <c r="O14" s="78" t="s">
        <v>8839</v>
      </c>
      <c r="P14" s="78" t="str">
        <f t="shared" si="0"/>
        <v>'Tablas Técnicas'!$D$52:$D$57</v>
      </c>
      <c r="Q14" s="72" t="s">
        <v>2820</v>
      </c>
      <c r="R14" s="72" t="s">
        <v>1232</v>
      </c>
      <c r="S14" s="80" t="s">
        <v>8840</v>
      </c>
      <c r="T14" s="78" t="s">
        <v>1603</v>
      </c>
      <c r="U14" s="78" t="s">
        <v>6926</v>
      </c>
      <c r="V14" s="78" t="s">
        <v>6926</v>
      </c>
      <c r="W14" s="78" t="s">
        <v>1603</v>
      </c>
      <c r="X14" s="1951" t="b">
        <f t="shared" si="1"/>
        <v>0</v>
      </c>
    </row>
    <row r="15" spans="1:24" ht="12" customHeight="1" x14ac:dyDescent="0.2">
      <c r="A15" s="6342"/>
      <c r="B15" s="6358"/>
      <c r="C15" s="39" t="s">
        <v>8831</v>
      </c>
      <c r="D15" s="78" t="s">
        <v>8842</v>
      </c>
      <c r="E15" s="1147">
        <v>9</v>
      </c>
      <c r="F15" s="1148">
        <v>12</v>
      </c>
      <c r="G15" s="1147">
        <v>20</v>
      </c>
      <c r="H15" s="1147">
        <v>6</v>
      </c>
      <c r="I15" s="1147">
        <v>12</v>
      </c>
      <c r="J15" s="1147">
        <v>21</v>
      </c>
      <c r="K15" s="1147">
        <v>1</v>
      </c>
      <c r="L15" s="1953" t="str">
        <f t="shared" si="2"/>
        <v>Habilidad De Ataque+75</v>
      </c>
      <c r="M15" s="227"/>
      <c r="N15" s="6337"/>
      <c r="O15" s="78" t="s">
        <v>8841</v>
      </c>
      <c r="P15" s="78" t="str">
        <f t="shared" si="0"/>
        <v>'Tablas Técnicas'!$D$59:$D$61</v>
      </c>
      <c r="Q15" s="72" t="s">
        <v>2823</v>
      </c>
      <c r="R15" s="72" t="s">
        <v>1232</v>
      </c>
      <c r="S15" s="80" t="s">
        <v>8840</v>
      </c>
      <c r="T15" s="78" t="s">
        <v>1603</v>
      </c>
      <c r="U15" s="78" t="s">
        <v>6926</v>
      </c>
      <c r="V15" s="78" t="s">
        <v>6926</v>
      </c>
      <c r="W15" s="78" t="s">
        <v>1603</v>
      </c>
      <c r="X15" s="1951" t="b">
        <f t="shared" si="1"/>
        <v>0</v>
      </c>
    </row>
    <row r="16" spans="1:24" ht="12" customHeight="1" x14ac:dyDescent="0.2">
      <c r="A16" s="6342"/>
      <c r="B16" s="6358"/>
      <c r="C16" s="39" t="s">
        <v>8831</v>
      </c>
      <c r="D16" s="78" t="s">
        <v>8846</v>
      </c>
      <c r="E16" s="1147">
        <v>12</v>
      </c>
      <c r="F16" s="1148">
        <v>15</v>
      </c>
      <c r="G16" s="1147">
        <v>25</v>
      </c>
      <c r="H16" s="1147">
        <v>8</v>
      </c>
      <c r="I16" s="1147">
        <v>16</v>
      </c>
      <c r="J16" s="1147">
        <v>28</v>
      </c>
      <c r="K16" s="1147">
        <v>1</v>
      </c>
      <c r="L16" s="1953" t="str">
        <f t="shared" si="2"/>
        <v>Habilidad De Ataque+90</v>
      </c>
      <c r="M16" s="227"/>
      <c r="N16" s="6337"/>
      <c r="O16" s="78" t="s">
        <v>8843</v>
      </c>
      <c r="P16" s="78" t="str">
        <f t="shared" si="0"/>
        <v>'Tablas Técnicas'!$D$63:$D$65</v>
      </c>
      <c r="Q16" s="72" t="s">
        <v>2820</v>
      </c>
      <c r="R16" s="72" t="s">
        <v>1232</v>
      </c>
      <c r="S16" s="80" t="s">
        <v>8844</v>
      </c>
      <c r="T16" s="78" t="s">
        <v>1606</v>
      </c>
      <c r="U16" s="78" t="s">
        <v>1603</v>
      </c>
      <c r="V16" s="78" t="s">
        <v>1700</v>
      </c>
      <c r="W16" s="78" t="s">
        <v>8845</v>
      </c>
      <c r="X16" s="1951" t="b">
        <f t="shared" si="1"/>
        <v>0</v>
      </c>
    </row>
    <row r="17" spans="1:24" ht="12" customHeight="1" x14ac:dyDescent="0.2">
      <c r="A17" s="6342"/>
      <c r="B17" s="6358"/>
      <c r="C17" s="39" t="s">
        <v>8831</v>
      </c>
      <c r="D17" s="78" t="s">
        <v>8849</v>
      </c>
      <c r="E17" s="1147">
        <v>14</v>
      </c>
      <c r="F17" s="1148">
        <v>18</v>
      </c>
      <c r="G17" s="1147">
        <v>30</v>
      </c>
      <c r="H17" s="1147">
        <v>10</v>
      </c>
      <c r="I17" s="1147">
        <v>20</v>
      </c>
      <c r="J17" s="1147">
        <v>35</v>
      </c>
      <c r="K17" s="1147">
        <v>1</v>
      </c>
      <c r="L17" s="1953" t="str">
        <f t="shared" si="2"/>
        <v>Habilidad De Ataque+100</v>
      </c>
      <c r="M17" s="227"/>
      <c r="N17" s="6337"/>
      <c r="O17" s="78" t="s">
        <v>8847</v>
      </c>
      <c r="P17" s="78" t="str">
        <f t="shared" si="0"/>
        <v>'Tablas Técnicas'!$D$67:$D$74</v>
      </c>
      <c r="Q17" s="72" t="s">
        <v>2820</v>
      </c>
      <c r="R17" s="72" t="s">
        <v>1232</v>
      </c>
      <c r="S17" s="80" t="s">
        <v>8848</v>
      </c>
      <c r="T17" s="78" t="s">
        <v>1606</v>
      </c>
      <c r="U17" s="78" t="s">
        <v>1603</v>
      </c>
      <c r="V17" s="78" t="s">
        <v>1700</v>
      </c>
      <c r="W17" s="78" t="s">
        <v>8845</v>
      </c>
      <c r="X17" s="1951" t="b">
        <f t="shared" si="1"/>
        <v>0</v>
      </c>
    </row>
    <row r="18" spans="1:24" ht="12" customHeight="1" x14ac:dyDescent="0.2">
      <c r="A18" s="6342"/>
      <c r="B18" s="6358"/>
      <c r="C18" s="39" t="s">
        <v>8831</v>
      </c>
      <c r="D18" s="78" t="s">
        <v>8850</v>
      </c>
      <c r="E18" s="1147">
        <v>18</v>
      </c>
      <c r="F18" s="1148">
        <v>22</v>
      </c>
      <c r="G18" s="1147">
        <v>35</v>
      </c>
      <c r="H18" s="1147">
        <v>12</v>
      </c>
      <c r="I18" s="1147">
        <v>24</v>
      </c>
      <c r="J18" s="1147">
        <v>42</v>
      </c>
      <c r="K18" s="1147">
        <v>2</v>
      </c>
      <c r="L18" s="1953" t="str">
        <f t="shared" si="2"/>
        <v>Habilidad De Ataque+125</v>
      </c>
      <c r="M18" s="227"/>
      <c r="N18" s="6337"/>
      <c r="O18" s="78" t="s">
        <v>2826</v>
      </c>
      <c r="P18" s="78"/>
      <c r="Q18" s="72"/>
      <c r="R18" s="72"/>
      <c r="S18" s="80"/>
      <c r="T18" s="78"/>
      <c r="U18" s="78" t="s">
        <v>6926</v>
      </c>
      <c r="V18" s="78" t="s">
        <v>6926</v>
      </c>
      <c r="W18" s="78" t="s">
        <v>6926</v>
      </c>
      <c r="X18" s="1951" t="b">
        <f t="shared" si="1"/>
        <v>0</v>
      </c>
    </row>
    <row r="19" spans="1:24" ht="12" customHeight="1" x14ac:dyDescent="0.2">
      <c r="A19" s="6342"/>
      <c r="B19" s="6358"/>
      <c r="C19" s="39" t="s">
        <v>8831</v>
      </c>
      <c r="D19" s="78" t="s">
        <v>8852</v>
      </c>
      <c r="E19" s="1147">
        <v>22</v>
      </c>
      <c r="F19" s="1148">
        <v>26</v>
      </c>
      <c r="G19" s="1147">
        <v>40</v>
      </c>
      <c r="H19" s="1147">
        <v>14</v>
      </c>
      <c r="I19" s="1147">
        <v>28</v>
      </c>
      <c r="J19" s="1147">
        <v>49</v>
      </c>
      <c r="K19" s="1147">
        <v>2</v>
      </c>
      <c r="L19" s="1953" t="str">
        <f t="shared" si="2"/>
        <v>Habilidad De Ataque+150</v>
      </c>
      <c r="M19" s="227"/>
      <c r="N19" s="6337"/>
      <c r="O19" s="78" t="s">
        <v>2806</v>
      </c>
      <c r="P19" s="78" t="str">
        <f t="shared" si="0"/>
        <v>'Tablas Técnicas'!$D$77:$D$87</v>
      </c>
      <c r="Q19" s="72" t="s">
        <v>2820</v>
      </c>
      <c r="R19" s="72" t="s">
        <v>1565</v>
      </c>
      <c r="S19" s="80" t="s">
        <v>8827</v>
      </c>
      <c r="T19" s="78" t="s">
        <v>1606</v>
      </c>
      <c r="U19" s="78" t="s">
        <v>1699</v>
      </c>
      <c r="V19" s="78" t="s">
        <v>1704</v>
      </c>
      <c r="W19" s="78" t="s">
        <v>8851</v>
      </c>
      <c r="X19" s="1951" t="b">
        <f t="shared" si="1"/>
        <v>0</v>
      </c>
    </row>
    <row r="20" spans="1:24" ht="12" customHeight="1" x14ac:dyDescent="0.2">
      <c r="A20" s="6342"/>
      <c r="B20" s="6358"/>
      <c r="C20" s="39" t="s">
        <v>8831</v>
      </c>
      <c r="D20" s="78" t="s">
        <v>8855</v>
      </c>
      <c r="E20" s="1147">
        <v>26</v>
      </c>
      <c r="F20" s="1148">
        <v>32</v>
      </c>
      <c r="G20" s="1147">
        <v>45</v>
      </c>
      <c r="H20" s="1147">
        <v>16</v>
      </c>
      <c r="I20" s="1147">
        <v>32</v>
      </c>
      <c r="J20" s="1147">
        <v>56</v>
      </c>
      <c r="K20" s="1147">
        <v>3</v>
      </c>
      <c r="L20" s="1953" t="str">
        <f t="shared" si="2"/>
        <v>Habilidad De Ataque+175</v>
      </c>
      <c r="M20" s="227"/>
      <c r="N20" s="6337"/>
      <c r="O20" s="78" t="s">
        <v>8854</v>
      </c>
      <c r="P20" s="78" t="str">
        <f t="shared" si="0"/>
        <v>'Tablas Técnicas'!$D$89:$D$95</v>
      </c>
      <c r="Q20" s="72" t="s">
        <v>2823</v>
      </c>
      <c r="R20" s="72" t="s">
        <v>1565</v>
      </c>
      <c r="S20" s="80" t="s">
        <v>8827</v>
      </c>
      <c r="T20" s="78" t="s">
        <v>1606</v>
      </c>
      <c r="U20" s="78" t="s">
        <v>1699</v>
      </c>
      <c r="V20" s="78" t="s">
        <v>1704</v>
      </c>
      <c r="W20" s="78" t="s">
        <v>8851</v>
      </c>
      <c r="X20" s="1951" t="b">
        <f t="shared" si="1"/>
        <v>0</v>
      </c>
    </row>
    <row r="21" spans="1:24" ht="12" customHeight="1" x14ac:dyDescent="0.2">
      <c r="A21" s="6342"/>
      <c r="B21" s="6358"/>
      <c r="C21" s="39" t="s">
        <v>8831</v>
      </c>
      <c r="D21" s="78" t="s">
        <v>8857</v>
      </c>
      <c r="E21" s="1147">
        <v>30</v>
      </c>
      <c r="F21" s="1148">
        <v>36</v>
      </c>
      <c r="G21" s="1147">
        <v>50</v>
      </c>
      <c r="H21" s="1147">
        <v>18</v>
      </c>
      <c r="I21" s="1147">
        <v>36</v>
      </c>
      <c r="J21" s="1147">
        <v>63</v>
      </c>
      <c r="K21" s="1147">
        <v>3</v>
      </c>
      <c r="L21" s="1953" t="str">
        <f t="shared" si="2"/>
        <v>Habilidad De Ataque+200</v>
      </c>
      <c r="M21" s="227"/>
      <c r="N21" s="6337"/>
      <c r="O21" s="78" t="s">
        <v>8856</v>
      </c>
      <c r="P21" s="78" t="str">
        <f t="shared" si="0"/>
        <v>'Tablas Técnicas'!$D$97:$D$107</v>
      </c>
      <c r="Q21" s="72" t="s">
        <v>2820</v>
      </c>
      <c r="R21" s="72" t="s">
        <v>1565</v>
      </c>
      <c r="S21" s="80" t="s">
        <v>8827</v>
      </c>
      <c r="T21" s="78" t="s">
        <v>1606</v>
      </c>
      <c r="U21" s="78" t="s">
        <v>1699</v>
      </c>
      <c r="V21" s="78" t="s">
        <v>1704</v>
      </c>
      <c r="W21" s="78" t="s">
        <v>8851</v>
      </c>
      <c r="X21" s="1951" t="b">
        <f t="shared" si="1"/>
        <v>0</v>
      </c>
    </row>
    <row r="22" spans="1:24" ht="12" customHeight="1" x14ac:dyDescent="0.2">
      <c r="A22" s="6342"/>
      <c r="B22" s="6358"/>
      <c r="C22" s="39" t="s">
        <v>8860</v>
      </c>
      <c r="D22" s="78"/>
      <c r="E22" s="1147"/>
      <c r="F22" s="1148"/>
      <c r="G22" s="1147"/>
      <c r="H22" s="1147"/>
      <c r="I22" s="1147"/>
      <c r="J22" s="1147"/>
      <c r="K22" s="1147"/>
      <c r="L22" s="1953" t="str">
        <f t="shared" si="2"/>
        <v>&gt; HABILIDAD DE ATAQUE COMPLETA</v>
      </c>
      <c r="M22" s="227"/>
      <c r="N22" s="6337"/>
      <c r="O22" s="78" t="s">
        <v>2804</v>
      </c>
      <c r="P22" s="78" t="str">
        <f t="shared" si="0"/>
        <v>'Tablas Técnicas'!$D$109:$D$119</v>
      </c>
      <c r="Q22" s="72" t="s">
        <v>2820</v>
      </c>
      <c r="R22" s="72" t="s">
        <v>1565</v>
      </c>
      <c r="S22" s="80" t="s">
        <v>8858</v>
      </c>
      <c r="T22" s="78" t="s">
        <v>1606</v>
      </c>
      <c r="U22" s="78" t="s">
        <v>1603</v>
      </c>
      <c r="V22" s="78" t="s">
        <v>1699</v>
      </c>
      <c r="W22" s="78" t="s">
        <v>8859</v>
      </c>
      <c r="X22" s="1951" t="b">
        <f t="shared" si="1"/>
        <v>0</v>
      </c>
    </row>
    <row r="23" spans="1:24" ht="12" customHeight="1" x14ac:dyDescent="0.2">
      <c r="A23" s="6342"/>
      <c r="B23" s="6358"/>
      <c r="C23" s="39" t="s">
        <v>8862</v>
      </c>
      <c r="D23" s="78" t="s">
        <v>7488</v>
      </c>
      <c r="E23" s="1147">
        <v>4</v>
      </c>
      <c r="F23" s="1148">
        <v>6</v>
      </c>
      <c r="G23" s="1147">
        <v>10</v>
      </c>
      <c r="H23" s="1147">
        <v>2</v>
      </c>
      <c r="I23" s="1147">
        <v>4</v>
      </c>
      <c r="J23" s="1147">
        <v>7</v>
      </c>
      <c r="K23" s="1147">
        <v>1</v>
      </c>
      <c r="L23" s="1953" t="str">
        <f t="shared" si="2"/>
        <v>Habilidad De Ataque Completa+10</v>
      </c>
      <c r="M23" s="227"/>
      <c r="N23" s="6337"/>
      <c r="O23" s="78" t="s">
        <v>8861</v>
      </c>
      <c r="P23" s="78" t="str">
        <f t="shared" si="0"/>
        <v>'Tablas Técnicas'!$D$121:$D$127</v>
      </c>
      <c r="Q23" s="72" t="s">
        <v>2823</v>
      </c>
      <c r="R23" s="72" t="s">
        <v>1565</v>
      </c>
      <c r="S23" s="80" t="s">
        <v>8858</v>
      </c>
      <c r="T23" s="78" t="s">
        <v>1606</v>
      </c>
      <c r="U23" s="78" t="s">
        <v>1603</v>
      </c>
      <c r="V23" s="78" t="s">
        <v>1699</v>
      </c>
      <c r="W23" s="78" t="s">
        <v>8859</v>
      </c>
      <c r="X23" s="1951" t="b">
        <f t="shared" si="1"/>
        <v>0</v>
      </c>
    </row>
    <row r="24" spans="1:24" ht="12" customHeight="1" x14ac:dyDescent="0.2">
      <c r="A24" s="6342"/>
      <c r="B24" s="6358"/>
      <c r="C24" s="39" t="s">
        <v>8862</v>
      </c>
      <c r="D24" s="78" t="s">
        <v>7632</v>
      </c>
      <c r="E24" s="1147">
        <v>8</v>
      </c>
      <c r="F24" s="1148">
        <v>11</v>
      </c>
      <c r="G24" s="1147">
        <v>15</v>
      </c>
      <c r="H24" s="1147">
        <v>5</v>
      </c>
      <c r="I24" s="1147">
        <v>10</v>
      </c>
      <c r="J24" s="1147">
        <v>18</v>
      </c>
      <c r="K24" s="1147">
        <v>1</v>
      </c>
      <c r="L24" s="1953" t="str">
        <f t="shared" si="2"/>
        <v>Habilidad De Ataque Completa+25</v>
      </c>
      <c r="M24" s="227"/>
      <c r="N24" s="6337"/>
      <c r="O24" s="78" t="s">
        <v>8863</v>
      </c>
      <c r="P24" s="78" t="str">
        <f t="shared" si="0"/>
        <v>'Tablas Técnicas'!$D$129:$D$139</v>
      </c>
      <c r="Q24" s="72" t="s">
        <v>2820</v>
      </c>
      <c r="R24" s="72" t="s">
        <v>1565</v>
      </c>
      <c r="S24" s="80" t="s">
        <v>8858</v>
      </c>
      <c r="T24" s="78" t="s">
        <v>1603</v>
      </c>
      <c r="U24" s="78" t="s">
        <v>1699</v>
      </c>
      <c r="V24" s="78" t="s">
        <v>1700</v>
      </c>
      <c r="W24" s="78" t="s">
        <v>8864</v>
      </c>
      <c r="X24" s="1951" t="b">
        <f t="shared" si="1"/>
        <v>0</v>
      </c>
    </row>
    <row r="25" spans="1:24" ht="12" customHeight="1" x14ac:dyDescent="0.2">
      <c r="A25" s="6342"/>
      <c r="B25" s="6358"/>
      <c r="C25" s="39" t="s">
        <v>8862</v>
      </c>
      <c r="D25" s="78" t="s">
        <v>7490</v>
      </c>
      <c r="E25" s="1147">
        <v>10</v>
      </c>
      <c r="F25" s="1148">
        <v>13</v>
      </c>
      <c r="G25" s="1147">
        <v>20</v>
      </c>
      <c r="H25" s="1147">
        <v>8</v>
      </c>
      <c r="I25" s="1147">
        <v>16</v>
      </c>
      <c r="J25" s="1147">
        <v>28</v>
      </c>
      <c r="K25" s="1147">
        <v>1</v>
      </c>
      <c r="L25" s="1953" t="str">
        <f t="shared" si="2"/>
        <v>Habilidad De Ataque Completa+40</v>
      </c>
      <c r="M25" s="227"/>
      <c r="N25" s="6337"/>
      <c r="O25" s="78" t="s">
        <v>8865</v>
      </c>
      <c r="P25" s="78" t="str">
        <f t="shared" si="0"/>
        <v>'Tablas Técnicas'!$D$141:$D$148</v>
      </c>
      <c r="Q25" s="72" t="s">
        <v>2820</v>
      </c>
      <c r="R25" s="72" t="s">
        <v>1565</v>
      </c>
      <c r="S25" s="80" t="s">
        <v>8866</v>
      </c>
      <c r="T25" s="78" t="s">
        <v>1606</v>
      </c>
      <c r="U25" s="78" t="s">
        <v>1699</v>
      </c>
      <c r="V25" s="78" t="s">
        <v>1704</v>
      </c>
      <c r="W25" s="78" t="s">
        <v>8851</v>
      </c>
      <c r="X25" s="1951" t="b">
        <f t="shared" si="1"/>
        <v>0</v>
      </c>
    </row>
    <row r="26" spans="1:24" ht="12" customHeight="1" x14ac:dyDescent="0.2">
      <c r="A26" s="6342"/>
      <c r="B26" s="6358"/>
      <c r="C26" s="39" t="s">
        <v>8862</v>
      </c>
      <c r="D26" s="78" t="s">
        <v>7491</v>
      </c>
      <c r="E26" s="1147">
        <v>12</v>
      </c>
      <c r="F26" s="1148">
        <v>15</v>
      </c>
      <c r="G26" s="1147">
        <v>30</v>
      </c>
      <c r="H26" s="1147">
        <v>10</v>
      </c>
      <c r="I26" s="1147">
        <v>20</v>
      </c>
      <c r="J26" s="1147">
        <v>35</v>
      </c>
      <c r="K26" s="1147">
        <v>2</v>
      </c>
      <c r="L26" s="1953" t="str">
        <f t="shared" si="2"/>
        <v>Habilidad De Ataque Completa+50</v>
      </c>
      <c r="M26" s="227"/>
      <c r="N26" s="6337"/>
      <c r="O26" s="78" t="s">
        <v>9033</v>
      </c>
      <c r="P26" s="78"/>
      <c r="Q26" s="72"/>
      <c r="R26" s="72"/>
      <c r="S26" s="80"/>
      <c r="T26" s="78"/>
      <c r="U26" s="78" t="s">
        <v>6926</v>
      </c>
      <c r="V26" s="78" t="s">
        <v>6926</v>
      </c>
      <c r="W26" s="78" t="s">
        <v>6926</v>
      </c>
      <c r="X26" s="1951" t="b">
        <f t="shared" si="1"/>
        <v>0</v>
      </c>
    </row>
    <row r="27" spans="1:24" ht="12" customHeight="1" x14ac:dyDescent="0.2">
      <c r="A27" s="6342"/>
      <c r="B27" s="6358"/>
      <c r="C27" s="39" t="s">
        <v>8862</v>
      </c>
      <c r="D27" s="78" t="s">
        <v>8842</v>
      </c>
      <c r="E27" s="1147">
        <v>18</v>
      </c>
      <c r="F27" s="1148">
        <v>22</v>
      </c>
      <c r="G27" s="1147">
        <v>50</v>
      </c>
      <c r="H27" s="1147">
        <v>14</v>
      </c>
      <c r="I27" s="1147">
        <v>28</v>
      </c>
      <c r="J27" s="1147">
        <v>49</v>
      </c>
      <c r="K27" s="1147">
        <v>2</v>
      </c>
      <c r="L27" s="1953" t="str">
        <f t="shared" si="2"/>
        <v>Habilidad De Ataque Completa+75</v>
      </c>
      <c r="M27" s="227"/>
      <c r="N27" s="6337"/>
      <c r="O27" s="78" t="s">
        <v>8867</v>
      </c>
      <c r="P27" s="78" t="str">
        <f t="shared" si="0"/>
        <v>'Tablas Técnicas'!$D$151:$D$166</v>
      </c>
      <c r="Q27" s="72" t="s">
        <v>2820</v>
      </c>
      <c r="R27" s="72" t="s">
        <v>1232</v>
      </c>
      <c r="S27" s="80" t="s">
        <v>8868</v>
      </c>
      <c r="T27" s="78" t="s">
        <v>1610</v>
      </c>
      <c r="U27" s="78" t="s">
        <v>1704</v>
      </c>
      <c r="V27" s="78" t="s">
        <v>6926</v>
      </c>
      <c r="W27" s="78" t="s">
        <v>9338</v>
      </c>
      <c r="X27" s="1951" t="b">
        <f t="shared" si="1"/>
        <v>0</v>
      </c>
    </row>
    <row r="28" spans="1:24" ht="12" customHeight="1" x14ac:dyDescent="0.2">
      <c r="A28" s="6342"/>
      <c r="B28" s="6358"/>
      <c r="C28" s="39" t="s">
        <v>8862</v>
      </c>
      <c r="D28" s="78" t="s">
        <v>8846</v>
      </c>
      <c r="E28" s="1147">
        <v>24</v>
      </c>
      <c r="F28" s="1148">
        <v>29</v>
      </c>
      <c r="G28" s="1147">
        <v>60</v>
      </c>
      <c r="H28" s="1147">
        <v>18</v>
      </c>
      <c r="I28" s="1147">
        <v>36</v>
      </c>
      <c r="J28" s="1147">
        <v>63</v>
      </c>
      <c r="K28" s="1147">
        <v>3</v>
      </c>
      <c r="L28" s="1953" t="str">
        <f t="shared" si="2"/>
        <v>Habilidad De Ataque Completa+90</v>
      </c>
      <c r="M28" s="227"/>
      <c r="N28" s="6337"/>
      <c r="O28" s="78" t="s">
        <v>8869</v>
      </c>
      <c r="P28" s="78" t="str">
        <f t="shared" si="0"/>
        <v>'Tablas Técnicas'!$D$168:$D$174</v>
      </c>
      <c r="Q28" s="72" t="s">
        <v>2823</v>
      </c>
      <c r="R28" s="72" t="s">
        <v>1232</v>
      </c>
      <c r="S28" s="80" t="s">
        <v>8870</v>
      </c>
      <c r="T28" s="78" t="s">
        <v>1610</v>
      </c>
      <c r="U28" s="78" t="s">
        <v>1704</v>
      </c>
      <c r="V28" s="78" t="s">
        <v>6926</v>
      </c>
      <c r="W28" s="78" t="s">
        <v>9338</v>
      </c>
      <c r="X28" s="1951" t="b">
        <f t="shared" si="1"/>
        <v>0</v>
      </c>
    </row>
    <row r="29" spans="1:24" ht="12" customHeight="1" x14ac:dyDescent="0.2">
      <c r="A29" s="6342"/>
      <c r="B29" s="6358"/>
      <c r="C29" s="39" t="s">
        <v>8862</v>
      </c>
      <c r="D29" s="78" t="s">
        <v>8849</v>
      </c>
      <c r="E29" s="1147">
        <v>28</v>
      </c>
      <c r="F29" s="1148">
        <v>32</v>
      </c>
      <c r="G29" s="1147">
        <v>70</v>
      </c>
      <c r="H29" s="1147">
        <v>20</v>
      </c>
      <c r="I29" s="1147">
        <v>40</v>
      </c>
      <c r="J29" s="1147">
        <v>70</v>
      </c>
      <c r="K29" s="1147">
        <v>3</v>
      </c>
      <c r="L29" s="1953" t="str">
        <f t="shared" si="2"/>
        <v>Habilidad De Ataque Completa+100</v>
      </c>
      <c r="M29" s="227"/>
      <c r="N29" s="6337"/>
      <c r="O29" s="78" t="s">
        <v>8871</v>
      </c>
      <c r="P29" s="78" t="str">
        <f t="shared" si="0"/>
        <v>'Tablas Técnicas'!$D$176:$D$178</v>
      </c>
      <c r="Q29" s="72" t="s">
        <v>2820</v>
      </c>
      <c r="R29" s="72" t="s">
        <v>1232</v>
      </c>
      <c r="S29" s="80" t="s">
        <v>8872</v>
      </c>
      <c r="T29" s="78" t="s">
        <v>1610</v>
      </c>
      <c r="U29" s="78" t="s">
        <v>1704</v>
      </c>
      <c r="V29" s="78" t="s">
        <v>6926</v>
      </c>
      <c r="W29" s="78" t="s">
        <v>9338</v>
      </c>
      <c r="X29" s="1951" t="b">
        <f t="shared" si="1"/>
        <v>0</v>
      </c>
    </row>
    <row r="30" spans="1:24" ht="12" customHeight="1" x14ac:dyDescent="0.2">
      <c r="A30" s="6342"/>
      <c r="B30" s="6358"/>
      <c r="C30" s="39" t="s">
        <v>8875</v>
      </c>
      <c r="D30" s="78"/>
      <c r="E30" s="1147"/>
      <c r="F30" s="1148"/>
      <c r="G30" s="1147"/>
      <c r="H30" s="1147"/>
      <c r="I30" s="1147"/>
      <c r="J30" s="1147"/>
      <c r="K30" s="1147"/>
      <c r="L30" s="1953" t="str">
        <f t="shared" si="2"/>
        <v>&gt; ATAQUE PREDETERMINADO</v>
      </c>
      <c r="M30" s="227"/>
      <c r="N30" s="6337"/>
      <c r="O30" s="78" t="s">
        <v>8873</v>
      </c>
      <c r="P30" s="78" t="str">
        <f t="shared" si="0"/>
        <v>'Tablas Técnicas'!$D$180:$D$182</v>
      </c>
      <c r="Q30" s="72" t="s">
        <v>2823</v>
      </c>
      <c r="R30" s="72" t="s">
        <v>1232</v>
      </c>
      <c r="S30" s="80" t="s">
        <v>8872</v>
      </c>
      <c r="T30" s="78" t="s">
        <v>1610</v>
      </c>
      <c r="U30" s="78" t="s">
        <v>1704</v>
      </c>
      <c r="V30" s="78" t="s">
        <v>6926</v>
      </c>
      <c r="W30" s="78" t="s">
        <v>9338</v>
      </c>
      <c r="X30" s="1951" t="b">
        <f t="shared" si="1"/>
        <v>0</v>
      </c>
    </row>
    <row r="31" spans="1:24" ht="12" customHeight="1" x14ac:dyDescent="0.2">
      <c r="A31" s="6342"/>
      <c r="B31" s="6358"/>
      <c r="C31" s="39" t="s">
        <v>8832</v>
      </c>
      <c r="D31" s="78" t="s">
        <v>8877</v>
      </c>
      <c r="E31" s="1147">
        <v>2</v>
      </c>
      <c r="F31" s="1148">
        <v>4</v>
      </c>
      <c r="G31" s="1147">
        <v>5</v>
      </c>
      <c r="H31" s="1147">
        <v>1</v>
      </c>
      <c r="I31" s="1147">
        <v>2</v>
      </c>
      <c r="J31" s="1147">
        <v>4</v>
      </c>
      <c r="K31" s="1147">
        <v>1</v>
      </c>
      <c r="L31" s="1953" t="str">
        <f t="shared" si="2"/>
        <v>Ataque PredeterminadoMedia (80)</v>
      </c>
      <c r="M31" s="227"/>
      <c r="N31" s="6337"/>
      <c r="O31" s="78" t="s">
        <v>8874</v>
      </c>
      <c r="P31" s="78" t="str">
        <f t="shared" si="0"/>
        <v>'Tablas Técnicas'!$D$184:$D$190</v>
      </c>
      <c r="Q31" s="72" t="s">
        <v>2820</v>
      </c>
      <c r="R31" s="72" t="s">
        <v>1232</v>
      </c>
      <c r="S31" s="80" t="s">
        <v>8870</v>
      </c>
      <c r="T31" s="78" t="s">
        <v>1610</v>
      </c>
      <c r="U31" s="78" t="s">
        <v>1704</v>
      </c>
      <c r="V31" s="78" t="s">
        <v>6926</v>
      </c>
      <c r="W31" s="78" t="s">
        <v>9338</v>
      </c>
      <c r="X31" s="1951" t="b">
        <f t="shared" si="1"/>
        <v>0</v>
      </c>
    </row>
    <row r="32" spans="1:24" ht="12" customHeight="1" x14ac:dyDescent="0.2">
      <c r="A32" s="6342"/>
      <c r="B32" s="6358"/>
      <c r="C32" s="39" t="s">
        <v>8832</v>
      </c>
      <c r="D32" s="78" t="s">
        <v>8878</v>
      </c>
      <c r="E32" s="1147">
        <v>4</v>
      </c>
      <c r="F32" s="1148">
        <v>6</v>
      </c>
      <c r="G32" s="1147">
        <v>5</v>
      </c>
      <c r="H32" s="1147">
        <v>2</v>
      </c>
      <c r="I32" s="1147">
        <v>4</v>
      </c>
      <c r="J32" s="1147">
        <v>7</v>
      </c>
      <c r="K32" s="1147">
        <v>1</v>
      </c>
      <c r="L32" s="1953" t="str">
        <f t="shared" si="2"/>
        <v>Ataque PredeterminadoDifícil (120)</v>
      </c>
      <c r="M32" s="227"/>
      <c r="N32" s="6337"/>
      <c r="O32" s="78" t="s">
        <v>8876</v>
      </c>
      <c r="P32" s="78" t="str">
        <f t="shared" si="0"/>
        <v>'Tablas Técnicas'!$D$192:$D$197</v>
      </c>
      <c r="Q32" s="72" t="s">
        <v>2823</v>
      </c>
      <c r="R32" s="72" t="s">
        <v>1232</v>
      </c>
      <c r="S32" s="80" t="s">
        <v>8870</v>
      </c>
      <c r="T32" s="78" t="s">
        <v>1610</v>
      </c>
      <c r="U32" s="78" t="s">
        <v>1704</v>
      </c>
      <c r="V32" s="78" t="s">
        <v>6926</v>
      </c>
      <c r="W32" s="78" t="s">
        <v>9338</v>
      </c>
      <c r="X32" s="1951" t="b">
        <f t="shared" si="1"/>
        <v>0</v>
      </c>
    </row>
    <row r="33" spans="1:24" ht="12" customHeight="1" x14ac:dyDescent="0.2">
      <c r="A33" s="6342"/>
      <c r="B33" s="6358"/>
      <c r="C33" s="39" t="s">
        <v>8832</v>
      </c>
      <c r="D33" s="78" t="s">
        <v>8881</v>
      </c>
      <c r="E33" s="1147">
        <v>6</v>
      </c>
      <c r="F33" s="1148">
        <v>9</v>
      </c>
      <c r="G33" s="1147">
        <v>5</v>
      </c>
      <c r="H33" s="1147">
        <v>3</v>
      </c>
      <c r="I33" s="1147">
        <v>6</v>
      </c>
      <c r="J33" s="1147">
        <v>11</v>
      </c>
      <c r="K33" s="1147">
        <v>1</v>
      </c>
      <c r="L33" s="1953" t="str">
        <f t="shared" si="2"/>
        <v>Ataque PredeterminadoMuy Difícil (140)</v>
      </c>
      <c r="M33" s="227"/>
      <c r="N33" s="6337"/>
      <c r="O33" s="78" t="s">
        <v>2847</v>
      </c>
      <c r="P33" s="78"/>
      <c r="Q33" s="72"/>
      <c r="R33" s="72"/>
      <c r="S33" s="80"/>
      <c r="T33" s="78" t="s">
        <v>2765</v>
      </c>
      <c r="U33" s="78" t="s">
        <v>6926</v>
      </c>
      <c r="V33" s="78" t="s">
        <v>6926</v>
      </c>
      <c r="W33" s="78" t="s">
        <v>2765</v>
      </c>
      <c r="X33" s="1951" t="b">
        <f t="shared" si="1"/>
        <v>0</v>
      </c>
    </row>
    <row r="34" spans="1:24" ht="12" customHeight="1" x14ac:dyDescent="0.2">
      <c r="A34" s="6342"/>
      <c r="B34" s="6358"/>
      <c r="C34" s="39" t="s">
        <v>8832</v>
      </c>
      <c r="D34" s="78" t="s">
        <v>8883</v>
      </c>
      <c r="E34" s="1147">
        <v>8</v>
      </c>
      <c r="F34" s="1148">
        <v>11</v>
      </c>
      <c r="G34" s="1147">
        <v>10</v>
      </c>
      <c r="H34" s="1147">
        <v>4</v>
      </c>
      <c r="I34" s="1147">
        <v>8</v>
      </c>
      <c r="J34" s="1147">
        <v>14</v>
      </c>
      <c r="K34" s="1147">
        <v>1</v>
      </c>
      <c r="L34" s="1953" t="str">
        <f t="shared" si="2"/>
        <v>Ataque PredeterminadoAbsurdo (180)</v>
      </c>
      <c r="M34" s="227"/>
      <c r="N34" s="6337"/>
      <c r="O34" s="78" t="s">
        <v>8879</v>
      </c>
      <c r="P34" s="78" t="str">
        <f t="shared" si="0"/>
        <v>'Tablas Técnicas'!$D$200:$D$208</v>
      </c>
      <c r="Q34" s="72" t="s">
        <v>2820</v>
      </c>
      <c r="R34" s="72" t="s">
        <v>1232</v>
      </c>
      <c r="S34" s="80" t="s">
        <v>8880</v>
      </c>
      <c r="T34" s="78" t="s">
        <v>1606</v>
      </c>
      <c r="U34" s="78" t="s">
        <v>1603</v>
      </c>
      <c r="V34" s="78" t="s">
        <v>6926</v>
      </c>
      <c r="W34" s="78" t="s">
        <v>9634</v>
      </c>
      <c r="X34" s="1951" t="b">
        <f t="shared" si="1"/>
        <v>0</v>
      </c>
    </row>
    <row r="35" spans="1:24" ht="12" customHeight="1" x14ac:dyDescent="0.2">
      <c r="A35" s="6342"/>
      <c r="B35" s="6358"/>
      <c r="C35" s="39" t="s">
        <v>8832</v>
      </c>
      <c r="D35" s="78" t="s">
        <v>8886</v>
      </c>
      <c r="E35" s="1147">
        <v>12</v>
      </c>
      <c r="F35" s="1148">
        <v>15</v>
      </c>
      <c r="G35" s="1147">
        <v>15</v>
      </c>
      <c r="H35" s="1147">
        <v>6</v>
      </c>
      <c r="I35" s="1147">
        <v>12</v>
      </c>
      <c r="J35" s="1147">
        <v>21</v>
      </c>
      <c r="K35" s="1147">
        <v>1</v>
      </c>
      <c r="L35" s="1953" t="str">
        <f t="shared" si="2"/>
        <v>Ataque PredeterminadoCasi Imposible (240)</v>
      </c>
      <c r="M35" s="227"/>
      <c r="N35" s="6337"/>
      <c r="O35" s="78" t="s">
        <v>8882</v>
      </c>
      <c r="P35" s="78" t="str">
        <f t="shared" si="0"/>
        <v>'Tablas Técnicas'!$D$210:$D$218</v>
      </c>
      <c r="Q35" s="72" t="s">
        <v>2820</v>
      </c>
      <c r="R35" s="72" t="s">
        <v>1232</v>
      </c>
      <c r="S35" s="80" t="s">
        <v>8880</v>
      </c>
      <c r="T35" s="78" t="s">
        <v>1606</v>
      </c>
      <c r="U35" s="78" t="s">
        <v>1603</v>
      </c>
      <c r="V35" s="78" t="s">
        <v>1700</v>
      </c>
      <c r="W35" s="78" t="s">
        <v>8845</v>
      </c>
      <c r="X35" s="1951" t="b">
        <f t="shared" si="1"/>
        <v>0</v>
      </c>
    </row>
    <row r="36" spans="1:24" ht="12" customHeight="1" x14ac:dyDescent="0.2">
      <c r="A36" s="6342"/>
      <c r="B36" s="6358"/>
      <c r="C36" s="39" t="s">
        <v>8832</v>
      </c>
      <c r="D36" s="78" t="s">
        <v>8889</v>
      </c>
      <c r="E36" s="1147">
        <v>16</v>
      </c>
      <c r="F36" s="1148">
        <v>20</v>
      </c>
      <c r="G36" s="1147">
        <v>25</v>
      </c>
      <c r="H36" s="1147">
        <v>8</v>
      </c>
      <c r="I36" s="1147">
        <v>16</v>
      </c>
      <c r="J36" s="1147">
        <v>28</v>
      </c>
      <c r="K36" s="1147">
        <v>2</v>
      </c>
      <c r="L36" s="1953" t="str">
        <f t="shared" si="2"/>
        <v>Ataque PredeterminadoImposible (280)</v>
      </c>
      <c r="M36" s="227"/>
      <c r="N36" s="6337"/>
      <c r="O36" s="78" t="s">
        <v>8884</v>
      </c>
      <c r="P36" s="78" t="str">
        <f t="shared" si="0"/>
        <v>'Tablas Técnicas'!$D$220:$D$228</v>
      </c>
      <c r="Q36" s="72" t="s">
        <v>2820</v>
      </c>
      <c r="R36" s="72" t="s">
        <v>1565</v>
      </c>
      <c r="S36" s="80" t="s">
        <v>8885</v>
      </c>
      <c r="T36" s="78" t="s">
        <v>1699</v>
      </c>
      <c r="U36" s="78" t="s">
        <v>6926</v>
      </c>
      <c r="V36" s="78" t="s">
        <v>6926</v>
      </c>
      <c r="W36" s="78" t="s">
        <v>1699</v>
      </c>
      <c r="X36" s="1951" t="b">
        <f t="shared" si="1"/>
        <v>0</v>
      </c>
    </row>
    <row r="37" spans="1:24" ht="12" customHeight="1" x14ac:dyDescent="0.2">
      <c r="A37" s="6342"/>
      <c r="B37" s="6358"/>
      <c r="C37" s="39" t="s">
        <v>8832</v>
      </c>
      <c r="D37" s="78" t="s">
        <v>8890</v>
      </c>
      <c r="E37" s="1147">
        <v>20</v>
      </c>
      <c r="F37" s="1148">
        <v>24</v>
      </c>
      <c r="G37" s="1147">
        <v>35</v>
      </c>
      <c r="H37" s="1147">
        <v>10</v>
      </c>
      <c r="I37" s="1147">
        <v>20</v>
      </c>
      <c r="J37" s="1147">
        <v>35</v>
      </c>
      <c r="K37" s="1147">
        <v>2</v>
      </c>
      <c r="L37" s="1953" t="str">
        <f t="shared" si="2"/>
        <v>Ataque PredeterminadoInhumano (320)</v>
      </c>
      <c r="M37" s="227"/>
      <c r="N37" s="6337"/>
      <c r="O37" s="78" t="s">
        <v>8887</v>
      </c>
      <c r="P37" s="78" t="str">
        <f t="shared" si="0"/>
        <v>'Tablas Técnicas'!$D$230:$D$238</v>
      </c>
      <c r="Q37" s="72" t="s">
        <v>2823</v>
      </c>
      <c r="R37" s="72" t="s">
        <v>3134</v>
      </c>
      <c r="S37" s="80" t="s">
        <v>8888</v>
      </c>
      <c r="T37" s="78" t="s">
        <v>1603</v>
      </c>
      <c r="U37" s="78" t="s">
        <v>6926</v>
      </c>
      <c r="V37" s="78" t="s">
        <v>6926</v>
      </c>
      <c r="W37" s="78" t="s">
        <v>1603</v>
      </c>
      <c r="X37" s="1951" t="b">
        <f t="shared" si="1"/>
        <v>0</v>
      </c>
    </row>
    <row r="38" spans="1:24" ht="12" customHeight="1" x14ac:dyDescent="0.2">
      <c r="A38" s="6342"/>
      <c r="B38" s="6358"/>
      <c r="C38" s="39" t="s">
        <v>8832</v>
      </c>
      <c r="D38" s="78" t="s">
        <v>8892</v>
      </c>
      <c r="E38" s="1147">
        <v>26</v>
      </c>
      <c r="F38" s="1148">
        <v>32</v>
      </c>
      <c r="G38" s="1147">
        <v>45</v>
      </c>
      <c r="H38" s="1147">
        <v>12</v>
      </c>
      <c r="I38" s="1147">
        <v>24</v>
      </c>
      <c r="J38" s="1147">
        <v>42</v>
      </c>
      <c r="K38" s="1147">
        <v>3</v>
      </c>
      <c r="L38" s="1953" t="str">
        <f t="shared" si="2"/>
        <v>Ataque PredeterminadoZen (440)</v>
      </c>
      <c r="M38" s="227"/>
      <c r="N38" s="6337"/>
      <c r="O38" s="78" t="s">
        <v>2857</v>
      </c>
      <c r="P38" s="78"/>
      <c r="Q38" s="72"/>
      <c r="R38" s="72"/>
      <c r="S38" s="80"/>
      <c r="T38" s="78" t="s">
        <v>6926</v>
      </c>
      <c r="U38" s="78" t="s">
        <v>6926</v>
      </c>
      <c r="V38" s="78" t="s">
        <v>6926</v>
      </c>
      <c r="W38" s="78" t="s">
        <v>6926</v>
      </c>
      <c r="X38" s="1951" t="b">
        <f t="shared" si="1"/>
        <v>0</v>
      </c>
    </row>
    <row r="39" spans="1:24" ht="12" customHeight="1" x14ac:dyDescent="0.2">
      <c r="A39" s="6342"/>
      <c r="B39" s="6358"/>
      <c r="C39" s="39" t="s">
        <v>8895</v>
      </c>
      <c r="D39" s="78"/>
      <c r="E39" s="1147"/>
      <c r="F39" s="1148"/>
      <c r="G39" s="1147"/>
      <c r="H39" s="1147"/>
      <c r="I39" s="1147"/>
      <c r="J39" s="1147"/>
      <c r="K39" s="1147"/>
      <c r="L39" s="1953" t="str">
        <f t="shared" si="2"/>
        <v>&gt; HABILIDAD DE CONTRAATAQUE</v>
      </c>
      <c r="M39" s="227"/>
      <c r="N39" s="6337"/>
      <c r="O39" s="78" t="s">
        <v>8891</v>
      </c>
      <c r="P39" s="78" t="str">
        <f t="shared" si="0"/>
        <v>'Tablas Técnicas'!$D$241:$D$248</v>
      </c>
      <c r="Q39" s="72" t="s">
        <v>2823</v>
      </c>
      <c r="R39" s="72" t="s">
        <v>3134</v>
      </c>
      <c r="S39" s="80" t="s">
        <v>8885</v>
      </c>
      <c r="T39" s="78" t="s">
        <v>1603</v>
      </c>
      <c r="U39" s="78" t="s">
        <v>6926</v>
      </c>
      <c r="V39" s="78" t="s">
        <v>6926</v>
      </c>
      <c r="W39" s="78" t="s">
        <v>1603</v>
      </c>
      <c r="X39" s="1951" t="b">
        <f t="shared" si="1"/>
        <v>0</v>
      </c>
    </row>
    <row r="40" spans="1:24" ht="12" customHeight="1" x14ac:dyDescent="0.2">
      <c r="A40" s="6342"/>
      <c r="B40" s="6358"/>
      <c r="C40" s="39" t="s">
        <v>8898</v>
      </c>
      <c r="D40" s="78" t="s">
        <v>7488</v>
      </c>
      <c r="E40" s="1147">
        <v>1</v>
      </c>
      <c r="F40" s="1148">
        <v>2</v>
      </c>
      <c r="G40" s="1147">
        <v>5</v>
      </c>
      <c r="H40" s="1147">
        <v>1</v>
      </c>
      <c r="I40" s="1147">
        <v>2</v>
      </c>
      <c r="J40" s="1147">
        <v>4</v>
      </c>
      <c r="K40" s="1147">
        <v>1</v>
      </c>
      <c r="L40" s="1953" t="str">
        <f t="shared" si="2"/>
        <v>Habilidad De Contraataque+10</v>
      </c>
      <c r="M40" s="227"/>
      <c r="N40" s="6337"/>
      <c r="O40" s="78" t="s">
        <v>3135</v>
      </c>
      <c r="P40" s="78" t="str">
        <f t="shared" si="0"/>
        <v>'Tablas Técnicas'!$D$250:$D$250</v>
      </c>
      <c r="Q40" s="72" t="s">
        <v>2820</v>
      </c>
      <c r="R40" s="72" t="s">
        <v>3134</v>
      </c>
      <c r="S40" s="80" t="s">
        <v>8893</v>
      </c>
      <c r="T40" s="78" t="s">
        <v>1603</v>
      </c>
      <c r="U40" s="78" t="s">
        <v>1699</v>
      </c>
      <c r="V40" s="78" t="s">
        <v>1606</v>
      </c>
      <c r="W40" s="78" t="s">
        <v>8894</v>
      </c>
      <c r="X40" s="1951" t="b">
        <f t="shared" si="1"/>
        <v>0</v>
      </c>
    </row>
    <row r="41" spans="1:24" ht="12" customHeight="1" x14ac:dyDescent="0.2">
      <c r="A41" s="6342"/>
      <c r="B41" s="6358"/>
      <c r="C41" s="39" t="s">
        <v>8898</v>
      </c>
      <c r="D41" s="78" t="s">
        <v>7632</v>
      </c>
      <c r="E41" s="1147">
        <v>2</v>
      </c>
      <c r="F41" s="1148">
        <v>4</v>
      </c>
      <c r="G41" s="1147">
        <v>5</v>
      </c>
      <c r="H41" s="1147">
        <v>2</v>
      </c>
      <c r="I41" s="1147">
        <v>4</v>
      </c>
      <c r="J41" s="1147">
        <v>7</v>
      </c>
      <c r="K41" s="1147">
        <v>1</v>
      </c>
      <c r="L41" s="1953" t="str">
        <f t="shared" si="2"/>
        <v>Habilidad De Contraataque+25</v>
      </c>
      <c r="M41" s="227"/>
      <c r="N41" s="6337"/>
      <c r="O41" s="78" t="s">
        <v>2864</v>
      </c>
      <c r="P41" s="78" t="str">
        <f t="shared" ref="P41:P72" si="3">IF(ISNUMBER(FIND("&gt;&gt;",O41)),"","'Tablas Técnicas'!"&amp;ADDRESS(ROW($D$9)+MATCH(O41,$C$10:$C$643,0),COLUMN($D$9))&amp;":"&amp;ADDRESS(ROW($D$9)+MATCH(O41,$C$10:$C$643,0)+COUNTIF($C$10:$C$643,O41)-1,COLUMN($D$9)))</f>
        <v>'Tablas Técnicas'!$D$252:$D$253</v>
      </c>
      <c r="Q41" s="72" t="s">
        <v>2823</v>
      </c>
      <c r="R41" s="72" t="s">
        <v>3134</v>
      </c>
      <c r="S41" s="80" t="s">
        <v>8896</v>
      </c>
      <c r="T41" s="78" t="s">
        <v>1603</v>
      </c>
      <c r="U41" s="78" t="s">
        <v>1610</v>
      </c>
      <c r="V41" s="78" t="s">
        <v>1699</v>
      </c>
      <c r="W41" s="78" t="s">
        <v>8897</v>
      </c>
      <c r="X41" s="1951" t="b">
        <f t="shared" si="1"/>
        <v>0</v>
      </c>
    </row>
    <row r="42" spans="1:24" ht="12" customHeight="1" x14ac:dyDescent="0.2">
      <c r="A42" s="6342"/>
      <c r="B42" s="6358"/>
      <c r="C42" s="39" t="s">
        <v>8898</v>
      </c>
      <c r="D42" s="78" t="s">
        <v>7490</v>
      </c>
      <c r="E42" s="1147">
        <v>3</v>
      </c>
      <c r="F42" s="1148">
        <v>5</v>
      </c>
      <c r="G42" s="1147">
        <v>10</v>
      </c>
      <c r="H42" s="1147">
        <v>3</v>
      </c>
      <c r="I42" s="1147">
        <v>6</v>
      </c>
      <c r="J42" s="1147">
        <v>11</v>
      </c>
      <c r="K42" s="1147">
        <v>1</v>
      </c>
      <c r="L42" s="1953" t="str">
        <f t="shared" si="2"/>
        <v>Habilidad De Contraataque+40</v>
      </c>
      <c r="M42" s="227"/>
      <c r="N42" s="6337"/>
      <c r="O42" s="78" t="s">
        <v>2867</v>
      </c>
      <c r="P42" s="78"/>
      <c r="Q42" s="72"/>
      <c r="R42" s="72"/>
      <c r="S42" s="80"/>
      <c r="T42" s="78" t="s">
        <v>6926</v>
      </c>
      <c r="U42" s="78" t="s">
        <v>6926</v>
      </c>
      <c r="V42" s="78" t="s">
        <v>6926</v>
      </c>
      <c r="W42" s="78" t="s">
        <v>6926</v>
      </c>
      <c r="X42" s="1951" t="b">
        <f t="shared" ref="X42:X73" si="4">IFERROR(IF(VLOOKUP(T42,$O$100:$P$105,2,0),TRUE,IF(VLOOKUP(U42,$O$100:$P$105,2,0),TRUE,IF(VLOOKUP(V42,$O$100:$P$105,2,0),TRUE,FALSE))),FALSE)</f>
        <v>0</v>
      </c>
    </row>
    <row r="43" spans="1:24" ht="12" customHeight="1" x14ac:dyDescent="0.2">
      <c r="A43" s="6342"/>
      <c r="B43" s="6358"/>
      <c r="C43" s="39" t="s">
        <v>8898</v>
      </c>
      <c r="D43" s="78" t="s">
        <v>7491</v>
      </c>
      <c r="E43" s="1147">
        <v>4</v>
      </c>
      <c r="F43" s="1148">
        <v>6</v>
      </c>
      <c r="G43" s="1147">
        <v>10</v>
      </c>
      <c r="H43" s="1147">
        <v>4</v>
      </c>
      <c r="I43" s="1147">
        <v>8</v>
      </c>
      <c r="J43" s="1147">
        <v>14</v>
      </c>
      <c r="K43" s="1147">
        <v>1</v>
      </c>
      <c r="L43" s="1953" t="str">
        <f t="shared" si="2"/>
        <v>Habilidad De Contraataque+50</v>
      </c>
      <c r="M43" s="227"/>
      <c r="N43" s="6337"/>
      <c r="O43" s="78" t="s">
        <v>8899</v>
      </c>
      <c r="P43" s="78" t="str">
        <f t="shared" si="3"/>
        <v>'Tablas Técnicas'!$D$256:$D$268</v>
      </c>
      <c r="Q43" s="72" t="s">
        <v>2820</v>
      </c>
      <c r="R43" s="72" t="s">
        <v>1232</v>
      </c>
      <c r="S43" s="80" t="s">
        <v>8900</v>
      </c>
      <c r="T43" s="78" t="s">
        <v>1606</v>
      </c>
      <c r="U43" s="78" t="s">
        <v>1603</v>
      </c>
      <c r="V43" s="78" t="s">
        <v>1610</v>
      </c>
      <c r="W43" s="78" t="s">
        <v>8901</v>
      </c>
      <c r="X43" s="1951" t="b">
        <f t="shared" si="4"/>
        <v>0</v>
      </c>
    </row>
    <row r="44" spans="1:24" ht="12" customHeight="1" x14ac:dyDescent="0.2">
      <c r="A44" s="6342"/>
      <c r="B44" s="6358"/>
      <c r="C44" s="39" t="s">
        <v>8898</v>
      </c>
      <c r="D44" s="78" t="s">
        <v>8842</v>
      </c>
      <c r="E44" s="1147">
        <v>6</v>
      </c>
      <c r="F44" s="1148">
        <v>9</v>
      </c>
      <c r="G44" s="1147">
        <v>15</v>
      </c>
      <c r="H44" s="1147">
        <v>6</v>
      </c>
      <c r="I44" s="1147">
        <v>12</v>
      </c>
      <c r="J44" s="1147">
        <v>21</v>
      </c>
      <c r="K44" s="1147">
        <v>1</v>
      </c>
      <c r="L44" s="1953" t="str">
        <f t="shared" si="2"/>
        <v>Habilidad De Contraataque+75</v>
      </c>
      <c r="M44" s="227"/>
      <c r="N44" s="6337"/>
      <c r="O44" s="78" t="s">
        <v>8902</v>
      </c>
      <c r="P44" s="78" t="str">
        <f t="shared" si="3"/>
        <v>'Tablas Técnicas'!$D$270:$D$277</v>
      </c>
      <c r="Q44" s="72" t="s">
        <v>2823</v>
      </c>
      <c r="R44" s="72" t="s">
        <v>1232</v>
      </c>
      <c r="S44" s="80" t="s">
        <v>8900</v>
      </c>
      <c r="T44" s="78" t="s">
        <v>1606</v>
      </c>
      <c r="U44" s="78" t="s">
        <v>1603</v>
      </c>
      <c r="V44" s="78" t="s">
        <v>1610</v>
      </c>
      <c r="W44" s="78" t="s">
        <v>8901</v>
      </c>
      <c r="X44" s="1951" t="b">
        <f t="shared" si="4"/>
        <v>0</v>
      </c>
    </row>
    <row r="45" spans="1:24" ht="12" customHeight="1" x14ac:dyDescent="0.2">
      <c r="A45" s="6342"/>
      <c r="B45" s="6358"/>
      <c r="C45" s="39" t="s">
        <v>8898</v>
      </c>
      <c r="D45" s="78" t="s">
        <v>8846</v>
      </c>
      <c r="E45" s="1147">
        <v>9</v>
      </c>
      <c r="F45" s="1148">
        <v>12</v>
      </c>
      <c r="G45" s="1147">
        <v>20</v>
      </c>
      <c r="H45" s="1147">
        <v>8</v>
      </c>
      <c r="I45" s="1147">
        <v>16</v>
      </c>
      <c r="J45" s="1147">
        <v>28</v>
      </c>
      <c r="K45" s="1147">
        <v>1</v>
      </c>
      <c r="L45" s="1953" t="str">
        <f t="shared" si="2"/>
        <v>Habilidad De Contraataque+90</v>
      </c>
      <c r="M45" s="227"/>
      <c r="N45" s="6337"/>
      <c r="O45" s="78" t="s">
        <v>8903</v>
      </c>
      <c r="P45" s="78" t="str">
        <f t="shared" si="3"/>
        <v>'Tablas Técnicas'!$D$279:$D$288</v>
      </c>
      <c r="Q45" s="72" t="s">
        <v>2820</v>
      </c>
      <c r="R45" s="72" t="s">
        <v>1232</v>
      </c>
      <c r="S45" s="80" t="s">
        <v>8904</v>
      </c>
      <c r="T45" s="78" t="s">
        <v>1610</v>
      </c>
      <c r="U45" s="78" t="s">
        <v>1699</v>
      </c>
      <c r="V45" s="78" t="s">
        <v>1700</v>
      </c>
      <c r="W45" s="78" t="s">
        <v>8905</v>
      </c>
      <c r="X45" s="1951" t="b">
        <f t="shared" si="4"/>
        <v>0</v>
      </c>
    </row>
    <row r="46" spans="1:24" ht="12" customHeight="1" x14ac:dyDescent="0.2">
      <c r="A46" s="6342"/>
      <c r="B46" s="6358"/>
      <c r="C46" s="39" t="s">
        <v>8898</v>
      </c>
      <c r="D46" s="78" t="s">
        <v>8849</v>
      </c>
      <c r="E46" s="1147">
        <v>12</v>
      </c>
      <c r="F46" s="1148">
        <v>15</v>
      </c>
      <c r="G46" s="1147">
        <v>25</v>
      </c>
      <c r="H46" s="1147">
        <v>10</v>
      </c>
      <c r="I46" s="1147">
        <v>20</v>
      </c>
      <c r="J46" s="1147">
        <v>35</v>
      </c>
      <c r="K46" s="1147">
        <v>1</v>
      </c>
      <c r="L46" s="1953" t="str">
        <f t="shared" si="2"/>
        <v>Habilidad De Contraataque+100</v>
      </c>
      <c r="M46" s="227"/>
      <c r="N46" s="6337"/>
      <c r="O46" s="78" t="s">
        <v>8906</v>
      </c>
      <c r="P46" s="78" t="str">
        <f t="shared" si="3"/>
        <v>'Tablas Técnicas'!$D$290:$D$296</v>
      </c>
      <c r="Q46" s="72" t="s">
        <v>2823</v>
      </c>
      <c r="R46" s="72" t="s">
        <v>1232</v>
      </c>
      <c r="S46" s="80" t="s">
        <v>8904</v>
      </c>
      <c r="T46" s="78" t="s">
        <v>1610</v>
      </c>
      <c r="U46" s="78" t="s">
        <v>1699</v>
      </c>
      <c r="V46" s="78" t="s">
        <v>1700</v>
      </c>
      <c r="W46" s="78" t="s">
        <v>8905</v>
      </c>
      <c r="X46" s="1951" t="b">
        <f t="shared" si="4"/>
        <v>0</v>
      </c>
    </row>
    <row r="47" spans="1:24" ht="12" customHeight="1" x14ac:dyDescent="0.2">
      <c r="A47" s="6342"/>
      <c r="B47" s="6358"/>
      <c r="C47" s="39" t="s">
        <v>8898</v>
      </c>
      <c r="D47" s="78" t="s">
        <v>8850</v>
      </c>
      <c r="E47" s="1147">
        <v>14</v>
      </c>
      <c r="F47" s="1148">
        <v>18</v>
      </c>
      <c r="G47" s="1147">
        <v>30</v>
      </c>
      <c r="H47" s="1147">
        <v>12</v>
      </c>
      <c r="I47" s="1147">
        <v>24</v>
      </c>
      <c r="J47" s="1147">
        <v>42</v>
      </c>
      <c r="K47" s="1147">
        <v>2</v>
      </c>
      <c r="L47" s="1953" t="str">
        <f t="shared" si="2"/>
        <v>Habilidad De Contraataque+125</v>
      </c>
      <c r="M47" s="227"/>
      <c r="N47" s="6337"/>
      <c r="O47" s="78" t="s">
        <v>8907</v>
      </c>
      <c r="P47" s="78" t="str">
        <f t="shared" si="3"/>
        <v>'Tablas Técnicas'!$D$298:$D$305</v>
      </c>
      <c r="Q47" s="72" t="s">
        <v>2820</v>
      </c>
      <c r="R47" s="72" t="s">
        <v>1565</v>
      </c>
      <c r="S47" s="80" t="s">
        <v>8908</v>
      </c>
      <c r="T47" s="78" t="s">
        <v>1699</v>
      </c>
      <c r="U47" s="78" t="s">
        <v>1704</v>
      </c>
      <c r="V47" s="78" t="s">
        <v>1606</v>
      </c>
      <c r="W47" s="78" t="s">
        <v>8909</v>
      </c>
      <c r="X47" s="1951" t="b">
        <f t="shared" si="4"/>
        <v>0</v>
      </c>
    </row>
    <row r="48" spans="1:24" ht="12" customHeight="1" x14ac:dyDescent="0.2">
      <c r="A48" s="6342"/>
      <c r="B48" s="6358"/>
      <c r="C48" s="39" t="s">
        <v>8898</v>
      </c>
      <c r="D48" s="78" t="s">
        <v>8852</v>
      </c>
      <c r="E48" s="1147">
        <v>18</v>
      </c>
      <c r="F48" s="1148">
        <v>22</v>
      </c>
      <c r="G48" s="1147">
        <v>35</v>
      </c>
      <c r="H48" s="1147">
        <v>14</v>
      </c>
      <c r="I48" s="1147">
        <v>28</v>
      </c>
      <c r="J48" s="1147">
        <v>49</v>
      </c>
      <c r="K48" s="1147">
        <v>2</v>
      </c>
      <c r="L48" s="1953" t="str">
        <f t="shared" si="2"/>
        <v>Habilidad De Contraataque+150</v>
      </c>
      <c r="M48" s="227"/>
      <c r="N48" s="6337"/>
      <c r="O48" s="78" t="s">
        <v>8910</v>
      </c>
      <c r="P48" s="78" t="str">
        <f t="shared" si="3"/>
        <v>'Tablas Técnicas'!$D$307:$D$316</v>
      </c>
      <c r="Q48" s="72" t="s">
        <v>2820</v>
      </c>
      <c r="R48" s="72" t="s">
        <v>3134</v>
      </c>
      <c r="S48" s="80" t="s">
        <v>8911</v>
      </c>
      <c r="T48" s="78" t="s">
        <v>1603</v>
      </c>
      <c r="U48" s="78" t="s">
        <v>1699</v>
      </c>
      <c r="V48" s="78" t="s">
        <v>1700</v>
      </c>
      <c r="W48" s="78" t="s">
        <v>8864</v>
      </c>
      <c r="X48" s="1951" t="b">
        <f t="shared" si="4"/>
        <v>0</v>
      </c>
    </row>
    <row r="49" spans="1:24" ht="12" customHeight="1" x14ac:dyDescent="0.2">
      <c r="A49" s="6342"/>
      <c r="B49" s="6358"/>
      <c r="C49" s="39" t="s">
        <v>8898</v>
      </c>
      <c r="D49" s="78" t="s">
        <v>8855</v>
      </c>
      <c r="E49" s="1147">
        <v>22</v>
      </c>
      <c r="F49" s="1148">
        <v>26</v>
      </c>
      <c r="G49" s="1147">
        <v>40</v>
      </c>
      <c r="H49" s="1147">
        <v>16</v>
      </c>
      <c r="I49" s="1147">
        <v>32</v>
      </c>
      <c r="J49" s="1147">
        <v>56</v>
      </c>
      <c r="K49" s="1147">
        <v>3</v>
      </c>
      <c r="L49" s="1953" t="str">
        <f t="shared" si="2"/>
        <v>Habilidad De Contraataque+175</v>
      </c>
      <c r="M49" s="227"/>
      <c r="N49" s="6337"/>
      <c r="O49" s="78" t="s">
        <v>2881</v>
      </c>
      <c r="P49" s="78"/>
      <c r="Q49" s="72"/>
      <c r="R49" s="72"/>
      <c r="S49" s="80"/>
      <c r="T49" s="78" t="s">
        <v>6926</v>
      </c>
      <c r="U49" s="78" t="s">
        <v>6926</v>
      </c>
      <c r="V49" s="78" t="s">
        <v>6926</v>
      </c>
      <c r="W49" s="78" t="s">
        <v>6926</v>
      </c>
      <c r="X49" s="1951" t="b">
        <f t="shared" si="4"/>
        <v>0</v>
      </c>
    </row>
    <row r="50" spans="1:24" ht="12" customHeight="1" x14ac:dyDescent="0.2">
      <c r="A50" s="6342"/>
      <c r="B50" s="6358"/>
      <c r="C50" s="39" t="s">
        <v>8898</v>
      </c>
      <c r="D50" s="78" t="s">
        <v>8857</v>
      </c>
      <c r="E50" s="1147">
        <v>26</v>
      </c>
      <c r="F50" s="1148">
        <v>32</v>
      </c>
      <c r="G50" s="1147">
        <v>45</v>
      </c>
      <c r="H50" s="1147">
        <v>18</v>
      </c>
      <c r="I50" s="1147">
        <v>36</v>
      </c>
      <c r="J50" s="1147">
        <v>63</v>
      </c>
      <c r="K50" s="1147">
        <v>3</v>
      </c>
      <c r="L50" s="1953" t="str">
        <f t="shared" si="2"/>
        <v>Habilidad De Contraataque+200</v>
      </c>
      <c r="M50" s="227"/>
      <c r="N50" s="6337"/>
      <c r="O50" s="78" t="s">
        <v>8912</v>
      </c>
      <c r="P50" s="78" t="str">
        <f t="shared" si="3"/>
        <v>'Tablas Técnicas'!$D$319:$D$326</v>
      </c>
      <c r="Q50" s="72" t="s">
        <v>2823</v>
      </c>
      <c r="R50" s="72" t="s">
        <v>1232</v>
      </c>
      <c r="S50" s="80" t="s">
        <v>8913</v>
      </c>
      <c r="T50" s="78" t="s">
        <v>1610</v>
      </c>
      <c r="U50" s="78" t="s">
        <v>6926</v>
      </c>
      <c r="V50" s="78" t="s">
        <v>6926</v>
      </c>
      <c r="W50" s="78" t="s">
        <v>1610</v>
      </c>
      <c r="X50" s="1951" t="b">
        <f t="shared" si="4"/>
        <v>0</v>
      </c>
    </row>
    <row r="51" spans="1:24" ht="12" customHeight="1" x14ac:dyDescent="0.2">
      <c r="A51" s="6342"/>
      <c r="B51" s="6358"/>
      <c r="C51" s="39" t="s">
        <v>8919</v>
      </c>
      <c r="D51" s="78"/>
      <c r="E51" s="1147"/>
      <c r="F51" s="1148"/>
      <c r="G51" s="1147"/>
      <c r="H51" s="1147"/>
      <c r="I51" s="1147"/>
      <c r="J51" s="1147"/>
      <c r="K51" s="1147"/>
      <c r="L51" s="1953" t="str">
        <f t="shared" si="2"/>
        <v>&gt; MANIOBRAS DE COMBATE Y APUNTAR</v>
      </c>
      <c r="M51" s="227"/>
      <c r="N51" s="6337"/>
      <c r="O51" s="78" t="s">
        <v>8914</v>
      </c>
      <c r="P51" s="78" t="str">
        <f t="shared" si="3"/>
        <v>'Tablas Técnicas'!$D$328:$D$334</v>
      </c>
      <c r="Q51" s="72" t="s">
        <v>2823</v>
      </c>
      <c r="R51" s="72" t="s">
        <v>1565</v>
      </c>
      <c r="S51" s="80" t="s">
        <v>8915</v>
      </c>
      <c r="T51" s="78" t="s">
        <v>1610</v>
      </c>
      <c r="U51" s="78" t="s">
        <v>1699</v>
      </c>
      <c r="V51" s="78" t="s">
        <v>1704</v>
      </c>
      <c r="W51" s="78" t="s">
        <v>8916</v>
      </c>
      <c r="X51" s="1951" t="b">
        <f t="shared" si="4"/>
        <v>0</v>
      </c>
    </row>
    <row r="52" spans="1:24" ht="12" customHeight="1" x14ac:dyDescent="0.2">
      <c r="A52" s="6342"/>
      <c r="B52" s="6358"/>
      <c r="C52" s="39" t="s">
        <v>8921</v>
      </c>
      <c r="D52" s="78" t="s">
        <v>8922</v>
      </c>
      <c r="E52" s="1147">
        <v>1</v>
      </c>
      <c r="F52" s="1148">
        <v>2</v>
      </c>
      <c r="G52" s="1147">
        <v>5</v>
      </c>
      <c r="H52" s="1147">
        <v>1</v>
      </c>
      <c r="I52" s="1147">
        <v>2</v>
      </c>
      <c r="J52" s="1147">
        <v>4</v>
      </c>
      <c r="K52" s="1147">
        <v>1</v>
      </c>
      <c r="L52" s="1953" t="str">
        <f t="shared" si="2"/>
        <v>Maniobras De Combate Y Apuntar-10</v>
      </c>
      <c r="M52" s="227"/>
      <c r="N52" s="6337"/>
      <c r="O52" s="78" t="s">
        <v>8917</v>
      </c>
      <c r="P52" s="78" t="str">
        <f t="shared" si="3"/>
        <v>'Tablas Técnicas'!$D$336:$D$344</v>
      </c>
      <c r="Q52" s="72" t="s">
        <v>2820</v>
      </c>
      <c r="R52" s="72" t="s">
        <v>1232</v>
      </c>
      <c r="S52" s="80" t="s">
        <v>8918</v>
      </c>
      <c r="T52" s="78" t="s">
        <v>1610</v>
      </c>
      <c r="U52" s="78" t="s">
        <v>1700</v>
      </c>
      <c r="V52" s="78" t="s">
        <v>6926</v>
      </c>
      <c r="W52" s="78" t="s">
        <v>9320</v>
      </c>
      <c r="X52" s="1951" t="b">
        <f t="shared" si="4"/>
        <v>0</v>
      </c>
    </row>
    <row r="53" spans="1:24" ht="12" customHeight="1" x14ac:dyDescent="0.2">
      <c r="A53" s="6342"/>
      <c r="B53" s="6358"/>
      <c r="C53" s="39" t="s">
        <v>8921</v>
      </c>
      <c r="D53" s="78" t="s">
        <v>8923</v>
      </c>
      <c r="E53" s="1147">
        <v>2</v>
      </c>
      <c r="F53" s="1148">
        <v>4</v>
      </c>
      <c r="G53" s="1147">
        <v>5</v>
      </c>
      <c r="H53" s="1147">
        <v>1</v>
      </c>
      <c r="I53" s="1147">
        <v>2</v>
      </c>
      <c r="J53" s="1147">
        <v>4</v>
      </c>
      <c r="K53" s="1147">
        <v>1</v>
      </c>
      <c r="L53" s="1953" t="str">
        <f t="shared" si="2"/>
        <v>Maniobras De Combate Y Apuntar-25</v>
      </c>
      <c r="M53" s="227"/>
      <c r="N53" s="6337"/>
      <c r="O53" s="78" t="s">
        <v>1548</v>
      </c>
      <c r="P53" s="78" t="str">
        <f t="shared" si="3"/>
        <v>'Tablas Técnicas'!$D$346:$D$356</v>
      </c>
      <c r="Q53" s="72" t="s">
        <v>2823</v>
      </c>
      <c r="R53" s="72" t="s">
        <v>1565</v>
      </c>
      <c r="S53" s="80" t="s">
        <v>8920</v>
      </c>
      <c r="T53" s="78" t="s">
        <v>1606</v>
      </c>
      <c r="U53" s="78" t="s">
        <v>1699</v>
      </c>
      <c r="V53" s="78" t="s">
        <v>1704</v>
      </c>
      <c r="W53" s="78" t="s">
        <v>8851</v>
      </c>
      <c r="X53" s="1951" t="b">
        <f t="shared" si="4"/>
        <v>0</v>
      </c>
    </row>
    <row r="54" spans="1:24" ht="12" customHeight="1" x14ac:dyDescent="0.2">
      <c r="A54" s="6342"/>
      <c r="B54" s="6358"/>
      <c r="C54" s="39" t="s">
        <v>8921</v>
      </c>
      <c r="D54" s="78" t="s">
        <v>8926</v>
      </c>
      <c r="E54" s="1147">
        <v>3</v>
      </c>
      <c r="F54" s="1148">
        <v>5</v>
      </c>
      <c r="G54" s="1147">
        <v>10</v>
      </c>
      <c r="H54" s="1147">
        <v>2</v>
      </c>
      <c r="I54" s="1147">
        <v>4</v>
      </c>
      <c r="J54" s="1147">
        <v>7</v>
      </c>
      <c r="K54" s="1147">
        <v>1</v>
      </c>
      <c r="L54" s="1953" t="str">
        <f t="shared" si="2"/>
        <v>Maniobras De Combate Y Apuntar-50</v>
      </c>
      <c r="M54" s="227"/>
      <c r="N54" s="6337"/>
      <c r="O54" s="78" t="s">
        <v>2892</v>
      </c>
      <c r="P54" s="78"/>
      <c r="Q54" s="72"/>
      <c r="R54" s="72"/>
      <c r="S54" s="80"/>
      <c r="T54" s="78" t="s">
        <v>6926</v>
      </c>
      <c r="U54" s="78" t="s">
        <v>6926</v>
      </c>
      <c r="V54" s="78" t="s">
        <v>6926</v>
      </c>
      <c r="W54" s="78" t="s">
        <v>6926</v>
      </c>
      <c r="X54" s="1951" t="b">
        <f t="shared" si="4"/>
        <v>0</v>
      </c>
    </row>
    <row r="55" spans="1:24" ht="12" customHeight="1" x14ac:dyDescent="0.2">
      <c r="A55" s="6342"/>
      <c r="B55" s="6358"/>
      <c r="C55" s="39" t="s">
        <v>8921</v>
      </c>
      <c r="D55" s="78" t="s">
        <v>8929</v>
      </c>
      <c r="E55" s="1147">
        <v>4</v>
      </c>
      <c r="F55" s="1148">
        <v>6</v>
      </c>
      <c r="G55" s="1147">
        <v>10</v>
      </c>
      <c r="H55" s="1147">
        <v>2</v>
      </c>
      <c r="I55" s="1147">
        <v>4</v>
      </c>
      <c r="J55" s="1147">
        <v>7</v>
      </c>
      <c r="K55" s="1147">
        <v>2</v>
      </c>
      <c r="L55" s="1953" t="str">
        <f t="shared" si="2"/>
        <v>Maniobras De Combate Y Apuntar-75</v>
      </c>
      <c r="M55" s="227"/>
      <c r="N55" s="6337"/>
      <c r="O55" s="78" t="s">
        <v>8924</v>
      </c>
      <c r="P55" s="78" t="str">
        <f t="shared" si="3"/>
        <v>'Tablas Técnicas'!$D$359:$D$363</v>
      </c>
      <c r="Q55" s="72" t="s">
        <v>2823</v>
      </c>
      <c r="R55" s="72" t="s">
        <v>3134</v>
      </c>
      <c r="S55" s="80" t="s">
        <v>8925</v>
      </c>
      <c r="T55" s="78" t="s">
        <v>1603</v>
      </c>
      <c r="U55" s="78" t="s">
        <v>1610</v>
      </c>
      <c r="V55" s="78" t="s">
        <v>1699</v>
      </c>
      <c r="W55" s="78" t="s">
        <v>8897</v>
      </c>
      <c r="X55" s="1951" t="b">
        <f t="shared" si="4"/>
        <v>0</v>
      </c>
    </row>
    <row r="56" spans="1:24" ht="12" customHeight="1" x14ac:dyDescent="0.2">
      <c r="A56" s="6342"/>
      <c r="B56" s="6358"/>
      <c r="C56" s="39" t="s">
        <v>8921</v>
      </c>
      <c r="D56" s="78" t="s">
        <v>8932</v>
      </c>
      <c r="E56" s="1147">
        <v>6</v>
      </c>
      <c r="F56" s="1148">
        <v>9</v>
      </c>
      <c r="G56" s="1147">
        <v>15</v>
      </c>
      <c r="H56" s="1147">
        <v>3</v>
      </c>
      <c r="I56" s="1147">
        <v>6</v>
      </c>
      <c r="J56" s="1147">
        <v>11</v>
      </c>
      <c r="K56" s="1147">
        <v>2</v>
      </c>
      <c r="L56" s="1953" t="str">
        <f t="shared" si="2"/>
        <v>Maniobras De Combate Y Apuntar-100</v>
      </c>
      <c r="M56" s="227"/>
      <c r="N56" s="6337"/>
      <c r="O56" s="78" t="s">
        <v>8927</v>
      </c>
      <c r="P56" s="78" t="str">
        <f t="shared" si="3"/>
        <v>'Tablas Técnicas'!$D$365:$D$370</v>
      </c>
      <c r="Q56" s="72" t="s">
        <v>2823</v>
      </c>
      <c r="R56" s="72" t="s">
        <v>3134</v>
      </c>
      <c r="S56" s="80" t="s">
        <v>8928</v>
      </c>
      <c r="T56" s="78" t="s">
        <v>1606</v>
      </c>
      <c r="U56" s="78" t="s">
        <v>1704</v>
      </c>
      <c r="V56" s="78" t="s">
        <v>1699</v>
      </c>
      <c r="W56" s="78" t="s">
        <v>10219</v>
      </c>
      <c r="X56" s="1951" t="b">
        <f t="shared" si="4"/>
        <v>0</v>
      </c>
    </row>
    <row r="57" spans="1:24" ht="12" customHeight="1" x14ac:dyDescent="0.2">
      <c r="A57" s="6342"/>
      <c r="B57" s="6358"/>
      <c r="C57" s="39" t="s">
        <v>8921</v>
      </c>
      <c r="D57" s="78" t="s">
        <v>8934</v>
      </c>
      <c r="E57" s="1147">
        <v>8</v>
      </c>
      <c r="F57" s="1148">
        <v>11</v>
      </c>
      <c r="G57" s="1147">
        <v>20</v>
      </c>
      <c r="H57" s="1147">
        <v>3</v>
      </c>
      <c r="I57" s="1147">
        <v>6</v>
      </c>
      <c r="J57" s="1147">
        <v>11</v>
      </c>
      <c r="K57" s="1147">
        <v>3</v>
      </c>
      <c r="L57" s="1953" t="str">
        <f t="shared" si="2"/>
        <v>Maniobras De Combate Y Apuntar-120</v>
      </c>
      <c r="M57" s="227"/>
      <c r="N57" s="6337"/>
      <c r="O57" s="78" t="s">
        <v>8930</v>
      </c>
      <c r="P57" s="78" t="str">
        <f t="shared" si="3"/>
        <v>'Tablas Técnicas'!$D$372:$D$379</v>
      </c>
      <c r="Q57" s="72" t="s">
        <v>2820</v>
      </c>
      <c r="R57" s="72" t="s">
        <v>3134</v>
      </c>
      <c r="S57" s="80" t="s">
        <v>10003</v>
      </c>
      <c r="T57" s="78" t="s">
        <v>1606</v>
      </c>
      <c r="U57" s="78" t="s">
        <v>1610</v>
      </c>
      <c r="V57" s="78" t="s">
        <v>1700</v>
      </c>
      <c r="W57" s="78" t="s">
        <v>8931</v>
      </c>
      <c r="X57" s="1951" t="b">
        <f t="shared" si="4"/>
        <v>0</v>
      </c>
    </row>
    <row r="58" spans="1:24" ht="12" customHeight="1" x14ac:dyDescent="0.2">
      <c r="A58" s="6342"/>
      <c r="B58" s="6358"/>
      <c r="C58" s="39" t="s">
        <v>8936</v>
      </c>
      <c r="D58" s="78"/>
      <c r="E58" s="1147"/>
      <c r="F58" s="1148"/>
      <c r="G58" s="1147"/>
      <c r="H58" s="1147"/>
      <c r="I58" s="1147"/>
      <c r="J58" s="1147"/>
      <c r="K58" s="1147"/>
      <c r="L58" s="1953" t="str">
        <f t="shared" si="2"/>
        <v>&gt; MANIOBRAS DE COMBATE Y APUNTAR REALES</v>
      </c>
      <c r="M58" s="227"/>
      <c r="N58" s="6337"/>
      <c r="O58" s="78" t="s">
        <v>8933</v>
      </c>
      <c r="P58" s="78" t="str">
        <f t="shared" si="3"/>
        <v>'Tablas Técnicas'!$D$381:$D$388</v>
      </c>
      <c r="Q58" s="72" t="s">
        <v>2820</v>
      </c>
      <c r="R58" s="72" t="s">
        <v>3134</v>
      </c>
      <c r="S58" s="80" t="s">
        <v>10004</v>
      </c>
      <c r="T58" s="78" t="s">
        <v>1606</v>
      </c>
      <c r="U58" s="78" t="s">
        <v>1610</v>
      </c>
      <c r="V58" s="78" t="s">
        <v>1700</v>
      </c>
      <c r="W58" s="78" t="s">
        <v>8931</v>
      </c>
      <c r="X58" s="1951" t="b">
        <f t="shared" si="4"/>
        <v>0</v>
      </c>
    </row>
    <row r="59" spans="1:24" ht="12" customHeight="1" x14ac:dyDescent="0.2">
      <c r="A59" s="6342"/>
      <c r="B59" s="6358"/>
      <c r="C59" s="39" t="s">
        <v>8939</v>
      </c>
      <c r="D59" s="78" t="s">
        <v>8922</v>
      </c>
      <c r="E59" s="1147">
        <v>2</v>
      </c>
      <c r="F59" s="1148">
        <v>4</v>
      </c>
      <c r="G59" s="1147">
        <v>10</v>
      </c>
      <c r="H59" s="1147">
        <v>2</v>
      </c>
      <c r="I59" s="1147">
        <v>4</v>
      </c>
      <c r="J59" s="1147">
        <v>7</v>
      </c>
      <c r="K59" s="1147">
        <v>1</v>
      </c>
      <c r="L59" s="1953" t="str">
        <f t="shared" si="2"/>
        <v>Maniobras De Combate Y Apuntar Reales-10</v>
      </c>
      <c r="M59" s="227"/>
      <c r="N59" s="6337"/>
      <c r="O59" s="78" t="s">
        <v>8935</v>
      </c>
      <c r="P59" s="78" t="str">
        <f t="shared" si="3"/>
        <v>'Tablas Técnicas'!$D$390:$D$397</v>
      </c>
      <c r="Q59" s="72" t="s">
        <v>2820</v>
      </c>
      <c r="R59" s="72" t="s">
        <v>3134</v>
      </c>
      <c r="S59" s="80" t="s">
        <v>10005</v>
      </c>
      <c r="T59" s="78" t="s">
        <v>1606</v>
      </c>
      <c r="U59" s="78" t="s">
        <v>1610</v>
      </c>
      <c r="V59" s="78" t="s">
        <v>1700</v>
      </c>
      <c r="W59" s="78" t="s">
        <v>8931</v>
      </c>
      <c r="X59" s="1951" t="b">
        <f t="shared" si="4"/>
        <v>0</v>
      </c>
    </row>
    <row r="60" spans="1:24" ht="12" customHeight="1" x14ac:dyDescent="0.2">
      <c r="A60" s="6342"/>
      <c r="B60" s="6358"/>
      <c r="C60" s="39" t="s">
        <v>8939</v>
      </c>
      <c r="D60" s="78" t="s">
        <v>8923</v>
      </c>
      <c r="E60" s="1147">
        <v>4</v>
      </c>
      <c r="F60" s="1148">
        <v>6</v>
      </c>
      <c r="G60" s="1147">
        <v>15</v>
      </c>
      <c r="H60" s="1147">
        <v>3</v>
      </c>
      <c r="I60" s="1147">
        <v>6</v>
      </c>
      <c r="J60" s="1147">
        <v>11</v>
      </c>
      <c r="K60" s="1147">
        <v>1</v>
      </c>
      <c r="L60" s="1953" t="str">
        <f t="shared" si="2"/>
        <v>Maniobras De Combate Y Apuntar Reales-25</v>
      </c>
      <c r="M60" s="227"/>
      <c r="N60" s="6337"/>
      <c r="O60" s="78" t="s">
        <v>8937</v>
      </c>
      <c r="P60" s="78" t="str">
        <f t="shared" si="3"/>
        <v>'Tablas Técnicas'!$D$399:$D$408</v>
      </c>
      <c r="Q60" s="72" t="s">
        <v>2823</v>
      </c>
      <c r="R60" s="72" t="s">
        <v>3134</v>
      </c>
      <c r="S60" s="80" t="s">
        <v>8938</v>
      </c>
      <c r="T60" s="78" t="s">
        <v>1606</v>
      </c>
      <c r="U60" s="78" t="s">
        <v>1699</v>
      </c>
      <c r="V60" s="78" t="s">
        <v>1704</v>
      </c>
      <c r="W60" s="78" t="s">
        <v>8851</v>
      </c>
      <c r="X60" s="1951" t="b">
        <f t="shared" si="4"/>
        <v>0</v>
      </c>
    </row>
    <row r="61" spans="1:24" ht="12" customHeight="1" x14ac:dyDescent="0.2">
      <c r="A61" s="6342"/>
      <c r="B61" s="6358"/>
      <c r="C61" s="39" t="s">
        <v>8939</v>
      </c>
      <c r="D61" s="78" t="s">
        <v>8926</v>
      </c>
      <c r="E61" s="1147">
        <v>6</v>
      </c>
      <c r="F61" s="1148">
        <v>9</v>
      </c>
      <c r="G61" s="1147">
        <v>20</v>
      </c>
      <c r="H61" s="1147">
        <v>4</v>
      </c>
      <c r="I61" s="1147">
        <v>8</v>
      </c>
      <c r="J61" s="1147">
        <v>14</v>
      </c>
      <c r="K61" s="1147">
        <v>2</v>
      </c>
      <c r="L61" s="1953" t="str">
        <f t="shared" si="2"/>
        <v>Maniobras De Combate Y Apuntar Reales-50</v>
      </c>
      <c r="M61" s="227"/>
      <c r="N61" s="6337"/>
      <c r="O61" s="78" t="s">
        <v>8940</v>
      </c>
      <c r="P61" s="78" t="str">
        <f t="shared" si="3"/>
        <v>'Tablas Técnicas'!$D$410:$D$417</v>
      </c>
      <c r="Q61" s="72" t="s">
        <v>2823</v>
      </c>
      <c r="R61" s="72" t="s">
        <v>3134</v>
      </c>
      <c r="S61" s="80" t="s">
        <v>8941</v>
      </c>
      <c r="T61" s="78" t="s">
        <v>1603</v>
      </c>
      <c r="U61" s="78" t="s">
        <v>1610</v>
      </c>
      <c r="V61" s="78" t="s">
        <v>1699</v>
      </c>
      <c r="W61" s="78" t="s">
        <v>8897</v>
      </c>
      <c r="X61" s="1951" t="b">
        <f t="shared" si="4"/>
        <v>0</v>
      </c>
    </row>
    <row r="62" spans="1:24" ht="12" customHeight="1" x14ac:dyDescent="0.2">
      <c r="A62" s="6342"/>
      <c r="B62" s="6358"/>
      <c r="C62" s="39" t="s">
        <v>8947</v>
      </c>
      <c r="D62" s="78"/>
      <c r="E62" s="1147"/>
      <c r="F62" s="1148"/>
      <c r="G62" s="1147"/>
      <c r="H62" s="1147"/>
      <c r="I62" s="1147"/>
      <c r="J62" s="1147"/>
      <c r="K62" s="1147"/>
      <c r="L62" s="1953" t="str">
        <f t="shared" si="2"/>
        <v>&gt; ATAQUE INDIRECTO</v>
      </c>
      <c r="M62" s="227"/>
      <c r="N62" s="6337"/>
      <c r="O62" s="78" t="s">
        <v>8942</v>
      </c>
      <c r="P62" s="78" t="str">
        <f t="shared" si="3"/>
        <v>'Tablas Técnicas'!$D$419:$D$426</v>
      </c>
      <c r="Q62" s="72" t="s">
        <v>2823</v>
      </c>
      <c r="R62" s="72" t="s">
        <v>3134</v>
      </c>
      <c r="S62" s="80" t="s">
        <v>8943</v>
      </c>
      <c r="T62" s="78" t="s">
        <v>1603</v>
      </c>
      <c r="U62" s="78" t="s">
        <v>1606</v>
      </c>
      <c r="V62" s="78" t="s">
        <v>1699</v>
      </c>
      <c r="W62" s="78" t="s">
        <v>8944</v>
      </c>
      <c r="X62" s="1951" t="b">
        <f t="shared" si="4"/>
        <v>0</v>
      </c>
    </row>
    <row r="63" spans="1:24" ht="12" customHeight="1" x14ac:dyDescent="0.2">
      <c r="A63" s="6342"/>
      <c r="B63" s="6358"/>
      <c r="C63" s="39" t="s">
        <v>8843</v>
      </c>
      <c r="D63" s="78" t="s">
        <v>9081</v>
      </c>
      <c r="E63" s="1147">
        <v>3</v>
      </c>
      <c r="F63" s="1148">
        <v>5</v>
      </c>
      <c r="G63" s="1147">
        <v>10</v>
      </c>
      <c r="H63" s="1147">
        <v>2</v>
      </c>
      <c r="I63" s="1147">
        <v>4</v>
      </c>
      <c r="J63" s="1147">
        <v>7</v>
      </c>
      <c r="K63" s="1147">
        <v>1</v>
      </c>
      <c r="L63" s="1953" t="str">
        <f t="shared" si="2"/>
        <v>Ataque IndirectoNv 1</v>
      </c>
      <c r="M63" s="227"/>
      <c r="N63" s="6337"/>
      <c r="O63" s="78" t="s">
        <v>8945</v>
      </c>
      <c r="P63" s="78" t="str">
        <f t="shared" si="3"/>
        <v>'Tablas Técnicas'!$D$428:$D$434</v>
      </c>
      <c r="Q63" s="72" t="s">
        <v>2823</v>
      </c>
      <c r="R63" s="72" t="s">
        <v>3134</v>
      </c>
      <c r="S63" s="80" t="s">
        <v>8946</v>
      </c>
      <c r="T63" s="78" t="s">
        <v>1606</v>
      </c>
      <c r="U63" s="78" t="s">
        <v>1603</v>
      </c>
      <c r="V63" s="78" t="s">
        <v>1699</v>
      </c>
      <c r="W63" s="78" t="s">
        <v>8859</v>
      </c>
      <c r="X63" s="1951" t="b">
        <f t="shared" si="4"/>
        <v>0</v>
      </c>
    </row>
    <row r="64" spans="1:24" ht="12" customHeight="1" x14ac:dyDescent="0.2">
      <c r="A64" s="6342"/>
      <c r="B64" s="6358"/>
      <c r="C64" s="39" t="s">
        <v>8843</v>
      </c>
      <c r="D64" s="78" t="s">
        <v>9083</v>
      </c>
      <c r="E64" s="1147">
        <v>6</v>
      </c>
      <c r="F64" s="1148">
        <v>9</v>
      </c>
      <c r="G64" s="1147">
        <v>20</v>
      </c>
      <c r="H64" s="1147">
        <v>4</v>
      </c>
      <c r="I64" s="1147">
        <v>8</v>
      </c>
      <c r="J64" s="1147">
        <v>14</v>
      </c>
      <c r="K64" s="1147">
        <v>2</v>
      </c>
      <c r="L64" s="1953" t="str">
        <f t="shared" si="2"/>
        <v>Ataque IndirectoNv 2</v>
      </c>
      <c r="M64" s="227"/>
      <c r="N64" s="6337"/>
      <c r="O64" s="78" t="s">
        <v>2911</v>
      </c>
      <c r="P64" s="78"/>
      <c r="Q64" s="72"/>
      <c r="R64" s="72"/>
      <c r="S64" s="80"/>
      <c r="T64" s="78" t="s">
        <v>6926</v>
      </c>
      <c r="U64" s="78" t="s">
        <v>6926</v>
      </c>
      <c r="V64" s="78" t="s">
        <v>6926</v>
      </c>
      <c r="W64" s="78" t="s">
        <v>6926</v>
      </c>
      <c r="X64" s="1951" t="b">
        <f t="shared" si="4"/>
        <v>0</v>
      </c>
    </row>
    <row r="65" spans="1:24" ht="12" customHeight="1" x14ac:dyDescent="0.2">
      <c r="A65" s="6342"/>
      <c r="B65" s="6358"/>
      <c r="C65" s="39" t="s">
        <v>8843</v>
      </c>
      <c r="D65" s="78" t="s">
        <v>9084</v>
      </c>
      <c r="E65" s="1147">
        <v>9</v>
      </c>
      <c r="F65" s="1148">
        <v>12</v>
      </c>
      <c r="G65" s="1147">
        <v>30</v>
      </c>
      <c r="H65" s="1147">
        <v>6</v>
      </c>
      <c r="I65" s="1147">
        <v>12</v>
      </c>
      <c r="J65" s="1147">
        <v>21</v>
      </c>
      <c r="K65" s="1147">
        <v>3</v>
      </c>
      <c r="L65" s="1953" t="str">
        <f t="shared" si="2"/>
        <v>Ataque IndirectoNv 3</v>
      </c>
      <c r="M65" s="227"/>
      <c r="N65" s="6337"/>
      <c r="O65" s="78" t="s">
        <v>3142</v>
      </c>
      <c r="P65" s="78" t="str">
        <f t="shared" si="3"/>
        <v>'Tablas Técnicas'!$D$437:$D$437</v>
      </c>
      <c r="Q65" s="72" t="s">
        <v>2820</v>
      </c>
      <c r="R65" s="72" t="s">
        <v>1232</v>
      </c>
      <c r="S65" s="80" t="s">
        <v>8948</v>
      </c>
      <c r="T65" s="78" t="s">
        <v>1610</v>
      </c>
      <c r="U65" s="78" t="s">
        <v>1699</v>
      </c>
      <c r="V65" s="78" t="s">
        <v>1700</v>
      </c>
      <c r="W65" s="78" t="s">
        <v>8905</v>
      </c>
      <c r="X65" s="1951" t="b">
        <f t="shared" si="4"/>
        <v>0</v>
      </c>
    </row>
    <row r="66" spans="1:24" ht="12" customHeight="1" x14ac:dyDescent="0.2">
      <c r="A66" s="6342"/>
      <c r="B66" s="6358"/>
      <c r="C66" s="39" t="s">
        <v>8952</v>
      </c>
      <c r="D66" s="78"/>
      <c r="E66" s="1147"/>
      <c r="F66" s="1148"/>
      <c r="G66" s="1147"/>
      <c r="H66" s="1147"/>
      <c r="I66" s="1147"/>
      <c r="J66" s="1147"/>
      <c r="K66" s="1147"/>
      <c r="L66" s="1953" t="str">
        <f t="shared" si="2"/>
        <v>&gt; CAMUFLAR ATAQUE</v>
      </c>
      <c r="M66" s="227"/>
      <c r="N66" s="6337"/>
      <c r="O66" s="78" t="s">
        <v>8949</v>
      </c>
      <c r="P66" s="78" t="str">
        <f t="shared" si="3"/>
        <v>'Tablas Técnicas'!$D$439:$D$444</v>
      </c>
      <c r="Q66" s="72" t="s">
        <v>2823</v>
      </c>
      <c r="R66" s="72" t="s">
        <v>1232</v>
      </c>
      <c r="S66" s="80" t="s">
        <v>8948</v>
      </c>
      <c r="T66" s="78"/>
      <c r="U66" s="78" t="s">
        <v>6926</v>
      </c>
      <c r="V66" s="78" t="s">
        <v>6926</v>
      </c>
      <c r="W66" s="78" t="s">
        <v>6926</v>
      </c>
      <c r="X66" s="1951" t="b">
        <f t="shared" si="4"/>
        <v>0</v>
      </c>
    </row>
    <row r="67" spans="1:24" ht="12" customHeight="1" x14ac:dyDescent="0.2">
      <c r="A67" s="6342"/>
      <c r="B67" s="6358"/>
      <c r="C67" s="39" t="s">
        <v>8847</v>
      </c>
      <c r="D67" s="78" t="s">
        <v>8877</v>
      </c>
      <c r="E67" s="1147">
        <v>1</v>
      </c>
      <c r="F67" s="1148">
        <v>2</v>
      </c>
      <c r="G67" s="1147">
        <v>5</v>
      </c>
      <c r="H67" s="1147">
        <v>1</v>
      </c>
      <c r="I67" s="1147">
        <v>2</v>
      </c>
      <c r="J67" s="1147">
        <v>4</v>
      </c>
      <c r="K67" s="1147">
        <v>1</v>
      </c>
      <c r="L67" s="1953" t="str">
        <f t="shared" si="2"/>
        <v>Camuflar AtaqueMedia (80)</v>
      </c>
      <c r="M67" s="227"/>
      <c r="N67" s="6337"/>
      <c r="O67" s="78" t="s">
        <v>8950</v>
      </c>
      <c r="P67" s="78" t="str">
        <f t="shared" si="3"/>
        <v>'Tablas Técnicas'!$D$446:$D$455</v>
      </c>
      <c r="Q67" s="72" t="s">
        <v>2823</v>
      </c>
      <c r="R67" s="72" t="s">
        <v>3134</v>
      </c>
      <c r="S67" s="80" t="s">
        <v>8951</v>
      </c>
      <c r="T67" s="78" t="s">
        <v>1699</v>
      </c>
      <c r="U67" s="78" t="s">
        <v>1700</v>
      </c>
      <c r="V67" s="78" t="s">
        <v>1704</v>
      </c>
      <c r="W67" s="78" t="s">
        <v>8834</v>
      </c>
      <c r="X67" s="1951" t="b">
        <f t="shared" si="4"/>
        <v>0</v>
      </c>
    </row>
    <row r="68" spans="1:24" ht="12" customHeight="1" x14ac:dyDescent="0.2">
      <c r="A68" s="6342"/>
      <c r="B68" s="6358"/>
      <c r="C68" s="39" t="s">
        <v>8847</v>
      </c>
      <c r="D68" s="78" t="s">
        <v>8878</v>
      </c>
      <c r="E68" s="1147">
        <v>2</v>
      </c>
      <c r="F68" s="1148">
        <v>4</v>
      </c>
      <c r="G68" s="1147">
        <v>5</v>
      </c>
      <c r="H68" s="1147">
        <v>1</v>
      </c>
      <c r="I68" s="1147">
        <v>2</v>
      </c>
      <c r="J68" s="1147">
        <v>4</v>
      </c>
      <c r="K68" s="1147">
        <v>1</v>
      </c>
      <c r="L68" s="1953" t="str">
        <f t="shared" si="2"/>
        <v>Camuflar AtaqueDifícil (120)</v>
      </c>
      <c r="M68" s="227"/>
      <c r="N68" s="6337"/>
      <c r="O68" s="78" t="s">
        <v>3148</v>
      </c>
      <c r="P68" s="78" t="str">
        <f t="shared" si="3"/>
        <v>'Tablas Técnicas'!$D$457:$D$457</v>
      </c>
      <c r="Q68" s="72" t="s">
        <v>2820</v>
      </c>
      <c r="R68" s="72" t="s">
        <v>1232</v>
      </c>
      <c r="S68" s="80" t="s">
        <v>8948</v>
      </c>
      <c r="T68" s="78" t="s">
        <v>1699</v>
      </c>
      <c r="U68" s="78" t="s">
        <v>1700</v>
      </c>
      <c r="V68" s="78" t="s">
        <v>6926</v>
      </c>
      <c r="W68" s="78" t="s">
        <v>8963</v>
      </c>
      <c r="X68" s="1951" t="b">
        <f t="shared" si="4"/>
        <v>0</v>
      </c>
    </row>
    <row r="69" spans="1:24" ht="12" customHeight="1" x14ac:dyDescent="0.2">
      <c r="A69" s="6342"/>
      <c r="B69" s="6358"/>
      <c r="C69" s="39" t="s">
        <v>8847</v>
      </c>
      <c r="D69" s="78" t="s">
        <v>8881</v>
      </c>
      <c r="E69" s="1147">
        <v>3</v>
      </c>
      <c r="F69" s="1148">
        <v>5</v>
      </c>
      <c r="G69" s="1147">
        <v>5</v>
      </c>
      <c r="H69" s="1147">
        <v>1</v>
      </c>
      <c r="I69" s="1147">
        <v>2</v>
      </c>
      <c r="J69" s="1147">
        <v>4</v>
      </c>
      <c r="K69" s="1147">
        <v>1</v>
      </c>
      <c r="L69" s="1953" t="str">
        <f t="shared" si="2"/>
        <v>Camuflar AtaqueMuy Difícil (140)</v>
      </c>
      <c r="M69" s="227"/>
      <c r="N69" s="6337"/>
      <c r="O69" s="78" t="s">
        <v>8953</v>
      </c>
      <c r="P69" s="78" t="str">
        <f t="shared" si="3"/>
        <v>'Tablas Técnicas'!$D$459:$D$464</v>
      </c>
      <c r="Q69" s="72" t="s">
        <v>2820</v>
      </c>
      <c r="R69" s="72" t="s">
        <v>1565</v>
      </c>
      <c r="S69" s="80" t="s">
        <v>8954</v>
      </c>
      <c r="T69" s="78" t="s">
        <v>1606</v>
      </c>
      <c r="U69" s="78" t="s">
        <v>1603</v>
      </c>
      <c r="V69" s="78" t="s">
        <v>1704</v>
      </c>
      <c r="W69" s="78" t="s">
        <v>8837</v>
      </c>
      <c r="X69" s="1951" t="b">
        <f t="shared" si="4"/>
        <v>0</v>
      </c>
    </row>
    <row r="70" spans="1:24" ht="12" customHeight="1" x14ac:dyDescent="0.2">
      <c r="A70" s="6342"/>
      <c r="B70" s="6358"/>
      <c r="C70" s="39" t="s">
        <v>8847</v>
      </c>
      <c r="D70" s="78" t="s">
        <v>8883</v>
      </c>
      <c r="E70" s="1147">
        <v>5</v>
      </c>
      <c r="F70" s="1148">
        <v>8</v>
      </c>
      <c r="G70" s="1147">
        <v>10</v>
      </c>
      <c r="H70" s="1147">
        <v>2</v>
      </c>
      <c r="I70" s="1147">
        <v>4</v>
      </c>
      <c r="J70" s="1147">
        <v>7</v>
      </c>
      <c r="K70" s="1147">
        <v>1</v>
      </c>
      <c r="L70" s="1953" t="str">
        <f t="shared" si="2"/>
        <v>Camuflar AtaqueAbsurdo (180)</v>
      </c>
      <c r="M70" s="227"/>
      <c r="N70" s="6337"/>
      <c r="O70" s="78" t="s">
        <v>2923</v>
      </c>
      <c r="P70" s="78" t="str">
        <f t="shared" si="3"/>
        <v>'Tablas Técnicas'!$D$466:$D$475</v>
      </c>
      <c r="Q70" s="72" t="s">
        <v>2820</v>
      </c>
      <c r="R70" s="72" t="s">
        <v>1232</v>
      </c>
      <c r="S70" s="80" t="s">
        <v>8955</v>
      </c>
      <c r="T70" s="78" t="s">
        <v>1704</v>
      </c>
      <c r="U70" s="78" t="s">
        <v>6926</v>
      </c>
      <c r="V70" s="78" t="s">
        <v>6926</v>
      </c>
      <c r="W70" s="78" t="s">
        <v>1704</v>
      </c>
      <c r="X70" s="1951" t="b">
        <f t="shared" si="4"/>
        <v>0</v>
      </c>
    </row>
    <row r="71" spans="1:24" ht="12" customHeight="1" x14ac:dyDescent="0.2">
      <c r="A71" s="6342"/>
      <c r="B71" s="6358"/>
      <c r="C71" s="39" t="s">
        <v>8847</v>
      </c>
      <c r="D71" s="78" t="s">
        <v>8886</v>
      </c>
      <c r="E71" s="1147">
        <v>6</v>
      </c>
      <c r="F71" s="1148">
        <v>9</v>
      </c>
      <c r="G71" s="1147">
        <v>10</v>
      </c>
      <c r="H71" s="1147">
        <v>3</v>
      </c>
      <c r="I71" s="1147">
        <v>6</v>
      </c>
      <c r="J71" s="1147">
        <v>11</v>
      </c>
      <c r="K71" s="1147">
        <v>1</v>
      </c>
      <c r="L71" s="1953" t="str">
        <f t="shared" si="2"/>
        <v>Camuflar AtaqueCasi Imposible (240)</v>
      </c>
      <c r="M71" s="227"/>
      <c r="N71" s="6337"/>
      <c r="O71" s="78" t="s">
        <v>3150</v>
      </c>
      <c r="P71" s="78" t="str">
        <f t="shared" si="3"/>
        <v>'Tablas Técnicas'!$D$477:$D$477</v>
      </c>
      <c r="Q71" s="72" t="s">
        <v>2820</v>
      </c>
      <c r="R71" s="72" t="s">
        <v>1232</v>
      </c>
      <c r="S71" s="80" t="s">
        <v>8956</v>
      </c>
      <c r="T71" s="78" t="s">
        <v>1606</v>
      </c>
      <c r="U71" s="78" t="s">
        <v>1699</v>
      </c>
      <c r="V71" s="78" t="s">
        <v>1704</v>
      </c>
      <c r="W71" s="78" t="s">
        <v>8851</v>
      </c>
      <c r="X71" s="1951" t="b">
        <f t="shared" si="4"/>
        <v>0</v>
      </c>
    </row>
    <row r="72" spans="1:24" ht="12" customHeight="1" x14ac:dyDescent="0.2">
      <c r="A72" s="6342"/>
      <c r="B72" s="6358"/>
      <c r="C72" s="39" t="s">
        <v>8847</v>
      </c>
      <c r="D72" s="78" t="s">
        <v>8889</v>
      </c>
      <c r="E72" s="1147">
        <v>7</v>
      </c>
      <c r="F72" s="1148">
        <v>10</v>
      </c>
      <c r="G72" s="1147">
        <v>15</v>
      </c>
      <c r="H72" s="1147">
        <v>4</v>
      </c>
      <c r="I72" s="1147">
        <v>8</v>
      </c>
      <c r="J72" s="1147">
        <v>14</v>
      </c>
      <c r="K72" s="1147">
        <v>2</v>
      </c>
      <c r="L72" s="1953" t="str">
        <f t="shared" si="2"/>
        <v>Camuflar AtaqueImposible (280)</v>
      </c>
      <c r="M72" s="227"/>
      <c r="N72" s="6337"/>
      <c r="O72" s="78" t="s">
        <v>1686</v>
      </c>
      <c r="P72" s="78" t="str">
        <f t="shared" si="3"/>
        <v>'Tablas Técnicas'!$D$479:$D$490</v>
      </c>
      <c r="Q72" s="72" t="s">
        <v>2823</v>
      </c>
      <c r="R72" s="72" t="s">
        <v>1565</v>
      </c>
      <c r="S72" s="80" t="s">
        <v>8957</v>
      </c>
      <c r="T72" s="78" t="s">
        <v>1704</v>
      </c>
      <c r="U72" s="78" t="s">
        <v>6926</v>
      </c>
      <c r="V72" s="78" t="s">
        <v>6926</v>
      </c>
      <c r="W72" s="78" t="s">
        <v>1704</v>
      </c>
      <c r="X72" s="1951" t="b">
        <f t="shared" si="4"/>
        <v>0</v>
      </c>
    </row>
    <row r="73" spans="1:24" ht="12" customHeight="1" x14ac:dyDescent="0.2">
      <c r="A73" s="6342"/>
      <c r="B73" s="6358"/>
      <c r="C73" s="39" t="s">
        <v>8847</v>
      </c>
      <c r="D73" s="78" t="s">
        <v>8890</v>
      </c>
      <c r="E73" s="1147">
        <v>8</v>
      </c>
      <c r="F73" s="1148">
        <v>11</v>
      </c>
      <c r="G73" s="1147">
        <v>20</v>
      </c>
      <c r="H73" s="1147">
        <v>5</v>
      </c>
      <c r="I73" s="1147">
        <v>10</v>
      </c>
      <c r="J73" s="1147">
        <v>18</v>
      </c>
      <c r="K73" s="1147">
        <v>2</v>
      </c>
      <c r="L73" s="1953" t="str">
        <f t="shared" si="2"/>
        <v>Camuflar AtaqueInhumano (320)</v>
      </c>
      <c r="M73" s="227"/>
      <c r="N73" s="6337"/>
      <c r="O73" s="78" t="s">
        <v>2930</v>
      </c>
      <c r="P73" s="78" t="str">
        <f t="shared" ref="P73:P82" si="5">IF(ISNUMBER(FIND("&gt;&gt;",O73)),"","'Tablas Técnicas'!"&amp;ADDRESS(ROW($D$9)+MATCH(O73,$C$10:$C$643,0),COLUMN($D$9))&amp;":"&amp;ADDRESS(ROW($D$9)+MATCH(O73,$C$10:$C$643,0)+COUNTIF($C$10:$C$643,O73)-1,COLUMN($D$9)))</f>
        <v>'Tablas Técnicas'!$D$492:$D$511</v>
      </c>
      <c r="Q73" s="72" t="s">
        <v>2823</v>
      </c>
      <c r="R73" s="72" t="s">
        <v>3134</v>
      </c>
      <c r="S73" s="80" t="s">
        <v>8958</v>
      </c>
      <c r="T73" s="78" t="s">
        <v>1606</v>
      </c>
      <c r="U73" s="78" t="s">
        <v>1700</v>
      </c>
      <c r="V73" s="78" t="s">
        <v>6926</v>
      </c>
      <c r="W73" s="78" t="s">
        <v>10093</v>
      </c>
      <c r="X73" s="1951" t="b">
        <f t="shared" si="4"/>
        <v>0</v>
      </c>
    </row>
    <row r="74" spans="1:24" ht="12" customHeight="1" x14ac:dyDescent="0.2">
      <c r="A74" s="6342"/>
      <c r="B74" s="6358"/>
      <c r="C74" s="39" t="s">
        <v>8847</v>
      </c>
      <c r="D74" s="78" t="s">
        <v>8892</v>
      </c>
      <c r="E74" s="1147">
        <v>10</v>
      </c>
      <c r="F74" s="1148">
        <v>13</v>
      </c>
      <c r="G74" s="1147">
        <v>25</v>
      </c>
      <c r="H74" s="1147">
        <v>6</v>
      </c>
      <c r="I74" s="1147">
        <v>12</v>
      </c>
      <c r="J74" s="1147">
        <v>21</v>
      </c>
      <c r="K74" s="1147">
        <v>3</v>
      </c>
      <c r="L74" s="1953" t="str">
        <f t="shared" si="2"/>
        <v>Camuflar AtaqueZen (440)</v>
      </c>
      <c r="M74" s="227"/>
      <c r="N74" s="6337"/>
      <c r="O74" s="78" t="s">
        <v>8959</v>
      </c>
      <c r="P74" s="78" t="str">
        <f t="shared" si="5"/>
        <v>'Tablas Técnicas'!$D$513:$D$525</v>
      </c>
      <c r="Q74" s="72" t="s">
        <v>2823</v>
      </c>
      <c r="R74" s="72" t="s">
        <v>1565</v>
      </c>
      <c r="S74" s="80" t="s">
        <v>8960</v>
      </c>
      <c r="T74" s="78" t="s">
        <v>1606</v>
      </c>
      <c r="U74" s="78" t="s">
        <v>1699</v>
      </c>
      <c r="V74" s="78" t="s">
        <v>6926</v>
      </c>
      <c r="W74" s="78" t="s">
        <v>10054</v>
      </c>
      <c r="X74" s="1951" t="b">
        <f t="shared" ref="X74:X82" si="6">IFERROR(IF(VLOOKUP(T74,$O$100:$P$105,2,0),TRUE,IF(VLOOKUP(U74,$O$100:$P$105,2,0),TRUE,IF(VLOOKUP(V74,$O$100:$P$105,2,0),TRUE,FALSE))),FALSE)</f>
        <v>0</v>
      </c>
    </row>
    <row r="75" spans="1:24" ht="12" customHeight="1" x14ac:dyDescent="0.2">
      <c r="A75" s="6342"/>
      <c r="B75" s="6358"/>
      <c r="C75" s="39" t="s">
        <v>2826</v>
      </c>
      <c r="D75" s="78"/>
      <c r="E75" s="1147"/>
      <c r="F75" s="1148"/>
      <c r="G75" s="1147"/>
      <c r="H75" s="1147"/>
      <c r="I75" s="1147"/>
      <c r="J75" s="1147"/>
      <c r="K75" s="1147"/>
      <c r="L75" s="1953" t="str">
        <f t="shared" ref="L75:L138" si="7">C75&amp;D75</f>
        <v>&gt;&gt;EFECTOS DEFENSIVOS</v>
      </c>
      <c r="M75" s="227"/>
      <c r="N75" s="6337"/>
      <c r="O75" s="78" t="s">
        <v>8961</v>
      </c>
      <c r="P75" s="78" t="str">
        <f t="shared" si="5"/>
        <v>'Tablas Técnicas'!$D$527:$D$579</v>
      </c>
      <c r="Q75" s="72" t="s">
        <v>2820</v>
      </c>
      <c r="R75" s="72" t="s">
        <v>1232</v>
      </c>
      <c r="S75" s="80" t="s">
        <v>8962</v>
      </c>
      <c r="T75" s="78" t="s">
        <v>1699</v>
      </c>
      <c r="U75" s="78" t="s">
        <v>1700</v>
      </c>
      <c r="V75" s="78" t="s">
        <v>6926</v>
      </c>
      <c r="W75" s="78" t="s">
        <v>8963</v>
      </c>
      <c r="X75" s="1951" t="b">
        <f t="shared" si="6"/>
        <v>0</v>
      </c>
    </row>
    <row r="76" spans="1:24" ht="12" customHeight="1" x14ac:dyDescent="0.2">
      <c r="A76" s="6342"/>
      <c r="B76" s="6358"/>
      <c r="C76" s="39" t="s">
        <v>8965</v>
      </c>
      <c r="D76" s="78"/>
      <c r="E76" s="1147"/>
      <c r="F76" s="1148"/>
      <c r="G76" s="1147"/>
      <c r="H76" s="1147"/>
      <c r="I76" s="1147"/>
      <c r="J76" s="1147"/>
      <c r="K76" s="1147"/>
      <c r="L76" s="1953" t="str">
        <f t="shared" si="7"/>
        <v>&gt; HABILIDAD DE PARADA</v>
      </c>
      <c r="M76" s="227"/>
      <c r="N76" s="6337"/>
      <c r="O76" s="78" t="s">
        <v>2936</v>
      </c>
      <c r="P76" s="78" t="str">
        <f t="shared" si="5"/>
        <v>'Tablas Técnicas'!$D$581:$D$590</v>
      </c>
      <c r="Q76" s="72" t="s">
        <v>2820</v>
      </c>
      <c r="R76" s="72" t="s">
        <v>1232</v>
      </c>
      <c r="S76" s="80" t="s">
        <v>8872</v>
      </c>
      <c r="T76" s="78" t="s">
        <v>1610</v>
      </c>
      <c r="U76" s="78" t="s">
        <v>1704</v>
      </c>
      <c r="V76" s="78" t="s">
        <v>6926</v>
      </c>
      <c r="W76" s="78" t="s">
        <v>9338</v>
      </c>
      <c r="X76" s="1951" t="b">
        <f t="shared" si="6"/>
        <v>0</v>
      </c>
    </row>
    <row r="77" spans="1:24" ht="12" customHeight="1" x14ac:dyDescent="0.2">
      <c r="A77" s="6342"/>
      <c r="B77" s="6358"/>
      <c r="C77" s="39" t="s">
        <v>8968</v>
      </c>
      <c r="D77" s="78" t="s">
        <v>7488</v>
      </c>
      <c r="E77" s="1147">
        <v>2</v>
      </c>
      <c r="F77" s="1148">
        <v>4</v>
      </c>
      <c r="G77" s="1147">
        <v>5</v>
      </c>
      <c r="H77" s="1147">
        <v>1</v>
      </c>
      <c r="I77" s="1147">
        <v>2</v>
      </c>
      <c r="J77" s="1147">
        <v>4</v>
      </c>
      <c r="K77" s="1147">
        <v>1</v>
      </c>
      <c r="L77" s="1953" t="str">
        <f t="shared" si="7"/>
        <v>Habilidad De Parada+10</v>
      </c>
      <c r="M77" s="227"/>
      <c r="N77" s="6337"/>
      <c r="O77" s="78" t="s">
        <v>2940</v>
      </c>
      <c r="P77" s="78" t="str">
        <f t="shared" si="5"/>
        <v>'Tablas Técnicas'!$D$592:$D$601</v>
      </c>
      <c r="Q77" s="72" t="s">
        <v>2820</v>
      </c>
      <c r="R77" s="72" t="s">
        <v>1232</v>
      </c>
      <c r="S77" s="80" t="s">
        <v>8964</v>
      </c>
      <c r="T77" s="78" t="s">
        <v>1606</v>
      </c>
      <c r="U77" s="78" t="s">
        <v>1603</v>
      </c>
      <c r="V77" s="78" t="s">
        <v>1699</v>
      </c>
      <c r="W77" s="78" t="s">
        <v>8859</v>
      </c>
      <c r="X77" s="1951" t="b">
        <f t="shared" si="6"/>
        <v>0</v>
      </c>
    </row>
    <row r="78" spans="1:24" ht="12" customHeight="1" x14ac:dyDescent="0.2">
      <c r="A78" s="6342"/>
      <c r="B78" s="6358"/>
      <c r="C78" s="39" t="s">
        <v>8968</v>
      </c>
      <c r="D78" s="78" t="s">
        <v>7632</v>
      </c>
      <c r="E78" s="1147">
        <v>3</v>
      </c>
      <c r="F78" s="1148">
        <v>5</v>
      </c>
      <c r="G78" s="1147">
        <v>5</v>
      </c>
      <c r="H78" s="1147">
        <v>1</v>
      </c>
      <c r="I78" s="1147">
        <v>2</v>
      </c>
      <c r="J78" s="1147">
        <v>4</v>
      </c>
      <c r="K78" s="1147">
        <v>1</v>
      </c>
      <c r="L78" s="1953" t="str">
        <f t="shared" si="7"/>
        <v>Habilidad De Parada+25</v>
      </c>
      <c r="M78" s="227"/>
      <c r="N78" s="6337"/>
      <c r="O78" s="78" t="s">
        <v>2943</v>
      </c>
      <c r="P78" s="78" t="str">
        <f t="shared" si="5"/>
        <v>'Tablas Técnicas'!$D$603:$D$606</v>
      </c>
      <c r="Q78" s="72" t="s">
        <v>2823</v>
      </c>
      <c r="R78" s="72" t="s">
        <v>3134</v>
      </c>
      <c r="S78" s="80" t="s">
        <v>8966</v>
      </c>
      <c r="T78" s="78" t="s">
        <v>1606</v>
      </c>
      <c r="U78" s="78" t="s">
        <v>1699</v>
      </c>
      <c r="V78" s="78" t="s">
        <v>1700</v>
      </c>
      <c r="W78" s="78" t="s">
        <v>8967</v>
      </c>
      <c r="X78" s="1951" t="b">
        <f t="shared" si="6"/>
        <v>0</v>
      </c>
    </row>
    <row r="79" spans="1:24" ht="12" customHeight="1" x14ac:dyDescent="0.2">
      <c r="A79" s="6342"/>
      <c r="B79" s="6358"/>
      <c r="C79" s="39" t="s">
        <v>8968</v>
      </c>
      <c r="D79" s="78" t="s">
        <v>7490</v>
      </c>
      <c r="E79" s="1147">
        <v>4</v>
      </c>
      <c r="F79" s="1148">
        <v>6</v>
      </c>
      <c r="G79" s="1147">
        <v>10</v>
      </c>
      <c r="H79" s="1147">
        <v>2</v>
      </c>
      <c r="I79" s="1147">
        <v>4</v>
      </c>
      <c r="J79" s="1147">
        <v>7</v>
      </c>
      <c r="K79" s="1147">
        <v>1</v>
      </c>
      <c r="L79" s="1953" t="str">
        <f t="shared" si="7"/>
        <v>Habilidad De Parada+40</v>
      </c>
      <c r="M79" s="227"/>
      <c r="N79" s="6337"/>
      <c r="O79" s="78" t="s">
        <v>2946</v>
      </c>
      <c r="P79" s="78" t="str">
        <f t="shared" si="5"/>
        <v>'Tablas Técnicas'!$D$608:$D$611</v>
      </c>
      <c r="Q79" s="72" t="s">
        <v>2820</v>
      </c>
      <c r="R79" s="72" t="s">
        <v>1232</v>
      </c>
      <c r="S79" s="80" t="s">
        <v>8948</v>
      </c>
      <c r="T79" s="78" t="s">
        <v>1603</v>
      </c>
      <c r="U79" s="78" t="s">
        <v>1699</v>
      </c>
      <c r="V79" s="78" t="s">
        <v>1700</v>
      </c>
      <c r="W79" s="78" t="s">
        <v>8864</v>
      </c>
      <c r="X79" s="1951" t="b">
        <f t="shared" si="6"/>
        <v>0</v>
      </c>
    </row>
    <row r="80" spans="1:24" ht="12" customHeight="1" x14ac:dyDescent="0.2">
      <c r="A80" s="6342"/>
      <c r="B80" s="6358"/>
      <c r="C80" s="39" t="s">
        <v>8968</v>
      </c>
      <c r="D80" s="78" t="s">
        <v>7491</v>
      </c>
      <c r="E80" s="1147">
        <v>5</v>
      </c>
      <c r="F80" s="1148">
        <v>8</v>
      </c>
      <c r="G80" s="1147">
        <v>15</v>
      </c>
      <c r="H80" s="1147">
        <v>3</v>
      </c>
      <c r="I80" s="1147">
        <v>6</v>
      </c>
      <c r="J80" s="1147">
        <v>11</v>
      </c>
      <c r="K80" s="1147">
        <v>1</v>
      </c>
      <c r="L80" s="1953" t="str">
        <f t="shared" si="7"/>
        <v>Habilidad De Parada+50</v>
      </c>
      <c r="M80" s="227"/>
      <c r="N80" s="6337"/>
      <c r="O80" s="78" t="s">
        <v>8969</v>
      </c>
      <c r="P80" s="78" t="str">
        <f t="shared" si="5"/>
        <v>'Tablas Técnicas'!$D$613:$D$624</v>
      </c>
      <c r="Q80" s="72" t="s">
        <v>2820</v>
      </c>
      <c r="R80" s="72" t="s">
        <v>1232</v>
      </c>
      <c r="S80" s="80" t="s">
        <v>8970</v>
      </c>
      <c r="T80" s="78" t="s">
        <v>1610</v>
      </c>
      <c r="U80" s="78" t="s">
        <v>1704</v>
      </c>
      <c r="V80" s="78" t="s">
        <v>6926</v>
      </c>
      <c r="W80" s="78" t="s">
        <v>9338</v>
      </c>
      <c r="X80" s="1951" t="b">
        <f t="shared" si="6"/>
        <v>0</v>
      </c>
    </row>
    <row r="81" spans="1:24" ht="12" customHeight="1" x14ac:dyDescent="0.2">
      <c r="A81" s="6342"/>
      <c r="B81" s="6358"/>
      <c r="C81" s="39" t="s">
        <v>8968</v>
      </c>
      <c r="D81" s="78" t="s">
        <v>8842</v>
      </c>
      <c r="E81" s="1147">
        <v>9</v>
      </c>
      <c r="F81" s="1148">
        <v>12</v>
      </c>
      <c r="G81" s="1147">
        <v>20</v>
      </c>
      <c r="H81" s="1147">
        <v>4</v>
      </c>
      <c r="I81" s="1147">
        <v>8</v>
      </c>
      <c r="J81" s="1147">
        <v>14</v>
      </c>
      <c r="K81" s="1147">
        <v>1</v>
      </c>
      <c r="L81" s="1953" t="str">
        <f t="shared" si="7"/>
        <v>Habilidad De Parada+75</v>
      </c>
      <c r="M81" s="227"/>
      <c r="N81" s="6337"/>
      <c r="O81" s="78" t="s">
        <v>8971</v>
      </c>
      <c r="P81" s="78" t="str">
        <f t="shared" si="5"/>
        <v>'Tablas Técnicas'!$D$626:$D$633</v>
      </c>
      <c r="Q81" s="72" t="s">
        <v>2823</v>
      </c>
      <c r="R81" s="72" t="s">
        <v>1232</v>
      </c>
      <c r="S81" s="80" t="s">
        <v>8970</v>
      </c>
      <c r="T81" s="78" t="s">
        <v>1610</v>
      </c>
      <c r="U81" s="78" t="s">
        <v>1704</v>
      </c>
      <c r="V81" s="78" t="s">
        <v>6926</v>
      </c>
      <c r="W81" s="78" t="s">
        <v>9338</v>
      </c>
      <c r="X81" s="1951" t="b">
        <f t="shared" si="6"/>
        <v>0</v>
      </c>
    </row>
    <row r="82" spans="1:24" ht="12" customHeight="1" x14ac:dyDescent="0.2">
      <c r="A82" s="6342"/>
      <c r="B82" s="6358"/>
      <c r="C82" s="39" t="s">
        <v>8968</v>
      </c>
      <c r="D82" s="78" t="s">
        <v>8846</v>
      </c>
      <c r="E82" s="1147">
        <v>12</v>
      </c>
      <c r="F82" s="1148">
        <v>15</v>
      </c>
      <c r="G82" s="1147">
        <v>25</v>
      </c>
      <c r="H82" s="1147">
        <v>5</v>
      </c>
      <c r="I82" s="1147">
        <v>10</v>
      </c>
      <c r="J82" s="1147">
        <v>18</v>
      </c>
      <c r="K82" s="1147">
        <v>1</v>
      </c>
      <c r="L82" s="1953" t="str">
        <f t="shared" si="7"/>
        <v>Habilidad De Parada+90</v>
      </c>
      <c r="M82" s="227"/>
      <c r="N82" s="6337"/>
      <c r="O82" s="78" t="s">
        <v>3176</v>
      </c>
      <c r="P82" s="78" t="str">
        <f t="shared" si="5"/>
        <v>'Tablas Técnicas'!$D$635:$D$637</v>
      </c>
      <c r="Q82" s="78" t="s">
        <v>2820</v>
      </c>
      <c r="R82" s="78" t="s">
        <v>1565</v>
      </c>
      <c r="S82" s="78" t="s">
        <v>8972</v>
      </c>
      <c r="T82" s="78" t="s">
        <v>1606</v>
      </c>
      <c r="U82" s="78" t="s">
        <v>1699</v>
      </c>
      <c r="V82" s="78" t="s">
        <v>1700</v>
      </c>
      <c r="W82" s="78" t="s">
        <v>8967</v>
      </c>
      <c r="X82" s="1951" t="b">
        <f t="shared" si="6"/>
        <v>0</v>
      </c>
    </row>
    <row r="83" spans="1:24" ht="12" customHeight="1" x14ac:dyDescent="0.2">
      <c r="A83" s="6342"/>
      <c r="B83" s="6358"/>
      <c r="C83" s="39" t="s">
        <v>8968</v>
      </c>
      <c r="D83" s="78" t="s">
        <v>8849</v>
      </c>
      <c r="E83" s="1147">
        <v>14</v>
      </c>
      <c r="F83" s="1148">
        <v>18</v>
      </c>
      <c r="G83" s="1147">
        <v>30</v>
      </c>
      <c r="H83" s="1147">
        <v>8</v>
      </c>
      <c r="I83" s="1147">
        <v>16</v>
      </c>
      <c r="J83" s="1147">
        <v>28</v>
      </c>
      <c r="K83" s="1147">
        <v>1</v>
      </c>
      <c r="L83" s="1953" t="str">
        <f t="shared" si="7"/>
        <v>Habilidad De Parada+100</v>
      </c>
      <c r="M83" s="227"/>
      <c r="N83" s="6337"/>
      <c r="O83" s="78" t="s">
        <v>9588</v>
      </c>
      <c r="P83" s="78"/>
      <c r="Q83" s="78"/>
      <c r="R83" s="78"/>
      <c r="S83" s="78"/>
      <c r="T83" s="78"/>
      <c r="U83" s="78"/>
      <c r="V83" s="78"/>
      <c r="W83" s="78"/>
      <c r="X83" s="1951"/>
    </row>
    <row r="84" spans="1:24" ht="12" customHeight="1" x14ac:dyDescent="0.2">
      <c r="A84" s="6342"/>
      <c r="B84" s="6358"/>
      <c r="C84" s="39" t="s">
        <v>8968</v>
      </c>
      <c r="D84" s="78" t="s">
        <v>8850</v>
      </c>
      <c r="E84" s="1147">
        <v>18</v>
      </c>
      <c r="F84" s="1148">
        <v>22</v>
      </c>
      <c r="G84" s="1147">
        <v>35</v>
      </c>
      <c r="H84" s="1147">
        <v>10</v>
      </c>
      <c r="I84" s="1147">
        <v>20</v>
      </c>
      <c r="J84" s="1147">
        <v>35</v>
      </c>
      <c r="K84" s="1147">
        <v>2</v>
      </c>
      <c r="L84" s="1953" t="str">
        <f t="shared" si="7"/>
        <v>Habilidad De Parada+125</v>
      </c>
      <c r="M84" s="227"/>
      <c r="N84" s="6337"/>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51" t="b">
        <f>IFERROR(IF(VLOOKUP(T84,$O$100:$P$105,2,0),TRUE,IF(VLOOKUP(U84,$O$100:$P$105,2,0),TRUE,IF(VLOOKUP(V84,$O$100:$P$105,2,0),TRUE,FALSE))),FALSE)</f>
        <v>0</v>
      </c>
    </row>
    <row r="85" spans="1:24" ht="12" customHeight="1" x14ac:dyDescent="0.2">
      <c r="A85" s="6342"/>
      <c r="B85" s="6358"/>
      <c r="C85" s="39" t="s">
        <v>8968</v>
      </c>
      <c r="D85" s="78" t="s">
        <v>8852</v>
      </c>
      <c r="E85" s="1147">
        <v>22</v>
      </c>
      <c r="F85" s="1148">
        <v>26</v>
      </c>
      <c r="G85" s="1147">
        <v>40</v>
      </c>
      <c r="H85" s="1147">
        <v>12</v>
      </c>
      <c r="I85" s="1147">
        <v>24</v>
      </c>
      <c r="J85" s="1147">
        <v>42</v>
      </c>
      <c r="K85" s="1147">
        <v>2</v>
      </c>
      <c r="L85" s="1953" t="str">
        <f t="shared" si="7"/>
        <v>Habilidad De Parada+150</v>
      </c>
      <c r="M85" s="227"/>
      <c r="N85" s="6337"/>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51" t="b">
        <f>IFERROR(IF(VLOOKUP(T85,$O$100:$P$105,2,0),TRUE,IF(VLOOKUP(U85,$O$100:$P$105,2,0),TRUE,IF(VLOOKUP(V85,$O$100:$P$105,2,0),TRUE,FALSE))),FALSE)</f>
        <v>0</v>
      </c>
    </row>
    <row r="86" spans="1:24" ht="12" customHeight="1" x14ac:dyDescent="0.2">
      <c r="A86" s="6342"/>
      <c r="B86" s="6358"/>
      <c r="C86" s="39" t="s">
        <v>8968</v>
      </c>
      <c r="D86" s="78" t="s">
        <v>8855</v>
      </c>
      <c r="E86" s="1147">
        <v>26</v>
      </c>
      <c r="F86" s="1148">
        <v>32</v>
      </c>
      <c r="G86" s="1147">
        <v>45</v>
      </c>
      <c r="H86" s="1147">
        <v>14</v>
      </c>
      <c r="I86" s="1147">
        <v>28</v>
      </c>
      <c r="J86" s="1147">
        <v>49</v>
      </c>
      <c r="K86" s="1147">
        <v>3</v>
      </c>
      <c r="L86" s="1953" t="str">
        <f t="shared" si="7"/>
        <v>Habilidad De Parada+175</v>
      </c>
      <c r="M86" s="227"/>
      <c r="N86" s="6337"/>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51" t="b">
        <f>IFERROR(IF(VLOOKUP(T86,$O$100:$P$105,2,0),TRUE,IF(VLOOKUP(U86,$O$100:$P$105,2,0),TRUE,IF(VLOOKUP(V86,$O$100:$P$105,2,0),TRUE,FALSE))),FALSE)</f>
        <v>0</v>
      </c>
    </row>
    <row r="87" spans="1:24" ht="12" customHeight="1" x14ac:dyDescent="0.2">
      <c r="A87" s="6342"/>
      <c r="B87" s="6358"/>
      <c r="C87" s="39" t="s">
        <v>8968</v>
      </c>
      <c r="D87" s="78" t="s">
        <v>8857</v>
      </c>
      <c r="E87" s="1147">
        <v>30</v>
      </c>
      <c r="F87" s="1148">
        <v>36</v>
      </c>
      <c r="G87" s="1147">
        <v>50</v>
      </c>
      <c r="H87" s="1147">
        <v>16</v>
      </c>
      <c r="I87" s="1147">
        <v>32</v>
      </c>
      <c r="J87" s="1147">
        <v>56</v>
      </c>
      <c r="K87" s="1147">
        <v>3</v>
      </c>
      <c r="L87" s="1953" t="str">
        <f t="shared" si="7"/>
        <v>Habilidad De Parada+200</v>
      </c>
      <c r="M87" s="227"/>
      <c r="N87" s="6337"/>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51" t="b">
        <f>IFERROR(IF(VLOOKUP(T87,$O$100:$P$105,2,0),TRUE,IF(VLOOKUP(U87,$O$100:$P$105,2,0),TRUE,IF(VLOOKUP(V87,$O$100:$P$105,2,0),TRUE,FALSE))),FALSE)</f>
        <v>0</v>
      </c>
    </row>
    <row r="88" spans="1:24" ht="12" customHeight="1" thickBot="1" x14ac:dyDescent="0.25">
      <c r="A88" s="6342"/>
      <c r="B88" s="6358"/>
      <c r="C88" s="39" t="s">
        <v>8976</v>
      </c>
      <c r="D88" s="78"/>
      <c r="E88" s="1147"/>
      <c r="F88" s="1148"/>
      <c r="G88" s="1147"/>
      <c r="H88" s="1147"/>
      <c r="I88" s="1147"/>
      <c r="J88" s="1147"/>
      <c r="K88" s="1147"/>
      <c r="L88" s="1953" t="str">
        <f t="shared" si="7"/>
        <v>&gt; HABILIDAD DE PARADA COMPLETA</v>
      </c>
      <c r="M88" s="227"/>
      <c r="N88" s="6338"/>
      <c r="O88" s="929" t="str">
        <f>IF(Personalización!AM52=0,"Efecto Personalizado #5",Personalización!AM52)</f>
        <v>Efecto Personalizado #5</v>
      </c>
      <c r="P88" s="929"/>
      <c r="Q88" s="929" t="str">
        <f>IF(Personalización!AN52=0,"",Personalización!AN52)</f>
        <v/>
      </c>
      <c r="R88" s="929" t="str">
        <f>IF(Personalización!AO52=0,"",Personalización!AO52)</f>
        <v/>
      </c>
      <c r="S88" s="929" t="str">
        <f>IF(Personalización!AP52=0,"",Personalización!AP52&amp;" ("&amp;Personalización!AQ52&amp;IF(Personalización!AR52=" ","",", "&amp;Personalización!AR52)&amp;IF(Personalización!AS52=" ","",", "&amp;Personalización!AS52)&amp;IF(Personalización!AT52=" ","",", "&amp;Personalización!AT52)&amp;")")</f>
        <v/>
      </c>
      <c r="T88" s="929" t="str">
        <f>IF(Personalización!BB52=0,"",Personalización!BB52)</f>
        <v/>
      </c>
      <c r="U88" s="929" t="str">
        <f>IF(Personalización!BC52=0,"",Personalización!BC52)</f>
        <v/>
      </c>
      <c r="V88" s="929" t="str">
        <f>IF(Personalización!BD52=0,"",Personalización!BD52)</f>
        <v/>
      </c>
      <c r="W88" s="929" t="str">
        <f>SUBSTITUTE(TRIM(T88&amp;" "&amp;U88&amp;" "&amp;V88)," ",", ")</f>
        <v/>
      </c>
      <c r="X88" s="1956" t="b">
        <f>IFERROR(IF(VLOOKUP(T88,$O$100:$P$105,2,0),TRUE,IF(VLOOKUP(U88,$O$100:$P$105,2,0),TRUE,IF(VLOOKUP(V88,$O$100:$P$105,2,0),TRUE,FALSE))),FALSE)</f>
        <v>0</v>
      </c>
    </row>
    <row r="89" spans="1:24" ht="12" customHeight="1" x14ac:dyDescent="0.2">
      <c r="A89" s="6342"/>
      <c r="B89" s="6358"/>
      <c r="C89" s="39" t="s">
        <v>8978</v>
      </c>
      <c r="D89" s="78" t="s">
        <v>7488</v>
      </c>
      <c r="E89" s="1147">
        <v>4</v>
      </c>
      <c r="F89" s="1148">
        <v>6</v>
      </c>
      <c r="G89" s="1147">
        <v>10</v>
      </c>
      <c r="H89" s="1147">
        <v>2</v>
      </c>
      <c r="I89" s="1147">
        <v>4</v>
      </c>
      <c r="J89" s="1147">
        <v>7</v>
      </c>
      <c r="K89" s="1147">
        <v>1</v>
      </c>
      <c r="L89" s="1953" t="str">
        <f t="shared" si="7"/>
        <v>Habilidad De Parada Completa+10</v>
      </c>
      <c r="M89" s="227"/>
    </row>
    <row r="90" spans="1:24" ht="12" customHeight="1" thickBot="1" x14ac:dyDescent="0.25">
      <c r="A90" s="6342"/>
      <c r="B90" s="6358"/>
      <c r="C90" s="39" t="s">
        <v>8978</v>
      </c>
      <c r="D90" s="78" t="s">
        <v>7632</v>
      </c>
      <c r="E90" s="1147">
        <v>6</v>
      </c>
      <c r="F90" s="1148">
        <v>9</v>
      </c>
      <c r="G90" s="1147">
        <v>15</v>
      </c>
      <c r="H90" s="1147">
        <v>4</v>
      </c>
      <c r="I90" s="1147">
        <v>8</v>
      </c>
      <c r="J90" s="1147">
        <v>14</v>
      </c>
      <c r="K90" s="1147">
        <v>1</v>
      </c>
      <c r="L90" s="1953" t="str">
        <f t="shared" si="7"/>
        <v>Habilidad De Parada Completa+25</v>
      </c>
      <c r="M90" s="227"/>
    </row>
    <row r="91" spans="1:24" ht="12" customHeight="1" x14ac:dyDescent="0.2">
      <c r="A91" s="6342"/>
      <c r="B91" s="6358"/>
      <c r="C91" s="39" t="s">
        <v>8978</v>
      </c>
      <c r="D91" s="78" t="s">
        <v>7490</v>
      </c>
      <c r="E91" s="1147">
        <v>9</v>
      </c>
      <c r="F91" s="1148">
        <v>12</v>
      </c>
      <c r="G91" s="1147">
        <v>20</v>
      </c>
      <c r="H91" s="1147">
        <v>6</v>
      </c>
      <c r="I91" s="1147">
        <v>12</v>
      </c>
      <c r="J91" s="1147">
        <v>21</v>
      </c>
      <c r="K91" s="1147">
        <v>1</v>
      </c>
      <c r="L91" s="1953" t="str">
        <f t="shared" si="7"/>
        <v>Habilidad De Parada Completa+40</v>
      </c>
      <c r="M91" s="227"/>
      <c r="O91" s="1952" t="s">
        <v>8853</v>
      </c>
      <c r="P91" s="1952" t="s">
        <v>9305</v>
      </c>
    </row>
    <row r="92" spans="1:24" ht="12" customHeight="1" x14ac:dyDescent="0.2">
      <c r="A92" s="6342"/>
      <c r="B92" s="6358"/>
      <c r="C92" s="39" t="s">
        <v>8978</v>
      </c>
      <c r="D92" s="78" t="s">
        <v>7491</v>
      </c>
      <c r="E92" s="1147">
        <v>12</v>
      </c>
      <c r="F92" s="1148">
        <v>15</v>
      </c>
      <c r="G92" s="1147">
        <v>35</v>
      </c>
      <c r="H92" s="1147">
        <v>9</v>
      </c>
      <c r="I92" s="1147">
        <v>18</v>
      </c>
      <c r="J92" s="1147">
        <v>32</v>
      </c>
      <c r="K92" s="1147">
        <v>2</v>
      </c>
      <c r="L92" s="1953" t="str">
        <f t="shared" si="7"/>
        <v>Habilidad De Parada Completa+50</v>
      </c>
      <c r="M92" s="227"/>
      <c r="O92" s="1954">
        <v>0</v>
      </c>
      <c r="P92" s="1954">
        <v>0</v>
      </c>
    </row>
    <row r="93" spans="1:24" ht="12" customHeight="1" x14ac:dyDescent="0.2">
      <c r="A93" s="6342"/>
      <c r="B93" s="6358"/>
      <c r="C93" s="39" t="s">
        <v>8978</v>
      </c>
      <c r="D93" s="78" t="s">
        <v>8842</v>
      </c>
      <c r="E93" s="1147">
        <v>18</v>
      </c>
      <c r="F93" s="1148">
        <v>22</v>
      </c>
      <c r="G93" s="1147">
        <v>50</v>
      </c>
      <c r="H93" s="1147">
        <v>12</v>
      </c>
      <c r="I93" s="1147">
        <v>24</v>
      </c>
      <c r="J93" s="1147">
        <v>42</v>
      </c>
      <c r="K93" s="1147">
        <v>2</v>
      </c>
      <c r="L93" s="1953" t="str">
        <f t="shared" si="7"/>
        <v>Habilidad De Parada Completa+75</v>
      </c>
      <c r="M93" s="227"/>
      <c r="O93" s="1954">
        <v>-5</v>
      </c>
      <c r="P93" s="1954">
        <v>-1</v>
      </c>
    </row>
    <row r="94" spans="1:24" ht="12" customHeight="1" x14ac:dyDescent="0.2">
      <c r="A94" s="6342"/>
      <c r="B94" s="6358"/>
      <c r="C94" s="39" t="s">
        <v>8978</v>
      </c>
      <c r="D94" s="78" t="s">
        <v>8846</v>
      </c>
      <c r="E94" s="1147">
        <v>26</v>
      </c>
      <c r="F94" s="1148">
        <v>32</v>
      </c>
      <c r="G94" s="1147">
        <v>65</v>
      </c>
      <c r="H94" s="1147">
        <v>15</v>
      </c>
      <c r="I94" s="1147">
        <v>30</v>
      </c>
      <c r="J94" s="1147">
        <v>53</v>
      </c>
      <c r="K94" s="1147">
        <v>3</v>
      </c>
      <c r="L94" s="1953" t="str">
        <f t="shared" si="7"/>
        <v>Habilidad De Parada Completa+90</v>
      </c>
      <c r="M94" s="227"/>
      <c r="O94" s="1954">
        <v>-10</v>
      </c>
      <c r="P94" s="1954">
        <v>-2</v>
      </c>
    </row>
    <row r="95" spans="1:24" ht="12" customHeight="1" x14ac:dyDescent="0.2">
      <c r="A95" s="6342"/>
      <c r="B95" s="6358"/>
      <c r="C95" s="39" t="s">
        <v>8978</v>
      </c>
      <c r="D95" s="78" t="s">
        <v>8849</v>
      </c>
      <c r="E95" s="1147">
        <v>30</v>
      </c>
      <c r="F95" s="1148">
        <v>36</v>
      </c>
      <c r="G95" s="1147">
        <v>75</v>
      </c>
      <c r="H95" s="1147">
        <v>18</v>
      </c>
      <c r="I95" s="1147">
        <v>36</v>
      </c>
      <c r="J95" s="1147">
        <v>63</v>
      </c>
      <c r="K95" s="1147">
        <v>3</v>
      </c>
      <c r="L95" s="1953" t="str">
        <f t="shared" si="7"/>
        <v>Habilidad De Parada Completa+100</v>
      </c>
      <c r="M95" s="227"/>
      <c r="O95" s="1954">
        <v>-15</v>
      </c>
      <c r="P95" s="1954">
        <v>-3</v>
      </c>
    </row>
    <row r="96" spans="1:24" ht="12" customHeight="1" thickBot="1" x14ac:dyDescent="0.25">
      <c r="A96" s="6342"/>
      <c r="B96" s="6358"/>
      <c r="C96" s="39" t="s">
        <v>8982</v>
      </c>
      <c r="D96" s="78"/>
      <c r="E96" s="1147"/>
      <c r="F96" s="1148"/>
      <c r="G96" s="1147"/>
      <c r="H96" s="1147"/>
      <c r="I96" s="1147"/>
      <c r="J96" s="1147"/>
      <c r="K96" s="1147"/>
      <c r="L96" s="1953" t="str">
        <f t="shared" si="7"/>
        <v>&gt; HABILIDAD DE PARADA LIMITADA</v>
      </c>
      <c r="M96" s="227"/>
      <c r="O96" s="1955">
        <v>-20</v>
      </c>
      <c r="P96" s="1954">
        <v>-4</v>
      </c>
    </row>
    <row r="97" spans="1:16" ht="12" customHeight="1" thickBot="1" x14ac:dyDescent="0.25">
      <c r="A97" s="6342"/>
      <c r="B97" s="6358"/>
      <c r="C97" s="39" t="s">
        <v>8984</v>
      </c>
      <c r="D97" s="78" t="s">
        <v>7488</v>
      </c>
      <c r="E97" s="1147">
        <v>1</v>
      </c>
      <c r="F97" s="1148">
        <v>2</v>
      </c>
      <c r="G97" s="1147">
        <v>5</v>
      </c>
      <c r="H97" s="1147">
        <v>1</v>
      </c>
      <c r="I97" s="1147">
        <v>2</v>
      </c>
      <c r="J97" s="1147">
        <v>4</v>
      </c>
      <c r="K97" s="1147">
        <v>1</v>
      </c>
      <c r="L97" s="1953" t="str">
        <f t="shared" si="7"/>
        <v>Habilidad De Parada Limitada+10</v>
      </c>
      <c r="M97" s="227"/>
      <c r="O97" s="227"/>
      <c r="P97" s="1955">
        <v>-5</v>
      </c>
    </row>
    <row r="98" spans="1:16" ht="12" customHeight="1" thickBot="1" x14ac:dyDescent="0.25">
      <c r="A98" s="6342"/>
      <c r="B98" s="6358"/>
      <c r="C98" s="39" t="s">
        <v>8984</v>
      </c>
      <c r="D98" s="78" t="s">
        <v>7632</v>
      </c>
      <c r="E98" s="1147">
        <v>2</v>
      </c>
      <c r="F98" s="1148">
        <v>4</v>
      </c>
      <c r="G98" s="1147">
        <v>5</v>
      </c>
      <c r="H98" s="1147">
        <v>1</v>
      </c>
      <c r="I98" s="1147">
        <v>2</v>
      </c>
      <c r="J98" s="1147">
        <v>4</v>
      </c>
      <c r="K98" s="1147">
        <v>1</v>
      </c>
      <c r="L98" s="1953" t="str">
        <f t="shared" si="7"/>
        <v>Habilidad De Parada Limitada+25</v>
      </c>
      <c r="M98" s="227"/>
      <c r="O98" s="227"/>
    </row>
    <row r="99" spans="1:16" ht="12" customHeight="1" x14ac:dyDescent="0.2">
      <c r="A99" s="6342"/>
      <c r="B99" s="6358"/>
      <c r="C99" s="39" t="s">
        <v>8984</v>
      </c>
      <c r="D99" s="78" t="s">
        <v>7490</v>
      </c>
      <c r="E99" s="1147">
        <v>3</v>
      </c>
      <c r="F99" s="1148">
        <v>5</v>
      </c>
      <c r="G99" s="1147">
        <v>10</v>
      </c>
      <c r="H99" s="1147">
        <v>1</v>
      </c>
      <c r="I99" s="1147">
        <v>2</v>
      </c>
      <c r="J99" s="1147">
        <v>4</v>
      </c>
      <c r="K99" s="1147">
        <v>1</v>
      </c>
      <c r="L99" s="1953" t="str">
        <f t="shared" si="7"/>
        <v>Habilidad De Parada Limitada+40</v>
      </c>
      <c r="M99" s="227"/>
      <c r="O99" s="1952" t="s">
        <v>8803</v>
      </c>
      <c r="P99" s="1952" t="s">
        <v>9314</v>
      </c>
    </row>
    <row r="100" spans="1:16" ht="12" customHeight="1" x14ac:dyDescent="0.2">
      <c r="A100" s="6342"/>
      <c r="B100" s="6358"/>
      <c r="C100" s="39" t="s">
        <v>8984</v>
      </c>
      <c r="D100" s="78" t="s">
        <v>7491</v>
      </c>
      <c r="E100" s="1147">
        <v>4</v>
      </c>
      <c r="F100" s="1148">
        <v>6</v>
      </c>
      <c r="G100" s="1147">
        <v>10</v>
      </c>
      <c r="H100" s="1147">
        <v>2</v>
      </c>
      <c r="I100" s="1147">
        <v>4</v>
      </c>
      <c r="J100" s="1147">
        <v>7</v>
      </c>
      <c r="K100" s="1147">
        <v>1</v>
      </c>
      <c r="L100" s="1953" t="str">
        <f t="shared" si="7"/>
        <v>Habilidad De Parada Limitada+50</v>
      </c>
      <c r="M100" s="227"/>
      <c r="O100" s="1954" t="s">
        <v>1603</v>
      </c>
      <c r="P100" s="1954" t="b">
        <f>ISNUMBER(FIND("Empatía Elemental ("&amp;O100&amp;")",Principal!$AF$30))</f>
        <v>0</v>
      </c>
    </row>
    <row r="101" spans="1:16" ht="12" customHeight="1" x14ac:dyDescent="0.2">
      <c r="A101" s="6342"/>
      <c r="B101" s="6358"/>
      <c r="C101" s="39" t="s">
        <v>8984</v>
      </c>
      <c r="D101" s="78" t="s">
        <v>8842</v>
      </c>
      <c r="E101" s="1147">
        <v>6</v>
      </c>
      <c r="F101" s="1148">
        <v>9</v>
      </c>
      <c r="G101" s="1147">
        <v>15</v>
      </c>
      <c r="H101" s="1147">
        <v>3</v>
      </c>
      <c r="I101" s="1147">
        <v>6</v>
      </c>
      <c r="J101" s="1147">
        <v>11</v>
      </c>
      <c r="K101" s="1147">
        <v>1</v>
      </c>
      <c r="L101" s="1953" t="str">
        <f t="shared" si="7"/>
        <v>Habilidad De Parada Limitada+75</v>
      </c>
      <c r="M101" s="227"/>
      <c r="O101" s="1954" t="s">
        <v>1606</v>
      </c>
      <c r="P101" s="1954" t="b">
        <f>ISNUMBER(FIND("Empatía Elemental ("&amp;O101&amp;")",Principal!$AF$30))</f>
        <v>0</v>
      </c>
    </row>
    <row r="102" spans="1:16" ht="12" customHeight="1" x14ac:dyDescent="0.2">
      <c r="A102" s="6342"/>
      <c r="B102" s="6358"/>
      <c r="C102" s="39" t="s">
        <v>8984</v>
      </c>
      <c r="D102" s="78" t="s">
        <v>8846</v>
      </c>
      <c r="E102" s="1147">
        <v>8</v>
      </c>
      <c r="F102" s="1148">
        <v>11</v>
      </c>
      <c r="G102" s="1147">
        <v>20</v>
      </c>
      <c r="H102" s="1147">
        <v>4</v>
      </c>
      <c r="I102" s="1147">
        <v>8</v>
      </c>
      <c r="J102" s="1147">
        <v>14</v>
      </c>
      <c r="K102" s="1147">
        <v>1</v>
      </c>
      <c r="L102" s="1953" t="str">
        <f t="shared" si="7"/>
        <v>Habilidad De Parada Limitada+90</v>
      </c>
      <c r="M102" s="227"/>
      <c r="O102" s="1954" t="s">
        <v>1610</v>
      </c>
      <c r="P102" s="1954" t="b">
        <f>ISNUMBER(FIND("Empatía Elemental ("&amp;O102&amp;")",Principal!$AF$30))</f>
        <v>0</v>
      </c>
    </row>
    <row r="103" spans="1:16" ht="12" customHeight="1" x14ac:dyDescent="0.2">
      <c r="A103" s="6342"/>
      <c r="B103" s="6358"/>
      <c r="C103" s="39" t="s">
        <v>8984</v>
      </c>
      <c r="D103" s="78" t="s">
        <v>8849</v>
      </c>
      <c r="E103" s="1147">
        <v>10</v>
      </c>
      <c r="F103" s="1148">
        <v>13</v>
      </c>
      <c r="G103" s="1147">
        <v>25</v>
      </c>
      <c r="H103" s="1147">
        <v>6</v>
      </c>
      <c r="I103" s="1147">
        <v>12</v>
      </c>
      <c r="J103" s="1147">
        <v>21</v>
      </c>
      <c r="K103" s="1147">
        <v>1</v>
      </c>
      <c r="L103" s="1953" t="str">
        <f t="shared" si="7"/>
        <v>Habilidad De Parada Limitada+100</v>
      </c>
      <c r="M103" s="227"/>
      <c r="O103" s="1954" t="s">
        <v>1704</v>
      </c>
      <c r="P103" s="1954" t="b">
        <f>ISNUMBER(FIND("Empatía Elemental ("&amp;O103&amp;")",Principal!$AF$30))</f>
        <v>0</v>
      </c>
    </row>
    <row r="104" spans="1:16" ht="12" customHeight="1" x14ac:dyDescent="0.2">
      <c r="A104" s="6342"/>
      <c r="B104" s="6358"/>
      <c r="C104" s="39" t="s">
        <v>8984</v>
      </c>
      <c r="D104" s="78" t="s">
        <v>8850</v>
      </c>
      <c r="E104" s="1147">
        <v>12</v>
      </c>
      <c r="F104" s="1148">
        <v>15</v>
      </c>
      <c r="G104" s="1147">
        <v>30</v>
      </c>
      <c r="H104" s="1147">
        <v>8</v>
      </c>
      <c r="I104" s="1147">
        <v>16</v>
      </c>
      <c r="J104" s="1147">
        <v>28</v>
      </c>
      <c r="K104" s="1147">
        <v>2</v>
      </c>
      <c r="L104" s="1953" t="str">
        <f t="shared" si="7"/>
        <v>Habilidad De Parada Limitada+125</v>
      </c>
      <c r="M104" s="227"/>
      <c r="O104" s="1954" t="s">
        <v>1699</v>
      </c>
      <c r="P104" s="1954" t="b">
        <f>ISNUMBER(FIND("Empatía Elemental ("&amp;O104&amp;")",Principal!$AF$30))</f>
        <v>0</v>
      </c>
    </row>
    <row r="105" spans="1:16" ht="12" customHeight="1" thickBot="1" x14ac:dyDescent="0.25">
      <c r="A105" s="6342"/>
      <c r="B105" s="6358"/>
      <c r="C105" s="39" t="s">
        <v>8984</v>
      </c>
      <c r="D105" s="78" t="s">
        <v>8852</v>
      </c>
      <c r="E105" s="1147">
        <v>16</v>
      </c>
      <c r="F105" s="1148">
        <v>20</v>
      </c>
      <c r="G105" s="1147">
        <v>35</v>
      </c>
      <c r="H105" s="1147">
        <v>10</v>
      </c>
      <c r="I105" s="1147">
        <v>20</v>
      </c>
      <c r="J105" s="1147">
        <v>35</v>
      </c>
      <c r="K105" s="1147">
        <v>2</v>
      </c>
      <c r="L105" s="1953" t="str">
        <f t="shared" si="7"/>
        <v>Habilidad De Parada Limitada+150</v>
      </c>
      <c r="M105" s="227"/>
      <c r="O105" s="1955" t="s">
        <v>1700</v>
      </c>
      <c r="P105" s="1955" t="b">
        <f>ISNUMBER(FIND("Empatía Elemental ("&amp;O105&amp;")",Principal!$AF$30))</f>
        <v>0</v>
      </c>
    </row>
    <row r="106" spans="1:16" ht="12" customHeight="1" x14ac:dyDescent="0.2">
      <c r="A106" s="6342"/>
      <c r="B106" s="6358"/>
      <c r="C106" s="39" t="s">
        <v>8984</v>
      </c>
      <c r="D106" s="78" t="s">
        <v>8855</v>
      </c>
      <c r="E106" s="1147">
        <v>20</v>
      </c>
      <c r="F106" s="1148">
        <v>24</v>
      </c>
      <c r="G106" s="1147">
        <v>40</v>
      </c>
      <c r="H106" s="1147">
        <v>12</v>
      </c>
      <c r="I106" s="1147">
        <v>24</v>
      </c>
      <c r="J106" s="1147">
        <v>42</v>
      </c>
      <c r="K106" s="1147">
        <v>3</v>
      </c>
      <c r="L106" s="1953" t="str">
        <f t="shared" si="7"/>
        <v>Habilidad De Parada Limitada+175</v>
      </c>
      <c r="M106" s="227"/>
    </row>
    <row r="107" spans="1:16" ht="12" customHeight="1" x14ac:dyDescent="0.2">
      <c r="A107" s="6342"/>
      <c r="B107" s="6358"/>
      <c r="C107" s="39" t="s">
        <v>8984</v>
      </c>
      <c r="D107" s="78" t="s">
        <v>8857</v>
      </c>
      <c r="E107" s="1147">
        <v>24</v>
      </c>
      <c r="F107" s="1148">
        <v>29</v>
      </c>
      <c r="G107" s="1147">
        <v>45</v>
      </c>
      <c r="H107" s="1147">
        <v>14</v>
      </c>
      <c r="I107" s="1147">
        <v>28</v>
      </c>
      <c r="J107" s="1147">
        <v>49</v>
      </c>
      <c r="K107" s="1147">
        <v>3</v>
      </c>
      <c r="L107" s="1953" t="str">
        <f t="shared" si="7"/>
        <v>Habilidad De Parada Limitada+200</v>
      </c>
      <c r="M107" s="227"/>
    </row>
    <row r="108" spans="1:16" ht="12" customHeight="1" x14ac:dyDescent="0.2">
      <c r="A108" s="6342"/>
      <c r="B108" s="6358"/>
      <c r="C108" s="39" t="s">
        <v>8993</v>
      </c>
      <c r="D108" s="78"/>
      <c r="E108" s="1147"/>
      <c r="F108" s="1148"/>
      <c r="G108" s="1147"/>
      <c r="H108" s="1147"/>
      <c r="I108" s="1147"/>
      <c r="J108" s="1147"/>
      <c r="K108" s="1147"/>
      <c r="L108" s="1953" t="str">
        <f t="shared" si="7"/>
        <v>&gt; HABILIDAD DE ESQUIVA</v>
      </c>
      <c r="M108" s="227"/>
    </row>
    <row r="109" spans="1:16" ht="12" customHeight="1" x14ac:dyDescent="0.2">
      <c r="A109" s="6342"/>
      <c r="B109" s="6358"/>
      <c r="C109" s="39" t="s">
        <v>8994</v>
      </c>
      <c r="D109" s="78" t="s">
        <v>7488</v>
      </c>
      <c r="E109" s="1147">
        <v>2</v>
      </c>
      <c r="F109" s="1148">
        <v>4</v>
      </c>
      <c r="G109" s="1147">
        <v>5</v>
      </c>
      <c r="H109" s="1147">
        <v>1</v>
      </c>
      <c r="I109" s="1147">
        <v>2</v>
      </c>
      <c r="J109" s="1147">
        <v>4</v>
      </c>
      <c r="K109" s="1147">
        <v>1</v>
      </c>
      <c r="L109" s="1953" t="str">
        <f t="shared" si="7"/>
        <v>Habilidad De Esquiva+10</v>
      </c>
      <c r="M109" s="227"/>
    </row>
    <row r="110" spans="1:16" ht="12" customHeight="1" x14ac:dyDescent="0.2">
      <c r="A110" s="6342"/>
      <c r="B110" s="6358"/>
      <c r="C110" s="39" t="s">
        <v>8994</v>
      </c>
      <c r="D110" s="78" t="s">
        <v>7632</v>
      </c>
      <c r="E110" s="1147">
        <v>3</v>
      </c>
      <c r="F110" s="1148">
        <v>5</v>
      </c>
      <c r="G110" s="1147">
        <v>5</v>
      </c>
      <c r="H110" s="1147">
        <v>1</v>
      </c>
      <c r="I110" s="1147">
        <v>2</v>
      </c>
      <c r="J110" s="1147">
        <v>4</v>
      </c>
      <c r="K110" s="1147">
        <v>1</v>
      </c>
      <c r="L110" s="1953" t="str">
        <f t="shared" si="7"/>
        <v>Habilidad De Esquiva+25</v>
      </c>
      <c r="M110" s="227"/>
    </row>
    <row r="111" spans="1:16" ht="12" customHeight="1" x14ac:dyDescent="0.2">
      <c r="A111" s="6342"/>
      <c r="B111" s="6358"/>
      <c r="C111" s="39" t="s">
        <v>8994</v>
      </c>
      <c r="D111" s="78" t="s">
        <v>7490</v>
      </c>
      <c r="E111" s="1147">
        <v>4</v>
      </c>
      <c r="F111" s="1148">
        <v>6</v>
      </c>
      <c r="G111" s="1147">
        <v>10</v>
      </c>
      <c r="H111" s="1147">
        <v>2</v>
      </c>
      <c r="I111" s="1147">
        <v>4</v>
      </c>
      <c r="J111" s="1147">
        <v>7</v>
      </c>
      <c r="K111" s="1147">
        <v>1</v>
      </c>
      <c r="L111" s="1953" t="str">
        <f t="shared" si="7"/>
        <v>Habilidad De Esquiva+40</v>
      </c>
      <c r="M111" s="227"/>
    </row>
    <row r="112" spans="1:16" ht="12" customHeight="1" x14ac:dyDescent="0.2">
      <c r="A112" s="6342"/>
      <c r="B112" s="6358"/>
      <c r="C112" s="39" t="s">
        <v>8994</v>
      </c>
      <c r="D112" s="78" t="s">
        <v>7491</v>
      </c>
      <c r="E112" s="1147">
        <v>5</v>
      </c>
      <c r="F112" s="1148">
        <v>8</v>
      </c>
      <c r="G112" s="1147">
        <v>15</v>
      </c>
      <c r="H112" s="1147">
        <v>3</v>
      </c>
      <c r="I112" s="1147">
        <v>6</v>
      </c>
      <c r="J112" s="1147">
        <v>11</v>
      </c>
      <c r="K112" s="1147">
        <v>1</v>
      </c>
      <c r="L112" s="1953" t="str">
        <f t="shared" si="7"/>
        <v>Habilidad De Esquiva+50</v>
      </c>
      <c r="M112" s="227"/>
    </row>
    <row r="113" spans="1:13" ht="12" customHeight="1" x14ac:dyDescent="0.2">
      <c r="A113" s="6342"/>
      <c r="B113" s="6358"/>
      <c r="C113" s="39" t="s">
        <v>8994</v>
      </c>
      <c r="D113" s="78" t="s">
        <v>8842</v>
      </c>
      <c r="E113" s="1147">
        <v>8</v>
      </c>
      <c r="F113" s="1148">
        <v>11</v>
      </c>
      <c r="G113" s="1147">
        <v>20</v>
      </c>
      <c r="H113" s="1147">
        <v>4</v>
      </c>
      <c r="I113" s="1147">
        <v>8</v>
      </c>
      <c r="J113" s="1147">
        <v>14</v>
      </c>
      <c r="K113" s="1147">
        <v>1</v>
      </c>
      <c r="L113" s="1953" t="str">
        <f t="shared" si="7"/>
        <v>Habilidad De Esquiva+75</v>
      </c>
      <c r="M113" s="227"/>
    </row>
    <row r="114" spans="1:13" ht="12" customHeight="1" x14ac:dyDescent="0.2">
      <c r="A114" s="6342"/>
      <c r="B114" s="6358"/>
      <c r="C114" s="39" t="s">
        <v>8994</v>
      </c>
      <c r="D114" s="78" t="s">
        <v>8846</v>
      </c>
      <c r="E114" s="1147">
        <v>12</v>
      </c>
      <c r="F114" s="1148">
        <v>15</v>
      </c>
      <c r="G114" s="1147">
        <v>25</v>
      </c>
      <c r="H114" s="1147">
        <v>5</v>
      </c>
      <c r="I114" s="1147">
        <v>10</v>
      </c>
      <c r="J114" s="1147">
        <v>18</v>
      </c>
      <c r="K114" s="1147">
        <v>1</v>
      </c>
      <c r="L114" s="1953" t="str">
        <f t="shared" si="7"/>
        <v>Habilidad De Esquiva+90</v>
      </c>
      <c r="M114" s="227"/>
    </row>
    <row r="115" spans="1:13" ht="12" customHeight="1" x14ac:dyDescent="0.2">
      <c r="A115" s="6342"/>
      <c r="B115" s="6358"/>
      <c r="C115" s="39" t="s">
        <v>8994</v>
      </c>
      <c r="D115" s="78" t="s">
        <v>8849</v>
      </c>
      <c r="E115" s="1147">
        <v>14</v>
      </c>
      <c r="F115" s="1148">
        <v>18</v>
      </c>
      <c r="G115" s="1147">
        <v>30</v>
      </c>
      <c r="H115" s="1147">
        <v>8</v>
      </c>
      <c r="I115" s="1147">
        <v>16</v>
      </c>
      <c r="J115" s="1147">
        <v>28</v>
      </c>
      <c r="K115" s="1147">
        <v>1</v>
      </c>
      <c r="L115" s="1953" t="str">
        <f t="shared" si="7"/>
        <v>Habilidad De Esquiva+100</v>
      </c>
      <c r="M115" s="227"/>
    </row>
    <row r="116" spans="1:13" ht="12" customHeight="1" x14ac:dyDescent="0.2">
      <c r="A116" s="6342"/>
      <c r="B116" s="6358"/>
      <c r="C116" s="39" t="s">
        <v>8994</v>
      </c>
      <c r="D116" s="78" t="s">
        <v>8850</v>
      </c>
      <c r="E116" s="1147">
        <v>18</v>
      </c>
      <c r="F116" s="1148">
        <v>22</v>
      </c>
      <c r="G116" s="1147">
        <v>35</v>
      </c>
      <c r="H116" s="1147">
        <v>10</v>
      </c>
      <c r="I116" s="1147">
        <v>20</v>
      </c>
      <c r="J116" s="1147">
        <v>35</v>
      </c>
      <c r="K116" s="1147">
        <v>2</v>
      </c>
      <c r="L116" s="1953" t="str">
        <f t="shared" si="7"/>
        <v>Habilidad De Esquiva+125</v>
      </c>
      <c r="M116" s="227"/>
    </row>
    <row r="117" spans="1:13" ht="12" customHeight="1" x14ac:dyDescent="0.2">
      <c r="A117" s="6342"/>
      <c r="B117" s="6358"/>
      <c r="C117" s="39" t="s">
        <v>8994</v>
      </c>
      <c r="D117" s="78" t="s">
        <v>8852</v>
      </c>
      <c r="E117" s="1147">
        <v>22</v>
      </c>
      <c r="F117" s="1148">
        <v>26</v>
      </c>
      <c r="G117" s="1147">
        <v>40</v>
      </c>
      <c r="H117" s="1147">
        <v>12</v>
      </c>
      <c r="I117" s="1147">
        <v>24</v>
      </c>
      <c r="J117" s="1147">
        <v>42</v>
      </c>
      <c r="K117" s="1147">
        <v>2</v>
      </c>
      <c r="L117" s="1953" t="str">
        <f t="shared" si="7"/>
        <v>Habilidad De Esquiva+150</v>
      </c>
      <c r="M117" s="227"/>
    </row>
    <row r="118" spans="1:13" ht="12" customHeight="1" x14ac:dyDescent="0.2">
      <c r="A118" s="6342"/>
      <c r="B118" s="6358"/>
      <c r="C118" s="39" t="s">
        <v>8994</v>
      </c>
      <c r="D118" s="78" t="s">
        <v>8855</v>
      </c>
      <c r="E118" s="1147">
        <v>26</v>
      </c>
      <c r="F118" s="1148">
        <v>32</v>
      </c>
      <c r="G118" s="1147">
        <v>45</v>
      </c>
      <c r="H118" s="1147">
        <v>14</v>
      </c>
      <c r="I118" s="1147">
        <v>28</v>
      </c>
      <c r="J118" s="1147">
        <v>49</v>
      </c>
      <c r="K118" s="1147">
        <v>3</v>
      </c>
      <c r="L118" s="1953" t="str">
        <f t="shared" si="7"/>
        <v>Habilidad De Esquiva+175</v>
      </c>
      <c r="M118" s="227"/>
    </row>
    <row r="119" spans="1:13" ht="12" customHeight="1" x14ac:dyDescent="0.2">
      <c r="A119" s="6342"/>
      <c r="B119" s="6358"/>
      <c r="C119" s="39" t="s">
        <v>8994</v>
      </c>
      <c r="D119" s="78" t="s">
        <v>8857</v>
      </c>
      <c r="E119" s="1147">
        <v>30</v>
      </c>
      <c r="F119" s="1148">
        <v>36</v>
      </c>
      <c r="G119" s="1147">
        <v>50</v>
      </c>
      <c r="H119" s="1147">
        <v>16</v>
      </c>
      <c r="I119" s="1147">
        <v>32</v>
      </c>
      <c r="J119" s="1147">
        <v>56</v>
      </c>
      <c r="K119" s="1147">
        <v>3</v>
      </c>
      <c r="L119" s="1953" t="str">
        <f t="shared" si="7"/>
        <v>Habilidad De Esquiva+200</v>
      </c>
      <c r="M119" s="227"/>
    </row>
    <row r="120" spans="1:13" ht="12" customHeight="1" x14ac:dyDescent="0.2">
      <c r="A120" s="6342"/>
      <c r="B120" s="6358"/>
      <c r="C120" s="39" t="s">
        <v>9003</v>
      </c>
      <c r="D120" s="78"/>
      <c r="E120" s="1147"/>
      <c r="F120" s="1148"/>
      <c r="G120" s="1147"/>
      <c r="H120" s="1147"/>
      <c r="I120" s="1147"/>
      <c r="J120" s="1147"/>
      <c r="K120" s="1147"/>
      <c r="L120" s="1953" t="str">
        <f t="shared" si="7"/>
        <v>&gt; HABILIDAD DE ESQUIVA COMPLETA</v>
      </c>
      <c r="M120" s="227"/>
    </row>
    <row r="121" spans="1:13" ht="12" customHeight="1" x14ac:dyDescent="0.2">
      <c r="A121" s="6342"/>
      <c r="B121" s="6358"/>
      <c r="C121" s="39" t="s">
        <v>9005</v>
      </c>
      <c r="D121" s="78" t="s">
        <v>7488</v>
      </c>
      <c r="E121" s="1147">
        <v>4</v>
      </c>
      <c r="F121" s="1148">
        <v>6</v>
      </c>
      <c r="G121" s="1147">
        <v>10</v>
      </c>
      <c r="H121" s="1147">
        <v>2</v>
      </c>
      <c r="I121" s="1147">
        <v>4</v>
      </c>
      <c r="J121" s="1147">
        <v>7</v>
      </c>
      <c r="K121" s="1147">
        <v>1</v>
      </c>
      <c r="L121" s="1953" t="str">
        <f t="shared" si="7"/>
        <v>Habilidad De Esquiva Completa+10</v>
      </c>
      <c r="M121" s="227"/>
    </row>
    <row r="122" spans="1:13" ht="12" customHeight="1" x14ac:dyDescent="0.2">
      <c r="A122" s="6342"/>
      <c r="B122" s="6358"/>
      <c r="C122" s="39" t="s">
        <v>9005</v>
      </c>
      <c r="D122" s="78" t="s">
        <v>7632</v>
      </c>
      <c r="E122" s="1147">
        <v>6</v>
      </c>
      <c r="F122" s="1148">
        <v>9</v>
      </c>
      <c r="G122" s="1147">
        <v>15</v>
      </c>
      <c r="H122" s="1147">
        <v>4</v>
      </c>
      <c r="I122" s="1147">
        <v>8</v>
      </c>
      <c r="J122" s="1147">
        <v>14</v>
      </c>
      <c r="K122" s="1147">
        <v>1</v>
      </c>
      <c r="L122" s="1953" t="str">
        <f t="shared" si="7"/>
        <v>Habilidad De Esquiva Completa+25</v>
      </c>
      <c r="M122" s="227"/>
    </row>
    <row r="123" spans="1:13" ht="12" customHeight="1" x14ac:dyDescent="0.2">
      <c r="A123" s="6342"/>
      <c r="B123" s="6358"/>
      <c r="C123" s="39" t="s">
        <v>9005</v>
      </c>
      <c r="D123" s="78" t="s">
        <v>7490</v>
      </c>
      <c r="E123" s="1147">
        <v>9</v>
      </c>
      <c r="F123" s="1148">
        <v>12</v>
      </c>
      <c r="G123" s="1147">
        <v>20</v>
      </c>
      <c r="H123" s="1147">
        <v>6</v>
      </c>
      <c r="I123" s="1147">
        <v>12</v>
      </c>
      <c r="J123" s="1147">
        <v>21</v>
      </c>
      <c r="K123" s="1147">
        <v>1</v>
      </c>
      <c r="L123" s="1953" t="str">
        <f t="shared" si="7"/>
        <v>Habilidad De Esquiva Completa+40</v>
      </c>
      <c r="M123" s="227"/>
    </row>
    <row r="124" spans="1:13" ht="12" customHeight="1" x14ac:dyDescent="0.2">
      <c r="A124" s="6342"/>
      <c r="B124" s="6358"/>
      <c r="C124" s="39" t="s">
        <v>9005</v>
      </c>
      <c r="D124" s="78" t="s">
        <v>7491</v>
      </c>
      <c r="E124" s="1147">
        <v>12</v>
      </c>
      <c r="F124" s="1148">
        <v>15</v>
      </c>
      <c r="G124" s="1147">
        <v>35</v>
      </c>
      <c r="H124" s="1147">
        <v>9</v>
      </c>
      <c r="I124" s="1147">
        <v>18</v>
      </c>
      <c r="J124" s="1147">
        <v>32</v>
      </c>
      <c r="K124" s="1147">
        <v>2</v>
      </c>
      <c r="L124" s="1953" t="str">
        <f t="shared" si="7"/>
        <v>Habilidad De Esquiva Completa+50</v>
      </c>
      <c r="M124" s="227"/>
    </row>
    <row r="125" spans="1:13" ht="12" customHeight="1" x14ac:dyDescent="0.2">
      <c r="A125" s="6342"/>
      <c r="B125" s="6358"/>
      <c r="C125" s="39" t="s">
        <v>9005</v>
      </c>
      <c r="D125" s="78" t="s">
        <v>8842</v>
      </c>
      <c r="E125" s="1147">
        <v>18</v>
      </c>
      <c r="F125" s="1148">
        <v>22</v>
      </c>
      <c r="G125" s="1147">
        <v>50</v>
      </c>
      <c r="H125" s="1147">
        <v>12</v>
      </c>
      <c r="I125" s="1147">
        <v>24</v>
      </c>
      <c r="J125" s="1147">
        <v>42</v>
      </c>
      <c r="K125" s="1147">
        <v>2</v>
      </c>
      <c r="L125" s="1953" t="str">
        <f t="shared" si="7"/>
        <v>Habilidad De Esquiva Completa+75</v>
      </c>
      <c r="M125" s="227"/>
    </row>
    <row r="126" spans="1:13" ht="12" customHeight="1" x14ac:dyDescent="0.2">
      <c r="A126" s="6342"/>
      <c r="B126" s="6358"/>
      <c r="C126" s="39" t="s">
        <v>9005</v>
      </c>
      <c r="D126" s="78" t="s">
        <v>8846</v>
      </c>
      <c r="E126" s="1147">
        <v>26</v>
      </c>
      <c r="F126" s="1148">
        <v>32</v>
      </c>
      <c r="G126" s="1147">
        <v>65</v>
      </c>
      <c r="H126" s="1147">
        <v>15</v>
      </c>
      <c r="I126" s="1147">
        <v>30</v>
      </c>
      <c r="J126" s="1147">
        <v>53</v>
      </c>
      <c r="K126" s="1147">
        <v>3</v>
      </c>
      <c r="L126" s="1953" t="str">
        <f t="shared" si="7"/>
        <v>Habilidad De Esquiva Completa+90</v>
      </c>
      <c r="M126" s="227"/>
    </row>
    <row r="127" spans="1:13" ht="12" customHeight="1" x14ac:dyDescent="0.2">
      <c r="A127" s="6342"/>
      <c r="B127" s="6358"/>
      <c r="C127" s="39" t="s">
        <v>9005</v>
      </c>
      <c r="D127" s="78" t="s">
        <v>8849</v>
      </c>
      <c r="E127" s="1147">
        <v>30</v>
      </c>
      <c r="F127" s="1148">
        <v>36</v>
      </c>
      <c r="G127" s="1147">
        <v>75</v>
      </c>
      <c r="H127" s="1147">
        <v>18</v>
      </c>
      <c r="I127" s="1147">
        <v>36</v>
      </c>
      <c r="J127" s="1147">
        <v>63</v>
      </c>
      <c r="K127" s="1147">
        <v>3</v>
      </c>
      <c r="L127" s="1953" t="str">
        <f t="shared" si="7"/>
        <v>Habilidad De Esquiva Completa+100</v>
      </c>
      <c r="M127" s="227"/>
    </row>
    <row r="128" spans="1:13" ht="12" customHeight="1" x14ac:dyDescent="0.2">
      <c r="A128" s="6342"/>
      <c r="B128" s="6358"/>
      <c r="C128" s="39" t="s">
        <v>9012</v>
      </c>
      <c r="D128" s="78"/>
      <c r="E128" s="1147"/>
      <c r="F128" s="1148"/>
      <c r="G128" s="1147"/>
      <c r="H128" s="1147"/>
      <c r="I128" s="1147"/>
      <c r="J128" s="1147"/>
      <c r="K128" s="1147"/>
      <c r="L128" s="1953" t="str">
        <f t="shared" si="7"/>
        <v>&gt; HABILIDAD DE ESQUIVA LIMITADA</v>
      </c>
      <c r="M128" s="227"/>
    </row>
    <row r="129" spans="1:13" ht="12" customHeight="1" x14ac:dyDescent="0.2">
      <c r="A129" s="6342"/>
      <c r="B129" s="6358"/>
      <c r="C129" s="39" t="s">
        <v>9014</v>
      </c>
      <c r="D129" s="78" t="s">
        <v>7488</v>
      </c>
      <c r="E129" s="1147">
        <v>1</v>
      </c>
      <c r="F129" s="1148">
        <v>2</v>
      </c>
      <c r="G129" s="1147">
        <v>5</v>
      </c>
      <c r="H129" s="1147">
        <v>1</v>
      </c>
      <c r="I129" s="1147">
        <v>2</v>
      </c>
      <c r="J129" s="1147">
        <v>4</v>
      </c>
      <c r="K129" s="1147">
        <v>1</v>
      </c>
      <c r="L129" s="1953" t="str">
        <f t="shared" si="7"/>
        <v>Habilidad De Esquiva Limitada+10</v>
      </c>
      <c r="M129" s="227"/>
    </row>
    <row r="130" spans="1:13" ht="12" customHeight="1" x14ac:dyDescent="0.2">
      <c r="A130" s="6342"/>
      <c r="B130" s="6358"/>
      <c r="C130" s="39" t="s">
        <v>9014</v>
      </c>
      <c r="D130" s="78" t="s">
        <v>7632</v>
      </c>
      <c r="E130" s="1147">
        <v>2</v>
      </c>
      <c r="F130" s="1148">
        <v>4</v>
      </c>
      <c r="G130" s="1147">
        <v>5</v>
      </c>
      <c r="H130" s="1147">
        <v>1</v>
      </c>
      <c r="I130" s="1147">
        <v>2</v>
      </c>
      <c r="J130" s="1147">
        <v>4</v>
      </c>
      <c r="K130" s="1147">
        <v>1</v>
      </c>
      <c r="L130" s="1953" t="str">
        <f t="shared" si="7"/>
        <v>Habilidad De Esquiva Limitada+25</v>
      </c>
      <c r="M130" s="227"/>
    </row>
    <row r="131" spans="1:13" ht="12" customHeight="1" x14ac:dyDescent="0.2">
      <c r="A131" s="6342"/>
      <c r="B131" s="6358"/>
      <c r="C131" s="39" t="s">
        <v>9014</v>
      </c>
      <c r="D131" s="78" t="s">
        <v>7490</v>
      </c>
      <c r="E131" s="1147">
        <v>3</v>
      </c>
      <c r="F131" s="1148">
        <v>5</v>
      </c>
      <c r="G131" s="1147">
        <v>10</v>
      </c>
      <c r="H131" s="1147">
        <v>1</v>
      </c>
      <c r="I131" s="1147">
        <v>2</v>
      </c>
      <c r="J131" s="1147">
        <v>4</v>
      </c>
      <c r="K131" s="1147">
        <v>1</v>
      </c>
      <c r="L131" s="1953" t="str">
        <f t="shared" si="7"/>
        <v>Habilidad De Esquiva Limitada+40</v>
      </c>
      <c r="M131" s="227"/>
    </row>
    <row r="132" spans="1:13" ht="12" customHeight="1" x14ac:dyDescent="0.2">
      <c r="A132" s="6342"/>
      <c r="B132" s="6358"/>
      <c r="C132" s="39" t="s">
        <v>9014</v>
      </c>
      <c r="D132" s="78" t="s">
        <v>7491</v>
      </c>
      <c r="E132" s="1147">
        <v>4</v>
      </c>
      <c r="F132" s="1148">
        <v>6</v>
      </c>
      <c r="G132" s="1147">
        <v>10</v>
      </c>
      <c r="H132" s="1147">
        <v>2</v>
      </c>
      <c r="I132" s="1147">
        <v>4</v>
      </c>
      <c r="J132" s="1147">
        <v>7</v>
      </c>
      <c r="K132" s="1147">
        <v>1</v>
      </c>
      <c r="L132" s="1953" t="str">
        <f t="shared" si="7"/>
        <v>Habilidad De Esquiva Limitada+50</v>
      </c>
      <c r="M132" s="227"/>
    </row>
    <row r="133" spans="1:13" ht="12" customHeight="1" x14ac:dyDescent="0.2">
      <c r="A133" s="6342"/>
      <c r="B133" s="6358"/>
      <c r="C133" s="39" t="s">
        <v>9014</v>
      </c>
      <c r="D133" s="78" t="s">
        <v>8842</v>
      </c>
      <c r="E133" s="1147">
        <v>6</v>
      </c>
      <c r="F133" s="1148">
        <v>9</v>
      </c>
      <c r="G133" s="1147">
        <v>15</v>
      </c>
      <c r="H133" s="1147">
        <v>3</v>
      </c>
      <c r="I133" s="1147">
        <v>6</v>
      </c>
      <c r="J133" s="1147">
        <v>11</v>
      </c>
      <c r="K133" s="1147">
        <v>1</v>
      </c>
      <c r="L133" s="1953" t="str">
        <f t="shared" si="7"/>
        <v>Habilidad De Esquiva Limitada+75</v>
      </c>
      <c r="M133" s="227"/>
    </row>
    <row r="134" spans="1:13" ht="12" customHeight="1" x14ac:dyDescent="0.2">
      <c r="A134" s="6342"/>
      <c r="B134" s="6358"/>
      <c r="C134" s="39" t="s">
        <v>9014</v>
      </c>
      <c r="D134" s="78" t="s">
        <v>8846</v>
      </c>
      <c r="E134" s="1147">
        <v>8</v>
      </c>
      <c r="F134" s="1148">
        <v>11</v>
      </c>
      <c r="G134" s="1147">
        <v>20</v>
      </c>
      <c r="H134" s="1147">
        <v>4</v>
      </c>
      <c r="I134" s="1147">
        <v>8</v>
      </c>
      <c r="J134" s="1147">
        <v>14</v>
      </c>
      <c r="K134" s="1147">
        <v>1</v>
      </c>
      <c r="L134" s="1953" t="str">
        <f t="shared" si="7"/>
        <v>Habilidad De Esquiva Limitada+90</v>
      </c>
      <c r="M134" s="227"/>
    </row>
    <row r="135" spans="1:13" ht="12" customHeight="1" x14ac:dyDescent="0.2">
      <c r="A135" s="6342"/>
      <c r="B135" s="6358"/>
      <c r="C135" s="39" t="s">
        <v>9014</v>
      </c>
      <c r="D135" s="78" t="s">
        <v>8849</v>
      </c>
      <c r="E135" s="1147">
        <v>10</v>
      </c>
      <c r="F135" s="1148">
        <v>13</v>
      </c>
      <c r="G135" s="1147">
        <v>25</v>
      </c>
      <c r="H135" s="1147">
        <v>6</v>
      </c>
      <c r="I135" s="1147">
        <v>12</v>
      </c>
      <c r="J135" s="1147">
        <v>21</v>
      </c>
      <c r="K135" s="1147">
        <v>1</v>
      </c>
      <c r="L135" s="1953" t="str">
        <f t="shared" si="7"/>
        <v>Habilidad De Esquiva Limitada+100</v>
      </c>
      <c r="M135" s="227"/>
    </row>
    <row r="136" spans="1:13" ht="12" customHeight="1" x14ac:dyDescent="0.2">
      <c r="A136" s="6342"/>
      <c r="B136" s="6358"/>
      <c r="C136" s="39" t="s">
        <v>9014</v>
      </c>
      <c r="D136" s="78" t="s">
        <v>8850</v>
      </c>
      <c r="E136" s="1147">
        <v>12</v>
      </c>
      <c r="F136" s="1148">
        <v>15</v>
      </c>
      <c r="G136" s="1147">
        <v>30</v>
      </c>
      <c r="H136" s="1147">
        <v>8</v>
      </c>
      <c r="I136" s="1147">
        <v>16</v>
      </c>
      <c r="J136" s="1147">
        <v>28</v>
      </c>
      <c r="K136" s="1147">
        <v>2</v>
      </c>
      <c r="L136" s="1953" t="str">
        <f t="shared" si="7"/>
        <v>Habilidad De Esquiva Limitada+125</v>
      </c>
      <c r="M136" s="227"/>
    </row>
    <row r="137" spans="1:13" ht="12" customHeight="1" x14ac:dyDescent="0.2">
      <c r="A137" s="6342"/>
      <c r="B137" s="6358"/>
      <c r="C137" s="39" t="s">
        <v>9014</v>
      </c>
      <c r="D137" s="78" t="s">
        <v>8852</v>
      </c>
      <c r="E137" s="1147">
        <v>16</v>
      </c>
      <c r="F137" s="1148">
        <v>20</v>
      </c>
      <c r="G137" s="1147">
        <v>35</v>
      </c>
      <c r="H137" s="1147">
        <v>10</v>
      </c>
      <c r="I137" s="1147">
        <v>20</v>
      </c>
      <c r="J137" s="1147">
        <v>35</v>
      </c>
      <c r="K137" s="1147">
        <v>2</v>
      </c>
      <c r="L137" s="1953" t="str">
        <f t="shared" si="7"/>
        <v>Habilidad De Esquiva Limitada+150</v>
      </c>
      <c r="M137" s="227"/>
    </row>
    <row r="138" spans="1:13" ht="12" customHeight="1" x14ac:dyDescent="0.2">
      <c r="A138" s="6342"/>
      <c r="B138" s="6358"/>
      <c r="C138" s="39" t="s">
        <v>9014</v>
      </c>
      <c r="D138" s="78" t="s">
        <v>8855</v>
      </c>
      <c r="E138" s="1147">
        <v>20</v>
      </c>
      <c r="F138" s="1148">
        <v>24</v>
      </c>
      <c r="G138" s="1147">
        <v>40</v>
      </c>
      <c r="H138" s="1147">
        <v>12</v>
      </c>
      <c r="I138" s="1147">
        <v>24</v>
      </c>
      <c r="J138" s="1147">
        <v>42</v>
      </c>
      <c r="K138" s="1147">
        <v>3</v>
      </c>
      <c r="L138" s="1953" t="str">
        <f t="shared" si="7"/>
        <v>Habilidad De Esquiva Limitada+175</v>
      </c>
      <c r="M138" s="227"/>
    </row>
    <row r="139" spans="1:13" ht="12" customHeight="1" x14ac:dyDescent="0.2">
      <c r="A139" s="6342"/>
      <c r="B139" s="6358"/>
      <c r="C139" s="39" t="s">
        <v>9014</v>
      </c>
      <c r="D139" s="78" t="s">
        <v>8857</v>
      </c>
      <c r="E139" s="1147">
        <v>24</v>
      </c>
      <c r="F139" s="1148">
        <v>29</v>
      </c>
      <c r="G139" s="1147">
        <v>45</v>
      </c>
      <c r="H139" s="1147">
        <v>14</v>
      </c>
      <c r="I139" s="1147">
        <v>28</v>
      </c>
      <c r="J139" s="1147">
        <v>49</v>
      </c>
      <c r="K139" s="1147">
        <v>3</v>
      </c>
      <c r="L139" s="1953" t="str">
        <f t="shared" ref="L139:L202" si="8">C139&amp;D139</f>
        <v>Habilidad De Esquiva Limitada+200</v>
      </c>
      <c r="M139" s="227"/>
    </row>
    <row r="140" spans="1:13" ht="12" customHeight="1" x14ac:dyDescent="0.2">
      <c r="A140" s="6342"/>
      <c r="B140" s="6358"/>
      <c r="C140" s="39" t="s">
        <v>9024</v>
      </c>
      <c r="D140" s="78"/>
      <c r="E140" s="1147"/>
      <c r="F140" s="1148"/>
      <c r="G140" s="1147"/>
      <c r="H140" s="1147"/>
      <c r="I140" s="1147"/>
      <c r="J140" s="1147"/>
      <c r="K140" s="1147"/>
      <c r="L140" s="1953" t="str">
        <f t="shared" si="8"/>
        <v>&gt; DEFENSA PREDETERMINADA</v>
      </c>
      <c r="M140" s="227"/>
    </row>
    <row r="141" spans="1:13" ht="12" customHeight="1" x14ac:dyDescent="0.2">
      <c r="A141" s="6342"/>
      <c r="B141" s="6358"/>
      <c r="C141" s="39" t="s">
        <v>8865</v>
      </c>
      <c r="D141" s="78" t="s">
        <v>8877</v>
      </c>
      <c r="E141" s="1147">
        <v>2</v>
      </c>
      <c r="F141" s="1148">
        <v>4</v>
      </c>
      <c r="G141" s="1147">
        <v>5</v>
      </c>
      <c r="H141" s="1147">
        <v>1</v>
      </c>
      <c r="I141" s="1147">
        <v>2</v>
      </c>
      <c r="J141" s="1147">
        <v>4</v>
      </c>
      <c r="K141" s="1147">
        <v>1</v>
      </c>
      <c r="L141" s="1953" t="str">
        <f t="shared" si="8"/>
        <v>Defensa PredeterminadaMedia (80)</v>
      </c>
      <c r="M141" s="227"/>
    </row>
    <row r="142" spans="1:13" ht="12" customHeight="1" x14ac:dyDescent="0.2">
      <c r="A142" s="6342"/>
      <c r="B142" s="6358"/>
      <c r="C142" s="39" t="s">
        <v>8865</v>
      </c>
      <c r="D142" s="78" t="s">
        <v>8878</v>
      </c>
      <c r="E142" s="1147">
        <v>4</v>
      </c>
      <c r="F142" s="1148">
        <v>6</v>
      </c>
      <c r="G142" s="1147">
        <v>5</v>
      </c>
      <c r="H142" s="1147">
        <v>2</v>
      </c>
      <c r="I142" s="1147">
        <v>4</v>
      </c>
      <c r="J142" s="1147">
        <v>7</v>
      </c>
      <c r="K142" s="1147">
        <v>1</v>
      </c>
      <c r="L142" s="1953" t="str">
        <f t="shared" si="8"/>
        <v>Defensa PredeterminadaDifícil (120)</v>
      </c>
      <c r="M142" s="227"/>
    </row>
    <row r="143" spans="1:13" ht="12" customHeight="1" x14ac:dyDescent="0.2">
      <c r="A143" s="6342"/>
      <c r="B143" s="6358"/>
      <c r="C143" s="39" t="s">
        <v>8865</v>
      </c>
      <c r="D143" s="78" t="s">
        <v>8881</v>
      </c>
      <c r="E143" s="1147">
        <v>6</v>
      </c>
      <c r="F143" s="1148">
        <v>9</v>
      </c>
      <c r="G143" s="1147">
        <v>5</v>
      </c>
      <c r="H143" s="1147">
        <v>3</v>
      </c>
      <c r="I143" s="1147">
        <v>6</v>
      </c>
      <c r="J143" s="1147">
        <v>11</v>
      </c>
      <c r="K143" s="1147">
        <v>1</v>
      </c>
      <c r="L143" s="1953" t="str">
        <f t="shared" si="8"/>
        <v>Defensa PredeterminadaMuy Difícil (140)</v>
      </c>
      <c r="M143" s="227"/>
    </row>
    <row r="144" spans="1:13" ht="12" customHeight="1" x14ac:dyDescent="0.2">
      <c r="A144" s="6342"/>
      <c r="B144" s="6358"/>
      <c r="C144" s="39" t="s">
        <v>8865</v>
      </c>
      <c r="D144" s="78" t="s">
        <v>8883</v>
      </c>
      <c r="E144" s="1147">
        <v>8</v>
      </c>
      <c r="F144" s="1148">
        <v>11</v>
      </c>
      <c r="G144" s="1147">
        <v>10</v>
      </c>
      <c r="H144" s="1147">
        <v>4</v>
      </c>
      <c r="I144" s="1147">
        <v>8</v>
      </c>
      <c r="J144" s="1147">
        <v>14</v>
      </c>
      <c r="K144" s="1147">
        <v>1</v>
      </c>
      <c r="L144" s="1953" t="str">
        <f t="shared" si="8"/>
        <v>Defensa PredeterminadaAbsurdo (180)</v>
      </c>
      <c r="M144" s="227"/>
    </row>
    <row r="145" spans="1:13" ht="12" customHeight="1" x14ac:dyDescent="0.2">
      <c r="A145" s="6342"/>
      <c r="B145" s="6358"/>
      <c r="C145" s="39" t="s">
        <v>8865</v>
      </c>
      <c r="D145" s="78" t="s">
        <v>8886</v>
      </c>
      <c r="E145" s="1147">
        <v>12</v>
      </c>
      <c r="F145" s="1148">
        <v>15</v>
      </c>
      <c r="G145" s="1147">
        <v>15</v>
      </c>
      <c r="H145" s="1147">
        <v>6</v>
      </c>
      <c r="I145" s="1147">
        <v>12</v>
      </c>
      <c r="J145" s="1147">
        <v>21</v>
      </c>
      <c r="K145" s="1147">
        <v>1</v>
      </c>
      <c r="L145" s="1953" t="str">
        <f t="shared" si="8"/>
        <v>Defensa PredeterminadaCasi Imposible (240)</v>
      </c>
      <c r="M145" s="227"/>
    </row>
    <row r="146" spans="1:13" ht="12" customHeight="1" x14ac:dyDescent="0.2">
      <c r="A146" s="6342"/>
      <c r="B146" s="6358"/>
      <c r="C146" s="39" t="s">
        <v>8865</v>
      </c>
      <c r="D146" s="78" t="s">
        <v>8889</v>
      </c>
      <c r="E146" s="1147">
        <v>16</v>
      </c>
      <c r="F146" s="1148">
        <v>20</v>
      </c>
      <c r="G146" s="1147">
        <v>25</v>
      </c>
      <c r="H146" s="1147">
        <v>8</v>
      </c>
      <c r="I146" s="1147">
        <v>16</v>
      </c>
      <c r="J146" s="1147">
        <v>28</v>
      </c>
      <c r="K146" s="1147">
        <v>2</v>
      </c>
      <c r="L146" s="1953" t="str">
        <f t="shared" si="8"/>
        <v>Defensa PredeterminadaImposible (280)</v>
      </c>
      <c r="M146" s="227"/>
    </row>
    <row r="147" spans="1:13" ht="12" customHeight="1" x14ac:dyDescent="0.2">
      <c r="A147" s="6342"/>
      <c r="B147" s="6358"/>
      <c r="C147" s="39" t="s">
        <v>8865</v>
      </c>
      <c r="D147" s="78" t="s">
        <v>8890</v>
      </c>
      <c r="E147" s="1147">
        <v>20</v>
      </c>
      <c r="F147" s="1148">
        <v>24</v>
      </c>
      <c r="G147" s="1147">
        <v>35</v>
      </c>
      <c r="H147" s="1147">
        <v>10</v>
      </c>
      <c r="I147" s="1147">
        <v>20</v>
      </c>
      <c r="J147" s="1147">
        <v>35</v>
      </c>
      <c r="K147" s="1147">
        <v>2</v>
      </c>
      <c r="L147" s="1953" t="str">
        <f t="shared" si="8"/>
        <v>Defensa PredeterminadaInhumano (320)</v>
      </c>
      <c r="M147" s="227"/>
    </row>
    <row r="148" spans="1:13" ht="12" customHeight="1" x14ac:dyDescent="0.2">
      <c r="A148" s="6342"/>
      <c r="B148" s="6358"/>
      <c r="C148" s="39" t="s">
        <v>8865</v>
      </c>
      <c r="D148" s="78" t="s">
        <v>8892</v>
      </c>
      <c r="E148" s="1147">
        <v>26</v>
      </c>
      <c r="F148" s="1148">
        <v>32</v>
      </c>
      <c r="G148" s="1147">
        <v>45</v>
      </c>
      <c r="H148" s="1147">
        <v>12</v>
      </c>
      <c r="I148" s="1147">
        <v>24</v>
      </c>
      <c r="J148" s="1147">
        <v>42</v>
      </c>
      <c r="K148" s="1147">
        <v>3</v>
      </c>
      <c r="L148" s="1953" t="str">
        <f t="shared" si="8"/>
        <v>Defensa PredeterminadaZen (440)</v>
      </c>
      <c r="M148" s="227"/>
    </row>
    <row r="149" spans="1:13" ht="12" customHeight="1" x14ac:dyDescent="0.2">
      <c r="A149" s="6342"/>
      <c r="B149" s="6358"/>
      <c r="C149" s="39" t="s">
        <v>9033</v>
      </c>
      <c r="D149" s="78"/>
      <c r="E149" s="1147"/>
      <c r="F149" s="1148"/>
      <c r="G149" s="1147"/>
      <c r="H149" s="1147"/>
      <c r="I149" s="1147"/>
      <c r="J149" s="1147"/>
      <c r="K149" s="1147"/>
      <c r="L149" s="1953" t="str">
        <f t="shared" si="8"/>
        <v>&gt;&gt;EFECTOS DESTRUCTIVOS</v>
      </c>
      <c r="M149" s="227"/>
    </row>
    <row r="150" spans="1:13" ht="12" customHeight="1" x14ac:dyDescent="0.2">
      <c r="A150" s="6342"/>
      <c r="B150" s="6358"/>
      <c r="C150" s="39" t="s">
        <v>9035</v>
      </c>
      <c r="D150" s="78"/>
      <c r="E150" s="1147"/>
      <c r="F150" s="1148"/>
      <c r="G150" s="1147"/>
      <c r="H150" s="1147"/>
      <c r="I150" s="1147"/>
      <c r="J150" s="1147"/>
      <c r="K150" s="1147"/>
      <c r="L150" s="1953" t="str">
        <f t="shared" si="8"/>
        <v>&gt; AUMENTO DE DAÑO</v>
      </c>
      <c r="M150" s="227"/>
    </row>
    <row r="151" spans="1:13" ht="12" customHeight="1" x14ac:dyDescent="0.2">
      <c r="A151" s="6342"/>
      <c r="B151" s="6358"/>
      <c r="C151" s="39" t="s">
        <v>9036</v>
      </c>
      <c r="D151" s="78" t="s">
        <v>7488</v>
      </c>
      <c r="E151" s="1147">
        <v>1</v>
      </c>
      <c r="F151" s="1148">
        <v>2</v>
      </c>
      <c r="G151" s="1147">
        <v>5</v>
      </c>
      <c r="H151" s="1147">
        <v>1</v>
      </c>
      <c r="I151" s="1147">
        <v>2</v>
      </c>
      <c r="J151" s="1147">
        <v>4</v>
      </c>
      <c r="K151" s="1147">
        <v>1</v>
      </c>
      <c r="L151" s="1953" t="str">
        <f t="shared" si="8"/>
        <v>Aumento De Daño+10</v>
      </c>
      <c r="M151" s="227"/>
    </row>
    <row r="152" spans="1:13" ht="12" customHeight="1" x14ac:dyDescent="0.2">
      <c r="A152" s="6342"/>
      <c r="B152" s="6358"/>
      <c r="C152" s="39" t="s">
        <v>9036</v>
      </c>
      <c r="D152" s="78" t="s">
        <v>7632</v>
      </c>
      <c r="E152" s="1147">
        <v>2</v>
      </c>
      <c r="F152" s="1148">
        <v>4</v>
      </c>
      <c r="G152" s="1147">
        <v>5</v>
      </c>
      <c r="H152" s="1147">
        <v>1</v>
      </c>
      <c r="I152" s="1147">
        <v>2</v>
      </c>
      <c r="J152" s="1147">
        <v>4</v>
      </c>
      <c r="K152" s="1147">
        <v>1</v>
      </c>
      <c r="L152" s="1953" t="str">
        <f t="shared" si="8"/>
        <v>Aumento De Daño+25</v>
      </c>
      <c r="M152" s="227"/>
    </row>
    <row r="153" spans="1:13" ht="12" customHeight="1" x14ac:dyDescent="0.2">
      <c r="A153" s="6342"/>
      <c r="B153" s="6358"/>
      <c r="C153" s="39" t="s">
        <v>9036</v>
      </c>
      <c r="D153" s="78" t="s">
        <v>7490</v>
      </c>
      <c r="E153" s="1147">
        <v>3</v>
      </c>
      <c r="F153" s="1148">
        <v>5</v>
      </c>
      <c r="G153" s="1147">
        <v>10</v>
      </c>
      <c r="H153" s="1147">
        <v>1</v>
      </c>
      <c r="I153" s="1147">
        <v>2</v>
      </c>
      <c r="J153" s="1147">
        <v>4</v>
      </c>
      <c r="K153" s="1147">
        <v>1</v>
      </c>
      <c r="L153" s="1953" t="str">
        <f t="shared" si="8"/>
        <v>Aumento De Daño+40</v>
      </c>
      <c r="M153" s="227"/>
    </row>
    <row r="154" spans="1:13" ht="12" customHeight="1" x14ac:dyDescent="0.2">
      <c r="A154" s="6342"/>
      <c r="B154" s="6358"/>
      <c r="C154" s="39" t="s">
        <v>9036</v>
      </c>
      <c r="D154" s="78" t="s">
        <v>7491</v>
      </c>
      <c r="E154" s="1147">
        <v>4</v>
      </c>
      <c r="F154" s="1148">
        <v>6</v>
      </c>
      <c r="G154" s="1147">
        <v>15</v>
      </c>
      <c r="H154" s="1147">
        <v>2</v>
      </c>
      <c r="I154" s="1147">
        <v>4</v>
      </c>
      <c r="J154" s="1147">
        <v>7</v>
      </c>
      <c r="K154" s="1147">
        <v>1</v>
      </c>
      <c r="L154" s="1953" t="str">
        <f t="shared" si="8"/>
        <v>Aumento De Daño+50</v>
      </c>
      <c r="M154" s="227"/>
    </row>
    <row r="155" spans="1:13" ht="12" customHeight="1" x14ac:dyDescent="0.2">
      <c r="A155" s="6342"/>
      <c r="B155" s="6358"/>
      <c r="C155" s="39" t="s">
        <v>9036</v>
      </c>
      <c r="D155" s="78" t="s">
        <v>8842</v>
      </c>
      <c r="E155" s="1147">
        <v>6</v>
      </c>
      <c r="F155" s="1148">
        <v>9</v>
      </c>
      <c r="G155" s="1147">
        <v>20</v>
      </c>
      <c r="H155" s="1147">
        <v>3</v>
      </c>
      <c r="I155" s="1147">
        <v>6</v>
      </c>
      <c r="J155" s="1147">
        <v>11</v>
      </c>
      <c r="K155" s="1147">
        <v>1</v>
      </c>
      <c r="L155" s="1953" t="str">
        <f t="shared" si="8"/>
        <v>Aumento De Daño+75</v>
      </c>
      <c r="M155" s="227"/>
    </row>
    <row r="156" spans="1:13" ht="12" customHeight="1" x14ac:dyDescent="0.2">
      <c r="A156" s="6342"/>
      <c r="B156" s="6358"/>
      <c r="C156" s="39" t="s">
        <v>9036</v>
      </c>
      <c r="D156" s="78" t="s">
        <v>8846</v>
      </c>
      <c r="E156" s="1147">
        <v>8</v>
      </c>
      <c r="F156" s="1148">
        <v>11</v>
      </c>
      <c r="G156" s="1147">
        <v>25</v>
      </c>
      <c r="H156" s="1147">
        <v>4</v>
      </c>
      <c r="I156" s="1147">
        <v>8</v>
      </c>
      <c r="J156" s="1147">
        <v>14</v>
      </c>
      <c r="K156" s="1147">
        <v>1</v>
      </c>
      <c r="L156" s="1953" t="str">
        <f t="shared" si="8"/>
        <v>Aumento De Daño+90</v>
      </c>
      <c r="M156" s="227"/>
    </row>
    <row r="157" spans="1:13" ht="12" customHeight="1" x14ac:dyDescent="0.2">
      <c r="A157" s="6342"/>
      <c r="B157" s="6358"/>
      <c r="C157" s="39" t="s">
        <v>9036</v>
      </c>
      <c r="D157" s="78" t="s">
        <v>8849</v>
      </c>
      <c r="E157" s="1147">
        <v>10</v>
      </c>
      <c r="F157" s="1148">
        <v>13</v>
      </c>
      <c r="G157" s="1147">
        <v>30</v>
      </c>
      <c r="H157" s="1147">
        <v>5</v>
      </c>
      <c r="I157" s="1147">
        <v>10</v>
      </c>
      <c r="J157" s="1147">
        <v>18</v>
      </c>
      <c r="K157" s="1147">
        <v>1</v>
      </c>
      <c r="L157" s="1953" t="str">
        <f t="shared" si="8"/>
        <v>Aumento De Daño+100</v>
      </c>
      <c r="M157" s="227"/>
    </row>
    <row r="158" spans="1:13" ht="12" customHeight="1" x14ac:dyDescent="0.2">
      <c r="A158" s="6342"/>
      <c r="B158" s="6358"/>
      <c r="C158" s="39" t="s">
        <v>9036</v>
      </c>
      <c r="D158" s="78" t="s">
        <v>8850</v>
      </c>
      <c r="E158" s="1147">
        <v>14</v>
      </c>
      <c r="F158" s="1148">
        <v>18</v>
      </c>
      <c r="G158" s="1147">
        <v>35</v>
      </c>
      <c r="H158" s="1147">
        <v>6</v>
      </c>
      <c r="I158" s="1147">
        <v>12</v>
      </c>
      <c r="J158" s="1147">
        <v>21</v>
      </c>
      <c r="K158" s="1147">
        <v>2</v>
      </c>
      <c r="L158" s="1953" t="str">
        <f t="shared" si="8"/>
        <v>Aumento De Daño+125</v>
      </c>
      <c r="M158" s="227"/>
    </row>
    <row r="159" spans="1:13" ht="12" customHeight="1" x14ac:dyDescent="0.2">
      <c r="A159" s="6342"/>
      <c r="B159" s="6358"/>
      <c r="C159" s="39" t="s">
        <v>9036</v>
      </c>
      <c r="D159" s="78" t="s">
        <v>8852</v>
      </c>
      <c r="E159" s="1147">
        <v>16</v>
      </c>
      <c r="F159" s="1148">
        <v>20</v>
      </c>
      <c r="G159" s="1147">
        <v>40</v>
      </c>
      <c r="H159" s="1147">
        <v>8</v>
      </c>
      <c r="I159" s="1147">
        <v>16</v>
      </c>
      <c r="J159" s="1147">
        <v>28</v>
      </c>
      <c r="K159" s="1147">
        <v>2</v>
      </c>
      <c r="L159" s="1953" t="str">
        <f t="shared" si="8"/>
        <v>Aumento De Daño+150</v>
      </c>
      <c r="M159" s="227"/>
    </row>
    <row r="160" spans="1:13" ht="12" customHeight="1" x14ac:dyDescent="0.2">
      <c r="A160" s="6342"/>
      <c r="B160" s="6358"/>
      <c r="C160" s="39" t="s">
        <v>9036</v>
      </c>
      <c r="D160" s="78" t="s">
        <v>8855</v>
      </c>
      <c r="E160" s="1147">
        <v>18</v>
      </c>
      <c r="F160" s="1148">
        <v>22</v>
      </c>
      <c r="G160" s="1147">
        <v>45</v>
      </c>
      <c r="H160" s="1147">
        <v>10</v>
      </c>
      <c r="I160" s="1147">
        <v>20</v>
      </c>
      <c r="J160" s="1147">
        <v>35</v>
      </c>
      <c r="K160" s="1147">
        <v>3</v>
      </c>
      <c r="L160" s="1953" t="str">
        <f t="shared" si="8"/>
        <v>Aumento De Daño+175</v>
      </c>
      <c r="M160" s="227"/>
    </row>
    <row r="161" spans="1:17" ht="12" customHeight="1" thickBot="1" x14ac:dyDescent="0.25">
      <c r="A161" s="6342"/>
      <c r="B161" s="6358"/>
      <c r="C161" s="39" t="s">
        <v>9036</v>
      </c>
      <c r="D161" s="78" t="s">
        <v>8857</v>
      </c>
      <c r="E161" s="1147">
        <v>20</v>
      </c>
      <c r="F161" s="1148">
        <v>24</v>
      </c>
      <c r="G161" s="1147">
        <v>50</v>
      </c>
      <c r="H161" s="1147">
        <v>12</v>
      </c>
      <c r="I161" s="1147">
        <v>24</v>
      </c>
      <c r="J161" s="1147">
        <v>42</v>
      </c>
      <c r="K161" s="1147">
        <v>3</v>
      </c>
      <c r="L161" s="1953" t="str">
        <f t="shared" si="8"/>
        <v>Aumento De Daño+200</v>
      </c>
      <c r="M161" s="227"/>
    </row>
    <row r="162" spans="1:17" ht="12" customHeight="1" x14ac:dyDescent="0.2">
      <c r="A162" s="6342"/>
      <c r="B162" s="6358"/>
      <c r="C162" s="39" t="s">
        <v>9036</v>
      </c>
      <c r="D162" s="78" t="s">
        <v>3117</v>
      </c>
      <c r="E162" s="1147">
        <v>4</v>
      </c>
      <c r="F162" s="1148">
        <v>4</v>
      </c>
      <c r="G162" s="1147">
        <v>15</v>
      </c>
      <c r="H162" s="1147">
        <v>3</v>
      </c>
      <c r="I162" s="1147">
        <v>6</v>
      </c>
      <c r="J162" s="1147">
        <v>11</v>
      </c>
      <c r="K162" s="1147"/>
      <c r="L162" s="1953" t="str">
        <f t="shared" si="8"/>
        <v>Aumento De DañoSacrificio Vital</v>
      </c>
      <c r="M162" s="227"/>
      <c r="N162" s="6339"/>
      <c r="O162" s="6343" t="s">
        <v>8973</v>
      </c>
      <c r="P162" s="6343"/>
      <c r="Q162" s="6344"/>
    </row>
    <row r="163" spans="1:17" ht="12" customHeight="1" x14ac:dyDescent="0.2">
      <c r="A163" s="6342"/>
      <c r="B163" s="6358"/>
      <c r="C163" s="39" t="s">
        <v>9036</v>
      </c>
      <c r="D163" s="78" t="s">
        <v>3120</v>
      </c>
      <c r="E163" s="1147">
        <v>10</v>
      </c>
      <c r="F163" s="1148">
        <v>10</v>
      </c>
      <c r="G163" s="1147">
        <v>50</v>
      </c>
      <c r="H163" s="1147">
        <v>4</v>
      </c>
      <c r="I163" s="1147">
        <v>8</v>
      </c>
      <c r="J163" s="1147">
        <v>14</v>
      </c>
      <c r="K163" s="1147"/>
      <c r="L163" s="1953" t="str">
        <f t="shared" si="8"/>
        <v>Aumento De DañoSacrificio Vital Doble</v>
      </c>
      <c r="M163" s="227"/>
      <c r="N163" s="6340"/>
      <c r="O163" s="4729"/>
      <c r="P163" s="4729"/>
      <c r="Q163" s="6345"/>
    </row>
    <row r="164" spans="1:17" ht="12" customHeight="1" x14ac:dyDescent="0.2">
      <c r="A164" s="6342"/>
      <c r="B164" s="6358"/>
      <c r="C164" s="39" t="s">
        <v>9036</v>
      </c>
      <c r="D164" s="78" t="s">
        <v>3123</v>
      </c>
      <c r="E164" s="1147">
        <v>2</v>
      </c>
      <c r="F164" s="1148">
        <v>2</v>
      </c>
      <c r="G164" s="1147">
        <v>10</v>
      </c>
      <c r="H164" s="1147">
        <v>2</v>
      </c>
      <c r="I164" s="1147">
        <v>4</v>
      </c>
      <c r="J164" s="1147">
        <v>7</v>
      </c>
      <c r="K164" s="1147"/>
      <c r="L164" s="1953" t="str">
        <f t="shared" si="8"/>
        <v>Aumento De DañoSacrificio de Salud</v>
      </c>
      <c r="M164" s="227"/>
      <c r="N164" s="6340"/>
      <c r="O164" s="2048" t="s">
        <v>8822</v>
      </c>
      <c r="P164" s="2048" t="s">
        <v>8823</v>
      </c>
      <c r="Q164" s="1950" t="s">
        <v>1370</v>
      </c>
    </row>
    <row r="165" spans="1:17" ht="12" customHeight="1" x14ac:dyDescent="0.2">
      <c r="A165" s="6342"/>
      <c r="B165" s="6358"/>
      <c r="C165" s="39" t="s">
        <v>9036</v>
      </c>
      <c r="D165" s="78" t="s">
        <v>3126</v>
      </c>
      <c r="E165" s="1147">
        <v>2</v>
      </c>
      <c r="F165" s="1148">
        <v>2</v>
      </c>
      <c r="G165" s="1147">
        <v>10</v>
      </c>
      <c r="H165" s="1147">
        <v>2</v>
      </c>
      <c r="I165" s="1147">
        <v>4</v>
      </c>
      <c r="J165" s="1147">
        <v>7</v>
      </c>
      <c r="K165" s="1147"/>
      <c r="L165" s="1953" t="str">
        <f t="shared" si="8"/>
        <v>Aumento De DañoSacrificio de Características</v>
      </c>
      <c r="M165" s="227"/>
      <c r="N165" s="6340"/>
      <c r="O165" s="78" t="s">
        <v>8974</v>
      </c>
      <c r="P165" s="78" t="str">
        <f t="shared" ref="P165:P188" si="9">IF(ISNUMBER(FIND("&gt;&gt;",O165)),"","'Tablas Técnicas'!"&amp;ADDRESS(ROW($P$199)+MATCH(O165,$O$200:$O$301,0),COLUMN($P$199))&amp;":"&amp;ADDRESS(ROW($P$199)+MATCH(O165,$O$200:$O$301,0)+COUNTIF($O$200:$O$301,O165)-1,COLUMN($P$199)))</f>
        <v>'Tablas Técnicas'!$P$201:$P$203</v>
      </c>
      <c r="Q165" s="1951" t="s">
        <v>3178</v>
      </c>
    </row>
    <row r="166" spans="1:17" ht="12" customHeight="1" x14ac:dyDescent="0.2">
      <c r="A166" s="6342"/>
      <c r="B166" s="6358"/>
      <c r="C166" s="39" t="s">
        <v>9036</v>
      </c>
      <c r="D166" s="78" t="s">
        <v>3131</v>
      </c>
      <c r="E166" s="1147">
        <v>12</v>
      </c>
      <c r="F166" s="1148">
        <v>12</v>
      </c>
      <c r="G166" s="1147">
        <v>30</v>
      </c>
      <c r="H166" s="1147">
        <v>4</v>
      </c>
      <c r="I166" s="1147">
        <v>8</v>
      </c>
      <c r="J166" s="1147">
        <v>14</v>
      </c>
      <c r="K166" s="1147"/>
      <c r="L166" s="1953" t="str">
        <f t="shared" si="8"/>
        <v>Aumento De DañoDaño Límite</v>
      </c>
      <c r="M166" s="227"/>
      <c r="N166" s="6340"/>
      <c r="O166" s="78" t="s">
        <v>8807</v>
      </c>
      <c r="P166" s="78" t="str">
        <f t="shared" si="9"/>
        <v>'Tablas Técnicas'!$P$205:$P$206</v>
      </c>
      <c r="Q166" s="1951" t="s">
        <v>3178</v>
      </c>
    </row>
    <row r="167" spans="1:17" ht="12" customHeight="1" x14ac:dyDescent="0.2">
      <c r="A167" s="6342"/>
      <c r="B167" s="6358"/>
      <c r="C167" s="39" t="s">
        <v>9047</v>
      </c>
      <c r="D167" s="78"/>
      <c r="E167" s="1147"/>
      <c r="F167" s="1148"/>
      <c r="G167" s="1147"/>
      <c r="H167" s="1147"/>
      <c r="I167" s="1147"/>
      <c r="J167" s="1147"/>
      <c r="K167" s="1147"/>
      <c r="L167" s="1953" t="str">
        <f t="shared" si="8"/>
        <v>&gt; AUMENTO DE DAÑO REAL</v>
      </c>
      <c r="M167" s="227"/>
      <c r="N167" s="6340"/>
      <c r="O167" s="78" t="s">
        <v>8975</v>
      </c>
      <c r="P167" s="78" t="str">
        <f t="shared" si="9"/>
        <v>'Tablas Técnicas'!$P$208:$P$210</v>
      </c>
      <c r="Q167" s="1951" t="s">
        <v>1232</v>
      </c>
    </row>
    <row r="168" spans="1:17" ht="12" customHeight="1" x14ac:dyDescent="0.2">
      <c r="A168" s="6342"/>
      <c r="B168" s="6358"/>
      <c r="C168" s="39" t="s">
        <v>9049</v>
      </c>
      <c r="D168" s="78" t="s">
        <v>7488</v>
      </c>
      <c r="E168" s="1147">
        <v>2</v>
      </c>
      <c r="F168" s="1148">
        <v>4</v>
      </c>
      <c r="G168" s="1147">
        <v>10</v>
      </c>
      <c r="H168" s="1147">
        <v>1</v>
      </c>
      <c r="I168" s="1147">
        <v>2</v>
      </c>
      <c r="J168" s="1147">
        <v>4</v>
      </c>
      <c r="K168" s="1147">
        <v>1</v>
      </c>
      <c r="L168" s="1953" t="str">
        <f t="shared" si="8"/>
        <v>Aumento De Daño Real+10</v>
      </c>
      <c r="M168" s="227"/>
      <c r="N168" s="6340"/>
      <c r="O168" s="78" t="s">
        <v>8977</v>
      </c>
      <c r="P168" s="78" t="str">
        <f t="shared" si="9"/>
        <v>'Tablas Técnicas'!$P$212:$P$213</v>
      </c>
      <c r="Q168" s="1951" t="s">
        <v>3178</v>
      </c>
    </row>
    <row r="169" spans="1:17" ht="12" customHeight="1" x14ac:dyDescent="0.2">
      <c r="A169" s="6342"/>
      <c r="B169" s="6358"/>
      <c r="C169" s="39" t="s">
        <v>9049</v>
      </c>
      <c r="D169" s="78" t="s">
        <v>7632</v>
      </c>
      <c r="E169" s="1147">
        <v>3</v>
      </c>
      <c r="F169" s="1148">
        <v>5</v>
      </c>
      <c r="G169" s="1147">
        <v>15</v>
      </c>
      <c r="H169" s="1147">
        <v>2</v>
      </c>
      <c r="I169" s="1147">
        <v>4</v>
      </c>
      <c r="J169" s="1147">
        <v>7</v>
      </c>
      <c r="K169" s="1147">
        <v>1</v>
      </c>
      <c r="L169" s="1953" t="str">
        <f t="shared" si="8"/>
        <v>Aumento De Daño Real+25</v>
      </c>
      <c r="M169" s="227"/>
      <c r="N169" s="6340"/>
      <c r="O169" s="78" t="s">
        <v>8979</v>
      </c>
      <c r="P169" s="78" t="str">
        <f t="shared" si="9"/>
        <v>'Tablas Técnicas'!$P$215:$P$218</v>
      </c>
      <c r="Q169" s="1951" t="s">
        <v>3178</v>
      </c>
    </row>
    <row r="170" spans="1:17" ht="12" customHeight="1" x14ac:dyDescent="0.2">
      <c r="A170" s="6342"/>
      <c r="B170" s="6358"/>
      <c r="C170" s="39" t="s">
        <v>9049</v>
      </c>
      <c r="D170" s="78" t="s">
        <v>7490</v>
      </c>
      <c r="E170" s="1147">
        <v>5</v>
      </c>
      <c r="F170" s="1148">
        <v>8</v>
      </c>
      <c r="G170" s="1147">
        <v>20</v>
      </c>
      <c r="H170" s="1147">
        <v>3</v>
      </c>
      <c r="I170" s="1147">
        <v>6</v>
      </c>
      <c r="J170" s="1147">
        <v>11</v>
      </c>
      <c r="K170" s="1147">
        <v>1</v>
      </c>
      <c r="L170" s="1953" t="str">
        <f t="shared" si="8"/>
        <v>Aumento De Daño Real+40</v>
      </c>
      <c r="M170" s="227"/>
      <c r="N170" s="6340"/>
      <c r="O170" s="78" t="s">
        <v>8980</v>
      </c>
      <c r="P170" s="78" t="str">
        <f t="shared" si="9"/>
        <v>'Tablas Técnicas'!$P$220:$P$220</v>
      </c>
      <c r="Q170" s="1951" t="s">
        <v>1232</v>
      </c>
    </row>
    <row r="171" spans="1:17" ht="12" customHeight="1" x14ac:dyDescent="0.2">
      <c r="A171" s="6342"/>
      <c r="B171" s="6358"/>
      <c r="C171" s="39" t="s">
        <v>9049</v>
      </c>
      <c r="D171" s="78" t="s">
        <v>7491</v>
      </c>
      <c r="E171" s="1147">
        <v>7</v>
      </c>
      <c r="F171" s="1148">
        <v>10</v>
      </c>
      <c r="G171" s="1147">
        <v>25</v>
      </c>
      <c r="H171" s="1147">
        <v>4</v>
      </c>
      <c r="I171" s="1147">
        <v>8</v>
      </c>
      <c r="J171" s="1147">
        <v>14</v>
      </c>
      <c r="K171" s="1147">
        <v>2</v>
      </c>
      <c r="L171" s="1953" t="str">
        <f t="shared" si="8"/>
        <v>Aumento De Daño Real+50</v>
      </c>
      <c r="M171" s="227"/>
      <c r="N171" s="6340"/>
      <c r="O171" s="78" t="s">
        <v>2157</v>
      </c>
      <c r="P171" s="78" t="str">
        <f t="shared" si="9"/>
        <v>'Tablas Técnicas'!$P$222:$P$222</v>
      </c>
      <c r="Q171" s="1951" t="s">
        <v>3178</v>
      </c>
    </row>
    <row r="172" spans="1:17" ht="12" customHeight="1" x14ac:dyDescent="0.2">
      <c r="A172" s="6342"/>
      <c r="B172" s="6358"/>
      <c r="C172" s="39" t="s">
        <v>9049</v>
      </c>
      <c r="D172" s="78" t="s">
        <v>8842</v>
      </c>
      <c r="E172" s="1147">
        <v>10</v>
      </c>
      <c r="F172" s="1148">
        <v>13</v>
      </c>
      <c r="G172" s="1147">
        <v>35</v>
      </c>
      <c r="H172" s="1147">
        <v>6</v>
      </c>
      <c r="I172" s="1147">
        <v>12</v>
      </c>
      <c r="J172" s="1147">
        <v>21</v>
      </c>
      <c r="K172" s="1147">
        <v>2</v>
      </c>
      <c r="L172" s="1953" t="str">
        <f t="shared" si="8"/>
        <v>Aumento De Daño Real+75</v>
      </c>
      <c r="M172" s="227"/>
      <c r="N172" s="6340"/>
      <c r="O172" s="78" t="s">
        <v>7526</v>
      </c>
      <c r="P172" s="78" t="str">
        <f t="shared" si="9"/>
        <v>'Tablas Técnicas'!$P$224:$P$231</v>
      </c>
      <c r="Q172" s="1951" t="s">
        <v>3178</v>
      </c>
    </row>
    <row r="173" spans="1:17" ht="12" customHeight="1" x14ac:dyDescent="0.2">
      <c r="A173" s="6342"/>
      <c r="B173" s="6358"/>
      <c r="C173" s="39" t="s">
        <v>9049</v>
      </c>
      <c r="D173" s="78" t="s">
        <v>8846</v>
      </c>
      <c r="E173" s="1147">
        <v>12</v>
      </c>
      <c r="F173" s="1148">
        <v>15</v>
      </c>
      <c r="G173" s="1147">
        <v>40</v>
      </c>
      <c r="H173" s="1147">
        <v>8</v>
      </c>
      <c r="I173" s="1147">
        <v>16</v>
      </c>
      <c r="J173" s="1147">
        <v>28</v>
      </c>
      <c r="K173" s="1147">
        <v>3</v>
      </c>
      <c r="L173" s="1953" t="str">
        <f t="shared" si="8"/>
        <v>Aumento De Daño Real+90</v>
      </c>
      <c r="M173" s="227"/>
      <c r="N173" s="6340"/>
      <c r="O173" s="78" t="s">
        <v>8809</v>
      </c>
      <c r="P173" s="78" t="str">
        <f t="shared" si="9"/>
        <v>'Tablas Técnicas'!$P$233:$P$234</v>
      </c>
      <c r="Q173" s="1951" t="s">
        <v>1232</v>
      </c>
    </row>
    <row r="174" spans="1:17" ht="12" customHeight="1" x14ac:dyDescent="0.2">
      <c r="A174" s="6342"/>
      <c r="B174" s="6358"/>
      <c r="C174" s="39" t="s">
        <v>9049</v>
      </c>
      <c r="D174" s="78" t="s">
        <v>8849</v>
      </c>
      <c r="E174" s="1147">
        <v>14</v>
      </c>
      <c r="F174" s="1148">
        <v>18</v>
      </c>
      <c r="G174" s="1147">
        <v>50</v>
      </c>
      <c r="H174" s="1147">
        <v>10</v>
      </c>
      <c r="I174" s="1147">
        <v>20</v>
      </c>
      <c r="J174" s="1147">
        <v>35</v>
      </c>
      <c r="K174" s="1147">
        <v>3</v>
      </c>
      <c r="L174" s="1953" t="str">
        <f t="shared" si="8"/>
        <v>Aumento De Daño Real+100</v>
      </c>
      <c r="M174" s="227"/>
      <c r="N174" s="6340"/>
      <c r="O174" s="78" t="s">
        <v>8981</v>
      </c>
      <c r="P174" s="78" t="str">
        <f t="shared" si="9"/>
        <v>'Tablas Técnicas'!$P$236:$P$240</v>
      </c>
      <c r="Q174" s="1951" t="s">
        <v>1565</v>
      </c>
    </row>
    <row r="175" spans="1:17" ht="12" customHeight="1" x14ac:dyDescent="0.2">
      <c r="A175" s="6342"/>
      <c r="B175" s="6358"/>
      <c r="C175" s="39" t="s">
        <v>9053</v>
      </c>
      <c r="D175" s="78"/>
      <c r="E175" s="1147"/>
      <c r="F175" s="1148"/>
      <c r="G175" s="1147"/>
      <c r="H175" s="1147"/>
      <c r="I175" s="1147"/>
      <c r="J175" s="1147"/>
      <c r="K175" s="1147"/>
      <c r="L175" s="1953" t="str">
        <f t="shared" si="8"/>
        <v>&gt; MULTIPLICADOR AL DAÑO</v>
      </c>
      <c r="M175" s="227"/>
      <c r="N175" s="6340"/>
      <c r="O175" s="78" t="s">
        <v>7111</v>
      </c>
      <c r="P175" s="78" t="str">
        <f t="shared" si="9"/>
        <v>'Tablas Técnicas'!$P$242:$P$244</v>
      </c>
      <c r="Q175" s="1951" t="s">
        <v>1232</v>
      </c>
    </row>
    <row r="176" spans="1:17" ht="12" customHeight="1" x14ac:dyDescent="0.2">
      <c r="A176" s="6342"/>
      <c r="B176" s="6358"/>
      <c r="C176" s="39" t="s">
        <v>9055</v>
      </c>
      <c r="D176" s="78" t="s">
        <v>9056</v>
      </c>
      <c r="E176" s="1147">
        <v>10</v>
      </c>
      <c r="F176" s="1148">
        <v>15</v>
      </c>
      <c r="G176" s="1147">
        <v>25</v>
      </c>
      <c r="H176" s="1147">
        <v>4</v>
      </c>
      <c r="I176" s="1147">
        <v>8</v>
      </c>
      <c r="J176" s="1147">
        <v>14</v>
      </c>
      <c r="K176" s="1147">
        <v>1</v>
      </c>
      <c r="L176" s="1953" t="str">
        <f t="shared" si="8"/>
        <v>Multiplicador Al Dañox2</v>
      </c>
      <c r="M176" s="227"/>
      <c r="N176" s="6340"/>
      <c r="O176" s="78" t="s">
        <v>8983</v>
      </c>
      <c r="P176" s="78" t="str">
        <f t="shared" si="9"/>
        <v>'Tablas Técnicas'!$P$246:$P$246</v>
      </c>
      <c r="Q176" s="1951" t="s">
        <v>3178</v>
      </c>
    </row>
    <row r="177" spans="1:17" ht="12" customHeight="1" x14ac:dyDescent="0.2">
      <c r="A177" s="6342"/>
      <c r="B177" s="6358"/>
      <c r="C177" s="39" t="s">
        <v>9055</v>
      </c>
      <c r="D177" s="78" t="s">
        <v>9058</v>
      </c>
      <c r="E177" s="1147">
        <v>15</v>
      </c>
      <c r="F177" s="1148">
        <v>20</v>
      </c>
      <c r="G177" s="1147">
        <v>40</v>
      </c>
      <c r="H177" s="1147">
        <v>8</v>
      </c>
      <c r="I177" s="1147">
        <v>16</v>
      </c>
      <c r="J177" s="1147">
        <v>28</v>
      </c>
      <c r="K177" s="1147">
        <v>2</v>
      </c>
      <c r="L177" s="1953" t="str">
        <f t="shared" si="8"/>
        <v>Multiplicador Al Dañox3</v>
      </c>
      <c r="M177" s="227"/>
      <c r="N177" s="6340"/>
      <c r="O177" s="78" t="s">
        <v>8985</v>
      </c>
      <c r="P177" s="78" t="str">
        <f t="shared" si="9"/>
        <v>'Tablas Técnicas'!$P$248:$P$248</v>
      </c>
      <c r="Q177" s="1951" t="s">
        <v>3178</v>
      </c>
    </row>
    <row r="178" spans="1:17" ht="12" customHeight="1" x14ac:dyDescent="0.2">
      <c r="A178" s="6342"/>
      <c r="B178" s="6358"/>
      <c r="C178" s="39" t="s">
        <v>9055</v>
      </c>
      <c r="D178" s="78" t="s">
        <v>9060</v>
      </c>
      <c r="E178" s="1147">
        <v>20</v>
      </c>
      <c r="F178" s="1148">
        <v>30</v>
      </c>
      <c r="G178" s="1147">
        <v>80</v>
      </c>
      <c r="H178" s="1147">
        <v>12</v>
      </c>
      <c r="I178" s="1147">
        <v>24</v>
      </c>
      <c r="J178" s="1147">
        <v>42</v>
      </c>
      <c r="K178" s="1147">
        <v>3</v>
      </c>
      <c r="L178" s="1953" t="str">
        <f t="shared" si="8"/>
        <v>Multiplicador Al Dañox4</v>
      </c>
      <c r="M178" s="227"/>
      <c r="N178" s="6340"/>
      <c r="O178" s="78" t="s">
        <v>8986</v>
      </c>
      <c r="P178" s="78" t="str">
        <f t="shared" si="9"/>
        <v>'Tablas Técnicas'!$P$250:$P$254</v>
      </c>
      <c r="Q178" s="1951" t="s">
        <v>3178</v>
      </c>
    </row>
    <row r="179" spans="1:17" ht="12" customHeight="1" x14ac:dyDescent="0.2">
      <c r="A179" s="6342"/>
      <c r="B179" s="6358"/>
      <c r="C179" s="39" t="s">
        <v>9062</v>
      </c>
      <c r="D179" s="78"/>
      <c r="E179" s="1147"/>
      <c r="F179" s="1148"/>
      <c r="G179" s="1147"/>
      <c r="H179" s="1147"/>
      <c r="I179" s="1147"/>
      <c r="J179" s="1147"/>
      <c r="K179" s="1147"/>
      <c r="L179" s="1953" t="str">
        <f t="shared" si="8"/>
        <v>&gt; MULTIPLICADOR AL DAÑO REAL</v>
      </c>
      <c r="M179" s="227"/>
      <c r="N179" s="6340"/>
      <c r="O179" s="78" t="s">
        <v>3179</v>
      </c>
      <c r="P179" s="78" t="str">
        <f t="shared" si="9"/>
        <v>'Tablas Técnicas'!$P$256:$P$256</v>
      </c>
      <c r="Q179" s="1951" t="s">
        <v>3178</v>
      </c>
    </row>
    <row r="180" spans="1:17" ht="12" customHeight="1" x14ac:dyDescent="0.2">
      <c r="A180" s="6342"/>
      <c r="B180" s="6358"/>
      <c r="C180" s="39" t="s">
        <v>9064</v>
      </c>
      <c r="D180" s="78" t="s">
        <v>9056</v>
      </c>
      <c r="E180" s="1147">
        <v>20</v>
      </c>
      <c r="F180" s="1148">
        <v>30</v>
      </c>
      <c r="G180" s="1147">
        <v>40</v>
      </c>
      <c r="H180" s="1147">
        <v>8</v>
      </c>
      <c r="I180" s="1147">
        <v>16</v>
      </c>
      <c r="J180" s="1147">
        <v>28</v>
      </c>
      <c r="K180" s="1147">
        <v>1</v>
      </c>
      <c r="L180" s="1953" t="str">
        <f t="shared" si="8"/>
        <v>Multiplicador Al Daño Realx2</v>
      </c>
      <c r="M180" s="227"/>
      <c r="N180" s="6340"/>
      <c r="O180" s="78" t="s">
        <v>8987</v>
      </c>
      <c r="P180" s="78" t="str">
        <f t="shared" si="9"/>
        <v>'Tablas Técnicas'!$P$258:$P$260</v>
      </c>
      <c r="Q180" s="1951" t="s">
        <v>3178</v>
      </c>
    </row>
    <row r="181" spans="1:17" ht="12" customHeight="1" x14ac:dyDescent="0.2">
      <c r="A181" s="6342"/>
      <c r="B181" s="6358"/>
      <c r="C181" s="39" t="s">
        <v>9064</v>
      </c>
      <c r="D181" s="78" t="s">
        <v>9058</v>
      </c>
      <c r="E181" s="1147">
        <v>30</v>
      </c>
      <c r="F181" s="1148">
        <v>36</v>
      </c>
      <c r="G181" s="1147">
        <v>70</v>
      </c>
      <c r="H181" s="1147">
        <v>16</v>
      </c>
      <c r="I181" s="1147">
        <v>32</v>
      </c>
      <c r="J181" s="1147">
        <v>56</v>
      </c>
      <c r="K181" s="1147">
        <v>2</v>
      </c>
      <c r="L181" s="1953" t="str">
        <f t="shared" si="8"/>
        <v>Multiplicador Al Daño Realx3</v>
      </c>
      <c r="M181" s="227"/>
      <c r="N181" s="6340"/>
      <c r="O181" s="78" t="s">
        <v>8988</v>
      </c>
      <c r="P181" s="78" t="str">
        <f t="shared" si="9"/>
        <v>'Tablas Técnicas'!$P$262:$P$263</v>
      </c>
      <c r="Q181" s="1951" t="s">
        <v>3178</v>
      </c>
    </row>
    <row r="182" spans="1:17" ht="12" customHeight="1" x14ac:dyDescent="0.2">
      <c r="A182" s="6342"/>
      <c r="B182" s="6358"/>
      <c r="C182" s="39" t="s">
        <v>9064</v>
      </c>
      <c r="D182" s="78" t="s">
        <v>9060</v>
      </c>
      <c r="E182" s="1147">
        <v>40</v>
      </c>
      <c r="F182" s="1148">
        <v>48</v>
      </c>
      <c r="G182" s="1147">
        <v>100</v>
      </c>
      <c r="H182" s="1147">
        <v>22</v>
      </c>
      <c r="I182" s="1147">
        <v>44</v>
      </c>
      <c r="J182" s="1147">
        <v>77</v>
      </c>
      <c r="K182" s="1147">
        <v>3</v>
      </c>
      <c r="L182" s="1953" t="str">
        <f t="shared" si="8"/>
        <v>Multiplicador Al Daño Realx4</v>
      </c>
      <c r="M182" s="227"/>
      <c r="N182" s="6340"/>
      <c r="O182" s="78" t="s">
        <v>8989</v>
      </c>
      <c r="P182" s="78" t="str">
        <f t="shared" si="9"/>
        <v>'Tablas Técnicas'!$P$265:$P$269</v>
      </c>
      <c r="Q182" s="1951" t="s">
        <v>3178</v>
      </c>
    </row>
    <row r="183" spans="1:17" ht="12" customHeight="1" x14ac:dyDescent="0.2">
      <c r="A183" s="6342"/>
      <c r="B183" s="6358"/>
      <c r="C183" s="39" t="s">
        <v>9067</v>
      </c>
      <c r="D183" s="78"/>
      <c r="E183" s="1147"/>
      <c r="F183" s="1148"/>
      <c r="G183" s="1147"/>
      <c r="H183" s="1147"/>
      <c r="I183" s="1147"/>
      <c r="J183" s="1147"/>
      <c r="K183" s="1147"/>
      <c r="L183" s="1953" t="str">
        <f t="shared" si="8"/>
        <v>&gt; SUSTITUCIÓN DE DAÑO</v>
      </c>
      <c r="M183" s="227"/>
      <c r="N183" s="6340"/>
      <c r="O183" s="78" t="s">
        <v>8990</v>
      </c>
      <c r="P183" s="78" t="str">
        <f t="shared" si="9"/>
        <v>'Tablas Técnicas'!$P$271:$P$278</v>
      </c>
      <c r="Q183" s="1951" t="s">
        <v>3178</v>
      </c>
    </row>
    <row r="184" spans="1:17" ht="12" customHeight="1" x14ac:dyDescent="0.2">
      <c r="A184" s="6342"/>
      <c r="B184" s="6358"/>
      <c r="C184" s="39" t="s">
        <v>9069</v>
      </c>
      <c r="D184" s="78" t="s">
        <v>9070</v>
      </c>
      <c r="E184" s="1147">
        <v>1</v>
      </c>
      <c r="F184" s="1148">
        <v>2</v>
      </c>
      <c r="G184" s="1147">
        <v>5</v>
      </c>
      <c r="H184" s="1147">
        <v>1</v>
      </c>
      <c r="I184" s="1147">
        <v>2</v>
      </c>
      <c r="J184" s="1147">
        <v>4</v>
      </c>
      <c r="K184" s="1147">
        <v>1</v>
      </c>
      <c r="L184" s="1953" t="str">
        <f t="shared" si="8"/>
        <v>Sustitución De Daño50</v>
      </c>
      <c r="M184" s="227"/>
      <c r="N184" s="6340"/>
      <c r="O184" s="78" t="s">
        <v>3180</v>
      </c>
      <c r="P184" s="78" t="str">
        <f t="shared" si="9"/>
        <v>'Tablas Técnicas'!$P$280:$P$280</v>
      </c>
      <c r="Q184" s="1951" t="s">
        <v>1232</v>
      </c>
    </row>
    <row r="185" spans="1:17" ht="12" customHeight="1" x14ac:dyDescent="0.2">
      <c r="A185" s="6342"/>
      <c r="B185" s="6358"/>
      <c r="C185" s="39" t="s">
        <v>9069</v>
      </c>
      <c r="D185" s="78" t="s">
        <v>7537</v>
      </c>
      <c r="E185" s="1147">
        <v>3</v>
      </c>
      <c r="F185" s="1148">
        <v>5</v>
      </c>
      <c r="G185" s="1147">
        <v>10</v>
      </c>
      <c r="H185" s="1147">
        <v>2</v>
      </c>
      <c r="I185" s="1147">
        <v>4</v>
      </c>
      <c r="J185" s="1147">
        <v>7</v>
      </c>
      <c r="K185" s="1147">
        <v>1</v>
      </c>
      <c r="L185" s="1953" t="str">
        <f t="shared" si="8"/>
        <v>Sustitución De Daño100</v>
      </c>
      <c r="M185" s="227"/>
      <c r="N185" s="6340"/>
      <c r="O185" s="78" t="s">
        <v>3181</v>
      </c>
      <c r="P185" s="78" t="str">
        <f t="shared" si="9"/>
        <v>'Tablas Técnicas'!$P$282:$P$283</v>
      </c>
      <c r="Q185" s="1951" t="s">
        <v>3178</v>
      </c>
    </row>
    <row r="186" spans="1:17" ht="12" customHeight="1" x14ac:dyDescent="0.2">
      <c r="A186" s="6342"/>
      <c r="B186" s="6358"/>
      <c r="C186" s="39" t="s">
        <v>9069</v>
      </c>
      <c r="D186" s="78" t="s">
        <v>7538</v>
      </c>
      <c r="E186" s="1147">
        <v>5</v>
      </c>
      <c r="F186" s="1148">
        <v>8</v>
      </c>
      <c r="G186" s="1147">
        <v>15</v>
      </c>
      <c r="H186" s="1147">
        <v>3</v>
      </c>
      <c r="I186" s="1147">
        <v>6</v>
      </c>
      <c r="J186" s="1147">
        <v>11</v>
      </c>
      <c r="K186" s="1147">
        <v>1</v>
      </c>
      <c r="L186" s="1953" t="str">
        <f t="shared" si="8"/>
        <v>Sustitución De Daño120</v>
      </c>
      <c r="M186" s="227"/>
      <c r="N186" s="6340"/>
      <c r="O186" s="78" t="s">
        <v>10096</v>
      </c>
      <c r="P186" s="78" t="str">
        <f t="shared" si="9"/>
        <v>'Tablas Técnicas'!$P$285:$P$285</v>
      </c>
      <c r="Q186" s="1951" t="s">
        <v>3178</v>
      </c>
    </row>
    <row r="187" spans="1:17" ht="12" customHeight="1" x14ac:dyDescent="0.2">
      <c r="A187" s="6342"/>
      <c r="B187" s="6358"/>
      <c r="C187" s="39" t="s">
        <v>9069</v>
      </c>
      <c r="D187" s="78" t="s">
        <v>9072</v>
      </c>
      <c r="E187" s="1147">
        <v>7</v>
      </c>
      <c r="F187" s="1148">
        <v>10</v>
      </c>
      <c r="G187" s="1147">
        <v>20</v>
      </c>
      <c r="H187" s="1147">
        <v>5</v>
      </c>
      <c r="I187" s="1147">
        <v>10</v>
      </c>
      <c r="J187" s="1147">
        <v>18</v>
      </c>
      <c r="K187" s="1147">
        <v>2</v>
      </c>
      <c r="L187" s="1953" t="str">
        <f t="shared" si="8"/>
        <v>Sustitución De Daño150</v>
      </c>
      <c r="M187" s="227"/>
      <c r="N187" s="6340"/>
      <c r="O187" s="78" t="s">
        <v>8991</v>
      </c>
      <c r="P187" s="78" t="str">
        <f t="shared" si="9"/>
        <v>'Tablas Técnicas'!$P$287:$P$289</v>
      </c>
      <c r="Q187" s="1951" t="s">
        <v>3178</v>
      </c>
    </row>
    <row r="188" spans="1:17" ht="12" customHeight="1" x14ac:dyDescent="0.2">
      <c r="A188" s="6342"/>
      <c r="B188" s="6358"/>
      <c r="C188" s="39" t="s">
        <v>9069</v>
      </c>
      <c r="D188" s="78" t="s">
        <v>9074</v>
      </c>
      <c r="E188" s="1147">
        <v>9</v>
      </c>
      <c r="F188" s="1148">
        <v>12</v>
      </c>
      <c r="G188" s="1147">
        <v>25</v>
      </c>
      <c r="H188" s="1147">
        <v>7</v>
      </c>
      <c r="I188" s="1147">
        <v>14</v>
      </c>
      <c r="J188" s="1147">
        <v>25</v>
      </c>
      <c r="K188" s="1147">
        <v>2</v>
      </c>
      <c r="L188" s="1953" t="str">
        <f t="shared" si="8"/>
        <v>Sustitución De Daño180</v>
      </c>
      <c r="M188" s="227"/>
      <c r="N188" s="6340"/>
      <c r="O188" s="78" t="s">
        <v>8992</v>
      </c>
      <c r="P188" s="78" t="str">
        <f t="shared" si="9"/>
        <v>'Tablas Técnicas'!$P$291:$P$295</v>
      </c>
      <c r="Q188" s="1951" t="s">
        <v>3178</v>
      </c>
    </row>
    <row r="189" spans="1:17" ht="12" customHeight="1" x14ac:dyDescent="0.2">
      <c r="A189" s="6342"/>
      <c r="B189" s="6358"/>
      <c r="C189" s="39" t="s">
        <v>9069</v>
      </c>
      <c r="D189" s="78" t="s">
        <v>9076</v>
      </c>
      <c r="E189" s="1147">
        <v>12</v>
      </c>
      <c r="F189" s="1148">
        <v>15</v>
      </c>
      <c r="G189" s="1147">
        <v>30</v>
      </c>
      <c r="H189" s="1147">
        <v>9</v>
      </c>
      <c r="I189" s="1147">
        <v>18</v>
      </c>
      <c r="J189" s="1147">
        <v>32</v>
      </c>
      <c r="K189" s="1147">
        <v>3</v>
      </c>
      <c r="L189" s="1953" t="str">
        <f t="shared" si="8"/>
        <v>Sustitución De Daño200</v>
      </c>
      <c r="M189" s="227"/>
      <c r="N189" s="6340"/>
      <c r="O189" s="78" t="s">
        <v>8795</v>
      </c>
      <c r="P189" s="78"/>
      <c r="Q189" s="1951"/>
    </row>
    <row r="190" spans="1:17" ht="12" customHeight="1" x14ac:dyDescent="0.2">
      <c r="A190" s="6342"/>
      <c r="B190" s="6358"/>
      <c r="C190" s="39" t="s">
        <v>9069</v>
      </c>
      <c r="D190" s="78" t="s">
        <v>9078</v>
      </c>
      <c r="E190" s="1147">
        <v>15</v>
      </c>
      <c r="F190" s="1148">
        <v>19</v>
      </c>
      <c r="G190" s="1147">
        <v>35</v>
      </c>
      <c r="H190" s="1147">
        <v>12</v>
      </c>
      <c r="I190" s="1147">
        <v>24</v>
      </c>
      <c r="J190" s="1147">
        <v>42</v>
      </c>
      <c r="K190" s="1147">
        <v>3</v>
      </c>
      <c r="L190" s="1953" t="str">
        <f t="shared" si="8"/>
        <v>Sustitución De Daño250</v>
      </c>
      <c r="M190" s="227"/>
      <c r="N190" s="6340"/>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51" t="str">
        <f>IF(Personalización!O79="","",Personalización!O79)</f>
        <v/>
      </c>
    </row>
    <row r="191" spans="1:17" ht="12" customHeight="1" x14ac:dyDescent="0.2">
      <c r="A191" s="6342"/>
      <c r="B191" s="6358"/>
      <c r="C191" s="39" t="s">
        <v>9080</v>
      </c>
      <c r="D191" s="78"/>
      <c r="E191" s="1147"/>
      <c r="F191" s="1148"/>
      <c r="G191" s="1147"/>
      <c r="H191" s="1147"/>
      <c r="I191" s="1147"/>
      <c r="J191" s="1147"/>
      <c r="K191" s="1147"/>
      <c r="L191" s="1953" t="str">
        <f t="shared" si="8"/>
        <v>&gt; SUSTITUCIÓN DE DAÑO REAL</v>
      </c>
      <c r="M191" s="227"/>
      <c r="N191" s="6340"/>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51" t="str">
        <f>IF(Personalización!O80="","",Personalización!O80)</f>
        <v/>
      </c>
    </row>
    <row r="192" spans="1:17" ht="12" customHeight="1" thickBot="1" x14ac:dyDescent="0.25">
      <c r="A192" s="6342"/>
      <c r="B192" s="6358"/>
      <c r="C192" s="39" t="s">
        <v>9082</v>
      </c>
      <c r="D192" s="78" t="s">
        <v>9070</v>
      </c>
      <c r="E192" s="1147">
        <v>3</v>
      </c>
      <c r="F192" s="1148">
        <v>5</v>
      </c>
      <c r="G192" s="1147">
        <v>10</v>
      </c>
      <c r="H192" s="1147">
        <v>2</v>
      </c>
      <c r="I192" s="1147">
        <v>4</v>
      </c>
      <c r="J192" s="1147">
        <v>7</v>
      </c>
      <c r="K192" s="1147">
        <v>1</v>
      </c>
      <c r="L192" s="1953" t="str">
        <f t="shared" si="8"/>
        <v>Sustitución De Daño Real50</v>
      </c>
      <c r="M192" s="227"/>
      <c r="N192" s="6341"/>
      <c r="O192" s="929" t="str">
        <f>IF(Personalización!F81="","Desventaja Personalizada #3",Personalización!F81)</f>
        <v>Desventaja Personalizada #3</v>
      </c>
      <c r="P192" s="929" t="str">
        <f>IF(ISNUMBER(FIND("&gt;&gt;",O192)),"","'Tablas Técnicas'!"&amp;ADDRESS(ROW($P$199)+MATCH(O192,$O$200:$O$301,0),COLUMN($P$199))&amp;":"&amp;ADDRESS(ROW($P$199)+MATCH(O192,$O$200:$O$301,0)+COUNTIF($O$200:$O$301,O192)-1,COLUMN($P$199)))</f>
        <v>'Tablas Técnicas'!$P$301:$P$301</v>
      </c>
      <c r="Q192" s="1956" t="str">
        <f>IF(Personalización!O81="","",Personalización!O81)</f>
        <v/>
      </c>
    </row>
    <row r="193" spans="1:20" ht="12" customHeight="1" x14ac:dyDescent="0.2">
      <c r="A193" s="6342"/>
      <c r="B193" s="6358"/>
      <c r="C193" s="39" t="s">
        <v>9082</v>
      </c>
      <c r="D193" s="78" t="s">
        <v>7537</v>
      </c>
      <c r="E193" s="1147">
        <v>5</v>
      </c>
      <c r="F193" s="1148">
        <v>8</v>
      </c>
      <c r="G193" s="1147">
        <v>15</v>
      </c>
      <c r="H193" s="1147">
        <v>5</v>
      </c>
      <c r="I193" s="1147">
        <v>10</v>
      </c>
      <c r="J193" s="1147">
        <v>18</v>
      </c>
      <c r="K193" s="1147">
        <v>1</v>
      </c>
      <c r="L193" s="1953" t="str">
        <f t="shared" si="8"/>
        <v>Sustitución De Daño Real100</v>
      </c>
      <c r="M193" s="227"/>
    </row>
    <row r="194" spans="1:20" ht="12" customHeight="1" x14ac:dyDescent="0.2">
      <c r="A194" s="6342"/>
      <c r="B194" s="6358"/>
      <c r="C194" s="39" t="s">
        <v>9082</v>
      </c>
      <c r="D194" s="78" t="s">
        <v>7538</v>
      </c>
      <c r="E194" s="1147">
        <v>8</v>
      </c>
      <c r="F194" s="1148">
        <v>11</v>
      </c>
      <c r="G194" s="1147">
        <v>20</v>
      </c>
      <c r="H194" s="1147">
        <v>6</v>
      </c>
      <c r="I194" s="1147">
        <v>12</v>
      </c>
      <c r="J194" s="1147">
        <v>21</v>
      </c>
      <c r="K194" s="1147">
        <v>1</v>
      </c>
      <c r="L194" s="1953" t="str">
        <f t="shared" si="8"/>
        <v>Sustitución De Daño Real120</v>
      </c>
      <c r="M194" s="227"/>
    </row>
    <row r="195" spans="1:20" ht="12" customHeight="1" thickBot="1" x14ac:dyDescent="0.25">
      <c r="A195" s="6342"/>
      <c r="B195" s="6358"/>
      <c r="C195" s="39" t="s">
        <v>9082</v>
      </c>
      <c r="D195" s="78" t="s">
        <v>9072</v>
      </c>
      <c r="E195" s="1147">
        <v>12</v>
      </c>
      <c r="F195" s="1148">
        <v>15</v>
      </c>
      <c r="G195" s="1147">
        <v>30</v>
      </c>
      <c r="H195" s="1147">
        <v>8</v>
      </c>
      <c r="I195" s="1147">
        <v>16</v>
      </c>
      <c r="J195" s="1147">
        <v>28</v>
      </c>
      <c r="K195" s="1147">
        <v>2</v>
      </c>
      <c r="L195" s="1953" t="str">
        <f t="shared" si="8"/>
        <v>Sustitución De Daño Real150</v>
      </c>
      <c r="M195" s="227"/>
    </row>
    <row r="196" spans="1:20" ht="12" customHeight="1" x14ac:dyDescent="0.2">
      <c r="A196" s="6342"/>
      <c r="B196" s="6358"/>
      <c r="C196" s="39" t="s">
        <v>9082</v>
      </c>
      <c r="D196" s="78" t="s">
        <v>9074</v>
      </c>
      <c r="E196" s="1147">
        <v>15</v>
      </c>
      <c r="F196" s="1148">
        <v>19</v>
      </c>
      <c r="G196" s="1147">
        <v>40</v>
      </c>
      <c r="H196" s="1147">
        <v>10</v>
      </c>
      <c r="I196" s="1147">
        <v>20</v>
      </c>
      <c r="J196" s="1147">
        <v>35</v>
      </c>
      <c r="K196" s="1147">
        <v>2</v>
      </c>
      <c r="L196" s="1953" t="str">
        <f t="shared" si="8"/>
        <v>Sustitución De Daño Real180</v>
      </c>
      <c r="M196" s="227"/>
      <c r="N196" s="6336"/>
      <c r="O196" s="6343" t="s">
        <v>8995</v>
      </c>
      <c r="P196" s="6343"/>
      <c r="Q196" s="6343"/>
      <c r="R196" s="6343"/>
      <c r="S196" s="6344"/>
      <c r="T196" s="227"/>
    </row>
    <row r="197" spans="1:20" ht="12" customHeight="1" x14ac:dyDescent="0.2">
      <c r="A197" s="6342"/>
      <c r="B197" s="6358"/>
      <c r="C197" s="39" t="s">
        <v>9082</v>
      </c>
      <c r="D197" s="78" t="s">
        <v>9076</v>
      </c>
      <c r="E197" s="1147">
        <v>18</v>
      </c>
      <c r="F197" s="1148">
        <v>22</v>
      </c>
      <c r="G197" s="1147">
        <v>50</v>
      </c>
      <c r="H197" s="1147">
        <v>12</v>
      </c>
      <c r="I197" s="1147">
        <v>24</v>
      </c>
      <c r="J197" s="1147">
        <v>42</v>
      </c>
      <c r="K197" s="1147">
        <v>3</v>
      </c>
      <c r="L197" s="1953" t="str">
        <f t="shared" si="8"/>
        <v>Sustitución De Daño Real200</v>
      </c>
      <c r="M197" s="227"/>
      <c r="N197" s="6337"/>
      <c r="O197" s="6346"/>
      <c r="P197" s="4729"/>
      <c r="Q197" s="4729"/>
      <c r="R197" s="4729"/>
      <c r="S197" s="6345"/>
      <c r="T197" s="227"/>
    </row>
    <row r="198" spans="1:20" ht="12" customHeight="1" x14ac:dyDescent="0.2">
      <c r="A198" s="6342"/>
      <c r="B198" s="6358"/>
      <c r="C198" s="39" t="s">
        <v>2847</v>
      </c>
      <c r="D198" s="78"/>
      <c r="E198" s="1147"/>
      <c r="F198" s="1148"/>
      <c r="G198" s="1147"/>
      <c r="H198" s="1147"/>
      <c r="I198" s="1147"/>
      <c r="J198" s="1147"/>
      <c r="K198" s="1147"/>
      <c r="L198" s="1953" t="str">
        <f t="shared" si="8"/>
        <v>&gt;&gt;EFECTOS DE ACCION</v>
      </c>
      <c r="M198" s="227"/>
      <c r="N198" s="6337"/>
      <c r="O198" s="2049" t="s">
        <v>8996</v>
      </c>
      <c r="P198" s="2048" t="s">
        <v>2827</v>
      </c>
      <c r="Q198" s="2049" t="s">
        <v>1500</v>
      </c>
      <c r="R198" s="2049" t="s">
        <v>1403</v>
      </c>
      <c r="S198" s="1950" t="s">
        <v>8455</v>
      </c>
      <c r="T198" s="227"/>
    </row>
    <row r="199" spans="1:20" ht="12" customHeight="1" x14ac:dyDescent="0.2">
      <c r="A199" s="6342"/>
      <c r="B199" s="6358"/>
      <c r="C199" s="39" t="s">
        <v>9090</v>
      </c>
      <c r="D199" s="78"/>
      <c r="E199" s="1147"/>
      <c r="F199" s="1148"/>
      <c r="G199" s="1147"/>
      <c r="H199" s="1147"/>
      <c r="I199" s="1147"/>
      <c r="J199" s="1147"/>
      <c r="K199" s="1147"/>
      <c r="L199" s="1953" t="str">
        <f t="shared" si="8"/>
        <v>&gt; ATAQUE ADICIONAL</v>
      </c>
      <c r="M199" s="227"/>
      <c r="N199" s="6337"/>
      <c r="O199" s="2049">
        <v>1</v>
      </c>
      <c r="P199" s="2048">
        <v>2</v>
      </c>
      <c r="Q199" s="2049">
        <v>3</v>
      </c>
      <c r="R199" s="2049">
        <v>4</v>
      </c>
      <c r="S199" s="1950">
        <v>5</v>
      </c>
      <c r="T199" s="227"/>
    </row>
    <row r="200" spans="1:20" ht="12" customHeight="1" x14ac:dyDescent="0.2">
      <c r="A200" s="6342"/>
      <c r="B200" s="6358"/>
      <c r="C200" s="39" t="s">
        <v>8879</v>
      </c>
      <c r="D200" s="78" t="s">
        <v>2870</v>
      </c>
      <c r="E200" s="1147">
        <v>6</v>
      </c>
      <c r="F200" s="1148">
        <v>9</v>
      </c>
      <c r="G200" s="1147">
        <v>20</v>
      </c>
      <c r="H200" s="1147">
        <v>3</v>
      </c>
      <c r="I200" s="1147">
        <v>6</v>
      </c>
      <c r="J200" s="1147">
        <v>11</v>
      </c>
      <c r="K200" s="1147">
        <v>1</v>
      </c>
      <c r="L200" s="1953" t="str">
        <f t="shared" si="8"/>
        <v>Ataque Adicional+1</v>
      </c>
      <c r="M200" s="227"/>
      <c r="N200" s="6337"/>
      <c r="O200" s="78" t="s">
        <v>8997</v>
      </c>
      <c r="P200" s="78"/>
      <c r="Q200" s="72"/>
      <c r="R200" s="72"/>
      <c r="S200" s="1953" t="str">
        <f>O200&amp;P200</f>
        <v>&gt; AGOTAMIENTO</v>
      </c>
      <c r="T200" s="227"/>
    </row>
    <row r="201" spans="1:20" ht="12" customHeight="1" x14ac:dyDescent="0.2">
      <c r="A201" s="6342"/>
      <c r="B201" s="6358"/>
      <c r="C201" s="39" t="s">
        <v>8879</v>
      </c>
      <c r="D201" s="78" t="s">
        <v>2831</v>
      </c>
      <c r="E201" s="1147">
        <v>12</v>
      </c>
      <c r="F201" s="1148">
        <v>15</v>
      </c>
      <c r="G201" s="1147">
        <v>30</v>
      </c>
      <c r="H201" s="1147">
        <v>6</v>
      </c>
      <c r="I201" s="1147">
        <v>12</v>
      </c>
      <c r="J201" s="1147">
        <v>21</v>
      </c>
      <c r="K201" s="1147">
        <v>1</v>
      </c>
      <c r="L201" s="1953" t="str">
        <f t="shared" si="8"/>
        <v>Ataque Adicional+2</v>
      </c>
      <c r="M201" s="227"/>
      <c r="N201" s="6337"/>
      <c r="O201" s="78" t="s">
        <v>8974</v>
      </c>
      <c r="P201" s="78" t="s">
        <v>8998</v>
      </c>
      <c r="Q201" s="72">
        <v>-5</v>
      </c>
      <c r="R201" s="72">
        <v>1</v>
      </c>
      <c r="S201" s="1953" t="str">
        <f t="shared" ref="S201:S264" si="10">O201&amp;P201</f>
        <v>Agotamiento-2 Cansancio</v>
      </c>
      <c r="T201" s="227"/>
    </row>
    <row r="202" spans="1:20" ht="12" customHeight="1" x14ac:dyDescent="0.2">
      <c r="A202" s="6342"/>
      <c r="B202" s="6358"/>
      <c r="C202" s="39" t="s">
        <v>8879</v>
      </c>
      <c r="D202" s="78" t="s">
        <v>2832</v>
      </c>
      <c r="E202" s="1147">
        <v>18</v>
      </c>
      <c r="F202" s="1148">
        <v>22</v>
      </c>
      <c r="G202" s="1147">
        <v>40</v>
      </c>
      <c r="H202" s="1147">
        <v>9</v>
      </c>
      <c r="I202" s="1147">
        <v>18</v>
      </c>
      <c r="J202" s="1147">
        <v>32</v>
      </c>
      <c r="K202" s="1147">
        <v>1</v>
      </c>
      <c r="L202" s="1953" t="str">
        <f t="shared" si="8"/>
        <v>Ataque Adicional+3</v>
      </c>
      <c r="M202" s="227"/>
      <c r="N202" s="6337"/>
      <c r="O202" s="78" t="s">
        <v>8974</v>
      </c>
      <c r="P202" s="78" t="s">
        <v>8999</v>
      </c>
      <c r="Q202" s="72">
        <v>-10</v>
      </c>
      <c r="R202" s="72">
        <v>1</v>
      </c>
      <c r="S202" s="1953" t="str">
        <f t="shared" si="10"/>
        <v>Agotamiento-4 Cansancio</v>
      </c>
      <c r="T202" s="227"/>
    </row>
    <row r="203" spans="1:20" ht="12" customHeight="1" x14ac:dyDescent="0.2">
      <c r="A203" s="6342"/>
      <c r="B203" s="6358"/>
      <c r="C203" s="39" t="s">
        <v>8879</v>
      </c>
      <c r="D203" s="78" t="s">
        <v>3136</v>
      </c>
      <c r="E203" s="1147">
        <v>24</v>
      </c>
      <c r="F203" s="1148">
        <v>29</v>
      </c>
      <c r="G203" s="1147">
        <v>50</v>
      </c>
      <c r="H203" s="1147">
        <v>12</v>
      </c>
      <c r="I203" s="1147">
        <v>24</v>
      </c>
      <c r="J203" s="1147">
        <v>42</v>
      </c>
      <c r="K203" s="1147">
        <v>2</v>
      </c>
      <c r="L203" s="1953" t="str">
        <f t="shared" ref="L203:L266" si="11">C203&amp;D203</f>
        <v>Ataque Adicional+4</v>
      </c>
      <c r="M203" s="227"/>
      <c r="N203" s="6337"/>
      <c r="O203" s="78" t="s">
        <v>8974</v>
      </c>
      <c r="P203" s="78" t="s">
        <v>9000</v>
      </c>
      <c r="Q203" s="72">
        <v>-15</v>
      </c>
      <c r="R203" s="72">
        <v>2</v>
      </c>
      <c r="S203" s="1953" t="str">
        <f t="shared" si="10"/>
        <v>Agotamiento-6 Cansancio</v>
      </c>
      <c r="T203" s="227"/>
    </row>
    <row r="204" spans="1:20" ht="12" customHeight="1" x14ac:dyDescent="0.2">
      <c r="A204" s="6342"/>
      <c r="B204" s="6358"/>
      <c r="C204" s="39" t="s">
        <v>8879</v>
      </c>
      <c r="D204" s="78" t="s">
        <v>6879</v>
      </c>
      <c r="E204" s="1147">
        <v>30</v>
      </c>
      <c r="F204" s="1148">
        <v>36</v>
      </c>
      <c r="G204" s="1147">
        <v>60</v>
      </c>
      <c r="H204" s="1147">
        <v>15</v>
      </c>
      <c r="I204" s="1147">
        <v>30</v>
      </c>
      <c r="J204" s="1147">
        <v>53</v>
      </c>
      <c r="K204" s="1147">
        <v>3</v>
      </c>
      <c r="L204" s="1953" t="str">
        <f t="shared" si="11"/>
        <v>Ataque Adicional+5</v>
      </c>
      <c r="M204" s="227"/>
      <c r="N204" s="6337"/>
      <c r="O204" s="78" t="s">
        <v>9001</v>
      </c>
      <c r="P204" s="78"/>
      <c r="Q204" s="72"/>
      <c r="R204" s="72"/>
      <c r="S204" s="1953" t="str">
        <f t="shared" si="10"/>
        <v>&gt; ATADURA ELEMENTAL</v>
      </c>
      <c r="T204" s="227"/>
    </row>
    <row r="205" spans="1:20" ht="12" customHeight="1" x14ac:dyDescent="0.2">
      <c r="A205" s="6342"/>
      <c r="B205" s="6358"/>
      <c r="C205" s="39" t="s">
        <v>8879</v>
      </c>
      <c r="D205" s="78" t="s">
        <v>9334</v>
      </c>
      <c r="E205" s="1147">
        <v>10</v>
      </c>
      <c r="F205" s="1148">
        <v>10</v>
      </c>
      <c r="G205" s="1147">
        <v>30</v>
      </c>
      <c r="H205" s="1147">
        <v>5</v>
      </c>
      <c r="I205" s="1147">
        <v>10</v>
      </c>
      <c r="J205" s="1147">
        <v>18</v>
      </c>
      <c r="K205" s="1147"/>
      <c r="L205" s="1953" t="str">
        <f t="shared" si="11"/>
        <v>Ataque AdicionalAtaque Continuo</v>
      </c>
      <c r="M205" s="227"/>
      <c r="N205" s="6337"/>
      <c r="O205" s="78" t="s">
        <v>8807</v>
      </c>
      <c r="P205" s="78" t="s">
        <v>9002</v>
      </c>
      <c r="Q205" s="72">
        <v>-15</v>
      </c>
      <c r="R205" s="72">
        <v>1</v>
      </c>
      <c r="S205" s="1953" t="str">
        <f t="shared" si="10"/>
        <v>Atadura ElementalA Un Elemento</v>
      </c>
      <c r="T205" s="227"/>
    </row>
    <row r="206" spans="1:20" ht="12" customHeight="1" x14ac:dyDescent="0.2">
      <c r="A206" s="6342"/>
      <c r="B206" s="6358"/>
      <c r="C206" s="39" t="s">
        <v>8879</v>
      </c>
      <c r="D206" s="78" t="s">
        <v>3133</v>
      </c>
      <c r="E206" s="1147">
        <v>6</v>
      </c>
      <c r="F206" s="1148">
        <v>6</v>
      </c>
      <c r="G206" s="1147">
        <v>20</v>
      </c>
      <c r="H206" s="1147">
        <v>2</v>
      </c>
      <c r="I206" s="1147">
        <v>4</v>
      </c>
      <c r="J206" s="1147">
        <v>7</v>
      </c>
      <c r="K206" s="1147"/>
      <c r="L206" s="1953" t="str">
        <f t="shared" si="11"/>
        <v>Ataque AdicionalBono de Cansancio Añadido</v>
      </c>
      <c r="M206" s="227"/>
      <c r="N206" s="6337"/>
      <c r="O206" s="78" t="s">
        <v>8807</v>
      </c>
      <c r="P206" s="78" t="s">
        <v>8808</v>
      </c>
      <c r="Q206" s="72">
        <v>-10</v>
      </c>
      <c r="R206" s="72">
        <v>1</v>
      </c>
      <c r="S206" s="1953" t="str">
        <f t="shared" si="10"/>
        <v>Atadura ElementalA Dos Elementos</v>
      </c>
      <c r="T206" s="227"/>
    </row>
    <row r="207" spans="1:20" ht="12" customHeight="1" x14ac:dyDescent="0.2">
      <c r="A207" s="6342"/>
      <c r="B207" s="6358"/>
      <c r="C207" s="39" t="s">
        <v>8879</v>
      </c>
      <c r="D207" s="78" t="s">
        <v>9339</v>
      </c>
      <c r="E207" s="1147">
        <v>-3</v>
      </c>
      <c r="F207" s="1148">
        <v>-3</v>
      </c>
      <c r="G207" s="1147">
        <v>-10</v>
      </c>
      <c r="H207" s="1147"/>
      <c r="I207" s="1147"/>
      <c r="J207" s="1147"/>
      <c r="K207" s="1147"/>
      <c r="L207" s="1953" t="str">
        <f t="shared" si="11"/>
        <v>Ataque AdicionalCombo: Hasta 2</v>
      </c>
      <c r="M207" s="227"/>
      <c r="N207" s="6337"/>
      <c r="O207" s="78" t="s">
        <v>9004</v>
      </c>
      <c r="P207" s="78"/>
      <c r="Q207" s="72"/>
      <c r="R207" s="72"/>
      <c r="S207" s="1953" t="str">
        <f t="shared" si="10"/>
        <v>&gt; ATAQUE ESPECIALIZADO</v>
      </c>
      <c r="T207" s="227"/>
    </row>
    <row r="208" spans="1:20" ht="12" customHeight="1" x14ac:dyDescent="0.2">
      <c r="A208" s="6342"/>
      <c r="B208" s="6358"/>
      <c r="C208" s="39" t="s">
        <v>8879</v>
      </c>
      <c r="D208" s="78" t="s">
        <v>9340</v>
      </c>
      <c r="E208" s="1147">
        <v>-6</v>
      </c>
      <c r="F208" s="1148">
        <v>-6</v>
      </c>
      <c r="G208" s="1147">
        <v>-20</v>
      </c>
      <c r="H208" s="1147"/>
      <c r="I208" s="1147"/>
      <c r="J208" s="1147"/>
      <c r="K208" s="1147"/>
      <c r="L208" s="1953" t="str">
        <f t="shared" si="11"/>
        <v xml:space="preserve">Ataque AdicionalCombo: 3+ </v>
      </c>
      <c r="M208" s="227"/>
      <c r="N208" s="6337"/>
      <c r="O208" s="78" t="s">
        <v>8975</v>
      </c>
      <c r="P208" s="78" t="s">
        <v>9006</v>
      </c>
      <c r="Q208" s="72">
        <v>-10</v>
      </c>
      <c r="R208" s="72">
        <v>1</v>
      </c>
      <c r="S208" s="1953" t="str">
        <f t="shared" si="10"/>
        <v>Ataque EspecializadoParada</v>
      </c>
      <c r="T208" s="227"/>
    </row>
    <row r="209" spans="1:20" ht="12" customHeight="1" x14ac:dyDescent="0.2">
      <c r="A209" s="6342"/>
      <c r="B209" s="6358"/>
      <c r="C209" s="39" t="s">
        <v>9092</v>
      </c>
      <c r="D209" s="78"/>
      <c r="E209" s="1147"/>
      <c r="F209" s="1148"/>
      <c r="G209" s="1147"/>
      <c r="H209" s="1147"/>
      <c r="I209" s="1147"/>
      <c r="J209" s="1147"/>
      <c r="K209" s="1147"/>
      <c r="L209" s="1953" t="str">
        <f t="shared" si="11"/>
        <v>&gt; ATAQUE ADICIONAL LIMITADO</v>
      </c>
      <c r="M209" s="227"/>
      <c r="N209" s="6337"/>
      <c r="O209" s="78" t="s">
        <v>8975</v>
      </c>
      <c r="P209" s="78" t="s">
        <v>9007</v>
      </c>
      <c r="Q209" s="72">
        <v>-10</v>
      </c>
      <c r="R209" s="72">
        <v>1</v>
      </c>
      <c r="S209" s="1953" t="str">
        <f t="shared" si="10"/>
        <v>Ataque EspecializadoEsquiva</v>
      </c>
      <c r="T209" s="227"/>
    </row>
    <row r="210" spans="1:20" ht="12" customHeight="1" x14ac:dyDescent="0.2">
      <c r="A210" s="6342"/>
      <c r="B210" s="6358"/>
      <c r="C210" s="39" t="s">
        <v>8882</v>
      </c>
      <c r="D210" s="78" t="s">
        <v>2870</v>
      </c>
      <c r="E210" s="1147">
        <v>3</v>
      </c>
      <c r="F210" s="1148">
        <v>5</v>
      </c>
      <c r="G210" s="1147">
        <v>5</v>
      </c>
      <c r="H210" s="1147">
        <v>1</v>
      </c>
      <c r="I210" s="1147">
        <v>2</v>
      </c>
      <c r="J210" s="1147">
        <v>4</v>
      </c>
      <c r="K210" s="1147">
        <v>1</v>
      </c>
      <c r="L210" s="1953" t="str">
        <f t="shared" si="11"/>
        <v>Ataque Adicional Limitado+1</v>
      </c>
      <c r="M210" s="227"/>
      <c r="N210" s="6337"/>
      <c r="O210" s="78" t="s">
        <v>8975</v>
      </c>
      <c r="P210" s="78" t="s">
        <v>1686</v>
      </c>
      <c r="Q210" s="72">
        <v>-10</v>
      </c>
      <c r="R210" s="72">
        <v>1</v>
      </c>
      <c r="S210" s="1953" t="str">
        <f t="shared" si="10"/>
        <v>Ataque EspecializadoAcumulación</v>
      </c>
      <c r="T210" s="227"/>
    </row>
    <row r="211" spans="1:20" ht="12" customHeight="1" x14ac:dyDescent="0.2">
      <c r="A211" s="6342"/>
      <c r="B211" s="6358"/>
      <c r="C211" s="39" t="s">
        <v>8882</v>
      </c>
      <c r="D211" s="78" t="s">
        <v>2831</v>
      </c>
      <c r="E211" s="1147">
        <v>6</v>
      </c>
      <c r="F211" s="1148">
        <v>9</v>
      </c>
      <c r="G211" s="1147">
        <v>10</v>
      </c>
      <c r="H211" s="1147">
        <v>2</v>
      </c>
      <c r="I211" s="1147">
        <v>4</v>
      </c>
      <c r="J211" s="1147">
        <v>7</v>
      </c>
      <c r="K211" s="1147">
        <v>1</v>
      </c>
      <c r="L211" s="1953" t="str">
        <f t="shared" si="11"/>
        <v>Ataque Adicional Limitado+2</v>
      </c>
      <c r="M211" s="227"/>
      <c r="N211" s="6337"/>
      <c r="O211" s="78" t="s">
        <v>9008</v>
      </c>
      <c r="P211" s="78"/>
      <c r="Q211" s="72"/>
      <c r="R211" s="72"/>
      <c r="S211" s="1953" t="str">
        <f t="shared" si="10"/>
        <v>&gt; ATADA A UN ARMA</v>
      </c>
      <c r="T211" s="227"/>
    </row>
    <row r="212" spans="1:20" ht="12" customHeight="1" x14ac:dyDescent="0.2">
      <c r="A212" s="6342"/>
      <c r="B212" s="6358"/>
      <c r="C212" s="39" t="s">
        <v>8882</v>
      </c>
      <c r="D212" s="78" t="s">
        <v>2832</v>
      </c>
      <c r="E212" s="1147">
        <v>9</v>
      </c>
      <c r="F212" s="1148">
        <v>12</v>
      </c>
      <c r="G212" s="1147">
        <v>15</v>
      </c>
      <c r="H212" s="1147">
        <v>3</v>
      </c>
      <c r="I212" s="1147">
        <v>6</v>
      </c>
      <c r="J212" s="1147">
        <v>11</v>
      </c>
      <c r="K212" s="1147">
        <v>1</v>
      </c>
      <c r="L212" s="1953" t="str">
        <f t="shared" si="11"/>
        <v>Ataque Adicional Limitado+3</v>
      </c>
      <c r="M212" s="227"/>
      <c r="N212" s="6337"/>
      <c r="O212" s="78" t="s">
        <v>8977</v>
      </c>
      <c r="P212" s="78" t="s">
        <v>9009</v>
      </c>
      <c r="Q212" s="72">
        <v>-5</v>
      </c>
      <c r="R212" s="72">
        <v>1</v>
      </c>
      <c r="S212" s="1953" t="str">
        <f t="shared" si="10"/>
        <v>Atada A Un ArmaGenérica</v>
      </c>
      <c r="T212" s="227"/>
    </row>
    <row r="213" spans="1:20" ht="12" customHeight="1" x14ac:dyDescent="0.2">
      <c r="A213" s="6342"/>
      <c r="B213" s="6358"/>
      <c r="C213" s="39" t="s">
        <v>8882</v>
      </c>
      <c r="D213" s="78" t="s">
        <v>3136</v>
      </c>
      <c r="E213" s="1147">
        <v>12</v>
      </c>
      <c r="F213" s="1148">
        <v>15</v>
      </c>
      <c r="G213" s="1147">
        <v>20</v>
      </c>
      <c r="H213" s="1147">
        <v>4</v>
      </c>
      <c r="I213" s="1147">
        <v>8</v>
      </c>
      <c r="J213" s="1147">
        <v>14</v>
      </c>
      <c r="K213" s="1147">
        <v>1</v>
      </c>
      <c r="L213" s="1953" t="str">
        <f t="shared" si="11"/>
        <v>Ataque Adicional Limitado+4</v>
      </c>
      <c r="M213" s="227"/>
      <c r="N213" s="6337"/>
      <c r="O213" s="78" t="s">
        <v>8977</v>
      </c>
      <c r="P213" s="78" t="s">
        <v>9010</v>
      </c>
      <c r="Q213" s="72">
        <v>-10</v>
      </c>
      <c r="R213" s="72">
        <v>1</v>
      </c>
      <c r="S213" s="1953" t="str">
        <f t="shared" si="10"/>
        <v>Atada A Un ArmaÚnica</v>
      </c>
      <c r="T213" s="227"/>
    </row>
    <row r="214" spans="1:20" ht="12" customHeight="1" x14ac:dyDescent="0.2">
      <c r="A214" s="6342"/>
      <c r="B214" s="6358"/>
      <c r="C214" s="39" t="s">
        <v>8882</v>
      </c>
      <c r="D214" s="78" t="s">
        <v>6879</v>
      </c>
      <c r="E214" s="1147">
        <v>15</v>
      </c>
      <c r="F214" s="1148">
        <v>19</v>
      </c>
      <c r="G214" s="1147">
        <v>30</v>
      </c>
      <c r="H214" s="1147">
        <v>6</v>
      </c>
      <c r="I214" s="1147">
        <v>12</v>
      </c>
      <c r="J214" s="1147">
        <v>21</v>
      </c>
      <c r="K214" s="1147">
        <v>1</v>
      </c>
      <c r="L214" s="1953" t="str">
        <f t="shared" si="11"/>
        <v>Ataque Adicional Limitado+5</v>
      </c>
      <c r="M214" s="227"/>
      <c r="N214" s="6337"/>
      <c r="O214" s="78" t="s">
        <v>9011</v>
      </c>
      <c r="P214" s="78"/>
      <c r="Q214" s="72"/>
      <c r="R214" s="72"/>
      <c r="S214" s="1953" t="str">
        <f t="shared" si="10"/>
        <v>&gt; CIRCUNSTANCIA LÍMITE</v>
      </c>
      <c r="T214" s="227"/>
    </row>
    <row r="215" spans="1:20" ht="12" customHeight="1" x14ac:dyDescent="0.2">
      <c r="A215" s="6342"/>
      <c r="B215" s="6358"/>
      <c r="C215" s="39" t="s">
        <v>8882</v>
      </c>
      <c r="D215" s="78" t="s">
        <v>9093</v>
      </c>
      <c r="E215" s="1147">
        <v>18</v>
      </c>
      <c r="F215" s="1148">
        <v>22</v>
      </c>
      <c r="G215" s="1147">
        <v>40</v>
      </c>
      <c r="H215" s="1147">
        <v>8</v>
      </c>
      <c r="I215" s="1147">
        <v>16</v>
      </c>
      <c r="J215" s="1147">
        <v>28</v>
      </c>
      <c r="K215" s="1147">
        <v>2</v>
      </c>
      <c r="L215" s="1953" t="str">
        <f t="shared" si="11"/>
        <v>Ataque Adicional Limitado+6</v>
      </c>
      <c r="M215" s="227"/>
      <c r="N215" s="6337"/>
      <c r="O215" s="78" t="s">
        <v>8979</v>
      </c>
      <c r="P215" s="78" t="s">
        <v>9013</v>
      </c>
      <c r="Q215" s="72">
        <v>-10</v>
      </c>
      <c r="R215" s="72">
        <v>1</v>
      </c>
      <c r="S215" s="1953" t="str">
        <f t="shared" si="10"/>
        <v>Circunstancia LímiteMitad de PV</v>
      </c>
      <c r="T215" s="227"/>
    </row>
    <row r="216" spans="1:20" ht="12" customHeight="1" x14ac:dyDescent="0.2">
      <c r="A216" s="6342"/>
      <c r="B216" s="6358"/>
      <c r="C216" s="39" t="s">
        <v>8882</v>
      </c>
      <c r="D216" s="78" t="s">
        <v>6894</v>
      </c>
      <c r="E216" s="1147">
        <v>22</v>
      </c>
      <c r="F216" s="1148">
        <v>26</v>
      </c>
      <c r="G216" s="1147">
        <v>50</v>
      </c>
      <c r="H216" s="1147">
        <v>10</v>
      </c>
      <c r="I216" s="1147">
        <v>20</v>
      </c>
      <c r="J216" s="1147">
        <v>35</v>
      </c>
      <c r="K216" s="1147">
        <v>2</v>
      </c>
      <c r="L216" s="1953" t="str">
        <f t="shared" si="11"/>
        <v>Ataque Adicional Limitado+8</v>
      </c>
      <c r="M216" s="227"/>
      <c r="N216" s="6337"/>
      <c r="O216" s="78" t="s">
        <v>8979</v>
      </c>
      <c r="P216" s="78" t="s">
        <v>9015</v>
      </c>
      <c r="Q216" s="72">
        <v>-15</v>
      </c>
      <c r="R216" s="72">
        <v>1</v>
      </c>
      <c r="S216" s="1953" t="str">
        <f t="shared" si="10"/>
        <v>Circunstancia LímiteUna 1/4 de PV</v>
      </c>
      <c r="T216" s="227"/>
    </row>
    <row r="217" spans="1:20" ht="12" customHeight="1" x14ac:dyDescent="0.2">
      <c r="A217" s="6342"/>
      <c r="B217" s="6358"/>
      <c r="C217" s="39" t="s">
        <v>8882</v>
      </c>
      <c r="D217" s="78" t="s">
        <v>7488</v>
      </c>
      <c r="E217" s="1147">
        <v>26</v>
      </c>
      <c r="F217" s="1148">
        <v>32</v>
      </c>
      <c r="G217" s="1147">
        <v>60</v>
      </c>
      <c r="H217" s="1147">
        <v>12</v>
      </c>
      <c r="I217" s="1147">
        <v>24</v>
      </c>
      <c r="J217" s="1147">
        <v>42</v>
      </c>
      <c r="K217" s="1147">
        <v>3</v>
      </c>
      <c r="L217" s="1953" t="str">
        <f t="shared" si="11"/>
        <v>Ataque Adicional Limitado+10</v>
      </c>
      <c r="M217" s="227"/>
      <c r="N217" s="6337"/>
      <c r="O217" s="78" t="s">
        <v>8979</v>
      </c>
      <c r="P217" s="78" t="s">
        <v>9016</v>
      </c>
      <c r="Q217" s="72">
        <v>-25</v>
      </c>
      <c r="R217" s="72">
        <v>2</v>
      </c>
      <c r="S217" s="1953" t="str">
        <f t="shared" si="10"/>
        <v>Circunstancia LímitePV Negativos</v>
      </c>
      <c r="T217" s="227"/>
    </row>
    <row r="218" spans="1:20" ht="12" customHeight="1" x14ac:dyDescent="0.2">
      <c r="A218" s="6342"/>
      <c r="B218" s="6358"/>
      <c r="C218" s="39" t="s">
        <v>8882</v>
      </c>
      <c r="D218" s="78" t="s">
        <v>3132</v>
      </c>
      <c r="E218" s="1147">
        <v>10</v>
      </c>
      <c r="F218" s="1148">
        <v>10</v>
      </c>
      <c r="G218" s="1147">
        <v>30</v>
      </c>
      <c r="H218" s="1147">
        <v>5</v>
      </c>
      <c r="I218" s="1147">
        <v>10</v>
      </c>
      <c r="J218" s="1147">
        <v>18</v>
      </c>
      <c r="K218" s="1147"/>
      <c r="L218" s="1953" t="str">
        <f t="shared" si="11"/>
        <v>Ataque Adicional LimitadoAtaque Contínuo</v>
      </c>
      <c r="M218" s="227"/>
      <c r="N218" s="6337"/>
      <c r="O218" s="78" t="s">
        <v>8979</v>
      </c>
      <c r="P218" s="78" t="s">
        <v>9017</v>
      </c>
      <c r="Q218" s="72">
        <v>-10</v>
      </c>
      <c r="R218" s="72">
        <v>1</v>
      </c>
      <c r="S218" s="1953" t="str">
        <f t="shared" si="10"/>
        <v>Circunstancia LímiteRecibir Daño</v>
      </c>
      <c r="T218" s="227"/>
    </row>
    <row r="219" spans="1:20" ht="12" customHeight="1" x14ac:dyDescent="0.2">
      <c r="A219" s="6342"/>
      <c r="B219" s="6358"/>
      <c r="C219" s="39" t="s">
        <v>9094</v>
      </c>
      <c r="D219" s="78"/>
      <c r="E219" s="1147"/>
      <c r="F219" s="1148"/>
      <c r="G219" s="1147"/>
      <c r="H219" s="1147"/>
      <c r="I219" s="1147"/>
      <c r="J219" s="1147"/>
      <c r="K219" s="1147"/>
      <c r="L219" s="1953" t="str">
        <f t="shared" si="11"/>
        <v>&gt; DEFENSAS ADICIONALES</v>
      </c>
      <c r="M219" s="227"/>
      <c r="N219" s="6337"/>
      <c r="O219" s="78" t="s">
        <v>9018</v>
      </c>
      <c r="P219" s="78"/>
      <c r="Q219" s="72"/>
      <c r="R219" s="72"/>
      <c r="S219" s="1953" t="str">
        <f t="shared" si="10"/>
        <v>&gt; CIRCUNSTANCIA DE COMBATE</v>
      </c>
      <c r="T219" s="227"/>
    </row>
    <row r="220" spans="1:20" ht="12" customHeight="1" x14ac:dyDescent="0.2">
      <c r="A220" s="6342"/>
      <c r="B220" s="6358"/>
      <c r="C220" s="39" t="s">
        <v>8884</v>
      </c>
      <c r="D220" s="78" t="s">
        <v>2870</v>
      </c>
      <c r="E220" s="1147">
        <v>1</v>
      </c>
      <c r="F220" s="1148">
        <v>2</v>
      </c>
      <c r="G220" s="1147">
        <v>5</v>
      </c>
      <c r="H220" s="1147">
        <v>1</v>
      </c>
      <c r="I220" s="1147">
        <v>2</v>
      </c>
      <c r="J220" s="1147">
        <v>4</v>
      </c>
      <c r="K220" s="1147">
        <v>1</v>
      </c>
      <c r="L220" s="1953" t="str">
        <f t="shared" si="11"/>
        <v>Defensas Adicionales+1</v>
      </c>
      <c r="M220" s="227"/>
      <c r="N220" s="6337"/>
      <c r="O220" s="78" t="s">
        <v>8980</v>
      </c>
      <c r="P220" s="78"/>
      <c r="Q220" s="72">
        <v>-5</v>
      </c>
      <c r="R220" s="72">
        <v>1</v>
      </c>
      <c r="S220" s="1953" t="str">
        <f t="shared" si="10"/>
        <v>Circunstancia De Combate</v>
      </c>
      <c r="T220" s="227"/>
    </row>
    <row r="221" spans="1:20" ht="12" customHeight="1" x14ac:dyDescent="0.2">
      <c r="A221" s="6342"/>
      <c r="B221" s="6358"/>
      <c r="C221" s="39" t="s">
        <v>8884</v>
      </c>
      <c r="D221" s="78" t="s">
        <v>2831</v>
      </c>
      <c r="E221" s="1147">
        <v>2</v>
      </c>
      <c r="F221" s="1148">
        <v>4</v>
      </c>
      <c r="G221" s="1147">
        <v>5</v>
      </c>
      <c r="H221" s="1147">
        <v>2</v>
      </c>
      <c r="I221" s="1147">
        <v>4</v>
      </c>
      <c r="J221" s="1147">
        <v>7</v>
      </c>
      <c r="K221" s="1147">
        <v>1</v>
      </c>
      <c r="L221" s="1953" t="str">
        <f t="shared" si="11"/>
        <v>Defensas Adicionales+2</v>
      </c>
      <c r="M221" s="227"/>
      <c r="N221" s="6337"/>
      <c r="O221" s="78" t="s">
        <v>9019</v>
      </c>
      <c r="P221" s="78"/>
      <c r="Q221" s="72"/>
      <c r="R221" s="72"/>
      <c r="S221" s="1953" t="str">
        <f t="shared" si="10"/>
        <v>&gt; COMPLEJA</v>
      </c>
      <c r="T221" s="227"/>
    </row>
    <row r="222" spans="1:20" ht="12" customHeight="1" x14ac:dyDescent="0.2">
      <c r="A222" s="6342"/>
      <c r="B222" s="6358"/>
      <c r="C222" s="39" t="s">
        <v>8884</v>
      </c>
      <c r="D222" s="78" t="s">
        <v>2832</v>
      </c>
      <c r="E222" s="1147">
        <v>3</v>
      </c>
      <c r="F222" s="1148">
        <v>5</v>
      </c>
      <c r="G222" s="1147">
        <v>10</v>
      </c>
      <c r="H222" s="1147">
        <v>3</v>
      </c>
      <c r="I222" s="1147">
        <v>6</v>
      </c>
      <c r="J222" s="1147">
        <v>11</v>
      </c>
      <c r="K222" s="1147">
        <v>1</v>
      </c>
      <c r="L222" s="1953" t="str">
        <f t="shared" si="11"/>
        <v>Defensas Adicionales+3</v>
      </c>
      <c r="M222" s="227"/>
      <c r="N222" s="6337"/>
      <c r="O222" s="78" t="s">
        <v>2157</v>
      </c>
      <c r="P222" s="78"/>
      <c r="Q222" s="72">
        <v>-5</v>
      </c>
      <c r="R222" s="72">
        <v>2</v>
      </c>
      <c r="S222" s="1953" t="str">
        <f t="shared" si="10"/>
        <v>Compleja</v>
      </c>
      <c r="T222" s="227"/>
    </row>
    <row r="223" spans="1:20" ht="12" customHeight="1" x14ac:dyDescent="0.2">
      <c r="A223" s="6342"/>
      <c r="B223" s="6358"/>
      <c r="C223" s="39" t="s">
        <v>8884</v>
      </c>
      <c r="D223" s="78" t="s">
        <v>3136</v>
      </c>
      <c r="E223" s="1147">
        <v>4</v>
      </c>
      <c r="F223" s="1148">
        <v>6</v>
      </c>
      <c r="G223" s="1147">
        <v>15</v>
      </c>
      <c r="H223" s="1147">
        <v>4</v>
      </c>
      <c r="I223" s="1147">
        <v>8</v>
      </c>
      <c r="J223" s="1147">
        <v>14</v>
      </c>
      <c r="K223" s="1147">
        <v>1</v>
      </c>
      <c r="L223" s="1953" t="str">
        <f t="shared" si="11"/>
        <v>Defensas Adicionales+4</v>
      </c>
      <c r="M223" s="227"/>
      <c r="N223" s="6337"/>
      <c r="O223" s="78" t="s">
        <v>9020</v>
      </c>
      <c r="P223" s="78"/>
      <c r="Q223" s="72"/>
      <c r="R223" s="72"/>
      <c r="S223" s="1953" t="str">
        <f t="shared" si="10"/>
        <v>&gt; CONDICIONES</v>
      </c>
      <c r="T223" s="227"/>
    </row>
    <row r="224" spans="1:20" ht="12" customHeight="1" x14ac:dyDescent="0.2">
      <c r="A224" s="6342"/>
      <c r="B224" s="6358"/>
      <c r="C224" s="39" t="s">
        <v>8884</v>
      </c>
      <c r="D224" s="78" t="s">
        <v>9093</v>
      </c>
      <c r="E224" s="1147">
        <v>5</v>
      </c>
      <c r="F224" s="1148">
        <v>8</v>
      </c>
      <c r="G224" s="1147">
        <v>20</v>
      </c>
      <c r="H224" s="1147">
        <v>6</v>
      </c>
      <c r="I224" s="1147">
        <v>12</v>
      </c>
      <c r="J224" s="1147">
        <v>21</v>
      </c>
      <c r="K224" s="1147">
        <v>1</v>
      </c>
      <c r="L224" s="1953" t="str">
        <f t="shared" si="11"/>
        <v>Defensas Adicionales+6</v>
      </c>
      <c r="M224" s="227"/>
      <c r="N224" s="6337"/>
      <c r="O224" s="78" t="s">
        <v>7526</v>
      </c>
      <c r="P224" s="78" t="s">
        <v>9021</v>
      </c>
      <c r="Q224" s="72">
        <v>-5</v>
      </c>
      <c r="R224" s="72">
        <v>1</v>
      </c>
      <c r="S224" s="1953" t="str">
        <f t="shared" si="10"/>
        <v>CondiciónDesenvainar</v>
      </c>
      <c r="T224" s="227"/>
    </row>
    <row r="225" spans="1:21" ht="12" customHeight="1" x14ac:dyDescent="0.2">
      <c r="A225" s="6342"/>
      <c r="B225" s="6358"/>
      <c r="C225" s="39" t="s">
        <v>8884</v>
      </c>
      <c r="D225" s="78" t="s">
        <v>6894</v>
      </c>
      <c r="E225" s="1147">
        <v>6</v>
      </c>
      <c r="F225" s="1148">
        <v>9</v>
      </c>
      <c r="G225" s="1147">
        <v>25</v>
      </c>
      <c r="H225" s="1147">
        <v>8</v>
      </c>
      <c r="I225" s="1147">
        <v>16</v>
      </c>
      <c r="J225" s="1147">
        <v>28</v>
      </c>
      <c r="K225" s="1147">
        <v>1</v>
      </c>
      <c r="L225" s="1953" t="str">
        <f t="shared" si="11"/>
        <v>Defensas Adicionales+8</v>
      </c>
      <c r="M225" s="227"/>
      <c r="N225" s="6337"/>
      <c r="O225" s="78" t="s">
        <v>7526</v>
      </c>
      <c r="P225" s="78" t="s">
        <v>9022</v>
      </c>
      <c r="Q225" s="72">
        <v>-5</v>
      </c>
      <c r="R225" s="72">
        <v>1</v>
      </c>
      <c r="S225" s="1953" t="str">
        <f t="shared" si="10"/>
        <v>CondiciónEn Vuelo</v>
      </c>
      <c r="T225" s="227"/>
    </row>
    <row r="226" spans="1:21" ht="12" customHeight="1" x14ac:dyDescent="0.2">
      <c r="A226" s="6342"/>
      <c r="B226" s="6358"/>
      <c r="C226" s="39" t="s">
        <v>8884</v>
      </c>
      <c r="D226" s="78" t="s">
        <v>7488</v>
      </c>
      <c r="E226" s="1147">
        <v>7</v>
      </c>
      <c r="F226" s="1148">
        <v>10</v>
      </c>
      <c r="G226" s="1147">
        <v>30</v>
      </c>
      <c r="H226" s="1147">
        <v>10</v>
      </c>
      <c r="I226" s="1147">
        <v>20</v>
      </c>
      <c r="J226" s="1147">
        <v>35</v>
      </c>
      <c r="K226" s="1147">
        <v>2</v>
      </c>
      <c r="L226" s="1953" t="str">
        <f t="shared" si="11"/>
        <v>Defensas Adicionales+10</v>
      </c>
      <c r="M226" s="227"/>
      <c r="N226" s="6337"/>
      <c r="O226" s="78" t="s">
        <v>7526</v>
      </c>
      <c r="P226" s="78" t="s">
        <v>9023</v>
      </c>
      <c r="Q226" s="72">
        <v>-5</v>
      </c>
      <c r="R226" s="72">
        <v>1</v>
      </c>
      <c r="S226" s="1953" t="str">
        <f t="shared" si="10"/>
        <v>CondiciónEn Carga</v>
      </c>
      <c r="T226" s="227"/>
    </row>
    <row r="227" spans="1:21" ht="12" customHeight="1" x14ac:dyDescent="0.2">
      <c r="A227" s="6342"/>
      <c r="B227" s="6358"/>
      <c r="C227" s="39" t="s">
        <v>8884</v>
      </c>
      <c r="D227" s="78" t="s">
        <v>9095</v>
      </c>
      <c r="E227" s="1147">
        <v>8</v>
      </c>
      <c r="F227" s="1148">
        <v>11</v>
      </c>
      <c r="G227" s="1147">
        <v>35</v>
      </c>
      <c r="H227" s="1147">
        <v>12</v>
      </c>
      <c r="I227" s="1147">
        <v>24</v>
      </c>
      <c r="J227" s="1147">
        <v>42</v>
      </c>
      <c r="K227" s="1147">
        <v>3</v>
      </c>
      <c r="L227" s="1953" t="str">
        <f t="shared" si="11"/>
        <v>Defensas AdicionalesIlimitadas</v>
      </c>
      <c r="M227" s="227"/>
      <c r="N227" s="6337"/>
      <c r="O227" s="78" t="s">
        <v>7526</v>
      </c>
      <c r="P227" s="78" t="s">
        <v>9025</v>
      </c>
      <c r="Q227" s="72">
        <v>-5</v>
      </c>
      <c r="R227" s="72">
        <v>1</v>
      </c>
      <c r="S227" s="1953" t="str">
        <f t="shared" si="10"/>
        <v>CondiciónMontado</v>
      </c>
      <c r="T227" s="227"/>
      <c r="U227" s="227"/>
    </row>
    <row r="228" spans="1:21" ht="12" customHeight="1" x14ac:dyDescent="0.2">
      <c r="A228" s="6342"/>
      <c r="B228" s="6358"/>
      <c r="C228" s="39" t="s">
        <v>8884</v>
      </c>
      <c r="D228" s="78" t="s">
        <v>3133</v>
      </c>
      <c r="E228" s="1147">
        <v>6</v>
      </c>
      <c r="F228" s="1148">
        <v>6</v>
      </c>
      <c r="G228" s="1147">
        <v>20</v>
      </c>
      <c r="H228" s="1147">
        <v>2</v>
      </c>
      <c r="I228" s="1147">
        <v>4</v>
      </c>
      <c r="J228" s="1147">
        <v>7</v>
      </c>
      <c r="K228" s="1147"/>
      <c r="L228" s="1953" t="str">
        <f t="shared" si="11"/>
        <v>Defensas AdicionalesBono de Cansancio Añadido</v>
      </c>
      <c r="M228" s="227"/>
      <c r="N228" s="6337"/>
      <c r="O228" s="78" t="s">
        <v>7526</v>
      </c>
      <c r="P228" s="78" t="s">
        <v>9026</v>
      </c>
      <c r="Q228" s="72">
        <v>-10</v>
      </c>
      <c r="R228" s="72">
        <v>1</v>
      </c>
      <c r="S228" s="1953" t="str">
        <f t="shared" si="10"/>
        <v>CondiciónDiurno</v>
      </c>
      <c r="T228" s="227"/>
      <c r="U228" s="227"/>
    </row>
    <row r="229" spans="1:21" ht="12" customHeight="1" x14ac:dyDescent="0.2">
      <c r="A229" s="6342"/>
      <c r="B229" s="6358"/>
      <c r="C229" s="39" t="s">
        <v>9096</v>
      </c>
      <c r="D229" s="78"/>
      <c r="E229" s="1147"/>
      <c r="F229" s="1148"/>
      <c r="G229" s="1147"/>
      <c r="H229" s="1147"/>
      <c r="I229" s="1147"/>
      <c r="J229" s="1147"/>
      <c r="K229" s="1147"/>
      <c r="L229" s="1953" t="str">
        <f t="shared" si="11"/>
        <v>&gt; ACCIONES ADICIONALES</v>
      </c>
      <c r="M229" s="227"/>
      <c r="N229" s="6337"/>
      <c r="O229" s="78" t="s">
        <v>7526</v>
      </c>
      <c r="P229" s="78" t="s">
        <v>9027</v>
      </c>
      <c r="Q229" s="72">
        <v>-10</v>
      </c>
      <c r="R229" s="72">
        <v>1</v>
      </c>
      <c r="S229" s="1953" t="str">
        <f t="shared" si="10"/>
        <v>CondiciónNocturno</v>
      </c>
      <c r="T229" s="227"/>
      <c r="U229" s="227"/>
    </row>
    <row r="230" spans="1:21" ht="12" customHeight="1" x14ac:dyDescent="0.2">
      <c r="A230" s="6342"/>
      <c r="B230" s="6358"/>
      <c r="C230" s="39" t="s">
        <v>8887</v>
      </c>
      <c r="D230" s="78" t="s">
        <v>2870</v>
      </c>
      <c r="E230" s="1147">
        <v>1</v>
      </c>
      <c r="F230" s="1148">
        <v>2</v>
      </c>
      <c r="G230" s="1147">
        <v>5</v>
      </c>
      <c r="H230" s="1147">
        <v>1</v>
      </c>
      <c r="I230" s="1147">
        <v>2</v>
      </c>
      <c r="J230" s="1147">
        <v>4</v>
      </c>
      <c r="K230" s="1147">
        <v>1</v>
      </c>
      <c r="L230" s="1953" t="str">
        <f t="shared" si="11"/>
        <v>Acciones Adicionales+1</v>
      </c>
      <c r="M230" s="227"/>
      <c r="N230" s="6337"/>
      <c r="O230" s="78" t="s">
        <v>7526</v>
      </c>
      <c r="P230" s="78" t="s">
        <v>9028</v>
      </c>
      <c r="Q230" s="72">
        <v>-10</v>
      </c>
      <c r="R230" s="72">
        <v>1</v>
      </c>
      <c r="S230" s="1953" t="str">
        <f t="shared" si="10"/>
        <v>CondiciónTerreno Determinado</v>
      </c>
      <c r="T230" s="227"/>
      <c r="U230" s="227"/>
    </row>
    <row r="231" spans="1:21" ht="12" customHeight="1" x14ac:dyDescent="0.2">
      <c r="A231" s="6342"/>
      <c r="B231" s="6358"/>
      <c r="C231" s="39" t="s">
        <v>8887</v>
      </c>
      <c r="D231" s="78" t="s">
        <v>2831</v>
      </c>
      <c r="E231" s="1147">
        <v>2</v>
      </c>
      <c r="F231" s="1148">
        <v>4</v>
      </c>
      <c r="G231" s="1147">
        <v>5</v>
      </c>
      <c r="H231" s="1147">
        <v>2</v>
      </c>
      <c r="I231" s="1147">
        <v>4</v>
      </c>
      <c r="J231" s="1147">
        <v>7</v>
      </c>
      <c r="K231" s="1147">
        <v>1</v>
      </c>
      <c r="L231" s="1953" t="str">
        <f t="shared" si="11"/>
        <v>Acciones Adicionales+2</v>
      </c>
      <c r="M231" s="227"/>
      <c r="N231" s="6337"/>
      <c r="O231" s="78" t="s">
        <v>7526</v>
      </c>
      <c r="P231" s="78" t="s">
        <v>9029</v>
      </c>
      <c r="Q231" s="72">
        <v>-20</v>
      </c>
      <c r="R231" s="72">
        <v>2</v>
      </c>
      <c r="S231" s="1953" t="str">
        <f t="shared" si="10"/>
        <v>CondiciónUn Momento Concreto</v>
      </c>
      <c r="T231" s="227"/>
      <c r="U231" s="227"/>
    </row>
    <row r="232" spans="1:21" ht="12" customHeight="1" x14ac:dyDescent="0.2">
      <c r="A232" s="6342"/>
      <c r="B232" s="6358"/>
      <c r="C232" s="39" t="s">
        <v>8887</v>
      </c>
      <c r="D232" s="78" t="s">
        <v>2832</v>
      </c>
      <c r="E232" s="1147">
        <v>3</v>
      </c>
      <c r="F232" s="1148">
        <v>5</v>
      </c>
      <c r="G232" s="1147">
        <v>10</v>
      </c>
      <c r="H232" s="1147">
        <v>3</v>
      </c>
      <c r="I232" s="1147">
        <v>6</v>
      </c>
      <c r="J232" s="1147">
        <v>11</v>
      </c>
      <c r="K232" s="1147">
        <v>1</v>
      </c>
      <c r="L232" s="1953" t="str">
        <f t="shared" si="11"/>
        <v>Acciones Adicionales+3</v>
      </c>
      <c r="M232" s="227"/>
      <c r="N232" s="6337"/>
      <c r="O232" s="78" t="s">
        <v>9030</v>
      </c>
      <c r="P232" s="78"/>
      <c r="Q232" s="72"/>
      <c r="R232" s="72"/>
      <c r="S232" s="1953" t="str">
        <f t="shared" si="10"/>
        <v>&gt; DAÑO REDUCIDO</v>
      </c>
      <c r="T232" s="227"/>
      <c r="U232" s="227"/>
    </row>
    <row r="233" spans="1:21" ht="12" customHeight="1" x14ac:dyDescent="0.2">
      <c r="A233" s="6342"/>
      <c r="B233" s="6358"/>
      <c r="C233" s="39" t="s">
        <v>8887</v>
      </c>
      <c r="D233" s="78" t="s">
        <v>3136</v>
      </c>
      <c r="E233" s="1147">
        <v>4</v>
      </c>
      <c r="F233" s="1148">
        <v>6</v>
      </c>
      <c r="G233" s="1147">
        <v>15</v>
      </c>
      <c r="H233" s="1147">
        <v>4</v>
      </c>
      <c r="I233" s="1147">
        <v>8</v>
      </c>
      <c r="J233" s="1147">
        <v>14</v>
      </c>
      <c r="K233" s="1147">
        <v>1</v>
      </c>
      <c r="L233" s="1953" t="str">
        <f t="shared" si="11"/>
        <v>Acciones Adicionales+4</v>
      </c>
      <c r="M233" s="227"/>
      <c r="N233" s="6337"/>
      <c r="O233" s="78" t="s">
        <v>8809</v>
      </c>
      <c r="P233" s="78" t="s">
        <v>8810</v>
      </c>
      <c r="Q233" s="72">
        <v>-20</v>
      </c>
      <c r="R233" s="72">
        <v>1</v>
      </c>
      <c r="S233" s="1953" t="str">
        <f t="shared" si="10"/>
        <v>Daño ReducidoNingún Daño</v>
      </c>
      <c r="T233" s="227"/>
      <c r="U233" s="227"/>
    </row>
    <row r="234" spans="1:21" ht="12" customHeight="1" x14ac:dyDescent="0.2">
      <c r="A234" s="6342"/>
      <c r="B234" s="6358"/>
      <c r="C234" s="39" t="s">
        <v>8887</v>
      </c>
      <c r="D234" s="78" t="s">
        <v>6879</v>
      </c>
      <c r="E234" s="1147">
        <v>5</v>
      </c>
      <c r="F234" s="1148">
        <v>8</v>
      </c>
      <c r="G234" s="1147">
        <v>20</v>
      </c>
      <c r="H234" s="1147">
        <v>6</v>
      </c>
      <c r="I234" s="1147">
        <v>12</v>
      </c>
      <c r="J234" s="1147">
        <v>21</v>
      </c>
      <c r="K234" s="1147">
        <v>1</v>
      </c>
      <c r="L234" s="1953" t="str">
        <f t="shared" si="11"/>
        <v>Acciones Adicionales+5</v>
      </c>
      <c r="M234" s="227"/>
      <c r="N234" s="6337"/>
      <c r="O234" s="78" t="s">
        <v>8809</v>
      </c>
      <c r="P234" s="78" t="s">
        <v>9031</v>
      </c>
      <c r="Q234" s="72">
        <v>-10</v>
      </c>
      <c r="R234" s="72">
        <v>1</v>
      </c>
      <c r="S234" s="1953" t="str">
        <f t="shared" si="10"/>
        <v>Daño ReducidoMitad de Daño</v>
      </c>
      <c r="T234" s="227"/>
      <c r="U234" s="227"/>
    </row>
    <row r="235" spans="1:21" ht="12" customHeight="1" x14ac:dyDescent="0.2">
      <c r="A235" s="6342"/>
      <c r="B235" s="6358"/>
      <c r="C235" s="39" t="s">
        <v>8887</v>
      </c>
      <c r="D235" s="78" t="s">
        <v>9093</v>
      </c>
      <c r="E235" s="1147">
        <v>6</v>
      </c>
      <c r="F235" s="1148">
        <v>9</v>
      </c>
      <c r="G235" s="1147">
        <v>25</v>
      </c>
      <c r="H235" s="1147">
        <v>8</v>
      </c>
      <c r="I235" s="1147">
        <v>16</v>
      </c>
      <c r="J235" s="1147">
        <v>28</v>
      </c>
      <c r="K235" s="1147">
        <v>1</v>
      </c>
      <c r="L235" s="1953" t="str">
        <f t="shared" si="11"/>
        <v>Acciones Adicionales+6</v>
      </c>
      <c r="M235" s="227"/>
      <c r="N235" s="6337"/>
      <c r="O235" s="78" t="s">
        <v>9032</v>
      </c>
      <c r="P235" s="78"/>
      <c r="Q235" s="72"/>
      <c r="R235" s="72"/>
      <c r="S235" s="1953" t="str">
        <f t="shared" si="10"/>
        <v>&gt; DEFENSA ESPECIALIZADA</v>
      </c>
      <c r="T235" s="227"/>
      <c r="U235" s="227"/>
    </row>
    <row r="236" spans="1:21" ht="12" customHeight="1" x14ac:dyDescent="0.2">
      <c r="A236" s="6342"/>
      <c r="B236" s="6358"/>
      <c r="C236" s="39" t="s">
        <v>8887</v>
      </c>
      <c r="D236" s="78" t="s">
        <v>6894</v>
      </c>
      <c r="E236" s="1147">
        <v>7</v>
      </c>
      <c r="F236" s="1148">
        <v>10</v>
      </c>
      <c r="G236" s="1147">
        <v>30</v>
      </c>
      <c r="H236" s="1147">
        <v>10</v>
      </c>
      <c r="I236" s="1147">
        <v>20</v>
      </c>
      <c r="J236" s="1147">
        <v>35</v>
      </c>
      <c r="K236" s="1147">
        <v>2</v>
      </c>
      <c r="L236" s="1953" t="str">
        <f t="shared" si="11"/>
        <v>Acciones Adicionales+8</v>
      </c>
      <c r="M236" s="227"/>
      <c r="N236" s="6337"/>
      <c r="O236" s="78" t="s">
        <v>8981</v>
      </c>
      <c r="P236" s="78" t="s">
        <v>9034</v>
      </c>
      <c r="Q236" s="72">
        <v>-5</v>
      </c>
      <c r="R236" s="72">
        <v>1</v>
      </c>
      <c r="S236" s="1953" t="str">
        <f t="shared" si="10"/>
        <v>Defensa EspecializadaFísicos</v>
      </c>
      <c r="T236" s="227"/>
      <c r="U236" s="227"/>
    </row>
    <row r="237" spans="1:21" ht="12" customHeight="1" x14ac:dyDescent="0.2">
      <c r="A237" s="6342"/>
      <c r="B237" s="6358"/>
      <c r="C237" s="39" t="s">
        <v>8887</v>
      </c>
      <c r="D237" s="78" t="s">
        <v>7488</v>
      </c>
      <c r="E237" s="1147">
        <v>8</v>
      </c>
      <c r="F237" s="1148">
        <v>11</v>
      </c>
      <c r="G237" s="1147">
        <v>35</v>
      </c>
      <c r="H237" s="1147">
        <v>12</v>
      </c>
      <c r="I237" s="1147">
        <v>24</v>
      </c>
      <c r="J237" s="1147">
        <v>42</v>
      </c>
      <c r="K237" s="1147">
        <v>3</v>
      </c>
      <c r="L237" s="1953" t="str">
        <f t="shared" si="11"/>
        <v>Acciones Adicionales+10</v>
      </c>
      <c r="M237" s="227"/>
      <c r="N237" s="6337"/>
      <c r="O237" s="78" t="s">
        <v>8981</v>
      </c>
      <c r="P237" s="78" t="s">
        <v>2197</v>
      </c>
      <c r="Q237" s="72">
        <v>-10</v>
      </c>
      <c r="R237" s="72">
        <v>1</v>
      </c>
      <c r="S237" s="1953" t="str">
        <f t="shared" si="10"/>
        <v>Defensa EspecializadaProyectiles</v>
      </c>
      <c r="T237" s="227"/>
      <c r="U237" s="227"/>
    </row>
    <row r="238" spans="1:21" ht="12" customHeight="1" x14ac:dyDescent="0.2">
      <c r="A238" s="6342"/>
      <c r="B238" s="6358"/>
      <c r="C238" s="39" t="s">
        <v>8887</v>
      </c>
      <c r="D238" s="78" t="s">
        <v>3133</v>
      </c>
      <c r="E238" s="1147">
        <v>6</v>
      </c>
      <c r="F238" s="1148">
        <v>6</v>
      </c>
      <c r="G238" s="1147">
        <v>20</v>
      </c>
      <c r="H238" s="1147">
        <v>1</v>
      </c>
      <c r="I238" s="1147">
        <v>2</v>
      </c>
      <c r="J238" s="1147">
        <v>4</v>
      </c>
      <c r="K238" s="1147"/>
      <c r="L238" s="1953" t="str">
        <f t="shared" si="11"/>
        <v>Acciones AdicionalesBono de Cansancio Añadido</v>
      </c>
      <c r="M238" s="227"/>
      <c r="N238" s="6337"/>
      <c r="O238" s="78" t="s">
        <v>8981</v>
      </c>
      <c r="P238" s="78" t="s">
        <v>9037</v>
      </c>
      <c r="Q238" s="72">
        <v>-10</v>
      </c>
      <c r="R238" s="72">
        <v>1</v>
      </c>
      <c r="S238" s="1953" t="str">
        <f t="shared" si="10"/>
        <v>Defensa EspecializadaTécnicas Ki</v>
      </c>
      <c r="T238" s="227"/>
      <c r="U238" s="227"/>
    </row>
    <row r="239" spans="1:21" ht="12" customHeight="1" x14ac:dyDescent="0.2">
      <c r="A239" s="6342"/>
      <c r="B239" s="6358"/>
      <c r="C239" s="39" t="s">
        <v>2857</v>
      </c>
      <c r="D239" s="78"/>
      <c r="E239" s="1147"/>
      <c r="F239" s="1148"/>
      <c r="G239" s="1147"/>
      <c r="H239" s="1147"/>
      <c r="I239" s="1147"/>
      <c r="J239" s="1147"/>
      <c r="K239" s="1147"/>
      <c r="L239" s="1953" t="str">
        <f t="shared" si="11"/>
        <v>&gt;&gt;EFECTOS DE REACCIÓN</v>
      </c>
      <c r="M239" s="227"/>
      <c r="N239" s="6337"/>
      <c r="O239" s="78" t="s">
        <v>8981</v>
      </c>
      <c r="P239" s="78" t="s">
        <v>254</v>
      </c>
      <c r="Q239" s="72">
        <v>-15</v>
      </c>
      <c r="R239" s="72">
        <v>1</v>
      </c>
      <c r="S239" s="1953" t="str">
        <f t="shared" si="10"/>
        <v>Defensa EspecializadaConjuros</v>
      </c>
      <c r="T239" s="227"/>
      <c r="U239" s="227"/>
    </row>
    <row r="240" spans="1:21" ht="12" customHeight="1" x14ac:dyDescent="0.2">
      <c r="A240" s="6342"/>
      <c r="B240" s="6358"/>
      <c r="C240" s="39" t="s">
        <v>9097</v>
      </c>
      <c r="D240" s="78"/>
      <c r="E240" s="1147"/>
      <c r="F240" s="1148"/>
      <c r="G240" s="1147"/>
      <c r="H240" s="1147"/>
      <c r="I240" s="1147"/>
      <c r="J240" s="1147"/>
      <c r="K240" s="1147"/>
      <c r="L240" s="1953" t="str">
        <f t="shared" si="11"/>
        <v>&gt; INCREMENTAR TURNO</v>
      </c>
      <c r="M240" s="227"/>
      <c r="N240" s="6337"/>
      <c r="O240" s="78" t="s">
        <v>8981</v>
      </c>
      <c r="P240" s="78" t="s">
        <v>9038</v>
      </c>
      <c r="Q240" s="72">
        <v>-15</v>
      </c>
      <c r="R240" s="72">
        <v>1</v>
      </c>
      <c r="S240" s="1953" t="str">
        <f t="shared" si="10"/>
        <v>Defensa EspecializadaPsíquica</v>
      </c>
      <c r="T240" s="227"/>
      <c r="U240" s="227"/>
    </row>
    <row r="241" spans="1:21" ht="12" customHeight="1" x14ac:dyDescent="0.2">
      <c r="A241" s="6342"/>
      <c r="B241" s="6358"/>
      <c r="C241" s="39" t="s">
        <v>8891</v>
      </c>
      <c r="D241" s="78" t="s">
        <v>7632</v>
      </c>
      <c r="E241" s="1147">
        <v>1</v>
      </c>
      <c r="F241" s="1148">
        <v>2</v>
      </c>
      <c r="G241" s="1147">
        <v>5</v>
      </c>
      <c r="H241" s="1147">
        <v>1</v>
      </c>
      <c r="I241" s="1147">
        <v>2</v>
      </c>
      <c r="J241" s="1147">
        <v>4</v>
      </c>
      <c r="K241" s="1147">
        <v>1</v>
      </c>
      <c r="L241" s="1953" t="str">
        <f t="shared" si="11"/>
        <v>Incrementar Turno+25</v>
      </c>
      <c r="M241" s="227"/>
      <c r="N241" s="6337"/>
      <c r="O241" s="78" t="s">
        <v>9039</v>
      </c>
      <c r="P241" s="78"/>
      <c r="Q241" s="72"/>
      <c r="R241" s="72"/>
      <c r="S241" s="1953" t="str">
        <f t="shared" si="10"/>
        <v>&gt; EXTERMINADOR</v>
      </c>
      <c r="T241" s="227"/>
      <c r="U241" s="227"/>
    </row>
    <row r="242" spans="1:21" ht="12" customHeight="1" x14ac:dyDescent="0.2">
      <c r="A242" s="6342"/>
      <c r="B242" s="6358"/>
      <c r="C242" s="39" t="s">
        <v>8891</v>
      </c>
      <c r="D242" s="78" t="s">
        <v>7491</v>
      </c>
      <c r="E242" s="1147">
        <v>2</v>
      </c>
      <c r="F242" s="1148">
        <v>4</v>
      </c>
      <c r="G242" s="1147">
        <v>10</v>
      </c>
      <c r="H242" s="1147">
        <v>1</v>
      </c>
      <c r="I242" s="1147">
        <v>2</v>
      </c>
      <c r="J242" s="1147">
        <v>4</v>
      </c>
      <c r="K242" s="1147">
        <v>1</v>
      </c>
      <c r="L242" s="1953" t="str">
        <f t="shared" si="11"/>
        <v>Incrementar Turno+50</v>
      </c>
      <c r="M242" s="227"/>
      <c r="N242" s="6337"/>
      <c r="O242" s="78" t="s">
        <v>7111</v>
      </c>
      <c r="P242" s="78" t="s">
        <v>9040</v>
      </c>
      <c r="Q242" s="72">
        <v>-5</v>
      </c>
      <c r="R242" s="72">
        <v>1</v>
      </c>
      <c r="S242" s="1953" t="str">
        <f t="shared" si="10"/>
        <v>ExterminadorSeres Humanoides</v>
      </c>
      <c r="T242" s="227"/>
      <c r="U242" s="227"/>
    </row>
    <row r="243" spans="1:21" ht="12" customHeight="1" x14ac:dyDescent="0.2">
      <c r="A243" s="6342"/>
      <c r="B243" s="6358"/>
      <c r="C243" s="39" t="s">
        <v>8891</v>
      </c>
      <c r="D243" s="78" t="s">
        <v>8842</v>
      </c>
      <c r="E243" s="1147">
        <v>4</v>
      </c>
      <c r="F243" s="1148">
        <v>6</v>
      </c>
      <c r="G243" s="1147">
        <v>15</v>
      </c>
      <c r="H243" s="1147">
        <v>2</v>
      </c>
      <c r="I243" s="1147">
        <v>4</v>
      </c>
      <c r="J243" s="1147">
        <v>7</v>
      </c>
      <c r="K243" s="1147">
        <v>1</v>
      </c>
      <c r="L243" s="1953" t="str">
        <f t="shared" si="11"/>
        <v>Incrementar Turno+75</v>
      </c>
      <c r="M243" s="227"/>
      <c r="N243" s="6337"/>
      <c r="O243" s="78" t="s">
        <v>7111</v>
      </c>
      <c r="P243" s="78" t="s">
        <v>9041</v>
      </c>
      <c r="Q243" s="72">
        <v>-10</v>
      </c>
      <c r="R243" s="72">
        <v>1</v>
      </c>
      <c r="S243" s="1953" t="str">
        <f t="shared" si="10"/>
        <v>ExterminadorUna Clase de Ser</v>
      </c>
      <c r="T243" s="227"/>
      <c r="U243" s="227"/>
    </row>
    <row r="244" spans="1:21" ht="12" customHeight="1" x14ac:dyDescent="0.2">
      <c r="A244" s="6342"/>
      <c r="B244" s="6358"/>
      <c r="C244" s="39" t="s">
        <v>8891</v>
      </c>
      <c r="D244" s="78" t="s">
        <v>8849</v>
      </c>
      <c r="E244" s="1147">
        <v>6</v>
      </c>
      <c r="F244" s="1148">
        <v>9</v>
      </c>
      <c r="G244" s="1147">
        <v>20</v>
      </c>
      <c r="H244" s="1147">
        <v>3</v>
      </c>
      <c r="I244" s="1147">
        <v>6</v>
      </c>
      <c r="J244" s="1147">
        <v>11</v>
      </c>
      <c r="K244" s="1147">
        <v>1</v>
      </c>
      <c r="L244" s="1953" t="str">
        <f t="shared" si="11"/>
        <v>Incrementar Turno+100</v>
      </c>
      <c r="M244" s="227"/>
      <c r="N244" s="6337"/>
      <c r="O244" s="78" t="s">
        <v>7111</v>
      </c>
      <c r="P244" s="78" t="s">
        <v>9042</v>
      </c>
      <c r="Q244" s="72">
        <v>-30</v>
      </c>
      <c r="R244" s="72">
        <v>2</v>
      </c>
      <c r="S244" s="1953" t="str">
        <f t="shared" si="10"/>
        <v>ExterminadorUn Ser Determinado</v>
      </c>
      <c r="T244" s="227"/>
      <c r="U244" s="227"/>
    </row>
    <row r="245" spans="1:21" ht="12" customHeight="1" x14ac:dyDescent="0.2">
      <c r="A245" s="6342"/>
      <c r="B245" s="6358"/>
      <c r="C245" s="39" t="s">
        <v>8891</v>
      </c>
      <c r="D245" s="78" t="s">
        <v>8850</v>
      </c>
      <c r="E245" s="1147">
        <v>8</v>
      </c>
      <c r="F245" s="1148">
        <v>11</v>
      </c>
      <c r="G245" s="1147">
        <v>25</v>
      </c>
      <c r="H245" s="1147">
        <v>4</v>
      </c>
      <c r="I245" s="1147">
        <v>8</v>
      </c>
      <c r="J245" s="1147">
        <v>14</v>
      </c>
      <c r="K245" s="1147">
        <v>2</v>
      </c>
      <c r="L245" s="1953" t="str">
        <f t="shared" si="11"/>
        <v>Incrementar Turno+125</v>
      </c>
      <c r="M245" s="227"/>
      <c r="N245" s="6337"/>
      <c r="O245" s="78" t="s">
        <v>9043</v>
      </c>
      <c r="P245" s="78"/>
      <c r="Q245" s="72"/>
      <c r="R245" s="72"/>
      <c r="S245" s="1953" t="str">
        <f t="shared" si="10"/>
        <v>&gt; EXCESO DE ENERGÍA</v>
      </c>
      <c r="T245" s="227"/>
      <c r="U245" s="227"/>
    </row>
    <row r="246" spans="1:21" ht="12" customHeight="1" x14ac:dyDescent="0.2">
      <c r="A246" s="6342"/>
      <c r="B246" s="6358"/>
      <c r="C246" s="39" t="s">
        <v>8891</v>
      </c>
      <c r="D246" s="78" t="s">
        <v>8852</v>
      </c>
      <c r="E246" s="1147">
        <v>10</v>
      </c>
      <c r="F246" s="1148">
        <v>13</v>
      </c>
      <c r="G246" s="1147">
        <v>30</v>
      </c>
      <c r="H246" s="1147">
        <v>5</v>
      </c>
      <c r="I246" s="1147">
        <v>10</v>
      </c>
      <c r="J246" s="1147">
        <v>18</v>
      </c>
      <c r="K246" s="1147">
        <v>2</v>
      </c>
      <c r="L246" s="1953" t="str">
        <f t="shared" si="11"/>
        <v>Incrementar Turno+150</v>
      </c>
      <c r="M246" s="227"/>
      <c r="N246" s="6337"/>
      <c r="O246" s="78" t="s">
        <v>8983</v>
      </c>
      <c r="P246" s="78"/>
      <c r="Q246" s="72">
        <v>-15</v>
      </c>
      <c r="R246" s="72">
        <v>1</v>
      </c>
      <c r="S246" s="1953" t="str">
        <f t="shared" si="10"/>
        <v>Exceso De Energía</v>
      </c>
      <c r="T246" s="227"/>
      <c r="U246" s="227"/>
    </row>
    <row r="247" spans="1:21" ht="12" customHeight="1" x14ac:dyDescent="0.2">
      <c r="A247" s="6342"/>
      <c r="B247" s="6358"/>
      <c r="C247" s="39" t="s">
        <v>8891</v>
      </c>
      <c r="D247" s="78" t="s">
        <v>8855</v>
      </c>
      <c r="E247" s="1147">
        <v>12</v>
      </c>
      <c r="F247" s="1148">
        <v>15</v>
      </c>
      <c r="G247" s="1147">
        <v>35</v>
      </c>
      <c r="H247" s="1147">
        <v>6</v>
      </c>
      <c r="I247" s="1147">
        <v>12</v>
      </c>
      <c r="J247" s="1147">
        <v>21</v>
      </c>
      <c r="K247" s="1147">
        <v>3</v>
      </c>
      <c r="L247" s="1953" t="str">
        <f t="shared" si="11"/>
        <v>Incrementar Turno+175</v>
      </c>
      <c r="M247" s="227"/>
      <c r="N247" s="6337"/>
      <c r="O247" s="78" t="s">
        <v>9044</v>
      </c>
      <c r="P247" s="78"/>
      <c r="Q247" s="72"/>
      <c r="R247" s="72"/>
      <c r="S247" s="1953" t="str">
        <f t="shared" si="10"/>
        <v>&gt; PÉRDIDA DEL ARMA</v>
      </c>
      <c r="T247" s="227"/>
      <c r="U247" s="227"/>
    </row>
    <row r="248" spans="1:21" ht="12" customHeight="1" x14ac:dyDescent="0.2">
      <c r="A248" s="6342"/>
      <c r="B248" s="6358"/>
      <c r="C248" s="39" t="s">
        <v>8891</v>
      </c>
      <c r="D248" s="78" t="s">
        <v>8857</v>
      </c>
      <c r="E248" s="1147">
        <v>14</v>
      </c>
      <c r="F248" s="1148">
        <v>18</v>
      </c>
      <c r="G248" s="1147">
        <v>40</v>
      </c>
      <c r="H248" s="1147">
        <v>7</v>
      </c>
      <c r="I248" s="1147">
        <v>14</v>
      </c>
      <c r="J248" s="1147">
        <v>25</v>
      </c>
      <c r="K248" s="1147">
        <v>3</v>
      </c>
      <c r="L248" s="1953" t="str">
        <f t="shared" si="11"/>
        <v>Incrementar Turno+200</v>
      </c>
      <c r="M248" s="227"/>
      <c r="N248" s="6337"/>
      <c r="O248" s="78" t="s">
        <v>8985</v>
      </c>
      <c r="P248" s="78"/>
      <c r="Q248" s="72">
        <v>-10</v>
      </c>
      <c r="R248" s="72">
        <v>1</v>
      </c>
      <c r="S248" s="1953" t="str">
        <f t="shared" si="10"/>
        <v>Pérdida Del Arma</v>
      </c>
      <c r="T248" s="227"/>
      <c r="U248" s="227"/>
    </row>
    <row r="249" spans="1:21" ht="12" customHeight="1" x14ac:dyDescent="0.2">
      <c r="A249" s="6342"/>
      <c r="B249" s="6358"/>
      <c r="C249" s="39" t="s">
        <v>9098</v>
      </c>
      <c r="D249" s="78"/>
      <c r="E249" s="1147"/>
      <c r="F249" s="1148"/>
      <c r="G249" s="1147"/>
      <c r="H249" s="1147"/>
      <c r="I249" s="1147"/>
      <c r="J249" s="1147"/>
      <c r="K249" s="1147"/>
      <c r="L249" s="1953" t="str">
        <f t="shared" si="11"/>
        <v>&gt; RECUPERAR ACCIÓN</v>
      </c>
      <c r="M249" s="227"/>
      <c r="N249" s="6337"/>
      <c r="O249" s="78" t="s">
        <v>9045</v>
      </c>
      <c r="P249" s="78"/>
      <c r="Q249" s="72"/>
      <c r="R249" s="72"/>
      <c r="S249" s="1953" t="str">
        <f t="shared" si="10"/>
        <v>&gt; PENALIZADOR A TODA ACCIÓN</v>
      </c>
      <c r="T249" s="227"/>
      <c r="U249" s="227"/>
    </row>
    <row r="250" spans="1:21" ht="12" customHeight="1" x14ac:dyDescent="0.2">
      <c r="A250" s="6342"/>
      <c r="B250" s="6358"/>
      <c r="C250" s="39" t="s">
        <v>3135</v>
      </c>
      <c r="D250" s="78"/>
      <c r="E250" s="1147">
        <v>6</v>
      </c>
      <c r="F250" s="1148">
        <v>9</v>
      </c>
      <c r="G250" s="1147">
        <v>25</v>
      </c>
      <c r="H250" s="1147">
        <v>2</v>
      </c>
      <c r="I250" s="1147">
        <v>4</v>
      </c>
      <c r="J250" s="1147">
        <v>7</v>
      </c>
      <c r="K250" s="1147">
        <v>1</v>
      </c>
      <c r="L250" s="1953" t="str">
        <f t="shared" si="11"/>
        <v>Recuperar Acción</v>
      </c>
      <c r="M250" s="227"/>
      <c r="N250" s="6337"/>
      <c r="O250" s="78" t="s">
        <v>8986</v>
      </c>
      <c r="P250" s="78" t="s">
        <v>8926</v>
      </c>
      <c r="Q250" s="72">
        <v>-10</v>
      </c>
      <c r="R250" s="72">
        <v>1</v>
      </c>
      <c r="S250" s="1953" t="str">
        <f t="shared" si="10"/>
        <v>Penalizador A Toda Acción-50</v>
      </c>
      <c r="T250" s="227"/>
      <c r="U250" s="227"/>
    </row>
    <row r="251" spans="1:21" ht="12" customHeight="1" x14ac:dyDescent="0.2">
      <c r="A251" s="6342"/>
      <c r="B251" s="6358"/>
      <c r="C251" s="39" t="s">
        <v>9099</v>
      </c>
      <c r="D251" s="78"/>
      <c r="E251" s="1147"/>
      <c r="F251" s="1148"/>
      <c r="G251" s="1147"/>
      <c r="H251" s="1147"/>
      <c r="I251" s="1147"/>
      <c r="J251" s="1147"/>
      <c r="K251" s="1147"/>
      <c r="L251" s="1953" t="str">
        <f t="shared" si="11"/>
        <v>&gt; PREVISIÓN</v>
      </c>
      <c r="M251" s="227"/>
      <c r="N251" s="6337"/>
      <c r="O251" s="78" t="s">
        <v>8986</v>
      </c>
      <c r="P251" s="78" t="s">
        <v>8929</v>
      </c>
      <c r="Q251" s="72">
        <v>-15</v>
      </c>
      <c r="R251" s="72">
        <v>1</v>
      </c>
      <c r="S251" s="1953" t="str">
        <f t="shared" si="10"/>
        <v>Penalizador A Toda Acción-75</v>
      </c>
      <c r="T251" s="227"/>
      <c r="U251" s="227"/>
    </row>
    <row r="252" spans="1:21" ht="12" customHeight="1" x14ac:dyDescent="0.2">
      <c r="A252" s="6342"/>
      <c r="B252" s="6358"/>
      <c r="C252" s="39" t="s">
        <v>2864</v>
      </c>
      <c r="D252" s="78" t="s">
        <v>9100</v>
      </c>
      <c r="E252" s="1147">
        <v>3</v>
      </c>
      <c r="F252" s="1148">
        <v>5</v>
      </c>
      <c r="G252" s="1147">
        <v>10</v>
      </c>
      <c r="H252" s="1147">
        <v>1</v>
      </c>
      <c r="I252" s="1147">
        <v>2</v>
      </c>
      <c r="J252" s="1147">
        <v>4</v>
      </c>
      <c r="K252" s="1147">
        <v>1</v>
      </c>
      <c r="L252" s="1953" t="str">
        <f t="shared" si="11"/>
        <v>PrevisiónA Mitad</v>
      </c>
      <c r="M252" s="227"/>
      <c r="N252" s="6337"/>
      <c r="O252" s="78" t="s">
        <v>8986</v>
      </c>
      <c r="P252" s="78" t="s">
        <v>8932</v>
      </c>
      <c r="Q252" s="72">
        <v>-20</v>
      </c>
      <c r="R252" s="72">
        <v>2</v>
      </c>
      <c r="S252" s="1953" t="str">
        <f>O252&amp;P252</f>
        <v>Penalizador A Toda Acción-100</v>
      </c>
      <c r="T252" s="227"/>
      <c r="U252" s="227"/>
    </row>
    <row r="253" spans="1:21" ht="12" customHeight="1" x14ac:dyDescent="0.2">
      <c r="A253" s="6342"/>
      <c r="B253" s="6358"/>
      <c r="C253" s="39" t="s">
        <v>2864</v>
      </c>
      <c r="D253" s="78" t="s">
        <v>7354</v>
      </c>
      <c r="E253" s="1147">
        <v>6</v>
      </c>
      <c r="F253" s="1148">
        <v>9</v>
      </c>
      <c r="G253" s="1147">
        <v>25</v>
      </c>
      <c r="H253" s="1147">
        <v>3</v>
      </c>
      <c r="I253" s="1147">
        <v>6</v>
      </c>
      <c r="J253" s="1147">
        <v>11</v>
      </c>
      <c r="K253" s="1147">
        <v>1</v>
      </c>
      <c r="L253" s="1953" t="str">
        <f t="shared" si="11"/>
        <v>PrevisiónCompleto</v>
      </c>
      <c r="M253" s="227"/>
      <c r="N253" s="6337"/>
      <c r="O253" s="78" t="s">
        <v>8986</v>
      </c>
      <c r="P253" s="78" t="s">
        <v>9046</v>
      </c>
      <c r="Q253" s="72">
        <v>-25</v>
      </c>
      <c r="R253" s="72">
        <v>2</v>
      </c>
      <c r="S253" s="1953" t="str">
        <f t="shared" si="10"/>
        <v>Penalizador A Toda Acción-125</v>
      </c>
      <c r="T253" s="227"/>
      <c r="U253" s="227"/>
    </row>
    <row r="254" spans="1:21" ht="12" customHeight="1" x14ac:dyDescent="0.2">
      <c r="A254" s="6342"/>
      <c r="B254" s="6358"/>
      <c r="C254" s="39" t="s">
        <v>2867</v>
      </c>
      <c r="D254" s="78"/>
      <c r="E254" s="1147"/>
      <c r="F254" s="1148"/>
      <c r="G254" s="1147"/>
      <c r="H254" s="1147"/>
      <c r="I254" s="1147"/>
      <c r="J254" s="1147"/>
      <c r="K254" s="1147"/>
      <c r="L254" s="1953" t="str">
        <f t="shared" si="11"/>
        <v>&gt;&gt;EFECTOS ESPACIALES</v>
      </c>
      <c r="M254" s="227"/>
      <c r="N254" s="6337"/>
      <c r="O254" s="78" t="s">
        <v>8986</v>
      </c>
      <c r="P254" s="78" t="s">
        <v>9048</v>
      </c>
      <c r="Q254" s="72">
        <v>-30</v>
      </c>
      <c r="R254" s="72">
        <v>3</v>
      </c>
      <c r="S254" s="1953" t="str">
        <f t="shared" si="10"/>
        <v>Penalizador A Toda Acción-150</v>
      </c>
      <c r="T254" s="227"/>
      <c r="U254" s="227"/>
    </row>
    <row r="255" spans="1:21" ht="12" customHeight="1" x14ac:dyDescent="0.2">
      <c r="A255" s="6342"/>
      <c r="B255" s="6358"/>
      <c r="C255" s="39" t="s">
        <v>9101</v>
      </c>
      <c r="D255" s="78"/>
      <c r="E255" s="1147"/>
      <c r="F255" s="1148"/>
      <c r="G255" s="1147"/>
      <c r="H255" s="1147"/>
      <c r="I255" s="1147"/>
      <c r="J255" s="1147"/>
      <c r="K255" s="1147"/>
      <c r="L255" s="1953" t="str">
        <f t="shared" si="11"/>
        <v>&gt; ATAQUE A DISTANCIA</v>
      </c>
      <c r="M255" s="227"/>
      <c r="N255" s="6337"/>
      <c r="O255" s="78" t="s">
        <v>9050</v>
      </c>
      <c r="P255" s="78"/>
      <c r="Q255" s="72"/>
      <c r="R255" s="72"/>
      <c r="S255" s="1953" t="str">
        <f t="shared" si="10"/>
        <v>&gt; PREDETERMINACIÓN</v>
      </c>
      <c r="T255" s="227"/>
      <c r="U255" s="227"/>
    </row>
    <row r="256" spans="1:21" ht="12" customHeight="1" x14ac:dyDescent="0.2">
      <c r="A256" s="6342"/>
      <c r="B256" s="6358"/>
      <c r="C256" s="39" t="s">
        <v>9102</v>
      </c>
      <c r="D256" s="78" t="s">
        <v>4879</v>
      </c>
      <c r="E256" s="1147">
        <v>1</v>
      </c>
      <c r="F256" s="1148">
        <v>2</v>
      </c>
      <c r="G256" s="1147">
        <v>5</v>
      </c>
      <c r="H256" s="1147">
        <v>1</v>
      </c>
      <c r="I256" s="1147">
        <v>2</v>
      </c>
      <c r="J256" s="1147">
        <v>4</v>
      </c>
      <c r="K256" s="1147">
        <v>1</v>
      </c>
      <c r="L256" s="1953" t="str">
        <f t="shared" si="11"/>
        <v>Ataque A Distancia5 metros</v>
      </c>
      <c r="M256" s="227"/>
      <c r="N256" s="6337"/>
      <c r="O256" s="78" t="s">
        <v>3179</v>
      </c>
      <c r="P256" s="78"/>
      <c r="Q256" s="72">
        <v>-20</v>
      </c>
      <c r="R256" s="72">
        <v>2</v>
      </c>
      <c r="S256" s="1953" t="str">
        <f t="shared" si="10"/>
        <v>Predeterminación</v>
      </c>
      <c r="T256" s="227"/>
      <c r="U256" s="227"/>
    </row>
    <row r="257" spans="1:21" ht="12" customHeight="1" x14ac:dyDescent="0.2">
      <c r="A257" s="6342"/>
      <c r="B257" s="6358"/>
      <c r="C257" s="39" t="s">
        <v>9102</v>
      </c>
      <c r="D257" s="78" t="s">
        <v>9103</v>
      </c>
      <c r="E257" s="1147">
        <v>2</v>
      </c>
      <c r="F257" s="1148">
        <v>4</v>
      </c>
      <c r="G257" s="1147">
        <v>10</v>
      </c>
      <c r="H257" s="1147">
        <v>1</v>
      </c>
      <c r="I257" s="1147">
        <v>2</v>
      </c>
      <c r="J257" s="1147">
        <v>4</v>
      </c>
      <c r="K257" s="1147">
        <v>1</v>
      </c>
      <c r="L257" s="1953" t="str">
        <f t="shared" si="11"/>
        <v>Ataque A Distancia10 metros</v>
      </c>
      <c r="M257" s="227"/>
      <c r="N257" s="6337"/>
      <c r="O257" s="78" t="s">
        <v>9051</v>
      </c>
      <c r="P257" s="78"/>
      <c r="Q257" s="72"/>
      <c r="R257" s="72"/>
      <c r="S257" s="1953" t="str">
        <f t="shared" si="10"/>
        <v>&gt; PREPARACIÓN PREVIA</v>
      </c>
      <c r="T257" s="227"/>
      <c r="U257" s="227"/>
    </row>
    <row r="258" spans="1:21" ht="12" customHeight="1" x14ac:dyDescent="0.2">
      <c r="A258" s="6342"/>
      <c r="B258" s="6358"/>
      <c r="C258" s="39" t="s">
        <v>9102</v>
      </c>
      <c r="D258" s="78" t="s">
        <v>8815</v>
      </c>
      <c r="E258" s="1147">
        <v>3</v>
      </c>
      <c r="F258" s="1148">
        <v>5</v>
      </c>
      <c r="G258" s="1147">
        <v>10</v>
      </c>
      <c r="H258" s="1147">
        <v>2</v>
      </c>
      <c r="I258" s="1147">
        <v>4</v>
      </c>
      <c r="J258" s="1147">
        <v>7</v>
      </c>
      <c r="K258" s="1147">
        <v>1</v>
      </c>
      <c r="L258" s="1953" t="str">
        <f t="shared" si="11"/>
        <v>Ataque A Distancia20 metros</v>
      </c>
      <c r="M258" s="227"/>
      <c r="N258" s="6337"/>
      <c r="O258" s="78" t="s">
        <v>8987</v>
      </c>
      <c r="P258" s="78" t="s">
        <v>1734</v>
      </c>
      <c r="Q258" s="72">
        <v>-10</v>
      </c>
      <c r="R258" s="72">
        <v>1</v>
      </c>
      <c r="S258" s="1953" t="str">
        <f t="shared" si="10"/>
        <v>Preparación Previa1 minuto</v>
      </c>
      <c r="T258" s="227"/>
      <c r="U258" s="227"/>
    </row>
    <row r="259" spans="1:21" ht="12" customHeight="1" x14ac:dyDescent="0.2">
      <c r="A259" s="6342"/>
      <c r="B259" s="6358"/>
      <c r="C259" s="39" t="s">
        <v>9102</v>
      </c>
      <c r="D259" s="78" t="s">
        <v>4881</v>
      </c>
      <c r="E259" s="1147">
        <v>4</v>
      </c>
      <c r="F259" s="1148">
        <v>6</v>
      </c>
      <c r="G259" s="1147">
        <v>15</v>
      </c>
      <c r="H259" s="1147">
        <v>3</v>
      </c>
      <c r="I259" s="1147">
        <v>6</v>
      </c>
      <c r="J259" s="1147">
        <v>11</v>
      </c>
      <c r="K259" s="1147">
        <v>1</v>
      </c>
      <c r="L259" s="1953" t="str">
        <f t="shared" si="11"/>
        <v>Ataque A Distancia50 metros</v>
      </c>
      <c r="M259" s="227"/>
      <c r="N259" s="6337"/>
      <c r="O259" s="78" t="s">
        <v>8987</v>
      </c>
      <c r="P259" s="78" t="s">
        <v>1736</v>
      </c>
      <c r="Q259" s="72">
        <v>-15</v>
      </c>
      <c r="R259" s="72">
        <v>1</v>
      </c>
      <c r="S259" s="1953" t="str">
        <f t="shared" si="10"/>
        <v>Preparación Previa1 hora</v>
      </c>
      <c r="T259" s="227"/>
      <c r="U259" s="227"/>
    </row>
    <row r="260" spans="1:21" ht="12" customHeight="1" x14ac:dyDescent="0.2">
      <c r="A260" s="6342"/>
      <c r="B260" s="6358"/>
      <c r="C260" s="39" t="s">
        <v>9102</v>
      </c>
      <c r="D260" s="78" t="s">
        <v>4917</v>
      </c>
      <c r="E260" s="1147">
        <v>5</v>
      </c>
      <c r="F260" s="1148">
        <v>8</v>
      </c>
      <c r="G260" s="1147">
        <v>20</v>
      </c>
      <c r="H260" s="1147">
        <v>4</v>
      </c>
      <c r="I260" s="1147">
        <v>8</v>
      </c>
      <c r="J260" s="1147">
        <v>14</v>
      </c>
      <c r="K260" s="1147">
        <v>1</v>
      </c>
      <c r="L260" s="1953" t="str">
        <f t="shared" si="11"/>
        <v>Ataque A Distancia100 metros</v>
      </c>
      <c r="M260" s="227"/>
      <c r="N260" s="6337"/>
      <c r="O260" s="78" t="s">
        <v>8987</v>
      </c>
      <c r="P260" s="78" t="s">
        <v>1739</v>
      </c>
      <c r="Q260" s="72">
        <v>-25</v>
      </c>
      <c r="R260" s="72">
        <v>2</v>
      </c>
      <c r="S260" s="1953" t="str">
        <f t="shared" si="10"/>
        <v>Preparación Previa1 día</v>
      </c>
      <c r="T260" s="227"/>
      <c r="U260" s="227"/>
    </row>
    <row r="261" spans="1:21" ht="12" customHeight="1" x14ac:dyDescent="0.2">
      <c r="A261" s="6342"/>
      <c r="B261" s="6358"/>
      <c r="C261" s="39" t="s">
        <v>9102</v>
      </c>
      <c r="D261" s="78" t="s">
        <v>5344</v>
      </c>
      <c r="E261" s="1147">
        <v>6</v>
      </c>
      <c r="F261" s="1148">
        <v>9</v>
      </c>
      <c r="G261" s="1147">
        <v>25</v>
      </c>
      <c r="H261" s="1147">
        <v>5</v>
      </c>
      <c r="I261" s="1147">
        <v>10</v>
      </c>
      <c r="J261" s="1147">
        <v>18</v>
      </c>
      <c r="K261" s="1147">
        <v>2</v>
      </c>
      <c r="L261" s="1953" t="str">
        <f t="shared" si="11"/>
        <v>Ataque A Distancia250 metros</v>
      </c>
      <c r="M261" s="227"/>
      <c r="N261" s="6337"/>
      <c r="O261" s="78" t="s">
        <v>9052</v>
      </c>
      <c r="P261" s="78"/>
      <c r="Q261" s="72"/>
      <c r="R261" s="72"/>
      <c r="S261" s="1953" t="str">
        <f t="shared" si="10"/>
        <v>&gt; REQUERIMIENTOS ELEMENTALES</v>
      </c>
      <c r="T261" s="227"/>
      <c r="U261" s="227"/>
    </row>
    <row r="262" spans="1:21" ht="12" customHeight="1" x14ac:dyDescent="0.2">
      <c r="A262" s="6342"/>
      <c r="B262" s="6358"/>
      <c r="C262" s="39" t="s">
        <v>9102</v>
      </c>
      <c r="D262" s="78" t="s">
        <v>5228</v>
      </c>
      <c r="E262" s="1147">
        <v>8</v>
      </c>
      <c r="F262" s="1148">
        <v>11</v>
      </c>
      <c r="G262" s="1147">
        <v>30</v>
      </c>
      <c r="H262" s="1147">
        <v>6</v>
      </c>
      <c r="I262" s="1147">
        <v>12</v>
      </c>
      <c r="J262" s="1147">
        <v>21</v>
      </c>
      <c r="K262" s="1147">
        <v>2</v>
      </c>
      <c r="L262" s="1953" t="str">
        <f t="shared" si="11"/>
        <v>Ataque A Distancia500 metros</v>
      </c>
      <c r="M262" s="227"/>
      <c r="N262" s="6337"/>
      <c r="O262" s="78" t="s">
        <v>8988</v>
      </c>
      <c r="P262" s="78" t="s">
        <v>9054</v>
      </c>
      <c r="Q262" s="72">
        <v>-5</v>
      </c>
      <c r="R262" s="72">
        <v>1</v>
      </c>
      <c r="S262" s="1953" t="str">
        <f t="shared" si="10"/>
        <v>Requerimientos ElementalesIntensidad Menor</v>
      </c>
      <c r="T262" s="227"/>
      <c r="U262" s="227"/>
    </row>
    <row r="263" spans="1:21" ht="12" customHeight="1" x14ac:dyDescent="0.2">
      <c r="A263" s="6342"/>
      <c r="B263" s="6358"/>
      <c r="C263" s="39" t="s">
        <v>9102</v>
      </c>
      <c r="D263" s="78" t="s">
        <v>5229</v>
      </c>
      <c r="E263" s="1147">
        <v>10</v>
      </c>
      <c r="F263" s="1148">
        <v>13</v>
      </c>
      <c r="G263" s="1147">
        <v>35</v>
      </c>
      <c r="H263" s="1147">
        <v>8</v>
      </c>
      <c r="I263" s="1147">
        <v>16</v>
      </c>
      <c r="J263" s="1147">
        <v>28</v>
      </c>
      <c r="K263" s="1147">
        <v>2</v>
      </c>
      <c r="L263" s="1953" t="str">
        <f t="shared" si="11"/>
        <v>Ataque A Distancia1 kilómetro</v>
      </c>
      <c r="M263" s="227"/>
      <c r="N263" s="6337"/>
      <c r="O263" s="78" t="s">
        <v>8988</v>
      </c>
      <c r="P263" s="78" t="s">
        <v>9057</v>
      </c>
      <c r="Q263" s="72">
        <v>-10</v>
      </c>
      <c r="R263" s="72">
        <v>1</v>
      </c>
      <c r="S263" s="1953" t="str">
        <f t="shared" si="10"/>
        <v>Requerimientos ElementalesIntensidad Mayor</v>
      </c>
      <c r="T263" s="227"/>
      <c r="U263" s="227"/>
    </row>
    <row r="264" spans="1:21" ht="12" customHeight="1" x14ac:dyDescent="0.2">
      <c r="A264" s="6342"/>
      <c r="B264" s="6358"/>
      <c r="C264" s="39" t="s">
        <v>9102</v>
      </c>
      <c r="D264" s="78" t="s">
        <v>9104</v>
      </c>
      <c r="E264" s="1147">
        <v>14</v>
      </c>
      <c r="F264" s="1148">
        <v>18</v>
      </c>
      <c r="G264" s="1147">
        <v>40</v>
      </c>
      <c r="H264" s="1147">
        <v>10</v>
      </c>
      <c r="I264" s="1147">
        <v>20</v>
      </c>
      <c r="J264" s="1147">
        <v>35</v>
      </c>
      <c r="K264" s="1147">
        <v>3</v>
      </c>
      <c r="L264" s="1953" t="str">
        <f t="shared" si="11"/>
        <v>Ataque A Distancia5 kilómetros</v>
      </c>
      <c r="M264" s="227"/>
      <c r="N264" s="6337"/>
      <c r="O264" s="78" t="s">
        <v>9059</v>
      </c>
      <c r="P264" s="78"/>
      <c r="Q264" s="72"/>
      <c r="R264" s="72"/>
      <c r="S264" s="1953" t="str">
        <f t="shared" si="10"/>
        <v>&gt; SACRIFICIO</v>
      </c>
      <c r="T264" s="227"/>
      <c r="U264" s="227"/>
    </row>
    <row r="265" spans="1:21" ht="12" customHeight="1" x14ac:dyDescent="0.2">
      <c r="A265" s="6342"/>
      <c r="B265" s="6358"/>
      <c r="C265" s="39" t="s">
        <v>9102</v>
      </c>
      <c r="D265" s="78" t="s">
        <v>5279</v>
      </c>
      <c r="E265" s="1147">
        <v>18</v>
      </c>
      <c r="F265" s="1148">
        <v>22</v>
      </c>
      <c r="G265" s="1147">
        <v>45</v>
      </c>
      <c r="H265" s="1147">
        <v>12</v>
      </c>
      <c r="I265" s="1147">
        <v>24</v>
      </c>
      <c r="J265" s="1147">
        <v>42</v>
      </c>
      <c r="K265" s="1147">
        <v>3</v>
      </c>
      <c r="L265" s="1953" t="str">
        <f t="shared" si="11"/>
        <v>Ataque A Distancia10 kilómetros</v>
      </c>
      <c r="M265" s="227"/>
      <c r="N265" s="6337"/>
      <c r="O265" s="78" t="s">
        <v>8989</v>
      </c>
      <c r="P265" s="78" t="s">
        <v>9061</v>
      </c>
      <c r="Q265" s="72">
        <v>-5</v>
      </c>
      <c r="R265" s="72">
        <v>1</v>
      </c>
      <c r="S265" s="1953" t="str">
        <f t="shared" ref="S265:S271" si="12">O265&amp;P265</f>
        <v>Sacrificio-25 PV</v>
      </c>
      <c r="T265" s="227"/>
      <c r="U265" s="227"/>
    </row>
    <row r="266" spans="1:21" ht="12" customHeight="1" x14ac:dyDescent="0.2">
      <c r="A266" s="6342"/>
      <c r="B266" s="6358"/>
      <c r="C266" s="39" t="s">
        <v>9102</v>
      </c>
      <c r="D266" s="78" t="s">
        <v>5280</v>
      </c>
      <c r="E266" s="1147">
        <v>22</v>
      </c>
      <c r="F266" s="1148">
        <v>26</v>
      </c>
      <c r="G266" s="1147">
        <v>50</v>
      </c>
      <c r="H266" s="1147">
        <v>14</v>
      </c>
      <c r="I266" s="1147">
        <v>28</v>
      </c>
      <c r="J266" s="1147">
        <v>49</v>
      </c>
      <c r="K266" s="1147">
        <v>3</v>
      </c>
      <c r="L266" s="1953" t="str">
        <f t="shared" si="11"/>
        <v>Ataque A Distancia100 kilómetros</v>
      </c>
      <c r="M266" s="227"/>
      <c r="N266" s="6337"/>
      <c r="O266" s="78" t="s">
        <v>8989</v>
      </c>
      <c r="P266" s="78" t="s">
        <v>9063</v>
      </c>
      <c r="Q266" s="72">
        <v>-10</v>
      </c>
      <c r="R266" s="72">
        <v>1</v>
      </c>
      <c r="S266" s="1953" t="str">
        <f t="shared" si="12"/>
        <v>Sacrificio-50 PV</v>
      </c>
      <c r="T266" s="227"/>
      <c r="U266" s="227"/>
    </row>
    <row r="267" spans="1:21" ht="12" customHeight="1" x14ac:dyDescent="0.2">
      <c r="A267" s="6342"/>
      <c r="B267" s="6358"/>
      <c r="C267" s="39" t="s">
        <v>9102</v>
      </c>
      <c r="D267" s="78" t="s">
        <v>2663</v>
      </c>
      <c r="E267" s="1147">
        <v>4</v>
      </c>
      <c r="F267" s="1148">
        <v>4</v>
      </c>
      <c r="G267" s="1147">
        <v>10</v>
      </c>
      <c r="H267" s="1147">
        <v>1</v>
      </c>
      <c r="I267" s="1147">
        <v>2</v>
      </c>
      <c r="J267" s="1147">
        <v>4</v>
      </c>
      <c r="K267" s="1147"/>
      <c r="L267" s="1953" t="str">
        <f t="shared" ref="L267:L330" si="13">C267&amp;D267</f>
        <v>Ataque A DistanciaProyección</v>
      </c>
      <c r="M267" s="227"/>
      <c r="N267" s="6337"/>
      <c r="O267" s="78" t="s">
        <v>8989</v>
      </c>
      <c r="P267" s="78" t="s">
        <v>9065</v>
      </c>
      <c r="Q267" s="72">
        <v>-15</v>
      </c>
      <c r="R267" s="72">
        <v>2</v>
      </c>
      <c r="S267" s="1953" t="str">
        <f t="shared" si="12"/>
        <v>Sacrificio-75 PV</v>
      </c>
      <c r="T267" s="227"/>
      <c r="U267" s="227"/>
    </row>
    <row r="268" spans="1:21" ht="12" customHeight="1" x14ac:dyDescent="0.2">
      <c r="A268" s="6342"/>
      <c r="B268" s="6358"/>
      <c r="C268" s="39" t="s">
        <v>9102</v>
      </c>
      <c r="D268" s="78" t="s">
        <v>3137</v>
      </c>
      <c r="E268" s="1147">
        <v>8</v>
      </c>
      <c r="F268" s="1148">
        <v>8</v>
      </c>
      <c r="G268" s="1147">
        <v>20</v>
      </c>
      <c r="H268" s="1147">
        <v>1</v>
      </c>
      <c r="I268" s="1147">
        <v>2</v>
      </c>
      <c r="J268" s="1147">
        <v>4</v>
      </c>
      <c r="K268" s="1147"/>
      <c r="L268" s="1953" t="str">
        <f t="shared" si="13"/>
        <v>Ataque A DistanciaEstela de Destrucción</v>
      </c>
      <c r="M268" s="227"/>
      <c r="N268" s="6337"/>
      <c r="O268" s="78" t="s">
        <v>8989</v>
      </c>
      <c r="P268" s="78" t="s">
        <v>9066</v>
      </c>
      <c r="Q268" s="72">
        <v>-20</v>
      </c>
      <c r="R268" s="72">
        <v>2</v>
      </c>
      <c r="S268" s="1953" t="str">
        <f t="shared" si="12"/>
        <v>Sacrificio-100 PV</v>
      </c>
      <c r="T268" s="227"/>
      <c r="U268" s="227"/>
    </row>
    <row r="269" spans="1:21" ht="12" customHeight="1" x14ac:dyDescent="0.2">
      <c r="A269" s="6342"/>
      <c r="B269" s="6358"/>
      <c r="C269" s="39" t="s">
        <v>9105</v>
      </c>
      <c r="D269" s="78"/>
      <c r="E269" s="1147"/>
      <c r="F269" s="1148"/>
      <c r="G269" s="1147"/>
      <c r="H269" s="1147"/>
      <c r="I269" s="1147"/>
      <c r="J269" s="1147"/>
      <c r="K269" s="1147"/>
      <c r="L269" s="1953" t="str">
        <f t="shared" si="13"/>
        <v>&gt; ATAQUE A DISTANCIA REAL</v>
      </c>
      <c r="M269" s="227"/>
      <c r="N269" s="6337"/>
      <c r="O269" s="78" t="s">
        <v>8989</v>
      </c>
      <c r="P269" s="78" t="s">
        <v>7354</v>
      </c>
      <c r="Q269" s="72">
        <v>-25</v>
      </c>
      <c r="R269" s="72">
        <v>3</v>
      </c>
      <c r="S269" s="1953" t="str">
        <f t="shared" si="12"/>
        <v>SacrificioCompleto</v>
      </c>
      <c r="T269" s="227"/>
      <c r="U269" s="227"/>
    </row>
    <row r="270" spans="1:21" ht="12" customHeight="1" x14ac:dyDescent="0.2">
      <c r="A270" s="6342"/>
      <c r="B270" s="6358"/>
      <c r="C270" s="39" t="s">
        <v>9106</v>
      </c>
      <c r="D270" s="78" t="s">
        <v>4879</v>
      </c>
      <c r="E270" s="1147">
        <v>2</v>
      </c>
      <c r="F270" s="1148">
        <v>4</v>
      </c>
      <c r="G270" s="1147">
        <v>10</v>
      </c>
      <c r="H270" s="1147">
        <v>2</v>
      </c>
      <c r="I270" s="1147">
        <v>4</v>
      </c>
      <c r="J270" s="1147">
        <v>7</v>
      </c>
      <c r="K270" s="1147">
        <v>1</v>
      </c>
      <c r="L270" s="1953" t="str">
        <f t="shared" si="13"/>
        <v>Ataque A Distancia Real5 metros</v>
      </c>
      <c r="M270" s="227"/>
      <c r="N270" s="6337"/>
      <c r="O270" s="78" t="s">
        <v>9068</v>
      </c>
      <c r="P270" s="78"/>
      <c r="Q270" s="72"/>
      <c r="R270" s="72"/>
      <c r="S270" s="1953" t="str">
        <f t="shared" si="12"/>
        <v>&gt; SACRIFICIO DE CARACTERÍSTICAS</v>
      </c>
      <c r="T270" s="227"/>
      <c r="U270" s="227"/>
    </row>
    <row r="271" spans="1:21" ht="12" customHeight="1" x14ac:dyDescent="0.2">
      <c r="A271" s="6342"/>
      <c r="B271" s="6358"/>
      <c r="C271" s="39" t="s">
        <v>9106</v>
      </c>
      <c r="D271" s="78" t="s">
        <v>9103</v>
      </c>
      <c r="E271" s="1147">
        <v>4</v>
      </c>
      <c r="F271" s="1148">
        <v>6</v>
      </c>
      <c r="G271" s="1147">
        <v>15</v>
      </c>
      <c r="H271" s="1147">
        <v>3</v>
      </c>
      <c r="I271" s="1147">
        <v>6</v>
      </c>
      <c r="J271" s="1147">
        <v>11</v>
      </c>
      <c r="K271" s="1147">
        <v>1</v>
      </c>
      <c r="L271" s="1953" t="str">
        <f t="shared" si="13"/>
        <v>Ataque A Distancia Real10 metros</v>
      </c>
      <c r="M271" s="227"/>
      <c r="N271" s="6337"/>
      <c r="O271" s="78" t="s">
        <v>8990</v>
      </c>
      <c r="P271" s="78" t="s">
        <v>1373</v>
      </c>
      <c r="Q271" s="72">
        <v>-30</v>
      </c>
      <c r="R271" s="72">
        <v>1</v>
      </c>
      <c r="S271" s="1953" t="str">
        <f t="shared" si="12"/>
        <v>Sacrificio De CaracterísticasAGI</v>
      </c>
      <c r="T271" s="227"/>
      <c r="U271" s="227"/>
    </row>
    <row r="272" spans="1:21" ht="12" customHeight="1" x14ac:dyDescent="0.2">
      <c r="A272" s="6342"/>
      <c r="B272" s="6358"/>
      <c r="C272" s="39" t="s">
        <v>9106</v>
      </c>
      <c r="D272" s="78" t="s">
        <v>8815</v>
      </c>
      <c r="E272" s="1147">
        <v>6</v>
      </c>
      <c r="F272" s="1148">
        <v>9</v>
      </c>
      <c r="G272" s="1147">
        <v>20</v>
      </c>
      <c r="H272" s="1147">
        <v>4</v>
      </c>
      <c r="I272" s="1147">
        <v>8</v>
      </c>
      <c r="J272" s="1147">
        <v>14</v>
      </c>
      <c r="K272" s="1147">
        <v>1</v>
      </c>
      <c r="L272" s="1953" t="str">
        <f t="shared" si="13"/>
        <v>Ataque A Distancia Real20 metros</v>
      </c>
      <c r="M272" s="227"/>
      <c r="N272" s="6337"/>
      <c r="O272" s="78" t="s">
        <v>8990</v>
      </c>
      <c r="P272" s="78" t="s">
        <v>1498</v>
      </c>
      <c r="Q272" s="72">
        <v>-30</v>
      </c>
      <c r="R272" s="72">
        <v>1</v>
      </c>
      <c r="S272" s="1953" t="str">
        <f t="shared" ref="S272:S278" si="14">O272&amp;P272</f>
        <v>Sacrificio De CaracterísticasCON</v>
      </c>
      <c r="T272" s="227"/>
      <c r="U272" s="227"/>
    </row>
    <row r="273" spans="1:21" ht="12" customHeight="1" x14ac:dyDescent="0.2">
      <c r="A273" s="6342"/>
      <c r="B273" s="6358"/>
      <c r="C273" s="39" t="s">
        <v>9106</v>
      </c>
      <c r="D273" s="78" t="s">
        <v>4881</v>
      </c>
      <c r="E273" s="1147">
        <v>8</v>
      </c>
      <c r="F273" s="1148">
        <v>11</v>
      </c>
      <c r="G273" s="1147">
        <v>25</v>
      </c>
      <c r="H273" s="1147">
        <v>5</v>
      </c>
      <c r="I273" s="1147">
        <v>10</v>
      </c>
      <c r="J273" s="1147">
        <v>18</v>
      </c>
      <c r="K273" s="1147">
        <v>1</v>
      </c>
      <c r="L273" s="1953" t="str">
        <f t="shared" si="13"/>
        <v>Ataque A Distancia Real50 metros</v>
      </c>
      <c r="M273" s="227"/>
      <c r="N273" s="6337"/>
      <c r="O273" s="78" t="s">
        <v>8990</v>
      </c>
      <c r="P273" s="78" t="s">
        <v>1378</v>
      </c>
      <c r="Q273" s="72">
        <v>-30</v>
      </c>
      <c r="R273" s="72">
        <v>1</v>
      </c>
      <c r="S273" s="1953" t="str">
        <f t="shared" si="14"/>
        <v>Sacrificio De CaracterísticasDES</v>
      </c>
      <c r="T273" s="227"/>
      <c r="U273" s="227"/>
    </row>
    <row r="274" spans="1:21" ht="12" customHeight="1" x14ac:dyDescent="0.2">
      <c r="A274" s="6342"/>
      <c r="B274" s="6358"/>
      <c r="C274" s="39" t="s">
        <v>9106</v>
      </c>
      <c r="D274" s="78" t="s">
        <v>4917</v>
      </c>
      <c r="E274" s="1147">
        <v>10</v>
      </c>
      <c r="F274" s="1148">
        <v>13</v>
      </c>
      <c r="G274" s="1147">
        <v>35</v>
      </c>
      <c r="H274" s="1147">
        <v>6</v>
      </c>
      <c r="I274" s="1147">
        <v>12</v>
      </c>
      <c r="J274" s="1147">
        <v>21</v>
      </c>
      <c r="K274" s="1147">
        <v>2</v>
      </c>
      <c r="L274" s="1953" t="str">
        <f t="shared" si="13"/>
        <v>Ataque A Distancia Real100 metros</v>
      </c>
      <c r="M274" s="227"/>
      <c r="N274" s="6337"/>
      <c r="O274" s="78" t="s">
        <v>8990</v>
      </c>
      <c r="P274" s="78" t="s">
        <v>1383</v>
      </c>
      <c r="Q274" s="72">
        <v>-30</v>
      </c>
      <c r="R274" s="72">
        <v>1</v>
      </c>
      <c r="S274" s="1953" t="str">
        <f t="shared" si="14"/>
        <v>Sacrificio De CaracterísticasFUE</v>
      </c>
      <c r="T274" s="227"/>
      <c r="U274" s="227"/>
    </row>
    <row r="275" spans="1:21" ht="12" customHeight="1" x14ac:dyDescent="0.2">
      <c r="A275" s="6342"/>
      <c r="B275" s="6358"/>
      <c r="C275" s="39" t="s">
        <v>9106</v>
      </c>
      <c r="D275" s="78" t="s">
        <v>5344</v>
      </c>
      <c r="E275" s="1147">
        <v>12</v>
      </c>
      <c r="F275" s="1148">
        <v>15</v>
      </c>
      <c r="G275" s="1147">
        <v>45</v>
      </c>
      <c r="H275" s="1147">
        <v>8</v>
      </c>
      <c r="I275" s="1147">
        <v>16</v>
      </c>
      <c r="J275" s="1147">
        <v>28</v>
      </c>
      <c r="K275" s="1147">
        <v>2</v>
      </c>
      <c r="L275" s="1953" t="str">
        <f t="shared" si="13"/>
        <v>Ataque A Distancia Real250 metros</v>
      </c>
      <c r="M275" s="227"/>
      <c r="N275" s="6337"/>
      <c r="O275" s="78" t="s">
        <v>8990</v>
      </c>
      <c r="P275" s="78" t="s">
        <v>1386</v>
      </c>
      <c r="Q275" s="72">
        <v>-30</v>
      </c>
      <c r="R275" s="72">
        <v>1</v>
      </c>
      <c r="S275" s="1953" t="str">
        <f t="shared" si="14"/>
        <v>Sacrificio De CaracterísticasINT</v>
      </c>
      <c r="T275" s="227"/>
      <c r="U275" s="227"/>
    </row>
    <row r="276" spans="1:21" ht="12" customHeight="1" x14ac:dyDescent="0.2">
      <c r="A276" s="6342"/>
      <c r="B276" s="6358"/>
      <c r="C276" s="39" t="s">
        <v>9106</v>
      </c>
      <c r="D276" s="78" t="s">
        <v>5228</v>
      </c>
      <c r="E276" s="1147">
        <v>16</v>
      </c>
      <c r="F276" s="1148">
        <v>20</v>
      </c>
      <c r="G276" s="1147">
        <v>55</v>
      </c>
      <c r="H276" s="1147">
        <v>10</v>
      </c>
      <c r="I276" s="1147">
        <v>20</v>
      </c>
      <c r="J276" s="1147">
        <v>35</v>
      </c>
      <c r="K276" s="1147">
        <v>2</v>
      </c>
      <c r="L276" s="1953" t="str">
        <f t="shared" si="13"/>
        <v>Ataque A Distancia Real500 metros</v>
      </c>
      <c r="M276" s="227"/>
      <c r="N276" s="6337"/>
      <c r="O276" s="78" t="s">
        <v>8990</v>
      </c>
      <c r="P276" s="78" t="s">
        <v>1389</v>
      </c>
      <c r="Q276" s="72">
        <v>-30</v>
      </c>
      <c r="R276" s="72">
        <v>1</v>
      </c>
      <c r="S276" s="1953" t="str">
        <f t="shared" si="14"/>
        <v>Sacrificio De CaracterísticasPER</v>
      </c>
      <c r="T276" s="227"/>
      <c r="U276" s="227"/>
    </row>
    <row r="277" spans="1:21" ht="12" customHeight="1" x14ac:dyDescent="0.2">
      <c r="A277" s="6342"/>
      <c r="B277" s="6358"/>
      <c r="C277" s="39" t="s">
        <v>9106</v>
      </c>
      <c r="D277" s="78" t="s">
        <v>5229</v>
      </c>
      <c r="E277" s="1147">
        <v>20</v>
      </c>
      <c r="F277" s="1148">
        <v>24</v>
      </c>
      <c r="G277" s="1147">
        <v>70</v>
      </c>
      <c r="H277" s="1147">
        <v>12</v>
      </c>
      <c r="I277" s="1147">
        <v>24</v>
      </c>
      <c r="J277" s="1147">
        <v>42</v>
      </c>
      <c r="K277" s="1147">
        <v>3</v>
      </c>
      <c r="L277" s="1953" t="str">
        <f t="shared" si="13"/>
        <v>Ataque A Distancia Real1 kilómetro</v>
      </c>
      <c r="M277" s="227"/>
      <c r="N277" s="6337"/>
      <c r="O277" s="78" t="s">
        <v>8990</v>
      </c>
      <c r="P277" s="78" t="s">
        <v>1391</v>
      </c>
      <c r="Q277" s="72">
        <v>-30</v>
      </c>
      <c r="R277" s="72">
        <v>1</v>
      </c>
      <c r="S277" s="1953" t="str">
        <f t="shared" si="14"/>
        <v>Sacrificio De CaracterísticasPOD</v>
      </c>
      <c r="T277" s="227"/>
      <c r="U277" s="227"/>
    </row>
    <row r="278" spans="1:21" ht="12" customHeight="1" x14ac:dyDescent="0.2">
      <c r="A278" s="6342"/>
      <c r="B278" s="6358"/>
      <c r="C278" s="39" t="s">
        <v>9107</v>
      </c>
      <c r="D278" s="78"/>
      <c r="E278" s="1147"/>
      <c r="F278" s="1148"/>
      <c r="G278" s="1147"/>
      <c r="H278" s="1147"/>
      <c r="I278" s="1147"/>
      <c r="J278" s="1147"/>
      <c r="K278" s="1147"/>
      <c r="L278" s="1953" t="str">
        <f t="shared" si="13"/>
        <v>&gt; ATAQUE CON ÁREA</v>
      </c>
      <c r="M278" s="227"/>
      <c r="N278" s="6337"/>
      <c r="O278" s="78" t="s">
        <v>8990</v>
      </c>
      <c r="P278" s="78" t="s">
        <v>1392</v>
      </c>
      <c r="Q278" s="72">
        <v>-30</v>
      </c>
      <c r="R278" s="72">
        <v>1</v>
      </c>
      <c r="S278" s="1953" t="str">
        <f t="shared" si="14"/>
        <v>Sacrificio De CaracterísticasVOL</v>
      </c>
      <c r="T278" s="227"/>
      <c r="U278" s="227"/>
    </row>
    <row r="279" spans="1:21" ht="12" customHeight="1" x14ac:dyDescent="0.2">
      <c r="A279" s="6342"/>
      <c r="B279" s="6358"/>
      <c r="C279" s="39" t="s">
        <v>9108</v>
      </c>
      <c r="D279" s="78" t="s">
        <v>9109</v>
      </c>
      <c r="E279" s="1147">
        <v>1</v>
      </c>
      <c r="F279" s="1148">
        <v>2</v>
      </c>
      <c r="G279" s="1147">
        <v>5</v>
      </c>
      <c r="H279" s="1147">
        <v>1</v>
      </c>
      <c r="I279" s="1147">
        <v>2</v>
      </c>
      <c r="J279" s="1147">
        <v>4</v>
      </c>
      <c r="K279" s="1147">
        <v>1</v>
      </c>
      <c r="L279" s="1953" t="str">
        <f t="shared" si="13"/>
        <v>Ataque Con Área1 metro de radio</v>
      </c>
      <c r="M279" s="227"/>
      <c r="N279" s="6337"/>
      <c r="O279" s="78" t="s">
        <v>9071</v>
      </c>
      <c r="P279" s="78"/>
      <c r="Q279" s="72"/>
      <c r="R279" s="72"/>
      <c r="S279" s="1953" t="str">
        <f t="shared" ref="S279:S285" si="15">O279&amp;P279</f>
        <v>&gt; SIN DEFENSA</v>
      </c>
      <c r="T279" s="227"/>
      <c r="U279" s="227"/>
    </row>
    <row r="280" spans="1:21" ht="12" customHeight="1" x14ac:dyDescent="0.2">
      <c r="A280" s="6342"/>
      <c r="B280" s="6358"/>
      <c r="C280" s="39" t="s">
        <v>9108</v>
      </c>
      <c r="D280" s="78" t="s">
        <v>3394</v>
      </c>
      <c r="E280" s="1147">
        <v>2</v>
      </c>
      <c r="F280" s="1148">
        <v>4</v>
      </c>
      <c r="G280" s="1147">
        <v>10</v>
      </c>
      <c r="H280" s="1147">
        <v>1</v>
      </c>
      <c r="I280" s="1147">
        <v>2</v>
      </c>
      <c r="J280" s="1147">
        <v>4</v>
      </c>
      <c r="K280" s="1147">
        <v>1</v>
      </c>
      <c r="L280" s="1953" t="str">
        <f t="shared" si="13"/>
        <v>Ataque Con Área5 metros de radio</v>
      </c>
      <c r="M280" s="227"/>
      <c r="N280" s="6337"/>
      <c r="O280" s="78" t="s">
        <v>3180</v>
      </c>
      <c r="P280" s="78"/>
      <c r="Q280" s="72">
        <v>-15</v>
      </c>
      <c r="R280" s="72">
        <v>1</v>
      </c>
      <c r="S280" s="1953" t="str">
        <f t="shared" si="15"/>
        <v>Sin Defensa</v>
      </c>
      <c r="T280" s="227"/>
      <c r="U280" s="227"/>
    </row>
    <row r="281" spans="1:21" ht="12" customHeight="1" x14ac:dyDescent="0.2">
      <c r="A281" s="6342"/>
      <c r="B281" s="6358"/>
      <c r="C281" s="39" t="s">
        <v>9108</v>
      </c>
      <c r="D281" s="78" t="s">
        <v>4266</v>
      </c>
      <c r="E281" s="1147">
        <v>3</v>
      </c>
      <c r="F281" s="1148">
        <v>5</v>
      </c>
      <c r="G281" s="1147">
        <v>15</v>
      </c>
      <c r="H281" s="1147">
        <v>2</v>
      </c>
      <c r="I281" s="1147">
        <v>4</v>
      </c>
      <c r="J281" s="1147">
        <v>7</v>
      </c>
      <c r="K281" s="1147">
        <v>1</v>
      </c>
      <c r="L281" s="1953" t="str">
        <f t="shared" si="13"/>
        <v>Ataque Con Área10 metros de radio</v>
      </c>
      <c r="M281" s="227"/>
      <c r="N281" s="6337"/>
      <c r="O281" s="78" t="s">
        <v>9073</v>
      </c>
      <c r="P281" s="78"/>
      <c r="Q281" s="72"/>
      <c r="R281" s="72"/>
      <c r="S281" s="1953" t="str">
        <f t="shared" si="15"/>
        <v>&gt; SOBRECARGA</v>
      </c>
      <c r="T281" s="227"/>
      <c r="U281" s="227"/>
    </row>
    <row r="282" spans="1:21" ht="12" customHeight="1" x14ac:dyDescent="0.2">
      <c r="A282" s="6342"/>
      <c r="B282" s="6358"/>
      <c r="C282" s="39" t="s">
        <v>9108</v>
      </c>
      <c r="D282" s="78" t="s">
        <v>3395</v>
      </c>
      <c r="E282" s="1147">
        <v>4</v>
      </c>
      <c r="F282" s="1148">
        <v>6</v>
      </c>
      <c r="G282" s="1147">
        <v>20</v>
      </c>
      <c r="H282" s="1147">
        <v>3</v>
      </c>
      <c r="I282" s="1147">
        <v>6</v>
      </c>
      <c r="J282" s="1147">
        <v>11</v>
      </c>
      <c r="K282" s="1147">
        <v>1</v>
      </c>
      <c r="L282" s="1953" t="str">
        <f t="shared" si="13"/>
        <v>Ataque Con Área25 metros de radio</v>
      </c>
      <c r="M282" s="227"/>
      <c r="N282" s="6337"/>
      <c r="O282" s="78" t="s">
        <v>3181</v>
      </c>
      <c r="P282" s="78" t="s">
        <v>9075</v>
      </c>
      <c r="Q282" s="72">
        <v>-5</v>
      </c>
      <c r="R282" s="72">
        <v>1</v>
      </c>
      <c r="S282" s="1953" t="str">
        <f t="shared" si="15"/>
        <v>SobrecargaEspera de 5 asaltos</v>
      </c>
      <c r="T282" s="227"/>
      <c r="U282" s="227"/>
    </row>
    <row r="283" spans="1:21" ht="12" customHeight="1" x14ac:dyDescent="0.2">
      <c r="A283" s="6342"/>
      <c r="B283" s="6358"/>
      <c r="C283" s="39" t="s">
        <v>9108</v>
      </c>
      <c r="D283" s="78" t="s">
        <v>3507</v>
      </c>
      <c r="E283" s="1147">
        <v>6</v>
      </c>
      <c r="F283" s="1148">
        <v>9</v>
      </c>
      <c r="G283" s="1147">
        <v>25</v>
      </c>
      <c r="H283" s="1147">
        <v>4</v>
      </c>
      <c r="I283" s="1147">
        <v>8</v>
      </c>
      <c r="J283" s="1147">
        <v>14</v>
      </c>
      <c r="K283" s="1147">
        <v>2</v>
      </c>
      <c r="L283" s="1953" t="str">
        <f t="shared" si="13"/>
        <v>Ataque Con Área50 metros de radio</v>
      </c>
      <c r="M283" s="227"/>
      <c r="N283" s="6337"/>
      <c r="O283" s="78" t="s">
        <v>3181</v>
      </c>
      <c r="P283" s="78" t="s">
        <v>9077</v>
      </c>
      <c r="Q283" s="72">
        <v>-10</v>
      </c>
      <c r="R283" s="72">
        <v>1</v>
      </c>
      <c r="S283" s="1953" t="str">
        <f t="shared" si="15"/>
        <v>SobrecargaEspera de 20 asaltos</v>
      </c>
      <c r="T283" s="227"/>
      <c r="U283" s="227"/>
    </row>
    <row r="284" spans="1:21" ht="12" customHeight="1" x14ac:dyDescent="0.2">
      <c r="A284" s="6342"/>
      <c r="B284" s="6358"/>
      <c r="C284" s="39" t="s">
        <v>9108</v>
      </c>
      <c r="D284" s="78" t="s">
        <v>3396</v>
      </c>
      <c r="E284" s="1147">
        <v>8</v>
      </c>
      <c r="F284" s="1148">
        <v>11</v>
      </c>
      <c r="G284" s="1147">
        <v>30</v>
      </c>
      <c r="H284" s="1147">
        <v>5</v>
      </c>
      <c r="I284" s="1147">
        <v>10</v>
      </c>
      <c r="J284" s="1147">
        <v>18</v>
      </c>
      <c r="K284" s="1147">
        <v>2</v>
      </c>
      <c r="L284" s="1953" t="str">
        <f t="shared" si="13"/>
        <v>Ataque Con Área100 metros de radio</v>
      </c>
      <c r="M284" s="227"/>
      <c r="N284" s="6337"/>
      <c r="O284" s="78" t="s">
        <v>10097</v>
      </c>
      <c r="P284" s="78"/>
      <c r="Q284" s="72"/>
      <c r="R284" s="72"/>
      <c r="S284" s="1953" t="str">
        <f t="shared" si="15"/>
        <v>&gt; TÉCNICA FINAL</v>
      </c>
      <c r="T284" s="227"/>
      <c r="U284" s="227"/>
    </row>
    <row r="285" spans="1:21" ht="12" customHeight="1" x14ac:dyDescent="0.2">
      <c r="A285" s="6342"/>
      <c r="B285" s="6358"/>
      <c r="C285" s="39" t="s">
        <v>9108</v>
      </c>
      <c r="D285" s="78" t="s">
        <v>3397</v>
      </c>
      <c r="E285" s="1147">
        <v>10</v>
      </c>
      <c r="F285" s="1148">
        <v>13</v>
      </c>
      <c r="G285" s="1147">
        <v>40</v>
      </c>
      <c r="H285" s="1147">
        <v>6</v>
      </c>
      <c r="I285" s="1147">
        <v>12</v>
      </c>
      <c r="J285" s="1147">
        <v>21</v>
      </c>
      <c r="K285" s="1147">
        <v>2</v>
      </c>
      <c r="L285" s="1953" t="str">
        <f t="shared" si="13"/>
        <v>Ataque Con Área500 metros de radio</v>
      </c>
      <c r="M285" s="227"/>
      <c r="N285" s="6337"/>
      <c r="O285" s="78" t="s">
        <v>10098</v>
      </c>
      <c r="P285" s="78"/>
      <c r="Q285" s="72">
        <v>-55</v>
      </c>
      <c r="R285" s="72">
        <v>2</v>
      </c>
      <c r="S285" s="1953" t="str">
        <f t="shared" si="15"/>
        <v>Técnica final</v>
      </c>
      <c r="T285" s="227"/>
      <c r="U285" s="227"/>
    </row>
    <row r="286" spans="1:21" ht="12" customHeight="1" x14ac:dyDescent="0.2">
      <c r="A286" s="6342"/>
      <c r="B286" s="6358"/>
      <c r="C286" s="39" t="s">
        <v>9108</v>
      </c>
      <c r="D286" s="78" t="s">
        <v>3508</v>
      </c>
      <c r="E286" s="1147">
        <v>12</v>
      </c>
      <c r="F286" s="1148">
        <v>15</v>
      </c>
      <c r="G286" s="1147">
        <v>50</v>
      </c>
      <c r="H286" s="1147">
        <v>8</v>
      </c>
      <c r="I286" s="1147">
        <v>16</v>
      </c>
      <c r="J286" s="1147">
        <v>28</v>
      </c>
      <c r="K286" s="1147">
        <v>3</v>
      </c>
      <c r="L286" s="1953" t="str">
        <f t="shared" si="13"/>
        <v>Ataque Con Área1 kilómetro de radio</v>
      </c>
      <c r="M286" s="227"/>
      <c r="N286" s="6337"/>
      <c r="O286" s="78" t="s">
        <v>9079</v>
      </c>
      <c r="P286" s="78"/>
      <c r="Q286" s="72"/>
      <c r="R286" s="72"/>
      <c r="S286" s="1953" t="str">
        <f t="shared" ref="S286:S301" si="16">O286&amp;P286</f>
        <v>&gt; TÉCNICA MANTENIDA</v>
      </c>
      <c r="T286" s="227"/>
      <c r="U286" s="227"/>
    </row>
    <row r="287" spans="1:21" ht="12" customHeight="1" x14ac:dyDescent="0.2">
      <c r="A287" s="6342"/>
      <c r="B287" s="6358"/>
      <c r="C287" s="39" t="s">
        <v>9108</v>
      </c>
      <c r="D287" s="78" t="s">
        <v>9110</v>
      </c>
      <c r="E287" s="1147">
        <v>16</v>
      </c>
      <c r="F287" s="1148">
        <v>20</v>
      </c>
      <c r="G287" s="1147">
        <v>60</v>
      </c>
      <c r="H287" s="1147">
        <v>10</v>
      </c>
      <c r="I287" s="1147">
        <v>20</v>
      </c>
      <c r="J287" s="1147">
        <v>35</v>
      </c>
      <c r="K287" s="1147">
        <v>3</v>
      </c>
      <c r="L287" s="1953" t="str">
        <f t="shared" si="13"/>
        <v>Ataque Con Área5 kilómetros de radio</v>
      </c>
      <c r="M287" s="227"/>
      <c r="N287" s="6337"/>
      <c r="O287" s="78" t="s">
        <v>8991</v>
      </c>
      <c r="P287" s="78" t="s">
        <v>9081</v>
      </c>
      <c r="Q287" s="72">
        <v>-5</v>
      </c>
      <c r="R287" s="72">
        <v>1</v>
      </c>
      <c r="S287" s="1953" t="str">
        <f t="shared" si="16"/>
        <v>Técnica MantenidaNv 1</v>
      </c>
      <c r="T287" s="227"/>
      <c r="U287" s="227"/>
    </row>
    <row r="288" spans="1:21" ht="12" customHeight="1" x14ac:dyDescent="0.2">
      <c r="A288" s="6342"/>
      <c r="B288" s="6358"/>
      <c r="C288" s="39" t="s">
        <v>9108</v>
      </c>
      <c r="D288" s="78" t="s">
        <v>3138</v>
      </c>
      <c r="E288" s="1147">
        <v>2</v>
      </c>
      <c r="F288" s="1148">
        <v>2</v>
      </c>
      <c r="G288" s="1147">
        <v>10</v>
      </c>
      <c r="H288" s="1147">
        <v>1</v>
      </c>
      <c r="I288" s="1147">
        <v>2</v>
      </c>
      <c r="J288" s="1147">
        <v>4</v>
      </c>
      <c r="K288" s="1147"/>
      <c r="L288" s="1953" t="str">
        <f t="shared" si="13"/>
        <v>Ataque Con ÁreaElección de Blanco</v>
      </c>
      <c r="M288" s="227"/>
      <c r="N288" s="6337"/>
      <c r="O288" s="78" t="s">
        <v>8991</v>
      </c>
      <c r="P288" s="78" t="s">
        <v>9083</v>
      </c>
      <c r="Q288" s="72">
        <v>-10</v>
      </c>
      <c r="R288" s="72">
        <v>2</v>
      </c>
      <c r="S288" s="1953" t="str">
        <f t="shared" si="16"/>
        <v>Técnica MantenidaNv 2</v>
      </c>
      <c r="T288" s="227"/>
      <c r="U288" s="227"/>
    </row>
    <row r="289" spans="1:21" ht="12" customHeight="1" x14ac:dyDescent="0.2">
      <c r="A289" s="6342"/>
      <c r="B289" s="6358"/>
      <c r="C289" s="39" t="s">
        <v>9111</v>
      </c>
      <c r="D289" s="78"/>
      <c r="E289" s="1147"/>
      <c r="F289" s="1148"/>
      <c r="G289" s="1147"/>
      <c r="H289" s="1147"/>
      <c r="I289" s="1147"/>
      <c r="J289" s="1147"/>
      <c r="K289" s="1147"/>
      <c r="L289" s="1953" t="str">
        <f t="shared" si="13"/>
        <v>&gt; ATAQUE CON ÁREA REAL</v>
      </c>
      <c r="M289" s="227"/>
      <c r="N289" s="6337"/>
      <c r="O289" s="78" t="s">
        <v>8991</v>
      </c>
      <c r="P289" s="78" t="s">
        <v>9084</v>
      </c>
      <c r="Q289" s="72">
        <v>-15</v>
      </c>
      <c r="R289" s="72">
        <v>3</v>
      </c>
      <c r="S289" s="1953" t="str">
        <f t="shared" si="16"/>
        <v>Técnica MantenidaNv 3</v>
      </c>
      <c r="T289" s="227"/>
      <c r="U289" s="227"/>
    </row>
    <row r="290" spans="1:21" ht="12" customHeight="1" x14ac:dyDescent="0.2">
      <c r="A290" s="6342"/>
      <c r="B290" s="6358"/>
      <c r="C290" s="39" t="s">
        <v>9112</v>
      </c>
      <c r="D290" s="78" t="s">
        <v>9109</v>
      </c>
      <c r="E290" s="1147">
        <v>2</v>
      </c>
      <c r="F290" s="1148">
        <v>4</v>
      </c>
      <c r="G290" s="1147">
        <v>10</v>
      </c>
      <c r="H290" s="1147">
        <v>2</v>
      </c>
      <c r="I290" s="1147">
        <v>4</v>
      </c>
      <c r="J290" s="1147">
        <v>4</v>
      </c>
      <c r="K290" s="1147">
        <v>1</v>
      </c>
      <c r="L290" s="1953" t="str">
        <f t="shared" si="13"/>
        <v>Ataque Con Área Real1 metro de radio</v>
      </c>
      <c r="M290" s="227"/>
      <c r="N290" s="6337"/>
      <c r="O290" s="78" t="s">
        <v>9085</v>
      </c>
      <c r="P290" s="78"/>
      <c r="Q290" s="72"/>
      <c r="R290" s="72"/>
      <c r="S290" s="1953" t="str">
        <f t="shared" si="16"/>
        <v>&gt; USOS LIMITADOS</v>
      </c>
      <c r="T290" s="227"/>
      <c r="U290" s="227"/>
    </row>
    <row r="291" spans="1:21" ht="12" customHeight="1" x14ac:dyDescent="0.2">
      <c r="A291" s="6342"/>
      <c r="B291" s="6358"/>
      <c r="C291" s="39" t="s">
        <v>9112</v>
      </c>
      <c r="D291" s="78" t="s">
        <v>3394</v>
      </c>
      <c r="E291" s="1147">
        <v>4</v>
      </c>
      <c r="F291" s="1148">
        <v>6</v>
      </c>
      <c r="G291" s="1147">
        <v>15</v>
      </c>
      <c r="H291" s="1147">
        <v>3</v>
      </c>
      <c r="I291" s="1147">
        <v>6</v>
      </c>
      <c r="J291" s="1147">
        <v>6</v>
      </c>
      <c r="K291" s="1147">
        <v>1</v>
      </c>
      <c r="L291" s="1953" t="str">
        <f t="shared" si="13"/>
        <v>Ataque Con Área Real5 metros de radio</v>
      </c>
      <c r="M291" s="227"/>
      <c r="N291" s="6337"/>
      <c r="O291" s="78" t="s">
        <v>8992</v>
      </c>
      <c r="P291" s="78" t="s">
        <v>9086</v>
      </c>
      <c r="Q291" s="72">
        <v>-10</v>
      </c>
      <c r="R291" s="72">
        <v>1</v>
      </c>
      <c r="S291" s="1953" t="str">
        <f t="shared" si="16"/>
        <v>Usos Limitados20 Usos</v>
      </c>
      <c r="T291" s="227"/>
      <c r="U291" s="227"/>
    </row>
    <row r="292" spans="1:21" ht="12" customHeight="1" x14ac:dyDescent="0.2">
      <c r="A292" s="6342"/>
      <c r="B292" s="6358"/>
      <c r="C292" s="39" t="s">
        <v>9112</v>
      </c>
      <c r="D292" s="78" t="s">
        <v>4266</v>
      </c>
      <c r="E292" s="1147">
        <v>6</v>
      </c>
      <c r="F292" s="1148">
        <v>9</v>
      </c>
      <c r="G292" s="1147">
        <v>20</v>
      </c>
      <c r="H292" s="1147">
        <v>4</v>
      </c>
      <c r="I292" s="1147">
        <v>8</v>
      </c>
      <c r="J292" s="1147">
        <v>8</v>
      </c>
      <c r="K292" s="1147">
        <v>1</v>
      </c>
      <c r="L292" s="1953" t="str">
        <f t="shared" si="13"/>
        <v>Ataque Con Área Real10 metros de radio</v>
      </c>
      <c r="M292" s="227"/>
      <c r="N292" s="6337"/>
      <c r="O292" s="78" t="s">
        <v>8992</v>
      </c>
      <c r="P292" s="78" t="s">
        <v>9087</v>
      </c>
      <c r="Q292" s="72">
        <v>-20</v>
      </c>
      <c r="R292" s="72">
        <v>1</v>
      </c>
      <c r="S292" s="1953" t="str">
        <f t="shared" si="16"/>
        <v>Usos Limitados10 Usos</v>
      </c>
      <c r="T292" s="227"/>
      <c r="U292" s="227"/>
    </row>
    <row r="293" spans="1:21" ht="12" customHeight="1" x14ac:dyDescent="0.2">
      <c r="A293" s="6342"/>
      <c r="B293" s="6358"/>
      <c r="C293" s="39" t="s">
        <v>9112</v>
      </c>
      <c r="D293" s="78" t="s">
        <v>3395</v>
      </c>
      <c r="E293" s="1147">
        <v>8</v>
      </c>
      <c r="F293" s="1148">
        <v>11</v>
      </c>
      <c r="G293" s="1147">
        <v>30</v>
      </c>
      <c r="H293" s="1147">
        <v>5</v>
      </c>
      <c r="I293" s="1147">
        <v>10</v>
      </c>
      <c r="J293" s="1147">
        <v>10</v>
      </c>
      <c r="K293" s="1147">
        <v>2</v>
      </c>
      <c r="L293" s="1953" t="str">
        <f t="shared" si="13"/>
        <v>Ataque Con Área Real25 metros de radio</v>
      </c>
      <c r="M293" s="227"/>
      <c r="N293" s="6337"/>
      <c r="O293" s="78" t="s">
        <v>8992</v>
      </c>
      <c r="P293" s="78" t="s">
        <v>9088</v>
      </c>
      <c r="Q293" s="72">
        <v>-25</v>
      </c>
      <c r="R293" s="72">
        <v>2</v>
      </c>
      <c r="S293" s="1953" t="str">
        <f t="shared" si="16"/>
        <v>Usos Limitados5 Usos</v>
      </c>
      <c r="T293" s="227"/>
      <c r="U293" s="227"/>
    </row>
    <row r="294" spans="1:21" ht="12" customHeight="1" x14ac:dyDescent="0.2">
      <c r="A294" s="6342"/>
      <c r="B294" s="6358"/>
      <c r="C294" s="39" t="s">
        <v>9112</v>
      </c>
      <c r="D294" s="78" t="s">
        <v>3507</v>
      </c>
      <c r="E294" s="1147">
        <v>12</v>
      </c>
      <c r="F294" s="1148">
        <v>15</v>
      </c>
      <c r="G294" s="1147">
        <v>45</v>
      </c>
      <c r="H294" s="1147">
        <v>6</v>
      </c>
      <c r="I294" s="1147">
        <v>12</v>
      </c>
      <c r="J294" s="1147">
        <v>12</v>
      </c>
      <c r="K294" s="1147">
        <v>2</v>
      </c>
      <c r="L294" s="1953" t="str">
        <f t="shared" si="13"/>
        <v>Ataque Con Área Real50 metros de radio</v>
      </c>
      <c r="M294" s="227"/>
      <c r="N294" s="6337"/>
      <c r="O294" s="78" t="s">
        <v>8992</v>
      </c>
      <c r="P294" s="78" t="s">
        <v>9089</v>
      </c>
      <c r="Q294" s="72">
        <v>-30</v>
      </c>
      <c r="R294" s="72">
        <v>2</v>
      </c>
      <c r="S294" s="1953" t="str">
        <f t="shared" si="16"/>
        <v>Usos Limitados3 Usos</v>
      </c>
    </row>
    <row r="295" spans="1:21" ht="12" customHeight="1" x14ac:dyDescent="0.2">
      <c r="A295" s="6342"/>
      <c r="B295" s="6358"/>
      <c r="C295" s="39" t="s">
        <v>9112</v>
      </c>
      <c r="D295" s="78" t="s">
        <v>3396</v>
      </c>
      <c r="E295" s="1147">
        <v>16</v>
      </c>
      <c r="F295" s="1148">
        <v>20</v>
      </c>
      <c r="G295" s="1147">
        <v>65</v>
      </c>
      <c r="H295" s="1147">
        <v>8</v>
      </c>
      <c r="I295" s="1147">
        <v>16</v>
      </c>
      <c r="J295" s="1147">
        <v>16</v>
      </c>
      <c r="K295" s="1147">
        <v>3</v>
      </c>
      <c r="L295" s="1953" t="str">
        <f t="shared" si="13"/>
        <v>Ataque Con Área Real100 metros de radio</v>
      </c>
      <c r="M295" s="227"/>
      <c r="N295" s="6337"/>
      <c r="O295" s="78" t="s">
        <v>8992</v>
      </c>
      <c r="P295" s="78" t="s">
        <v>9091</v>
      </c>
      <c r="Q295" s="72">
        <v>-40</v>
      </c>
      <c r="R295" s="72">
        <v>3</v>
      </c>
      <c r="S295" s="1953" t="str">
        <f t="shared" si="16"/>
        <v>Usos Limitados1 Uso</v>
      </c>
    </row>
    <row r="296" spans="1:21" ht="12" customHeight="1" x14ac:dyDescent="0.2">
      <c r="A296" s="6342"/>
      <c r="B296" s="6358"/>
      <c r="C296" s="39" t="s">
        <v>9112</v>
      </c>
      <c r="D296" s="78" t="s">
        <v>3138</v>
      </c>
      <c r="E296" s="1147">
        <v>2</v>
      </c>
      <c r="F296" s="1148">
        <v>2</v>
      </c>
      <c r="G296" s="1147">
        <v>10</v>
      </c>
      <c r="H296" s="1147">
        <v>1</v>
      </c>
      <c r="I296" s="1147">
        <v>2</v>
      </c>
      <c r="J296" s="1147">
        <v>4</v>
      </c>
      <c r="K296" s="1147"/>
      <c r="L296" s="1953" t="str">
        <f t="shared" si="13"/>
        <v>Ataque Con Área RealElección de Blanco</v>
      </c>
      <c r="M296" s="227"/>
      <c r="N296" s="6337"/>
      <c r="O296" s="78" t="str">
        <f>"&gt; "&amp;UPPER($O$190)</f>
        <v>&gt; DESVENTAJA PERSONALIZADA #1</v>
      </c>
      <c r="P296" s="78"/>
      <c r="Q296" s="72"/>
      <c r="R296" s="72"/>
      <c r="S296" s="1953" t="str">
        <f t="shared" si="16"/>
        <v>&gt; DESVENTAJA PERSONALIZADA #1</v>
      </c>
    </row>
    <row r="297" spans="1:21" ht="12" customHeight="1" x14ac:dyDescent="0.2">
      <c r="A297" s="6342"/>
      <c r="B297" s="6358"/>
      <c r="C297" s="39" t="s">
        <v>9113</v>
      </c>
      <c r="D297" s="78"/>
      <c r="E297" s="1147"/>
      <c r="F297" s="1148"/>
      <c r="G297" s="1147"/>
      <c r="H297" s="1147"/>
      <c r="I297" s="1147"/>
      <c r="J297" s="1147"/>
      <c r="K297" s="1147"/>
      <c r="L297" s="1953" t="str">
        <f t="shared" si="13"/>
        <v>&gt; PARADA EN ÁREA</v>
      </c>
      <c r="M297" s="227"/>
      <c r="N297" s="6337"/>
      <c r="O297" s="78" t="str">
        <f>IF(Personalización!F79="","Desventaja Personalizada #1",Personalización!F79)</f>
        <v>Desventaja Personalizada #1</v>
      </c>
      <c r="P297" s="78"/>
      <c r="Q297" s="72">
        <f>Personalización!M79</f>
        <v>0</v>
      </c>
      <c r="R297" s="72">
        <f>Personalización!Q79</f>
        <v>0</v>
      </c>
      <c r="S297" s="1953" t="str">
        <f t="shared" si="16"/>
        <v>Desventaja Personalizada #1</v>
      </c>
    </row>
    <row r="298" spans="1:21" ht="12" customHeight="1" x14ac:dyDescent="0.2">
      <c r="A298" s="6342"/>
      <c r="B298" s="6358"/>
      <c r="C298" s="39" t="s">
        <v>9114</v>
      </c>
      <c r="D298" s="78" t="s">
        <v>9109</v>
      </c>
      <c r="E298" s="1147">
        <v>1</v>
      </c>
      <c r="F298" s="1148">
        <v>2</v>
      </c>
      <c r="G298" s="1147">
        <v>5</v>
      </c>
      <c r="H298" s="1147">
        <v>1</v>
      </c>
      <c r="I298" s="1147">
        <v>2</v>
      </c>
      <c r="J298" s="1147">
        <v>4</v>
      </c>
      <c r="K298" s="1147">
        <v>1</v>
      </c>
      <c r="L298" s="1953" t="str">
        <f t="shared" si="13"/>
        <v>Parada En Área1 metro de radio</v>
      </c>
      <c r="M298" s="227"/>
      <c r="N298" s="6337"/>
      <c r="O298" s="78" t="str">
        <f>"&gt; "&amp;UPPER($O$191)</f>
        <v>&gt; DESVENTAJA PERSONALIZADA #2</v>
      </c>
      <c r="P298" s="78"/>
      <c r="Q298" s="72"/>
      <c r="R298" s="72"/>
      <c r="S298" s="1953" t="str">
        <f t="shared" si="16"/>
        <v>&gt; DESVENTAJA PERSONALIZADA #2</v>
      </c>
    </row>
    <row r="299" spans="1:21" ht="12" customHeight="1" x14ac:dyDescent="0.2">
      <c r="A299" s="6342"/>
      <c r="B299" s="6358"/>
      <c r="C299" s="39" t="s">
        <v>9114</v>
      </c>
      <c r="D299" s="78" t="s">
        <v>3394</v>
      </c>
      <c r="E299" s="1147">
        <v>2</v>
      </c>
      <c r="F299" s="1148">
        <v>4</v>
      </c>
      <c r="G299" s="1147">
        <v>5</v>
      </c>
      <c r="H299" s="1147">
        <v>2</v>
      </c>
      <c r="I299" s="1147">
        <v>4</v>
      </c>
      <c r="J299" s="1147">
        <v>7</v>
      </c>
      <c r="K299" s="1147">
        <v>1</v>
      </c>
      <c r="L299" s="1953" t="str">
        <f t="shared" si="13"/>
        <v>Parada En Área5 metros de radio</v>
      </c>
      <c r="M299" s="227"/>
      <c r="N299" s="6337"/>
      <c r="O299" s="78" t="str">
        <f>IF(Personalización!F80="","Desventaja Personalizada #2",Personalización!F80)</f>
        <v>Desventaja Personalizada #2</v>
      </c>
      <c r="P299" s="78"/>
      <c r="Q299" s="72">
        <f>Personalización!M80</f>
        <v>0</v>
      </c>
      <c r="R299" s="72">
        <f>Personalización!Q80</f>
        <v>0</v>
      </c>
      <c r="S299" s="1953" t="str">
        <f t="shared" si="16"/>
        <v>Desventaja Personalizada #2</v>
      </c>
    </row>
    <row r="300" spans="1:21" ht="12" customHeight="1" x14ac:dyDescent="0.2">
      <c r="A300" s="6342"/>
      <c r="B300" s="6358"/>
      <c r="C300" s="39" t="s">
        <v>9114</v>
      </c>
      <c r="D300" s="78" t="s">
        <v>4266</v>
      </c>
      <c r="E300" s="1147">
        <v>3</v>
      </c>
      <c r="F300" s="1148">
        <v>5</v>
      </c>
      <c r="G300" s="1147">
        <v>10</v>
      </c>
      <c r="H300" s="1147">
        <v>3</v>
      </c>
      <c r="I300" s="1147">
        <v>6</v>
      </c>
      <c r="J300" s="1147">
        <v>11</v>
      </c>
      <c r="K300" s="1147">
        <v>1</v>
      </c>
      <c r="L300" s="1953" t="str">
        <f t="shared" si="13"/>
        <v>Parada En Área10 metros de radio</v>
      </c>
      <c r="M300" s="227"/>
      <c r="N300" s="6337"/>
      <c r="O300" s="78" t="str">
        <f>"&gt; "&amp;UPPER($O$192)</f>
        <v>&gt; DESVENTAJA PERSONALIZADA #3</v>
      </c>
      <c r="P300" s="78"/>
      <c r="Q300" s="72"/>
      <c r="R300" s="72"/>
      <c r="S300" s="1953" t="str">
        <f t="shared" si="16"/>
        <v>&gt; DESVENTAJA PERSONALIZADA #3</v>
      </c>
    </row>
    <row r="301" spans="1:21" ht="12" customHeight="1" thickBot="1" x14ac:dyDescent="0.25">
      <c r="A301" s="6342"/>
      <c r="B301" s="6358"/>
      <c r="C301" s="39" t="s">
        <v>9114</v>
      </c>
      <c r="D301" s="78" t="s">
        <v>3395</v>
      </c>
      <c r="E301" s="1147">
        <v>4</v>
      </c>
      <c r="F301" s="1148">
        <v>6</v>
      </c>
      <c r="G301" s="1147">
        <v>15</v>
      </c>
      <c r="H301" s="1147">
        <v>4</v>
      </c>
      <c r="I301" s="1147">
        <v>8</v>
      </c>
      <c r="J301" s="1147">
        <v>14</v>
      </c>
      <c r="K301" s="1147">
        <v>1</v>
      </c>
      <c r="L301" s="1953" t="str">
        <f t="shared" si="13"/>
        <v>Parada En Área25 metros de radio</v>
      </c>
      <c r="M301" s="227"/>
      <c r="N301" s="6338"/>
      <c r="O301" s="929" t="str">
        <f>IF(Personalización!F81="","Desventaja Personalizada #3",Personalización!F81)</f>
        <v>Desventaja Personalizada #3</v>
      </c>
      <c r="P301" s="929"/>
      <c r="Q301" s="1844">
        <f>Personalización!M81</f>
        <v>0</v>
      </c>
      <c r="R301" s="1844">
        <f>Personalización!Q81</f>
        <v>0</v>
      </c>
      <c r="S301" s="1959" t="str">
        <f t="shared" si="16"/>
        <v>Desventaja Personalizada #3</v>
      </c>
    </row>
    <row r="302" spans="1:21" ht="12" customHeight="1" x14ac:dyDescent="0.2">
      <c r="A302" s="6342"/>
      <c r="B302" s="6358"/>
      <c r="C302" s="39" t="s">
        <v>9114</v>
      </c>
      <c r="D302" s="78" t="s">
        <v>3507</v>
      </c>
      <c r="E302" s="1147">
        <v>5</v>
      </c>
      <c r="F302" s="1148">
        <v>8</v>
      </c>
      <c r="G302" s="1147">
        <v>20</v>
      </c>
      <c r="H302" s="1147">
        <v>5</v>
      </c>
      <c r="I302" s="1147">
        <v>10</v>
      </c>
      <c r="J302" s="1147">
        <v>18</v>
      </c>
      <c r="K302" s="1147">
        <v>2</v>
      </c>
      <c r="L302" s="1953" t="str">
        <f t="shared" si="13"/>
        <v>Parada En Área50 metros de radio</v>
      </c>
      <c r="M302" s="227"/>
    </row>
    <row r="303" spans="1:21" ht="12" customHeight="1" x14ac:dyDescent="0.2">
      <c r="A303" s="6342"/>
      <c r="B303" s="6358"/>
      <c r="C303" s="39" t="s">
        <v>9114</v>
      </c>
      <c r="D303" s="78" t="s">
        <v>3396</v>
      </c>
      <c r="E303" s="1147">
        <v>6</v>
      </c>
      <c r="F303" s="1148">
        <v>9</v>
      </c>
      <c r="G303" s="1147">
        <v>25</v>
      </c>
      <c r="H303" s="1147">
        <v>6</v>
      </c>
      <c r="I303" s="1147">
        <v>12</v>
      </c>
      <c r="J303" s="1147">
        <v>21</v>
      </c>
      <c r="K303" s="1147">
        <v>2</v>
      </c>
      <c r="L303" s="1953" t="str">
        <f t="shared" si="13"/>
        <v>Parada En Área100 metros de radio</v>
      </c>
      <c r="M303" s="227"/>
    </row>
    <row r="304" spans="1:21" ht="12" customHeight="1" x14ac:dyDescent="0.2">
      <c r="A304" s="6342"/>
      <c r="B304" s="6358"/>
      <c r="C304" s="39" t="s">
        <v>9114</v>
      </c>
      <c r="D304" s="78" t="s">
        <v>3397</v>
      </c>
      <c r="E304" s="1147">
        <v>8</v>
      </c>
      <c r="F304" s="1148">
        <v>11</v>
      </c>
      <c r="G304" s="1147">
        <v>30</v>
      </c>
      <c r="H304" s="1147">
        <v>7</v>
      </c>
      <c r="I304" s="1147">
        <v>14</v>
      </c>
      <c r="J304" s="1147">
        <v>25</v>
      </c>
      <c r="K304" s="1147">
        <v>3</v>
      </c>
      <c r="L304" s="1953" t="str">
        <f t="shared" si="13"/>
        <v>Parada En Área500 metros de radio</v>
      </c>
      <c r="M304" s="227"/>
    </row>
    <row r="305" spans="1:13" ht="12" customHeight="1" x14ac:dyDescent="0.2">
      <c r="A305" s="6342"/>
      <c r="B305" s="6358"/>
      <c r="C305" s="39" t="s">
        <v>9114</v>
      </c>
      <c r="D305" s="78" t="s">
        <v>3508</v>
      </c>
      <c r="E305" s="1147">
        <v>10</v>
      </c>
      <c r="F305" s="1148">
        <v>13</v>
      </c>
      <c r="G305" s="1147">
        <v>35</v>
      </c>
      <c r="H305" s="1147">
        <v>8</v>
      </c>
      <c r="I305" s="1147">
        <v>16</v>
      </c>
      <c r="J305" s="1147">
        <v>28</v>
      </c>
      <c r="K305" s="1147">
        <v>3</v>
      </c>
      <c r="L305" s="1953" t="str">
        <f t="shared" si="13"/>
        <v>Parada En Área1 kilómetro de radio</v>
      </c>
      <c r="M305" s="227"/>
    </row>
    <row r="306" spans="1:13" ht="12" customHeight="1" x14ac:dyDescent="0.2">
      <c r="A306" s="6342"/>
      <c r="B306" s="6358"/>
      <c r="C306" s="39" t="s">
        <v>9115</v>
      </c>
      <c r="D306" s="78"/>
      <c r="E306" s="1147"/>
      <c r="F306" s="1148"/>
      <c r="G306" s="1147"/>
      <c r="H306" s="1147"/>
      <c r="I306" s="1147"/>
      <c r="J306" s="1147"/>
      <c r="K306" s="1147"/>
      <c r="L306" s="1953" t="str">
        <f t="shared" si="13"/>
        <v>&gt; TRANSPORTE AUTOMÁTICO</v>
      </c>
      <c r="M306" s="227"/>
    </row>
    <row r="307" spans="1:13" ht="12" customHeight="1" x14ac:dyDescent="0.2">
      <c r="A307" s="6342"/>
      <c r="B307" s="6358"/>
      <c r="C307" s="39" t="s">
        <v>8910</v>
      </c>
      <c r="D307" s="78" t="s">
        <v>9103</v>
      </c>
      <c r="E307" s="1147">
        <v>2</v>
      </c>
      <c r="F307" s="1148">
        <v>4</v>
      </c>
      <c r="G307" s="1147">
        <v>5</v>
      </c>
      <c r="H307" s="1147">
        <v>1</v>
      </c>
      <c r="I307" s="1147">
        <v>2</v>
      </c>
      <c r="J307" s="1147">
        <v>4</v>
      </c>
      <c r="K307" s="1147">
        <v>1</v>
      </c>
      <c r="L307" s="1953" t="str">
        <f t="shared" si="13"/>
        <v>Transporte Automático10 metros</v>
      </c>
      <c r="M307" s="227"/>
    </row>
    <row r="308" spans="1:13" ht="12" customHeight="1" x14ac:dyDescent="0.2">
      <c r="A308" s="6342"/>
      <c r="B308" s="6358"/>
      <c r="C308" s="39" t="s">
        <v>8910</v>
      </c>
      <c r="D308" s="78" t="s">
        <v>8815</v>
      </c>
      <c r="E308" s="1147">
        <v>3</v>
      </c>
      <c r="F308" s="1148">
        <v>5</v>
      </c>
      <c r="G308" s="1147">
        <v>10</v>
      </c>
      <c r="H308" s="1147">
        <v>2</v>
      </c>
      <c r="I308" s="1147">
        <v>4</v>
      </c>
      <c r="J308" s="1147">
        <v>7</v>
      </c>
      <c r="K308" s="1147">
        <v>1</v>
      </c>
      <c r="L308" s="1953" t="str">
        <f t="shared" si="13"/>
        <v>Transporte Automático20 metros</v>
      </c>
      <c r="M308" s="227"/>
    </row>
    <row r="309" spans="1:13" ht="12" customHeight="1" x14ac:dyDescent="0.2">
      <c r="A309" s="6342"/>
      <c r="B309" s="6358"/>
      <c r="C309" s="39" t="s">
        <v>8910</v>
      </c>
      <c r="D309" s="78" t="s">
        <v>4881</v>
      </c>
      <c r="E309" s="1147">
        <v>4</v>
      </c>
      <c r="F309" s="1148">
        <v>6</v>
      </c>
      <c r="G309" s="1147">
        <v>10</v>
      </c>
      <c r="H309" s="1147">
        <v>3</v>
      </c>
      <c r="I309" s="1147">
        <v>6</v>
      </c>
      <c r="J309" s="1147">
        <v>11</v>
      </c>
      <c r="K309" s="1147">
        <v>1</v>
      </c>
      <c r="L309" s="1953" t="str">
        <f t="shared" si="13"/>
        <v>Transporte Automático50 metros</v>
      </c>
      <c r="M309" s="227"/>
    </row>
    <row r="310" spans="1:13" ht="12" customHeight="1" x14ac:dyDescent="0.2">
      <c r="A310" s="6342"/>
      <c r="B310" s="6358"/>
      <c r="C310" s="39" t="s">
        <v>8910</v>
      </c>
      <c r="D310" s="78" t="s">
        <v>4917</v>
      </c>
      <c r="E310" s="1147">
        <v>5</v>
      </c>
      <c r="F310" s="1148">
        <v>8</v>
      </c>
      <c r="G310" s="1147">
        <v>15</v>
      </c>
      <c r="H310" s="1147">
        <v>4</v>
      </c>
      <c r="I310" s="1147">
        <v>8</v>
      </c>
      <c r="J310" s="1147">
        <v>14</v>
      </c>
      <c r="K310" s="1147">
        <v>1</v>
      </c>
      <c r="L310" s="1953" t="str">
        <f t="shared" si="13"/>
        <v>Transporte Automático100 metros</v>
      </c>
      <c r="M310" s="227"/>
    </row>
    <row r="311" spans="1:13" ht="12" customHeight="1" x14ac:dyDescent="0.2">
      <c r="A311" s="6342"/>
      <c r="B311" s="6358"/>
      <c r="C311" s="39" t="s">
        <v>8910</v>
      </c>
      <c r="D311" s="78" t="s">
        <v>5344</v>
      </c>
      <c r="E311" s="1147">
        <v>6</v>
      </c>
      <c r="F311" s="1148">
        <v>9</v>
      </c>
      <c r="G311" s="1147">
        <v>20</v>
      </c>
      <c r="H311" s="1147">
        <v>5</v>
      </c>
      <c r="I311" s="1147">
        <v>10</v>
      </c>
      <c r="J311" s="1147">
        <v>18</v>
      </c>
      <c r="K311" s="1147">
        <v>1</v>
      </c>
      <c r="L311" s="1953" t="str">
        <f t="shared" si="13"/>
        <v>Transporte Automático250 metros</v>
      </c>
      <c r="M311" s="227"/>
    </row>
    <row r="312" spans="1:13" ht="12" customHeight="1" x14ac:dyDescent="0.2">
      <c r="A312" s="6342"/>
      <c r="B312" s="6358"/>
      <c r="C312" s="39" t="s">
        <v>8910</v>
      </c>
      <c r="D312" s="78" t="s">
        <v>5228</v>
      </c>
      <c r="E312" s="1147">
        <v>8</v>
      </c>
      <c r="F312" s="1148">
        <v>11</v>
      </c>
      <c r="G312" s="1147">
        <v>25</v>
      </c>
      <c r="H312" s="1147">
        <v>6</v>
      </c>
      <c r="I312" s="1147">
        <v>12</v>
      </c>
      <c r="J312" s="1147">
        <v>21</v>
      </c>
      <c r="K312" s="1147">
        <v>2</v>
      </c>
      <c r="L312" s="1953" t="str">
        <f t="shared" si="13"/>
        <v>Transporte Automático500 metros</v>
      </c>
      <c r="M312" s="227"/>
    </row>
    <row r="313" spans="1:13" ht="12" customHeight="1" x14ac:dyDescent="0.2">
      <c r="A313" s="6342"/>
      <c r="B313" s="6358"/>
      <c r="C313" s="39" t="s">
        <v>8910</v>
      </c>
      <c r="D313" s="78" t="s">
        <v>5229</v>
      </c>
      <c r="E313" s="1147">
        <v>10</v>
      </c>
      <c r="F313" s="1148">
        <v>13</v>
      </c>
      <c r="G313" s="1147">
        <v>30</v>
      </c>
      <c r="H313" s="1147">
        <v>7</v>
      </c>
      <c r="I313" s="1147">
        <v>14</v>
      </c>
      <c r="J313" s="1147">
        <v>25</v>
      </c>
      <c r="K313" s="1147">
        <v>2</v>
      </c>
      <c r="L313" s="1953" t="str">
        <f t="shared" si="13"/>
        <v>Transporte Automático1 kilómetro</v>
      </c>
      <c r="M313" s="227"/>
    </row>
    <row r="314" spans="1:13" ht="12" customHeight="1" x14ac:dyDescent="0.2">
      <c r="A314" s="6342"/>
      <c r="B314" s="6358"/>
      <c r="C314" s="39" t="s">
        <v>8910</v>
      </c>
      <c r="D314" s="78" t="s">
        <v>9104</v>
      </c>
      <c r="E314" s="1147">
        <v>14</v>
      </c>
      <c r="F314" s="1148">
        <v>18</v>
      </c>
      <c r="G314" s="1147">
        <v>35</v>
      </c>
      <c r="H314" s="1147">
        <v>8</v>
      </c>
      <c r="I314" s="1147">
        <v>16</v>
      </c>
      <c r="J314" s="1147">
        <v>28</v>
      </c>
      <c r="K314" s="1147">
        <v>2</v>
      </c>
      <c r="L314" s="1953" t="str">
        <f t="shared" si="13"/>
        <v>Transporte Automático5 kilómetros</v>
      </c>
      <c r="M314" s="227"/>
    </row>
    <row r="315" spans="1:13" ht="12" customHeight="1" x14ac:dyDescent="0.2">
      <c r="A315" s="6342"/>
      <c r="B315" s="6358"/>
      <c r="C315" s="39" t="s">
        <v>8910</v>
      </c>
      <c r="D315" s="78" t="s">
        <v>5279</v>
      </c>
      <c r="E315" s="1147">
        <v>18</v>
      </c>
      <c r="F315" s="1148">
        <v>22</v>
      </c>
      <c r="G315" s="1147">
        <v>40</v>
      </c>
      <c r="H315" s="1147">
        <v>10</v>
      </c>
      <c r="I315" s="1147">
        <v>20</v>
      </c>
      <c r="J315" s="1147">
        <v>35</v>
      </c>
      <c r="K315" s="1147">
        <v>3</v>
      </c>
      <c r="L315" s="1953" t="str">
        <f t="shared" si="13"/>
        <v>Transporte Automático10 kilómetros</v>
      </c>
      <c r="M315" s="227"/>
    </row>
    <row r="316" spans="1:13" ht="12" customHeight="1" x14ac:dyDescent="0.2">
      <c r="A316" s="6342"/>
      <c r="B316" s="6358"/>
      <c r="C316" s="39" t="s">
        <v>8910</v>
      </c>
      <c r="D316" s="78" t="s">
        <v>5280</v>
      </c>
      <c r="E316" s="1147">
        <v>22</v>
      </c>
      <c r="F316" s="1148">
        <v>26</v>
      </c>
      <c r="G316" s="1147">
        <v>50</v>
      </c>
      <c r="H316" s="1147">
        <v>12</v>
      </c>
      <c r="I316" s="1147">
        <v>24</v>
      </c>
      <c r="J316" s="1147">
        <v>42</v>
      </c>
      <c r="K316" s="1147">
        <v>3</v>
      </c>
      <c r="L316" s="1953" t="str">
        <f t="shared" si="13"/>
        <v>Transporte Automático100 kilómetros</v>
      </c>
      <c r="M316" s="227"/>
    </row>
    <row r="317" spans="1:13" ht="12" customHeight="1" x14ac:dyDescent="0.2">
      <c r="A317" s="6342"/>
      <c r="B317" s="6358"/>
      <c r="C317" s="39" t="s">
        <v>2881</v>
      </c>
      <c r="D317" s="78"/>
      <c r="E317" s="1147"/>
      <c r="F317" s="1148"/>
      <c r="G317" s="1147"/>
      <c r="H317" s="1147"/>
      <c r="I317" s="1147"/>
      <c r="J317" s="1147"/>
      <c r="K317" s="1147"/>
      <c r="L317" s="1953" t="str">
        <f t="shared" si="13"/>
        <v>&gt;&gt;EFECTOS DE ENTEREZA</v>
      </c>
      <c r="M317" s="227"/>
    </row>
    <row r="318" spans="1:13" ht="12" customHeight="1" x14ac:dyDescent="0.2">
      <c r="A318" s="6342"/>
      <c r="B318" s="6358"/>
      <c r="C318" s="39" t="s">
        <v>9116</v>
      </c>
      <c r="D318" s="78"/>
      <c r="E318" s="1147"/>
      <c r="F318" s="1148"/>
      <c r="G318" s="1147"/>
      <c r="H318" s="1147"/>
      <c r="I318" s="1147"/>
      <c r="J318" s="1147"/>
      <c r="K318" s="1147"/>
      <c r="L318" s="1953" t="str">
        <f t="shared" si="13"/>
        <v>&gt; AUMENTAR ROTURA</v>
      </c>
      <c r="M318" s="227"/>
    </row>
    <row r="319" spans="1:13" ht="12" customHeight="1" x14ac:dyDescent="0.2">
      <c r="A319" s="6342"/>
      <c r="B319" s="6358"/>
      <c r="C319" s="39" t="s">
        <v>8912</v>
      </c>
      <c r="D319" s="78" t="s">
        <v>6879</v>
      </c>
      <c r="E319" s="1147">
        <v>1</v>
      </c>
      <c r="F319" s="1148">
        <v>2</v>
      </c>
      <c r="G319" s="1147">
        <v>5</v>
      </c>
      <c r="H319" s="1147">
        <v>1</v>
      </c>
      <c r="I319" s="1147">
        <v>2</v>
      </c>
      <c r="J319" s="1147">
        <v>4</v>
      </c>
      <c r="K319" s="1147">
        <v>1</v>
      </c>
      <c r="L319" s="1953" t="str">
        <f t="shared" si="13"/>
        <v>Aumentar Rotura+5</v>
      </c>
      <c r="M319" s="227"/>
    </row>
    <row r="320" spans="1:13" ht="12" customHeight="1" x14ac:dyDescent="0.2">
      <c r="A320" s="6342"/>
      <c r="B320" s="6358"/>
      <c r="C320" s="39" t="s">
        <v>8912</v>
      </c>
      <c r="D320" s="78" t="s">
        <v>7488</v>
      </c>
      <c r="E320" s="1147">
        <v>2</v>
      </c>
      <c r="F320" s="1148">
        <v>4</v>
      </c>
      <c r="G320" s="1147">
        <v>10</v>
      </c>
      <c r="H320" s="1147">
        <v>1</v>
      </c>
      <c r="I320" s="1147">
        <v>2</v>
      </c>
      <c r="J320" s="1147">
        <v>4</v>
      </c>
      <c r="K320" s="1147">
        <v>1</v>
      </c>
      <c r="L320" s="1953" t="str">
        <f t="shared" si="13"/>
        <v>Aumentar Rotura+10</v>
      </c>
      <c r="M320" s="227"/>
    </row>
    <row r="321" spans="1:13" ht="12" customHeight="1" x14ac:dyDescent="0.2">
      <c r="A321" s="6342"/>
      <c r="B321" s="6358"/>
      <c r="C321" s="39" t="s">
        <v>8912</v>
      </c>
      <c r="D321" s="78" t="s">
        <v>7631</v>
      </c>
      <c r="E321" s="1147">
        <v>4</v>
      </c>
      <c r="F321" s="1148">
        <v>6</v>
      </c>
      <c r="G321" s="1147">
        <v>15</v>
      </c>
      <c r="H321" s="1147">
        <v>2</v>
      </c>
      <c r="I321" s="1147">
        <v>4</v>
      </c>
      <c r="J321" s="1147">
        <v>7</v>
      </c>
      <c r="K321" s="1147">
        <v>1</v>
      </c>
      <c r="L321" s="1953" t="str">
        <f t="shared" si="13"/>
        <v>Aumentar Rotura+15</v>
      </c>
      <c r="M321" s="227"/>
    </row>
    <row r="322" spans="1:13" ht="12" customHeight="1" x14ac:dyDescent="0.2">
      <c r="A322" s="6342"/>
      <c r="B322" s="6358"/>
      <c r="C322" s="39" t="s">
        <v>8912</v>
      </c>
      <c r="D322" s="78" t="s">
        <v>2699</v>
      </c>
      <c r="E322" s="1147">
        <v>6</v>
      </c>
      <c r="F322" s="1148">
        <v>9</v>
      </c>
      <c r="G322" s="1147">
        <v>20</v>
      </c>
      <c r="H322" s="1147">
        <v>3</v>
      </c>
      <c r="I322" s="1147">
        <v>6</v>
      </c>
      <c r="J322" s="1147">
        <v>11</v>
      </c>
      <c r="K322" s="1147">
        <v>1</v>
      </c>
      <c r="L322" s="1953" t="str">
        <f t="shared" si="13"/>
        <v>Aumentar Rotura+20</v>
      </c>
      <c r="M322" s="227"/>
    </row>
    <row r="323" spans="1:13" ht="12" customHeight="1" x14ac:dyDescent="0.2">
      <c r="A323" s="6342"/>
      <c r="B323" s="6358"/>
      <c r="C323" s="39" t="s">
        <v>8912</v>
      </c>
      <c r="D323" s="78" t="s">
        <v>7632</v>
      </c>
      <c r="E323" s="1147">
        <v>8</v>
      </c>
      <c r="F323" s="1148">
        <v>11</v>
      </c>
      <c r="G323" s="1147">
        <v>25</v>
      </c>
      <c r="H323" s="1147">
        <v>4</v>
      </c>
      <c r="I323" s="1147">
        <v>8</v>
      </c>
      <c r="J323" s="1147">
        <v>14</v>
      </c>
      <c r="K323" s="1147">
        <v>2</v>
      </c>
      <c r="L323" s="1953" t="str">
        <f t="shared" si="13"/>
        <v>Aumentar Rotura+25</v>
      </c>
      <c r="M323" s="227"/>
    </row>
    <row r="324" spans="1:13" ht="12" customHeight="1" x14ac:dyDescent="0.2">
      <c r="A324" s="6342"/>
      <c r="B324" s="6358"/>
      <c r="C324" s="39" t="s">
        <v>8912</v>
      </c>
      <c r="D324" s="78" t="s">
        <v>7489</v>
      </c>
      <c r="E324" s="1147">
        <v>12</v>
      </c>
      <c r="F324" s="1148">
        <v>15</v>
      </c>
      <c r="G324" s="1147">
        <v>30</v>
      </c>
      <c r="H324" s="1147">
        <v>5</v>
      </c>
      <c r="I324" s="1147">
        <v>10</v>
      </c>
      <c r="J324" s="1147">
        <v>18</v>
      </c>
      <c r="K324" s="1147">
        <v>2</v>
      </c>
      <c r="L324" s="1953" t="str">
        <f t="shared" si="13"/>
        <v>Aumentar Rotura+30</v>
      </c>
      <c r="M324" s="227"/>
    </row>
    <row r="325" spans="1:13" ht="12" customHeight="1" x14ac:dyDescent="0.2">
      <c r="A325" s="6342"/>
      <c r="B325" s="6358"/>
      <c r="C325" s="39" t="s">
        <v>8912</v>
      </c>
      <c r="D325" s="78" t="s">
        <v>9117</v>
      </c>
      <c r="E325" s="1147">
        <v>14</v>
      </c>
      <c r="F325" s="1148">
        <v>18</v>
      </c>
      <c r="G325" s="1147">
        <v>35</v>
      </c>
      <c r="H325" s="1147">
        <v>6</v>
      </c>
      <c r="I325" s="1147">
        <v>12</v>
      </c>
      <c r="J325" s="1147">
        <v>21</v>
      </c>
      <c r="K325" s="1147">
        <v>2</v>
      </c>
      <c r="L325" s="1953" t="str">
        <f t="shared" si="13"/>
        <v>Aumentar Rotura+35</v>
      </c>
      <c r="M325" s="227"/>
    </row>
    <row r="326" spans="1:13" ht="12" customHeight="1" x14ac:dyDescent="0.2">
      <c r="A326" s="6342"/>
      <c r="B326" s="6358"/>
      <c r="C326" s="39" t="s">
        <v>8912</v>
      </c>
      <c r="D326" s="78" t="s">
        <v>7490</v>
      </c>
      <c r="E326" s="1147">
        <v>18</v>
      </c>
      <c r="F326" s="1148">
        <v>22</v>
      </c>
      <c r="G326" s="1147">
        <v>40</v>
      </c>
      <c r="H326" s="1147">
        <v>8</v>
      </c>
      <c r="I326" s="1147">
        <v>16</v>
      </c>
      <c r="J326" s="1147">
        <v>28</v>
      </c>
      <c r="K326" s="1147">
        <v>3</v>
      </c>
      <c r="L326" s="1953" t="str">
        <f t="shared" si="13"/>
        <v>Aumentar Rotura+40</v>
      </c>
      <c r="M326" s="227"/>
    </row>
    <row r="327" spans="1:13" ht="12" customHeight="1" x14ac:dyDescent="0.2">
      <c r="A327" s="6342"/>
      <c r="B327" s="6358"/>
      <c r="C327" s="39" t="s">
        <v>9118</v>
      </c>
      <c r="D327" s="78"/>
      <c r="E327" s="1147"/>
      <c r="F327" s="1148"/>
      <c r="G327" s="1147"/>
      <c r="H327" s="1147"/>
      <c r="I327" s="1147"/>
      <c r="J327" s="1147"/>
      <c r="K327" s="1147"/>
      <c r="L327" s="1953" t="str">
        <f t="shared" si="13"/>
        <v>&gt; AUMENTAR ENTEREZA</v>
      </c>
      <c r="M327" s="227"/>
    </row>
    <row r="328" spans="1:13" ht="12" customHeight="1" x14ac:dyDescent="0.2">
      <c r="A328" s="6342"/>
      <c r="B328" s="6358"/>
      <c r="C328" s="39" t="s">
        <v>8914</v>
      </c>
      <c r="D328" s="78" t="s">
        <v>7488</v>
      </c>
      <c r="E328" s="1147">
        <v>1</v>
      </c>
      <c r="F328" s="1148">
        <v>2</v>
      </c>
      <c r="G328" s="1147">
        <v>5</v>
      </c>
      <c r="H328" s="1147">
        <v>1</v>
      </c>
      <c r="I328" s="1147">
        <v>2</v>
      </c>
      <c r="J328" s="1147">
        <v>4</v>
      </c>
      <c r="K328" s="1147">
        <v>1</v>
      </c>
      <c r="L328" s="1953" t="str">
        <f t="shared" si="13"/>
        <v>Aumentar Entereza+10</v>
      </c>
      <c r="M328" s="227"/>
    </row>
    <row r="329" spans="1:13" ht="12" customHeight="1" x14ac:dyDescent="0.2">
      <c r="A329" s="6342"/>
      <c r="B329" s="6358"/>
      <c r="C329" s="39" t="s">
        <v>8914</v>
      </c>
      <c r="D329" s="78" t="s">
        <v>7631</v>
      </c>
      <c r="E329" s="1147">
        <v>2</v>
      </c>
      <c r="F329" s="1148">
        <v>4</v>
      </c>
      <c r="G329" s="1147">
        <v>5</v>
      </c>
      <c r="H329" s="1147">
        <v>1</v>
      </c>
      <c r="I329" s="1147">
        <v>2</v>
      </c>
      <c r="J329" s="1147">
        <v>4</v>
      </c>
      <c r="K329" s="1147">
        <v>1</v>
      </c>
      <c r="L329" s="1953" t="str">
        <f t="shared" si="13"/>
        <v>Aumentar Entereza+15</v>
      </c>
      <c r="M329" s="227"/>
    </row>
    <row r="330" spans="1:13" ht="12" customHeight="1" x14ac:dyDescent="0.2">
      <c r="A330" s="6342"/>
      <c r="B330" s="6358"/>
      <c r="C330" s="39" t="s">
        <v>8914</v>
      </c>
      <c r="D330" s="78" t="s">
        <v>2699</v>
      </c>
      <c r="E330" s="1147">
        <v>3</v>
      </c>
      <c r="F330" s="1148">
        <v>5</v>
      </c>
      <c r="G330" s="1147">
        <v>10</v>
      </c>
      <c r="H330" s="1147">
        <v>2</v>
      </c>
      <c r="I330" s="1147">
        <v>4</v>
      </c>
      <c r="J330" s="1147">
        <v>7</v>
      </c>
      <c r="K330" s="1147">
        <v>1</v>
      </c>
      <c r="L330" s="1953" t="str">
        <f t="shared" si="13"/>
        <v>Aumentar Entereza+20</v>
      </c>
      <c r="M330" s="227"/>
    </row>
    <row r="331" spans="1:13" ht="12" customHeight="1" x14ac:dyDescent="0.2">
      <c r="A331" s="6342"/>
      <c r="B331" s="6358"/>
      <c r="C331" s="39" t="s">
        <v>8914</v>
      </c>
      <c r="D331" s="78" t="s">
        <v>7632</v>
      </c>
      <c r="E331" s="1147">
        <v>4</v>
      </c>
      <c r="F331" s="1148">
        <v>6</v>
      </c>
      <c r="G331" s="1147">
        <v>10</v>
      </c>
      <c r="H331" s="1147">
        <v>2</v>
      </c>
      <c r="I331" s="1147">
        <v>4</v>
      </c>
      <c r="J331" s="1147">
        <v>7</v>
      </c>
      <c r="K331" s="1147">
        <v>1</v>
      </c>
      <c r="L331" s="1953" t="str">
        <f t="shared" ref="L331:L394" si="17">C331&amp;D331</f>
        <v>Aumentar Entereza+25</v>
      </c>
      <c r="M331" s="227"/>
    </row>
    <row r="332" spans="1:13" ht="12" customHeight="1" x14ac:dyDescent="0.2">
      <c r="A332" s="6342"/>
      <c r="B332" s="6358"/>
      <c r="C332" s="39" t="s">
        <v>8914</v>
      </c>
      <c r="D332" s="78" t="s">
        <v>7489</v>
      </c>
      <c r="E332" s="1147">
        <v>5</v>
      </c>
      <c r="F332" s="1148">
        <v>8</v>
      </c>
      <c r="G332" s="1147">
        <v>15</v>
      </c>
      <c r="H332" s="1147">
        <v>3</v>
      </c>
      <c r="I332" s="1147">
        <v>6</v>
      </c>
      <c r="J332" s="1147">
        <v>11</v>
      </c>
      <c r="K332" s="1147">
        <v>2</v>
      </c>
      <c r="L332" s="1953" t="str">
        <f t="shared" si="17"/>
        <v>Aumentar Entereza+30</v>
      </c>
      <c r="M332" s="227"/>
    </row>
    <row r="333" spans="1:13" ht="12" customHeight="1" x14ac:dyDescent="0.2">
      <c r="A333" s="6342"/>
      <c r="B333" s="6358"/>
      <c r="C333" s="39" t="s">
        <v>8914</v>
      </c>
      <c r="D333" s="78" t="s">
        <v>9117</v>
      </c>
      <c r="E333" s="1147">
        <v>6</v>
      </c>
      <c r="F333" s="1148">
        <v>9</v>
      </c>
      <c r="G333" s="1147">
        <v>20</v>
      </c>
      <c r="H333" s="1147">
        <v>3</v>
      </c>
      <c r="I333" s="1147">
        <v>6</v>
      </c>
      <c r="J333" s="1147">
        <v>11</v>
      </c>
      <c r="K333" s="1147">
        <v>2</v>
      </c>
      <c r="L333" s="1953" t="str">
        <f t="shared" si="17"/>
        <v>Aumentar Entereza+35</v>
      </c>
      <c r="M333" s="227"/>
    </row>
    <row r="334" spans="1:13" ht="12" customHeight="1" x14ac:dyDescent="0.2">
      <c r="A334" s="6342"/>
      <c r="B334" s="6358"/>
      <c r="C334" s="39" t="s">
        <v>8914</v>
      </c>
      <c r="D334" s="78" t="s">
        <v>7490</v>
      </c>
      <c r="E334" s="1147">
        <v>7</v>
      </c>
      <c r="F334" s="1148">
        <v>10</v>
      </c>
      <c r="G334" s="1147">
        <v>25</v>
      </c>
      <c r="H334" s="1147">
        <v>4</v>
      </c>
      <c r="I334" s="1147">
        <v>8</v>
      </c>
      <c r="J334" s="1147">
        <v>14</v>
      </c>
      <c r="K334" s="1147">
        <v>3</v>
      </c>
      <c r="L334" s="1953" t="str">
        <f t="shared" si="17"/>
        <v>Aumentar Entereza+40</v>
      </c>
      <c r="M334" s="227"/>
    </row>
    <row r="335" spans="1:13" ht="12" customHeight="1" x14ac:dyDescent="0.2">
      <c r="A335" s="6342"/>
      <c r="B335" s="6358"/>
      <c r="C335" s="39" t="s">
        <v>9119</v>
      </c>
      <c r="D335" s="78"/>
      <c r="E335" s="1147"/>
      <c r="F335" s="1148"/>
      <c r="G335" s="1147"/>
      <c r="H335" s="1147"/>
      <c r="I335" s="1147"/>
      <c r="J335" s="1147"/>
      <c r="K335" s="1147"/>
      <c r="L335" s="1953" t="str">
        <f t="shared" si="17"/>
        <v>&gt; DESTRUIR ARMADURA</v>
      </c>
      <c r="M335" s="227"/>
    </row>
    <row r="336" spans="1:13" ht="12" customHeight="1" x14ac:dyDescent="0.2">
      <c r="A336" s="6342"/>
      <c r="B336" s="6358"/>
      <c r="C336" s="39" t="s">
        <v>8917</v>
      </c>
      <c r="D336" s="78" t="s">
        <v>9120</v>
      </c>
      <c r="E336" s="1147">
        <v>1</v>
      </c>
      <c r="F336" s="1148">
        <v>2</v>
      </c>
      <c r="G336" s="1147">
        <v>5</v>
      </c>
      <c r="H336" s="1147">
        <v>1</v>
      </c>
      <c r="I336" s="1147">
        <v>2</v>
      </c>
      <c r="J336" s="1147">
        <v>4</v>
      </c>
      <c r="K336" s="1147">
        <v>1</v>
      </c>
      <c r="L336" s="1953" t="str">
        <f t="shared" si="17"/>
        <v>Destruir Armadura-1 TA</v>
      </c>
      <c r="M336" s="227"/>
    </row>
    <row r="337" spans="1:13" ht="12" customHeight="1" x14ac:dyDescent="0.2">
      <c r="A337" s="6342"/>
      <c r="B337" s="6358"/>
      <c r="C337" s="39" t="s">
        <v>8917</v>
      </c>
      <c r="D337" s="78" t="s">
        <v>9121</v>
      </c>
      <c r="E337" s="1147">
        <v>2</v>
      </c>
      <c r="F337" s="1148">
        <v>4</v>
      </c>
      <c r="G337" s="1147">
        <v>5</v>
      </c>
      <c r="H337" s="1147">
        <v>1</v>
      </c>
      <c r="I337" s="1147">
        <v>2</v>
      </c>
      <c r="J337" s="1147">
        <v>4</v>
      </c>
      <c r="K337" s="1147">
        <v>1</v>
      </c>
      <c r="L337" s="1953" t="str">
        <f t="shared" si="17"/>
        <v>Destruir Armadura-2 TA</v>
      </c>
      <c r="M337" s="227"/>
    </row>
    <row r="338" spans="1:13" ht="12" customHeight="1" x14ac:dyDescent="0.2">
      <c r="A338" s="6342"/>
      <c r="B338" s="6358"/>
      <c r="C338" s="39" t="s">
        <v>8917</v>
      </c>
      <c r="D338" s="78" t="s">
        <v>9122</v>
      </c>
      <c r="E338" s="1147">
        <v>3</v>
      </c>
      <c r="F338" s="1148">
        <v>5</v>
      </c>
      <c r="G338" s="1147">
        <v>10</v>
      </c>
      <c r="H338" s="1147">
        <v>2</v>
      </c>
      <c r="I338" s="1147">
        <v>4</v>
      </c>
      <c r="J338" s="1147">
        <v>7</v>
      </c>
      <c r="K338" s="1147">
        <v>1</v>
      </c>
      <c r="L338" s="1953" t="str">
        <f t="shared" si="17"/>
        <v>Destruir Armadura-3 TA</v>
      </c>
      <c r="M338" s="227"/>
    </row>
    <row r="339" spans="1:13" ht="12" customHeight="1" x14ac:dyDescent="0.2">
      <c r="A339" s="6342"/>
      <c r="B339" s="6358"/>
      <c r="C339" s="39" t="s">
        <v>8917</v>
      </c>
      <c r="D339" s="78" t="s">
        <v>9123</v>
      </c>
      <c r="E339" s="1147">
        <v>4</v>
      </c>
      <c r="F339" s="1148">
        <v>6</v>
      </c>
      <c r="G339" s="1147">
        <v>10</v>
      </c>
      <c r="H339" s="1147">
        <v>2</v>
      </c>
      <c r="I339" s="1147">
        <v>4</v>
      </c>
      <c r="J339" s="1147">
        <v>7</v>
      </c>
      <c r="K339" s="1147">
        <v>1</v>
      </c>
      <c r="L339" s="1953" t="str">
        <f t="shared" si="17"/>
        <v>Destruir Armadura-4 TA</v>
      </c>
      <c r="M339" s="227"/>
    </row>
    <row r="340" spans="1:13" ht="12" customHeight="1" x14ac:dyDescent="0.2">
      <c r="A340" s="6342"/>
      <c r="B340" s="6358"/>
      <c r="C340" s="39" t="s">
        <v>8917</v>
      </c>
      <c r="D340" s="78" t="s">
        <v>9124</v>
      </c>
      <c r="E340" s="1147">
        <v>5</v>
      </c>
      <c r="F340" s="1148">
        <v>8</v>
      </c>
      <c r="G340" s="1147">
        <v>15</v>
      </c>
      <c r="H340" s="1147">
        <v>3</v>
      </c>
      <c r="I340" s="1147">
        <v>6</v>
      </c>
      <c r="J340" s="1147">
        <v>11</v>
      </c>
      <c r="K340" s="1147">
        <v>2</v>
      </c>
      <c r="L340" s="1953" t="str">
        <f t="shared" si="17"/>
        <v>Destruir Armadura-5 TA</v>
      </c>
      <c r="M340" s="227"/>
    </row>
    <row r="341" spans="1:13" ht="12" customHeight="1" x14ac:dyDescent="0.2">
      <c r="A341" s="6342"/>
      <c r="B341" s="6358"/>
      <c r="C341" s="39" t="s">
        <v>8917</v>
      </c>
      <c r="D341" s="78" t="s">
        <v>9125</v>
      </c>
      <c r="E341" s="1147">
        <v>6</v>
      </c>
      <c r="F341" s="1148">
        <v>9</v>
      </c>
      <c r="G341" s="1147">
        <v>20</v>
      </c>
      <c r="H341" s="1147">
        <v>3</v>
      </c>
      <c r="I341" s="1147">
        <v>6</v>
      </c>
      <c r="J341" s="1147">
        <v>11</v>
      </c>
      <c r="K341" s="1147">
        <v>2</v>
      </c>
      <c r="L341" s="1953" t="str">
        <f t="shared" si="17"/>
        <v>Destruir Armadura-6 TA</v>
      </c>
      <c r="M341" s="227"/>
    </row>
    <row r="342" spans="1:13" ht="12" customHeight="1" x14ac:dyDescent="0.2">
      <c r="A342" s="6342"/>
      <c r="B342" s="6358"/>
      <c r="C342" s="39" t="s">
        <v>8917</v>
      </c>
      <c r="D342" s="78" t="s">
        <v>9126</v>
      </c>
      <c r="E342" s="1147">
        <v>8</v>
      </c>
      <c r="F342" s="1148">
        <v>11</v>
      </c>
      <c r="G342" s="1147">
        <v>25</v>
      </c>
      <c r="H342" s="1147">
        <v>4</v>
      </c>
      <c r="I342" s="1147">
        <v>8</v>
      </c>
      <c r="J342" s="1147">
        <v>14</v>
      </c>
      <c r="K342" s="1147">
        <v>2</v>
      </c>
      <c r="L342" s="1953" t="str">
        <f t="shared" si="17"/>
        <v>Destruir Armadura-7 TA</v>
      </c>
      <c r="M342" s="227"/>
    </row>
    <row r="343" spans="1:13" ht="12" customHeight="1" x14ac:dyDescent="0.2">
      <c r="A343" s="6342"/>
      <c r="B343" s="6358"/>
      <c r="C343" s="39" t="s">
        <v>8917</v>
      </c>
      <c r="D343" s="78" t="s">
        <v>9127</v>
      </c>
      <c r="E343" s="1147">
        <v>10</v>
      </c>
      <c r="F343" s="1148">
        <v>13</v>
      </c>
      <c r="G343" s="1147">
        <v>30</v>
      </c>
      <c r="H343" s="1147">
        <v>5</v>
      </c>
      <c r="I343" s="1147">
        <v>10</v>
      </c>
      <c r="J343" s="1147">
        <v>18</v>
      </c>
      <c r="K343" s="1147">
        <v>3</v>
      </c>
      <c r="L343" s="1953" t="str">
        <f t="shared" si="17"/>
        <v>Destruir Armadura-8 TA</v>
      </c>
      <c r="M343" s="227"/>
    </row>
    <row r="344" spans="1:13" ht="12" customHeight="1" x14ac:dyDescent="0.2">
      <c r="A344" s="6342"/>
      <c r="B344" s="6358"/>
      <c r="C344" s="39" t="s">
        <v>8917</v>
      </c>
      <c r="D344" s="78" t="s">
        <v>9128</v>
      </c>
      <c r="E344" s="1147">
        <v>12</v>
      </c>
      <c r="F344" s="1148">
        <v>15</v>
      </c>
      <c r="G344" s="1147">
        <v>40</v>
      </c>
      <c r="H344" s="1147">
        <v>6</v>
      </c>
      <c r="I344" s="1147">
        <v>12</v>
      </c>
      <c r="J344" s="1147">
        <v>21</v>
      </c>
      <c r="K344" s="1147">
        <v>3</v>
      </c>
      <c r="L344" s="1953" t="str">
        <f t="shared" si="17"/>
        <v>Destruir ArmaduraSin Armadura</v>
      </c>
      <c r="M344" s="227"/>
    </row>
    <row r="345" spans="1:13" ht="12" customHeight="1" x14ac:dyDescent="0.2">
      <c r="A345" s="6342"/>
      <c r="B345" s="6358"/>
      <c r="C345" s="39" t="s">
        <v>9129</v>
      </c>
      <c r="D345" s="78"/>
      <c r="E345" s="1147"/>
      <c r="F345" s="1148"/>
      <c r="G345" s="1147"/>
      <c r="H345" s="1147"/>
      <c r="I345" s="1147"/>
      <c r="J345" s="1147"/>
      <c r="K345" s="1147"/>
      <c r="L345" s="1953" t="str">
        <f t="shared" si="17"/>
        <v>&gt; ARMADURA</v>
      </c>
      <c r="M345" s="227"/>
    </row>
    <row r="346" spans="1:13" ht="12" customHeight="1" x14ac:dyDescent="0.2">
      <c r="A346" s="6342"/>
      <c r="B346" s="6358"/>
      <c r="C346" s="39" t="s">
        <v>1548</v>
      </c>
      <c r="D346" s="78" t="s">
        <v>5805</v>
      </c>
      <c r="E346" s="1147">
        <v>1</v>
      </c>
      <c r="F346" s="1148">
        <v>2</v>
      </c>
      <c r="G346" s="1147">
        <v>5</v>
      </c>
      <c r="H346" s="1147">
        <v>1</v>
      </c>
      <c r="I346" s="1147">
        <v>2</v>
      </c>
      <c r="J346" s="1147">
        <v>4</v>
      </c>
      <c r="K346" s="1147">
        <v>1</v>
      </c>
      <c r="L346" s="1953" t="str">
        <f t="shared" si="17"/>
        <v>ArmaduraTA 1</v>
      </c>
      <c r="M346" s="227"/>
    </row>
    <row r="347" spans="1:13" ht="12" customHeight="1" x14ac:dyDescent="0.2">
      <c r="A347" s="6342"/>
      <c r="B347" s="6358"/>
      <c r="C347" s="39" t="s">
        <v>1548</v>
      </c>
      <c r="D347" s="78" t="s">
        <v>4298</v>
      </c>
      <c r="E347" s="1147">
        <v>2</v>
      </c>
      <c r="F347" s="1148">
        <v>4</v>
      </c>
      <c r="G347" s="1147">
        <v>5</v>
      </c>
      <c r="H347" s="1147">
        <v>1</v>
      </c>
      <c r="I347" s="1147">
        <v>2</v>
      </c>
      <c r="J347" s="1147">
        <v>4</v>
      </c>
      <c r="K347" s="1147">
        <v>1</v>
      </c>
      <c r="L347" s="1953" t="str">
        <f t="shared" si="17"/>
        <v>ArmaduraTA 2</v>
      </c>
      <c r="M347" s="227"/>
    </row>
    <row r="348" spans="1:13" ht="12" customHeight="1" x14ac:dyDescent="0.2">
      <c r="A348" s="6342"/>
      <c r="B348" s="6358"/>
      <c r="C348" s="39" t="s">
        <v>1548</v>
      </c>
      <c r="D348" s="78" t="s">
        <v>7541</v>
      </c>
      <c r="E348" s="1147">
        <v>4</v>
      </c>
      <c r="F348" s="1148">
        <v>6</v>
      </c>
      <c r="G348" s="1147">
        <v>10</v>
      </c>
      <c r="H348" s="1147">
        <v>2</v>
      </c>
      <c r="I348" s="1147">
        <v>4</v>
      </c>
      <c r="J348" s="1147">
        <v>7</v>
      </c>
      <c r="K348" s="1147">
        <v>1</v>
      </c>
      <c r="L348" s="1953" t="str">
        <f t="shared" si="17"/>
        <v>ArmaduraTA 3</v>
      </c>
      <c r="M348" s="227"/>
    </row>
    <row r="349" spans="1:13" ht="12" customHeight="1" x14ac:dyDescent="0.2">
      <c r="A349" s="6342"/>
      <c r="B349" s="6358"/>
      <c r="C349" s="39" t="s">
        <v>1548</v>
      </c>
      <c r="D349" s="78" t="s">
        <v>4299</v>
      </c>
      <c r="E349" s="1147">
        <v>6</v>
      </c>
      <c r="F349" s="1148">
        <v>9</v>
      </c>
      <c r="G349" s="1147">
        <v>15</v>
      </c>
      <c r="H349" s="1147">
        <v>2</v>
      </c>
      <c r="I349" s="1147">
        <v>4</v>
      </c>
      <c r="J349" s="1147">
        <v>7</v>
      </c>
      <c r="K349" s="1147">
        <v>1</v>
      </c>
      <c r="L349" s="1953" t="str">
        <f t="shared" si="17"/>
        <v>ArmaduraTA 4</v>
      </c>
      <c r="M349" s="227"/>
    </row>
    <row r="350" spans="1:13" ht="12" customHeight="1" x14ac:dyDescent="0.2">
      <c r="A350" s="6342"/>
      <c r="B350" s="6358"/>
      <c r="C350" s="39" t="s">
        <v>1548</v>
      </c>
      <c r="D350" s="78" t="s">
        <v>7542</v>
      </c>
      <c r="E350" s="1147">
        <v>8</v>
      </c>
      <c r="F350" s="1148">
        <v>11</v>
      </c>
      <c r="G350" s="1147">
        <v>20</v>
      </c>
      <c r="H350" s="1147">
        <v>3</v>
      </c>
      <c r="I350" s="1147">
        <v>6</v>
      </c>
      <c r="J350" s="1147">
        <v>11</v>
      </c>
      <c r="K350" s="1147">
        <v>2</v>
      </c>
      <c r="L350" s="1953" t="str">
        <f t="shared" si="17"/>
        <v>ArmaduraTA 5</v>
      </c>
      <c r="M350" s="227"/>
    </row>
    <row r="351" spans="1:13" ht="12" customHeight="1" x14ac:dyDescent="0.2">
      <c r="A351" s="6342"/>
      <c r="B351" s="6358"/>
      <c r="C351" s="39" t="s">
        <v>1548</v>
      </c>
      <c r="D351" s="78" t="s">
        <v>4300</v>
      </c>
      <c r="E351" s="1147">
        <v>10</v>
      </c>
      <c r="F351" s="1148">
        <v>13</v>
      </c>
      <c r="G351" s="1147">
        <v>25</v>
      </c>
      <c r="H351" s="1147">
        <v>3</v>
      </c>
      <c r="I351" s="1147">
        <v>6</v>
      </c>
      <c r="J351" s="1147">
        <v>11</v>
      </c>
      <c r="K351" s="1147">
        <v>2</v>
      </c>
      <c r="L351" s="1953" t="str">
        <f t="shared" si="17"/>
        <v>ArmaduraTA 6</v>
      </c>
      <c r="M351" s="227"/>
    </row>
    <row r="352" spans="1:13" ht="12" customHeight="1" x14ac:dyDescent="0.2">
      <c r="A352" s="6342"/>
      <c r="B352" s="6358"/>
      <c r="C352" s="39" t="s">
        <v>1548</v>
      </c>
      <c r="D352" s="78" t="s">
        <v>7543</v>
      </c>
      <c r="E352" s="1147">
        <v>12</v>
      </c>
      <c r="F352" s="1148">
        <v>15</v>
      </c>
      <c r="G352" s="1147">
        <v>30</v>
      </c>
      <c r="H352" s="1147">
        <v>4</v>
      </c>
      <c r="I352" s="1147">
        <v>8</v>
      </c>
      <c r="J352" s="1147">
        <v>14</v>
      </c>
      <c r="K352" s="1147">
        <v>3</v>
      </c>
      <c r="L352" s="1953" t="str">
        <f t="shared" si="17"/>
        <v>ArmaduraTA 7</v>
      </c>
      <c r="M352" s="227"/>
    </row>
    <row r="353" spans="1:13" ht="12" customHeight="1" x14ac:dyDescent="0.2">
      <c r="A353" s="6342"/>
      <c r="B353" s="6358"/>
      <c r="C353" s="39" t="s">
        <v>1548</v>
      </c>
      <c r="D353" s="78" t="s">
        <v>4301</v>
      </c>
      <c r="E353" s="1147">
        <v>14</v>
      </c>
      <c r="F353" s="1148">
        <v>18</v>
      </c>
      <c r="G353" s="1147">
        <v>40</v>
      </c>
      <c r="H353" s="1147">
        <v>5</v>
      </c>
      <c r="I353" s="1147">
        <v>10</v>
      </c>
      <c r="J353" s="1147">
        <v>18</v>
      </c>
      <c r="K353" s="1147">
        <v>3</v>
      </c>
      <c r="L353" s="1953" t="str">
        <f t="shared" si="17"/>
        <v>ArmaduraTA 8</v>
      </c>
      <c r="M353" s="227"/>
    </row>
    <row r="354" spans="1:13" ht="12" customHeight="1" x14ac:dyDescent="0.2">
      <c r="A354" s="6342"/>
      <c r="B354" s="6358"/>
      <c r="C354" s="39" t="s">
        <v>1548</v>
      </c>
      <c r="D354" s="78" t="s">
        <v>3139</v>
      </c>
      <c r="E354" s="1147">
        <v>4</v>
      </c>
      <c r="F354" s="1148">
        <v>4</v>
      </c>
      <c r="G354" s="1147">
        <v>15</v>
      </c>
      <c r="H354" s="1147">
        <v>2</v>
      </c>
      <c r="I354" s="1147">
        <v>4</v>
      </c>
      <c r="J354" s="1147">
        <v>7</v>
      </c>
      <c r="K354" s="1147"/>
      <c r="L354" s="1953" t="str">
        <f t="shared" si="17"/>
        <v>ArmaduraInmodificable</v>
      </c>
      <c r="M354" s="227"/>
    </row>
    <row r="355" spans="1:13" ht="12" customHeight="1" x14ac:dyDescent="0.2">
      <c r="A355" s="6342"/>
      <c r="B355" s="6358"/>
      <c r="C355" s="39" t="s">
        <v>1548</v>
      </c>
      <c r="D355" s="78" t="s">
        <v>9130</v>
      </c>
      <c r="E355" s="1147">
        <v>-1</v>
      </c>
      <c r="F355" s="1148">
        <v>-1</v>
      </c>
      <c r="G355" s="1147">
        <v>-5</v>
      </c>
      <c r="H355" s="1147"/>
      <c r="I355" s="1147"/>
      <c r="J355" s="1147"/>
      <c r="K355" s="1147"/>
      <c r="L355" s="1953" t="str">
        <f t="shared" si="17"/>
        <v>ArmaduraFísica</v>
      </c>
      <c r="M355" s="227"/>
    </row>
    <row r="356" spans="1:13" ht="12" customHeight="1" x14ac:dyDescent="0.2">
      <c r="A356" s="6342"/>
      <c r="B356" s="6358"/>
      <c r="C356" s="39" t="s">
        <v>1548</v>
      </c>
      <c r="D356" s="78" t="s">
        <v>2939</v>
      </c>
      <c r="E356" s="1147">
        <v>-1</v>
      </c>
      <c r="F356" s="1148">
        <v>-1</v>
      </c>
      <c r="G356" s="1147">
        <v>-10</v>
      </c>
      <c r="H356" s="1147"/>
      <c r="I356" s="1147"/>
      <c r="J356" s="1147"/>
      <c r="K356" s="1147"/>
      <c r="L356" s="1953" t="str">
        <f t="shared" si="17"/>
        <v>ArmaduraLentitud</v>
      </c>
      <c r="M356" s="227"/>
    </row>
    <row r="357" spans="1:13" ht="12" customHeight="1" x14ac:dyDescent="0.2">
      <c r="A357" s="6342"/>
      <c r="B357" s="6358"/>
      <c r="C357" s="39" t="s">
        <v>2892</v>
      </c>
      <c r="D357" s="78"/>
      <c r="E357" s="1147"/>
      <c r="F357" s="1148"/>
      <c r="G357" s="1147"/>
      <c r="H357" s="1147"/>
      <c r="I357" s="1147"/>
      <c r="J357" s="1147"/>
      <c r="K357" s="1147"/>
      <c r="L357" s="1953" t="str">
        <f t="shared" si="17"/>
        <v>&gt;&gt;EFECTOS DE INCREMENTO</v>
      </c>
      <c r="M357" s="227"/>
    </row>
    <row r="358" spans="1:13" ht="12" customHeight="1" x14ac:dyDescent="0.2">
      <c r="A358" s="6342"/>
      <c r="B358" s="6358"/>
      <c r="C358" s="39" t="s">
        <v>9131</v>
      </c>
      <c r="D358" s="78"/>
      <c r="E358" s="1147"/>
      <c r="F358" s="1148"/>
      <c r="G358" s="1147"/>
      <c r="H358" s="1147"/>
      <c r="I358" s="1147"/>
      <c r="J358" s="1147"/>
      <c r="K358" s="1147"/>
      <c r="L358" s="1953" t="str">
        <f t="shared" si="17"/>
        <v>&gt; INCREMENTO DE MOVIMIENTO</v>
      </c>
      <c r="M358" s="227"/>
    </row>
    <row r="359" spans="1:13" ht="12" customHeight="1" x14ac:dyDescent="0.2">
      <c r="A359" s="6342"/>
      <c r="B359" s="6358"/>
      <c r="C359" s="39" t="s">
        <v>9132</v>
      </c>
      <c r="D359" s="78" t="s">
        <v>2870</v>
      </c>
      <c r="E359" s="1147">
        <v>1</v>
      </c>
      <c r="F359" s="1148">
        <v>2</v>
      </c>
      <c r="G359" s="1147">
        <v>5</v>
      </c>
      <c r="H359" s="1147">
        <v>1</v>
      </c>
      <c r="I359" s="1147">
        <v>2</v>
      </c>
      <c r="J359" s="1147">
        <v>4</v>
      </c>
      <c r="K359" s="1147">
        <v>1</v>
      </c>
      <c r="L359" s="1953" t="str">
        <f t="shared" si="17"/>
        <v>Incremento De Movimiento+1</v>
      </c>
      <c r="M359" s="227"/>
    </row>
    <row r="360" spans="1:13" ht="12" customHeight="1" x14ac:dyDescent="0.2">
      <c r="A360" s="6342"/>
      <c r="B360" s="6358"/>
      <c r="C360" s="39" t="s">
        <v>9132</v>
      </c>
      <c r="D360" s="78" t="s">
        <v>2831</v>
      </c>
      <c r="E360" s="1147">
        <v>2</v>
      </c>
      <c r="F360" s="1148">
        <v>4</v>
      </c>
      <c r="G360" s="1147">
        <v>10</v>
      </c>
      <c r="H360" s="1147">
        <v>2</v>
      </c>
      <c r="I360" s="1147">
        <v>4</v>
      </c>
      <c r="J360" s="1147">
        <v>7</v>
      </c>
      <c r="K360" s="1147">
        <v>1</v>
      </c>
      <c r="L360" s="1953" t="str">
        <f t="shared" si="17"/>
        <v>Incremento De Movimiento+2</v>
      </c>
      <c r="M360" s="227"/>
    </row>
    <row r="361" spans="1:13" ht="12" customHeight="1" x14ac:dyDescent="0.2">
      <c r="A361" s="6342"/>
      <c r="B361" s="6358"/>
      <c r="C361" s="39" t="s">
        <v>9132</v>
      </c>
      <c r="D361" s="78" t="s">
        <v>2832</v>
      </c>
      <c r="E361" s="1147">
        <v>4</v>
      </c>
      <c r="F361" s="1148">
        <v>6</v>
      </c>
      <c r="G361" s="1147">
        <v>15</v>
      </c>
      <c r="H361" s="1147">
        <v>3</v>
      </c>
      <c r="I361" s="1147">
        <v>6</v>
      </c>
      <c r="J361" s="1147">
        <v>11</v>
      </c>
      <c r="K361" s="1147">
        <v>1</v>
      </c>
      <c r="L361" s="1953" t="str">
        <f t="shared" si="17"/>
        <v>Incremento De Movimiento+3</v>
      </c>
      <c r="M361" s="227"/>
    </row>
    <row r="362" spans="1:13" ht="12" customHeight="1" x14ac:dyDescent="0.2">
      <c r="A362" s="6342"/>
      <c r="B362" s="6358"/>
      <c r="C362" s="39" t="s">
        <v>9132</v>
      </c>
      <c r="D362" s="78" t="s">
        <v>3136</v>
      </c>
      <c r="E362" s="1147">
        <v>6</v>
      </c>
      <c r="F362" s="1148">
        <v>9</v>
      </c>
      <c r="G362" s="1147">
        <v>20</v>
      </c>
      <c r="H362" s="1147">
        <v>4</v>
      </c>
      <c r="I362" s="1147">
        <v>8</v>
      </c>
      <c r="J362" s="1147">
        <v>14</v>
      </c>
      <c r="K362" s="1147">
        <v>2</v>
      </c>
      <c r="L362" s="1953" t="str">
        <f t="shared" si="17"/>
        <v>Incremento De Movimiento+4</v>
      </c>
      <c r="M362" s="227"/>
    </row>
    <row r="363" spans="1:13" ht="12" customHeight="1" x14ac:dyDescent="0.2">
      <c r="A363" s="6342"/>
      <c r="B363" s="6358"/>
      <c r="C363" s="39" t="s">
        <v>9132</v>
      </c>
      <c r="D363" s="78" t="s">
        <v>6879</v>
      </c>
      <c r="E363" s="1147">
        <v>8</v>
      </c>
      <c r="F363" s="1148">
        <v>11</v>
      </c>
      <c r="G363" s="1147">
        <v>25</v>
      </c>
      <c r="H363" s="1147">
        <v>5</v>
      </c>
      <c r="I363" s="1147">
        <v>10</v>
      </c>
      <c r="J363" s="1147">
        <v>18</v>
      </c>
      <c r="K363" s="1147">
        <v>3</v>
      </c>
      <c r="L363" s="1953" t="str">
        <f t="shared" si="17"/>
        <v>Incremento De Movimiento+5</v>
      </c>
      <c r="M363" s="227"/>
    </row>
    <row r="364" spans="1:13" ht="12" customHeight="1" x14ac:dyDescent="0.2">
      <c r="A364" s="6342"/>
      <c r="B364" s="6358"/>
      <c r="C364" s="39" t="s">
        <v>9133</v>
      </c>
      <c r="D364" s="78"/>
      <c r="E364" s="1147"/>
      <c r="F364" s="1148"/>
      <c r="G364" s="1147"/>
      <c r="H364" s="1147"/>
      <c r="I364" s="1147"/>
      <c r="J364" s="1147"/>
      <c r="K364" s="1147"/>
      <c r="L364" s="1953" t="str">
        <f t="shared" si="17"/>
        <v>&gt; INCREMENTO DE HABILIDAD</v>
      </c>
      <c r="M364" s="227"/>
    </row>
    <row r="365" spans="1:13" ht="12" customHeight="1" x14ac:dyDescent="0.2">
      <c r="A365" s="6342"/>
      <c r="B365" s="6358"/>
      <c r="C365" s="39" t="s">
        <v>9134</v>
      </c>
      <c r="D365" s="78" t="s">
        <v>7632</v>
      </c>
      <c r="E365" s="1147">
        <v>2</v>
      </c>
      <c r="F365" s="1148">
        <v>4</v>
      </c>
      <c r="G365" s="1147">
        <v>5</v>
      </c>
      <c r="H365" s="1147">
        <v>1</v>
      </c>
      <c r="I365" s="1147">
        <v>2</v>
      </c>
      <c r="J365" s="1147">
        <v>4</v>
      </c>
      <c r="K365" s="1147">
        <v>1</v>
      </c>
      <c r="L365" s="1953" t="str">
        <f t="shared" si="17"/>
        <v>Incremento De Habilidad+25</v>
      </c>
      <c r="M365" s="227"/>
    </row>
    <row r="366" spans="1:13" ht="12" customHeight="1" x14ac:dyDescent="0.2">
      <c r="A366" s="6342"/>
      <c r="B366" s="6358"/>
      <c r="C366" s="39" t="s">
        <v>9134</v>
      </c>
      <c r="D366" s="78" t="s">
        <v>7491</v>
      </c>
      <c r="E366" s="1147">
        <v>4</v>
      </c>
      <c r="F366" s="1148">
        <v>6</v>
      </c>
      <c r="G366" s="1147">
        <v>5</v>
      </c>
      <c r="H366" s="1147">
        <v>2</v>
      </c>
      <c r="I366" s="1147">
        <v>4</v>
      </c>
      <c r="J366" s="1147">
        <v>7</v>
      </c>
      <c r="K366" s="1147">
        <v>1</v>
      </c>
      <c r="L366" s="1953" t="str">
        <f t="shared" si="17"/>
        <v>Incremento De Habilidad+50</v>
      </c>
      <c r="M366" s="227"/>
    </row>
    <row r="367" spans="1:13" ht="12" customHeight="1" x14ac:dyDescent="0.2">
      <c r="A367" s="6342"/>
      <c r="B367" s="6358"/>
      <c r="C367" s="39" t="s">
        <v>9134</v>
      </c>
      <c r="D367" s="78" t="s">
        <v>8842</v>
      </c>
      <c r="E367" s="1147">
        <v>6</v>
      </c>
      <c r="F367" s="1148">
        <v>9</v>
      </c>
      <c r="G367" s="1147">
        <v>10</v>
      </c>
      <c r="H367" s="1147">
        <v>3</v>
      </c>
      <c r="I367" s="1147">
        <v>6</v>
      </c>
      <c r="J367" s="1147">
        <v>11</v>
      </c>
      <c r="K367" s="1147">
        <v>2</v>
      </c>
      <c r="L367" s="1953" t="str">
        <f t="shared" si="17"/>
        <v>Incremento De Habilidad+75</v>
      </c>
      <c r="M367" s="227"/>
    </row>
    <row r="368" spans="1:13" ht="12" customHeight="1" x14ac:dyDescent="0.2">
      <c r="A368" s="6342"/>
      <c r="B368" s="6358"/>
      <c r="C368" s="39" t="s">
        <v>9134</v>
      </c>
      <c r="D368" s="78" t="s">
        <v>8849</v>
      </c>
      <c r="E368" s="1147">
        <v>9</v>
      </c>
      <c r="F368" s="1148">
        <v>12</v>
      </c>
      <c r="G368" s="1147">
        <v>15</v>
      </c>
      <c r="H368" s="1147">
        <v>4</v>
      </c>
      <c r="I368" s="1147">
        <v>8</v>
      </c>
      <c r="J368" s="1147">
        <v>14</v>
      </c>
      <c r="K368" s="1147">
        <v>2</v>
      </c>
      <c r="L368" s="1953" t="str">
        <f t="shared" si="17"/>
        <v>Incremento De Habilidad+100</v>
      </c>
      <c r="M368" s="227"/>
    </row>
    <row r="369" spans="1:13" ht="12" customHeight="1" x14ac:dyDescent="0.2">
      <c r="A369" s="6342"/>
      <c r="B369" s="6358"/>
      <c r="C369" s="39" t="s">
        <v>9134</v>
      </c>
      <c r="D369" s="78" t="s">
        <v>8850</v>
      </c>
      <c r="E369" s="1147">
        <v>12</v>
      </c>
      <c r="F369" s="1148">
        <v>15</v>
      </c>
      <c r="G369" s="1147">
        <v>20</v>
      </c>
      <c r="H369" s="1147">
        <v>5</v>
      </c>
      <c r="I369" s="1147">
        <v>10</v>
      </c>
      <c r="J369" s="1147">
        <v>18</v>
      </c>
      <c r="K369" s="1147">
        <v>3</v>
      </c>
      <c r="L369" s="1953" t="str">
        <f t="shared" si="17"/>
        <v>Incremento De Habilidad+125</v>
      </c>
      <c r="M369" s="227"/>
    </row>
    <row r="370" spans="1:13" ht="12" customHeight="1" x14ac:dyDescent="0.2">
      <c r="A370" s="6342"/>
      <c r="B370" s="6358"/>
      <c r="C370" s="39" t="s">
        <v>9134</v>
      </c>
      <c r="D370" s="78" t="s">
        <v>8852</v>
      </c>
      <c r="E370" s="1147">
        <v>15</v>
      </c>
      <c r="F370" s="1148">
        <v>19</v>
      </c>
      <c r="G370" s="1147">
        <v>25</v>
      </c>
      <c r="H370" s="1147">
        <v>6</v>
      </c>
      <c r="I370" s="1147">
        <v>12</v>
      </c>
      <c r="J370" s="1147">
        <v>21</v>
      </c>
      <c r="K370" s="1147">
        <v>3</v>
      </c>
      <c r="L370" s="1953" t="str">
        <f t="shared" si="17"/>
        <v>Incremento De Habilidad+150</v>
      </c>
      <c r="M370" s="227"/>
    </row>
    <row r="371" spans="1:13" ht="12" customHeight="1" x14ac:dyDescent="0.2">
      <c r="A371" s="6342"/>
      <c r="B371" s="6358"/>
      <c r="C371" s="39" t="s">
        <v>9135</v>
      </c>
      <c r="D371" s="78"/>
      <c r="E371" s="1147"/>
      <c r="F371" s="1148"/>
      <c r="G371" s="1147"/>
      <c r="H371" s="1147"/>
      <c r="I371" s="1147"/>
      <c r="J371" s="1147"/>
      <c r="K371" s="1147"/>
      <c r="L371" s="1953" t="str">
        <f t="shared" si="17"/>
        <v>&gt; CAPACIDAD INCREMENTADA AGI</v>
      </c>
      <c r="M371" s="227"/>
    </row>
    <row r="372" spans="1:13" ht="12" customHeight="1" x14ac:dyDescent="0.2">
      <c r="A372" s="6342"/>
      <c r="B372" s="6358"/>
      <c r="C372" s="39" t="s">
        <v>8930</v>
      </c>
      <c r="D372" s="2102" t="s">
        <v>2870</v>
      </c>
      <c r="E372" s="1147">
        <v>1</v>
      </c>
      <c r="F372" s="1148">
        <v>2</v>
      </c>
      <c r="G372" s="1147">
        <v>5</v>
      </c>
      <c r="H372" s="1147">
        <v>1</v>
      </c>
      <c r="I372" s="1147">
        <v>2</v>
      </c>
      <c r="J372" s="1147">
        <v>4</v>
      </c>
      <c r="K372" s="1147">
        <v>1</v>
      </c>
      <c r="L372" s="1953" t="str">
        <f t="shared" si="17"/>
        <v>Capacidad Incrementada AGI+1</v>
      </c>
      <c r="M372" s="227"/>
    </row>
    <row r="373" spans="1:13" ht="12" customHeight="1" x14ac:dyDescent="0.2">
      <c r="A373" s="6342"/>
      <c r="B373" s="6358"/>
      <c r="C373" s="39" t="s">
        <v>8930</v>
      </c>
      <c r="D373" s="2102" t="s">
        <v>2831</v>
      </c>
      <c r="E373" s="1147">
        <v>2</v>
      </c>
      <c r="F373" s="1148">
        <v>4</v>
      </c>
      <c r="G373" s="1147">
        <v>5</v>
      </c>
      <c r="H373" s="1147">
        <v>2</v>
      </c>
      <c r="I373" s="1147">
        <v>4</v>
      </c>
      <c r="J373" s="1147">
        <v>7</v>
      </c>
      <c r="K373" s="1147">
        <v>1</v>
      </c>
      <c r="L373" s="1953" t="str">
        <f t="shared" si="17"/>
        <v>Capacidad Incrementada AGI+2</v>
      </c>
      <c r="M373" s="227"/>
    </row>
    <row r="374" spans="1:13" ht="12" customHeight="1" x14ac:dyDescent="0.2">
      <c r="A374" s="6342"/>
      <c r="B374" s="6358"/>
      <c r="C374" s="39" t="s">
        <v>8930</v>
      </c>
      <c r="D374" s="2102" t="s">
        <v>2832</v>
      </c>
      <c r="E374" s="1147">
        <v>4</v>
      </c>
      <c r="F374" s="1148">
        <v>6</v>
      </c>
      <c r="G374" s="1147">
        <v>5</v>
      </c>
      <c r="H374" s="1147">
        <v>3</v>
      </c>
      <c r="I374" s="1147">
        <v>6</v>
      </c>
      <c r="J374" s="1147">
        <v>11</v>
      </c>
      <c r="K374" s="1147">
        <v>1</v>
      </c>
      <c r="L374" s="1953" t="str">
        <f t="shared" si="17"/>
        <v>Capacidad Incrementada AGI+3</v>
      </c>
      <c r="M374" s="227"/>
    </row>
    <row r="375" spans="1:13" ht="12" customHeight="1" x14ac:dyDescent="0.2">
      <c r="A375" s="6342"/>
      <c r="B375" s="6358"/>
      <c r="C375" s="39" t="s">
        <v>8930</v>
      </c>
      <c r="D375" s="2102" t="s">
        <v>3136</v>
      </c>
      <c r="E375" s="1147">
        <v>6</v>
      </c>
      <c r="F375" s="1148">
        <v>9</v>
      </c>
      <c r="G375" s="1147">
        <v>10</v>
      </c>
      <c r="H375" s="1147">
        <v>4</v>
      </c>
      <c r="I375" s="1147">
        <v>8</v>
      </c>
      <c r="J375" s="1147">
        <v>14</v>
      </c>
      <c r="K375" s="1147">
        <v>1</v>
      </c>
      <c r="L375" s="1953" t="str">
        <f t="shared" si="17"/>
        <v>Capacidad Incrementada AGI+4</v>
      </c>
      <c r="M375" s="227"/>
    </row>
    <row r="376" spans="1:13" ht="12" customHeight="1" x14ac:dyDescent="0.2">
      <c r="A376" s="6342"/>
      <c r="B376" s="6358"/>
      <c r="C376" s="39" t="s">
        <v>8930</v>
      </c>
      <c r="D376" s="2102" t="s">
        <v>6879</v>
      </c>
      <c r="E376" s="1147">
        <v>8</v>
      </c>
      <c r="F376" s="1148">
        <v>11</v>
      </c>
      <c r="G376" s="1147">
        <v>15</v>
      </c>
      <c r="H376" s="1147">
        <v>5</v>
      </c>
      <c r="I376" s="1147">
        <v>10</v>
      </c>
      <c r="J376" s="1147">
        <v>18</v>
      </c>
      <c r="K376" s="1147">
        <v>2</v>
      </c>
      <c r="L376" s="1953" t="str">
        <f t="shared" si="17"/>
        <v>Capacidad Incrementada AGI+5</v>
      </c>
      <c r="M376" s="227"/>
    </row>
    <row r="377" spans="1:13" ht="12" customHeight="1" x14ac:dyDescent="0.2">
      <c r="A377" s="6342"/>
      <c r="B377" s="6358"/>
      <c r="C377" s="39" t="s">
        <v>8930</v>
      </c>
      <c r="D377" s="2102" t="s">
        <v>9093</v>
      </c>
      <c r="E377" s="1147">
        <v>10</v>
      </c>
      <c r="F377" s="1148">
        <v>13</v>
      </c>
      <c r="G377" s="1147">
        <v>20</v>
      </c>
      <c r="H377" s="1147">
        <v>6</v>
      </c>
      <c r="I377" s="1147">
        <v>12</v>
      </c>
      <c r="J377" s="1147">
        <v>21</v>
      </c>
      <c r="K377" s="1147">
        <v>2</v>
      </c>
      <c r="L377" s="1953" t="str">
        <f t="shared" si="17"/>
        <v>Capacidad Incrementada AGI+6</v>
      </c>
      <c r="M377" s="227"/>
    </row>
    <row r="378" spans="1:13" ht="12" customHeight="1" x14ac:dyDescent="0.2">
      <c r="A378" s="6342"/>
      <c r="B378" s="6358"/>
      <c r="C378" s="39" t="s">
        <v>8930</v>
      </c>
      <c r="D378" s="2102" t="s">
        <v>9341</v>
      </c>
      <c r="E378" s="1147">
        <v>12</v>
      </c>
      <c r="F378" s="1148">
        <v>15</v>
      </c>
      <c r="G378" s="1147">
        <v>25</v>
      </c>
      <c r="H378" s="1147">
        <v>7</v>
      </c>
      <c r="I378" s="1147">
        <v>14</v>
      </c>
      <c r="J378" s="1147">
        <v>25</v>
      </c>
      <c r="K378" s="1147">
        <v>3</v>
      </c>
      <c r="L378" s="1953" t="str">
        <f t="shared" si="17"/>
        <v>Capacidad Incrementada AGI+7</v>
      </c>
      <c r="M378" s="227"/>
    </row>
    <row r="379" spans="1:13" ht="12" customHeight="1" x14ac:dyDescent="0.2">
      <c r="A379" s="6342"/>
      <c r="B379" s="6358"/>
      <c r="C379" s="39" t="s">
        <v>8930</v>
      </c>
      <c r="D379" s="2102" t="s">
        <v>6894</v>
      </c>
      <c r="E379" s="1147">
        <v>14</v>
      </c>
      <c r="F379" s="1148">
        <v>18</v>
      </c>
      <c r="G379" s="1147">
        <v>30</v>
      </c>
      <c r="H379" s="1147">
        <v>8</v>
      </c>
      <c r="I379" s="1147">
        <v>16</v>
      </c>
      <c r="J379" s="1147">
        <v>28</v>
      </c>
      <c r="K379" s="1147">
        <v>3</v>
      </c>
      <c r="L379" s="1953" t="str">
        <f t="shared" si="17"/>
        <v>Capacidad Incrementada AGI+8</v>
      </c>
      <c r="M379" s="227"/>
    </row>
    <row r="380" spans="1:13" ht="12" customHeight="1" x14ac:dyDescent="0.2">
      <c r="A380" s="6342"/>
      <c r="B380" s="6358"/>
      <c r="C380" s="39" t="s">
        <v>9136</v>
      </c>
      <c r="D380" s="78"/>
      <c r="E380" s="1147"/>
      <c r="F380" s="1148"/>
      <c r="G380" s="1147"/>
      <c r="H380" s="1147"/>
      <c r="I380" s="1147"/>
      <c r="J380" s="1147"/>
      <c r="K380" s="1147"/>
      <c r="L380" s="1953" t="str">
        <f t="shared" si="17"/>
        <v>&gt; CAPACIDAD INCREMENTADA FUE</v>
      </c>
      <c r="M380" s="227"/>
    </row>
    <row r="381" spans="1:13" ht="12" customHeight="1" x14ac:dyDescent="0.2">
      <c r="A381" s="6342"/>
      <c r="B381" s="6358"/>
      <c r="C381" s="39" t="s">
        <v>9137</v>
      </c>
      <c r="D381" s="78" t="s">
        <v>2870</v>
      </c>
      <c r="E381" s="1147">
        <v>1</v>
      </c>
      <c r="F381" s="1148">
        <v>2</v>
      </c>
      <c r="G381" s="1147">
        <v>5</v>
      </c>
      <c r="H381" s="1147">
        <v>1</v>
      </c>
      <c r="I381" s="1147">
        <v>2</v>
      </c>
      <c r="J381" s="1147">
        <v>4</v>
      </c>
      <c r="K381" s="1147">
        <v>1</v>
      </c>
      <c r="L381" s="1953" t="str">
        <f t="shared" si="17"/>
        <v>Capacidad Incrementada Fue+1</v>
      </c>
      <c r="M381" s="227"/>
    </row>
    <row r="382" spans="1:13" ht="12" customHeight="1" x14ac:dyDescent="0.2">
      <c r="A382" s="6342"/>
      <c r="B382" s="6358"/>
      <c r="C382" s="39" t="s">
        <v>9137</v>
      </c>
      <c r="D382" s="78" t="s">
        <v>2831</v>
      </c>
      <c r="E382" s="1147">
        <v>2</v>
      </c>
      <c r="F382" s="1148">
        <v>4</v>
      </c>
      <c r="G382" s="1147">
        <v>5</v>
      </c>
      <c r="H382" s="1147">
        <v>2</v>
      </c>
      <c r="I382" s="1147">
        <v>4</v>
      </c>
      <c r="J382" s="1147">
        <v>7</v>
      </c>
      <c r="K382" s="1147">
        <v>1</v>
      </c>
      <c r="L382" s="1953" t="str">
        <f t="shared" si="17"/>
        <v>Capacidad Incrementada Fue+2</v>
      </c>
      <c r="M382" s="227"/>
    </row>
    <row r="383" spans="1:13" ht="12" customHeight="1" x14ac:dyDescent="0.2">
      <c r="A383" s="6342"/>
      <c r="B383" s="6358"/>
      <c r="C383" s="39" t="s">
        <v>9137</v>
      </c>
      <c r="D383" s="78" t="s">
        <v>2832</v>
      </c>
      <c r="E383" s="1147">
        <v>4</v>
      </c>
      <c r="F383" s="1148">
        <v>6</v>
      </c>
      <c r="G383" s="1147">
        <v>5</v>
      </c>
      <c r="H383" s="1147">
        <v>3</v>
      </c>
      <c r="I383" s="1147">
        <v>6</v>
      </c>
      <c r="J383" s="1147">
        <v>11</v>
      </c>
      <c r="K383" s="1147">
        <v>1</v>
      </c>
      <c r="L383" s="1953" t="str">
        <f t="shared" si="17"/>
        <v>Capacidad Incrementada Fue+3</v>
      </c>
      <c r="M383" s="227"/>
    </row>
    <row r="384" spans="1:13" ht="12" customHeight="1" x14ac:dyDescent="0.2">
      <c r="A384" s="6342"/>
      <c r="B384" s="6358"/>
      <c r="C384" s="39" t="s">
        <v>9137</v>
      </c>
      <c r="D384" s="78" t="s">
        <v>3136</v>
      </c>
      <c r="E384" s="1147">
        <v>6</v>
      </c>
      <c r="F384" s="1148">
        <v>9</v>
      </c>
      <c r="G384" s="1147">
        <v>10</v>
      </c>
      <c r="H384" s="1147">
        <v>4</v>
      </c>
      <c r="I384" s="1147">
        <v>8</v>
      </c>
      <c r="J384" s="1147">
        <v>14</v>
      </c>
      <c r="K384" s="1147">
        <v>1</v>
      </c>
      <c r="L384" s="1953" t="str">
        <f t="shared" si="17"/>
        <v>Capacidad Incrementada Fue+4</v>
      </c>
      <c r="M384" s="227"/>
    </row>
    <row r="385" spans="1:13" ht="12" customHeight="1" x14ac:dyDescent="0.2">
      <c r="A385" s="6342"/>
      <c r="B385" s="6358"/>
      <c r="C385" s="39" t="s">
        <v>9137</v>
      </c>
      <c r="D385" s="78" t="s">
        <v>6879</v>
      </c>
      <c r="E385" s="1147">
        <v>8</v>
      </c>
      <c r="F385" s="1148">
        <v>11</v>
      </c>
      <c r="G385" s="1147">
        <v>15</v>
      </c>
      <c r="H385" s="1147">
        <v>5</v>
      </c>
      <c r="I385" s="1147">
        <v>10</v>
      </c>
      <c r="J385" s="1147">
        <v>18</v>
      </c>
      <c r="K385" s="1147">
        <v>2</v>
      </c>
      <c r="L385" s="1953" t="str">
        <f t="shared" si="17"/>
        <v>Capacidad Incrementada Fue+5</v>
      </c>
      <c r="M385" s="227"/>
    </row>
    <row r="386" spans="1:13" ht="12" customHeight="1" x14ac:dyDescent="0.2">
      <c r="A386" s="6342"/>
      <c r="B386" s="6358"/>
      <c r="C386" s="39" t="s">
        <v>9137</v>
      </c>
      <c r="D386" s="78" t="s">
        <v>9093</v>
      </c>
      <c r="E386" s="1147">
        <v>10</v>
      </c>
      <c r="F386" s="1148">
        <v>13</v>
      </c>
      <c r="G386" s="1147">
        <v>20</v>
      </c>
      <c r="H386" s="1147">
        <v>6</v>
      </c>
      <c r="I386" s="1147">
        <v>12</v>
      </c>
      <c r="J386" s="1147">
        <v>21</v>
      </c>
      <c r="K386" s="1147">
        <v>2</v>
      </c>
      <c r="L386" s="1953" t="str">
        <f t="shared" si="17"/>
        <v>Capacidad Incrementada Fue+6</v>
      </c>
      <c r="M386" s="227"/>
    </row>
    <row r="387" spans="1:13" ht="12" customHeight="1" x14ac:dyDescent="0.2">
      <c r="A387" s="6342"/>
      <c r="B387" s="6358"/>
      <c r="C387" s="39" t="s">
        <v>9137</v>
      </c>
      <c r="D387" s="78" t="s">
        <v>9341</v>
      </c>
      <c r="E387" s="1147">
        <v>12</v>
      </c>
      <c r="F387" s="1148">
        <v>15</v>
      </c>
      <c r="G387" s="1147">
        <v>25</v>
      </c>
      <c r="H387" s="1147">
        <v>7</v>
      </c>
      <c r="I387" s="1147">
        <v>14</v>
      </c>
      <c r="J387" s="1147">
        <v>25</v>
      </c>
      <c r="K387" s="1147">
        <v>3</v>
      </c>
      <c r="L387" s="1953" t="str">
        <f t="shared" si="17"/>
        <v>Capacidad Incrementada Fue+7</v>
      </c>
      <c r="M387" s="227"/>
    </row>
    <row r="388" spans="1:13" ht="12" customHeight="1" x14ac:dyDescent="0.2">
      <c r="A388" s="6342"/>
      <c r="B388" s="6358"/>
      <c r="C388" s="39" t="s">
        <v>9137</v>
      </c>
      <c r="D388" s="78" t="s">
        <v>6894</v>
      </c>
      <c r="E388" s="1147">
        <v>14</v>
      </c>
      <c r="F388" s="1148">
        <v>18</v>
      </c>
      <c r="G388" s="1147">
        <v>30</v>
      </c>
      <c r="H388" s="1147">
        <v>8</v>
      </c>
      <c r="I388" s="1147">
        <v>16</v>
      </c>
      <c r="J388" s="1147">
        <v>28</v>
      </c>
      <c r="K388" s="1147">
        <v>3</v>
      </c>
      <c r="L388" s="1953" t="str">
        <f t="shared" si="17"/>
        <v>Capacidad Incrementada Fue+8</v>
      </c>
      <c r="M388" s="227"/>
    </row>
    <row r="389" spans="1:13" ht="12" customHeight="1" x14ac:dyDescent="0.2">
      <c r="A389" s="6342"/>
      <c r="B389" s="6358"/>
      <c r="C389" s="39" t="s">
        <v>9138</v>
      </c>
      <c r="D389" s="78"/>
      <c r="E389" s="1147"/>
      <c r="F389" s="1148"/>
      <c r="G389" s="1147"/>
      <c r="H389" s="1147"/>
      <c r="I389" s="1147"/>
      <c r="J389" s="1147"/>
      <c r="K389" s="1147"/>
      <c r="L389" s="1953" t="str">
        <f t="shared" si="17"/>
        <v>&gt; CAPACIDAD INCREMENTADA DES</v>
      </c>
      <c r="M389" s="227"/>
    </row>
    <row r="390" spans="1:13" ht="12" customHeight="1" x14ac:dyDescent="0.2">
      <c r="A390" s="6342"/>
      <c r="B390" s="6358"/>
      <c r="C390" s="39" t="s">
        <v>9139</v>
      </c>
      <c r="D390" s="78" t="s">
        <v>2870</v>
      </c>
      <c r="E390" s="1147">
        <v>1</v>
      </c>
      <c r="F390" s="1148">
        <v>2</v>
      </c>
      <c r="G390" s="1147">
        <v>5</v>
      </c>
      <c r="H390" s="1147">
        <v>1</v>
      </c>
      <c r="I390" s="1147">
        <v>2</v>
      </c>
      <c r="J390" s="1147">
        <v>4</v>
      </c>
      <c r="K390" s="1147">
        <v>1</v>
      </c>
      <c r="L390" s="1953" t="str">
        <f t="shared" si="17"/>
        <v>Capacidad Incrementada Des+1</v>
      </c>
      <c r="M390" s="227"/>
    </row>
    <row r="391" spans="1:13" ht="12" customHeight="1" x14ac:dyDescent="0.2">
      <c r="A391" s="6342"/>
      <c r="B391" s="6358"/>
      <c r="C391" s="39" t="s">
        <v>9139</v>
      </c>
      <c r="D391" s="78" t="s">
        <v>2831</v>
      </c>
      <c r="E391" s="1147">
        <v>2</v>
      </c>
      <c r="F391" s="1148">
        <v>4</v>
      </c>
      <c r="G391" s="1147">
        <v>5</v>
      </c>
      <c r="H391" s="1147">
        <v>2</v>
      </c>
      <c r="I391" s="1147">
        <v>4</v>
      </c>
      <c r="J391" s="1147">
        <v>7</v>
      </c>
      <c r="K391" s="1147">
        <v>1</v>
      </c>
      <c r="L391" s="1953" t="str">
        <f t="shared" si="17"/>
        <v>Capacidad Incrementada Des+2</v>
      </c>
      <c r="M391" s="227"/>
    </row>
    <row r="392" spans="1:13" ht="12" customHeight="1" x14ac:dyDescent="0.2">
      <c r="A392" s="6342"/>
      <c r="B392" s="6358"/>
      <c r="C392" s="39" t="s">
        <v>9139</v>
      </c>
      <c r="D392" s="78" t="s">
        <v>2832</v>
      </c>
      <c r="E392" s="1147">
        <v>4</v>
      </c>
      <c r="F392" s="1148">
        <v>6</v>
      </c>
      <c r="G392" s="1147">
        <v>5</v>
      </c>
      <c r="H392" s="1147">
        <v>3</v>
      </c>
      <c r="I392" s="1147">
        <v>6</v>
      </c>
      <c r="J392" s="1147">
        <v>11</v>
      </c>
      <c r="K392" s="1147">
        <v>1</v>
      </c>
      <c r="L392" s="1953" t="str">
        <f t="shared" si="17"/>
        <v>Capacidad Incrementada Des+3</v>
      </c>
      <c r="M392" s="227"/>
    </row>
    <row r="393" spans="1:13" ht="12" customHeight="1" x14ac:dyDescent="0.2">
      <c r="A393" s="6342"/>
      <c r="B393" s="6358"/>
      <c r="C393" s="39" t="s">
        <v>9139</v>
      </c>
      <c r="D393" s="78" t="s">
        <v>3136</v>
      </c>
      <c r="E393" s="1147">
        <v>6</v>
      </c>
      <c r="F393" s="1148">
        <v>9</v>
      </c>
      <c r="G393" s="1147">
        <v>10</v>
      </c>
      <c r="H393" s="1147">
        <v>4</v>
      </c>
      <c r="I393" s="1147">
        <v>8</v>
      </c>
      <c r="J393" s="1147">
        <v>14</v>
      </c>
      <c r="K393" s="1147">
        <v>1</v>
      </c>
      <c r="L393" s="1953" t="str">
        <f t="shared" si="17"/>
        <v>Capacidad Incrementada Des+4</v>
      </c>
      <c r="M393" s="227"/>
    </row>
    <row r="394" spans="1:13" ht="12" customHeight="1" x14ac:dyDescent="0.2">
      <c r="A394" s="6342"/>
      <c r="B394" s="6358"/>
      <c r="C394" s="39" t="s">
        <v>9139</v>
      </c>
      <c r="D394" s="78" t="s">
        <v>6879</v>
      </c>
      <c r="E394" s="1147">
        <v>8</v>
      </c>
      <c r="F394" s="1148">
        <v>11</v>
      </c>
      <c r="G394" s="1147">
        <v>15</v>
      </c>
      <c r="H394" s="1147">
        <v>5</v>
      </c>
      <c r="I394" s="1147">
        <v>10</v>
      </c>
      <c r="J394" s="1147">
        <v>18</v>
      </c>
      <c r="K394" s="1147">
        <v>2</v>
      </c>
      <c r="L394" s="1953" t="str">
        <f t="shared" si="17"/>
        <v>Capacidad Incrementada Des+5</v>
      </c>
      <c r="M394" s="227"/>
    </row>
    <row r="395" spans="1:13" ht="12" customHeight="1" x14ac:dyDescent="0.2">
      <c r="A395" s="6342"/>
      <c r="B395" s="6358"/>
      <c r="C395" s="39" t="s">
        <v>9139</v>
      </c>
      <c r="D395" s="78" t="s">
        <v>9093</v>
      </c>
      <c r="E395" s="1147">
        <v>10</v>
      </c>
      <c r="F395" s="1148">
        <v>13</v>
      </c>
      <c r="G395" s="1147">
        <v>20</v>
      </c>
      <c r="H395" s="1147">
        <v>6</v>
      </c>
      <c r="I395" s="1147">
        <v>12</v>
      </c>
      <c r="J395" s="1147">
        <v>21</v>
      </c>
      <c r="K395" s="1147">
        <v>2</v>
      </c>
      <c r="L395" s="1953" t="str">
        <f t="shared" ref="L395:L458" si="18">C395&amp;D395</f>
        <v>Capacidad Incrementada Des+6</v>
      </c>
      <c r="M395" s="227"/>
    </row>
    <row r="396" spans="1:13" ht="12" customHeight="1" x14ac:dyDescent="0.2">
      <c r="A396" s="6342"/>
      <c r="B396" s="6358"/>
      <c r="C396" s="39" t="s">
        <v>9139</v>
      </c>
      <c r="D396" s="78" t="s">
        <v>9341</v>
      </c>
      <c r="E396" s="1147">
        <v>12</v>
      </c>
      <c r="F396" s="1148">
        <v>15</v>
      </c>
      <c r="G396" s="1147">
        <v>25</v>
      </c>
      <c r="H396" s="1147">
        <v>7</v>
      </c>
      <c r="I396" s="1147">
        <v>14</v>
      </c>
      <c r="J396" s="1147">
        <v>25</v>
      </c>
      <c r="K396" s="1147">
        <v>3</v>
      </c>
      <c r="L396" s="1953" t="str">
        <f t="shared" si="18"/>
        <v>Capacidad Incrementada Des+7</v>
      </c>
      <c r="M396" s="227"/>
    </row>
    <row r="397" spans="1:13" ht="12" customHeight="1" x14ac:dyDescent="0.2">
      <c r="A397" s="6342"/>
      <c r="B397" s="6358"/>
      <c r="C397" s="39" t="s">
        <v>9139</v>
      </c>
      <c r="D397" s="78" t="s">
        <v>6894</v>
      </c>
      <c r="E397" s="1147">
        <v>14</v>
      </c>
      <c r="F397" s="1148">
        <v>18</v>
      </c>
      <c r="G397" s="1147">
        <v>30</v>
      </c>
      <c r="H397" s="1147">
        <v>8</v>
      </c>
      <c r="I397" s="1147">
        <v>16</v>
      </c>
      <c r="J397" s="1147">
        <v>28</v>
      </c>
      <c r="K397" s="1147">
        <v>3</v>
      </c>
      <c r="L397" s="1953" t="str">
        <f t="shared" si="18"/>
        <v>Capacidad Incrementada Des+8</v>
      </c>
      <c r="M397" s="227"/>
    </row>
    <row r="398" spans="1:13" ht="12" customHeight="1" x14ac:dyDescent="0.2">
      <c r="A398" s="6342"/>
      <c r="B398" s="6358"/>
      <c r="C398" s="39" t="s">
        <v>9140</v>
      </c>
      <c r="D398" s="78"/>
      <c r="E398" s="1147"/>
      <c r="F398" s="1148"/>
      <c r="G398" s="1147"/>
      <c r="H398" s="1147"/>
      <c r="I398" s="1147"/>
      <c r="J398" s="1147"/>
      <c r="K398" s="1147"/>
      <c r="L398" s="1953" t="str">
        <f t="shared" si="18"/>
        <v>&gt; INCREMENTO DE RESISTENCIA FÍSICA</v>
      </c>
      <c r="M398" s="227"/>
    </row>
    <row r="399" spans="1:13" ht="12" customHeight="1" x14ac:dyDescent="0.2">
      <c r="A399" s="6342"/>
      <c r="B399" s="6358"/>
      <c r="C399" s="39" t="s">
        <v>9141</v>
      </c>
      <c r="D399" s="78" t="s">
        <v>9142</v>
      </c>
      <c r="E399" s="1147">
        <v>1</v>
      </c>
      <c r="F399" s="1148">
        <v>2</v>
      </c>
      <c r="G399" s="1147">
        <v>5</v>
      </c>
      <c r="H399" s="1147">
        <v>1</v>
      </c>
      <c r="I399" s="1147">
        <v>2</v>
      </c>
      <c r="J399" s="1147">
        <v>4</v>
      </c>
      <c r="K399" s="1147">
        <v>1</v>
      </c>
      <c r="L399" s="1953" t="str">
        <f t="shared" si="18"/>
        <v>Incremento De Resistencia Física+10 RF</v>
      </c>
      <c r="M399" s="227"/>
    </row>
    <row r="400" spans="1:13" ht="12" customHeight="1" x14ac:dyDescent="0.2">
      <c r="A400" s="6342"/>
      <c r="B400" s="6358"/>
      <c r="C400" s="39" t="s">
        <v>9141</v>
      </c>
      <c r="D400" s="78" t="s">
        <v>9143</v>
      </c>
      <c r="E400" s="1147">
        <v>2</v>
      </c>
      <c r="F400" s="1148">
        <v>4</v>
      </c>
      <c r="G400" s="1147">
        <v>5</v>
      </c>
      <c r="H400" s="1147">
        <v>2</v>
      </c>
      <c r="I400" s="1147">
        <v>4</v>
      </c>
      <c r="J400" s="1147">
        <v>7</v>
      </c>
      <c r="K400" s="1147">
        <v>1</v>
      </c>
      <c r="L400" s="1953" t="str">
        <f t="shared" si="18"/>
        <v>Incremento De Resistencia Física+20 RF</v>
      </c>
      <c r="M400" s="227"/>
    </row>
    <row r="401" spans="1:13" ht="12" customHeight="1" x14ac:dyDescent="0.2">
      <c r="A401" s="6342"/>
      <c r="B401" s="6358"/>
      <c r="C401" s="39" t="s">
        <v>9141</v>
      </c>
      <c r="D401" s="78" t="s">
        <v>9144</v>
      </c>
      <c r="E401" s="1147">
        <v>4</v>
      </c>
      <c r="F401" s="1148">
        <v>6</v>
      </c>
      <c r="G401" s="1147">
        <v>10</v>
      </c>
      <c r="H401" s="1147">
        <v>3</v>
      </c>
      <c r="I401" s="1147">
        <v>6</v>
      </c>
      <c r="J401" s="1147">
        <v>11</v>
      </c>
      <c r="K401" s="1147">
        <v>1</v>
      </c>
      <c r="L401" s="1953" t="str">
        <f t="shared" si="18"/>
        <v>Incremento De Resistencia Física+30 RF</v>
      </c>
      <c r="M401" s="227"/>
    </row>
    <row r="402" spans="1:13" ht="12" customHeight="1" x14ac:dyDescent="0.2">
      <c r="A402" s="6342"/>
      <c r="B402" s="6358"/>
      <c r="C402" s="39" t="s">
        <v>9141</v>
      </c>
      <c r="D402" s="78" t="s">
        <v>9145</v>
      </c>
      <c r="E402" s="1147">
        <v>6</v>
      </c>
      <c r="F402" s="1148">
        <v>9</v>
      </c>
      <c r="G402" s="1147">
        <v>15</v>
      </c>
      <c r="H402" s="1147">
        <v>4</v>
      </c>
      <c r="I402" s="1147">
        <v>8</v>
      </c>
      <c r="J402" s="1147">
        <v>14</v>
      </c>
      <c r="K402" s="1147">
        <v>1</v>
      </c>
      <c r="L402" s="1953" t="str">
        <f t="shared" si="18"/>
        <v>Incremento De Resistencia Física+40 RF</v>
      </c>
      <c r="M402" s="227"/>
    </row>
    <row r="403" spans="1:13" ht="12" customHeight="1" x14ac:dyDescent="0.2">
      <c r="A403" s="6342"/>
      <c r="B403" s="6358"/>
      <c r="C403" s="39" t="s">
        <v>9141</v>
      </c>
      <c r="D403" s="78" t="s">
        <v>9146</v>
      </c>
      <c r="E403" s="1147">
        <v>8</v>
      </c>
      <c r="F403" s="1148">
        <v>11</v>
      </c>
      <c r="G403" s="1147">
        <v>20</v>
      </c>
      <c r="H403" s="1147">
        <v>5</v>
      </c>
      <c r="I403" s="1147">
        <v>10</v>
      </c>
      <c r="J403" s="1147">
        <v>18</v>
      </c>
      <c r="K403" s="1147">
        <v>2</v>
      </c>
      <c r="L403" s="1953" t="str">
        <f t="shared" si="18"/>
        <v>Incremento De Resistencia Física+50 RF</v>
      </c>
      <c r="M403" s="227"/>
    </row>
    <row r="404" spans="1:13" ht="12" customHeight="1" x14ac:dyDescent="0.2">
      <c r="A404" s="6342"/>
      <c r="B404" s="6358"/>
      <c r="C404" s="39" t="s">
        <v>9141</v>
      </c>
      <c r="D404" s="78" t="s">
        <v>9147</v>
      </c>
      <c r="E404" s="1147">
        <v>10</v>
      </c>
      <c r="F404" s="1148">
        <v>13</v>
      </c>
      <c r="G404" s="1147">
        <v>25</v>
      </c>
      <c r="H404" s="1147">
        <v>6</v>
      </c>
      <c r="I404" s="1147">
        <v>12</v>
      </c>
      <c r="J404" s="1147">
        <v>21</v>
      </c>
      <c r="K404" s="1147">
        <v>2</v>
      </c>
      <c r="L404" s="1953" t="str">
        <f t="shared" si="18"/>
        <v>Incremento De Resistencia Física+60 RF</v>
      </c>
      <c r="M404" s="227"/>
    </row>
    <row r="405" spans="1:13" ht="12" customHeight="1" x14ac:dyDescent="0.2">
      <c r="A405" s="6342"/>
      <c r="B405" s="6358"/>
      <c r="C405" s="39" t="s">
        <v>9141</v>
      </c>
      <c r="D405" s="78" t="s">
        <v>9148</v>
      </c>
      <c r="E405" s="1147">
        <v>14</v>
      </c>
      <c r="F405" s="1148">
        <v>18</v>
      </c>
      <c r="G405" s="1147">
        <v>30</v>
      </c>
      <c r="H405" s="1147">
        <v>7</v>
      </c>
      <c r="I405" s="1147">
        <v>14</v>
      </c>
      <c r="J405" s="1147">
        <v>25</v>
      </c>
      <c r="K405" s="1147">
        <v>3</v>
      </c>
      <c r="L405" s="1953" t="str">
        <f t="shared" si="18"/>
        <v>Incremento De Resistencia Física+80 RF</v>
      </c>
      <c r="M405" s="227"/>
    </row>
    <row r="406" spans="1:13" ht="12" customHeight="1" x14ac:dyDescent="0.2">
      <c r="A406" s="6342"/>
      <c r="B406" s="6358"/>
      <c r="C406" s="39" t="s">
        <v>9141</v>
      </c>
      <c r="D406" s="78" t="s">
        <v>9149</v>
      </c>
      <c r="E406" s="1147">
        <v>18</v>
      </c>
      <c r="F406" s="1148">
        <v>22</v>
      </c>
      <c r="G406" s="1147">
        <v>40</v>
      </c>
      <c r="H406" s="1147">
        <v>8</v>
      </c>
      <c r="I406" s="1147">
        <v>16</v>
      </c>
      <c r="J406" s="1147">
        <v>28</v>
      </c>
      <c r="K406" s="1147">
        <v>3</v>
      </c>
      <c r="L406" s="1953" t="str">
        <f t="shared" si="18"/>
        <v>Incremento De Resistencia Física+100 RF</v>
      </c>
      <c r="M406" s="227"/>
    </row>
    <row r="407" spans="1:13" ht="12" customHeight="1" x14ac:dyDescent="0.2">
      <c r="A407" s="6342"/>
      <c r="B407" s="6358"/>
      <c r="C407" s="39" t="s">
        <v>9141</v>
      </c>
      <c r="D407" s="78" t="s">
        <v>3140</v>
      </c>
      <c r="E407" s="1147">
        <v>1</v>
      </c>
      <c r="F407" s="1148">
        <v>1</v>
      </c>
      <c r="G407" s="1147">
        <v>5</v>
      </c>
      <c r="H407" s="1147">
        <v>1</v>
      </c>
      <c r="I407" s="1147">
        <v>2</v>
      </c>
      <c r="J407" s="1147">
        <v>4</v>
      </c>
      <c r="K407" s="1147"/>
      <c r="L407" s="1953" t="str">
        <f t="shared" si="18"/>
        <v>Incremento De Resistencia FísicaIncremento también a RE</v>
      </c>
      <c r="M407" s="227"/>
    </row>
    <row r="408" spans="1:13" ht="12" customHeight="1" x14ac:dyDescent="0.2">
      <c r="A408" s="6342"/>
      <c r="B408" s="6358"/>
      <c r="C408" s="39" t="s">
        <v>9141</v>
      </c>
      <c r="D408" s="78" t="s">
        <v>3141</v>
      </c>
      <c r="E408" s="1147">
        <v>1</v>
      </c>
      <c r="F408" s="1148">
        <v>1</v>
      </c>
      <c r="G408" s="1147">
        <v>5</v>
      </c>
      <c r="H408" s="1147">
        <v>1</v>
      </c>
      <c r="I408" s="1147">
        <v>2</v>
      </c>
      <c r="J408" s="1147">
        <v>4</v>
      </c>
      <c r="K408" s="1147"/>
      <c r="L408" s="1953" t="str">
        <f t="shared" si="18"/>
        <v>Incremento De Resistencia FísicaIncremento también a RV</v>
      </c>
      <c r="M408" s="227"/>
    </row>
    <row r="409" spans="1:13" ht="12" customHeight="1" x14ac:dyDescent="0.2">
      <c r="A409" s="6342"/>
      <c r="B409" s="6358"/>
      <c r="C409" s="39" t="s">
        <v>9150</v>
      </c>
      <c r="D409" s="78"/>
      <c r="E409" s="1147"/>
      <c r="F409" s="1148"/>
      <c r="G409" s="1147"/>
      <c r="H409" s="1147"/>
      <c r="I409" s="1147"/>
      <c r="J409" s="1147"/>
      <c r="K409" s="1147"/>
      <c r="L409" s="1953" t="str">
        <f t="shared" si="18"/>
        <v>&gt; INCREMENTO DE RESISTENCIA MÁGICA</v>
      </c>
      <c r="M409" s="227"/>
    </row>
    <row r="410" spans="1:13" ht="12" customHeight="1" x14ac:dyDescent="0.2">
      <c r="A410" s="6342"/>
      <c r="B410" s="6358"/>
      <c r="C410" s="39" t="s">
        <v>9151</v>
      </c>
      <c r="D410" s="78" t="s">
        <v>7500</v>
      </c>
      <c r="E410" s="1147">
        <v>1</v>
      </c>
      <c r="F410" s="1148">
        <v>2</v>
      </c>
      <c r="G410" s="1147">
        <v>5</v>
      </c>
      <c r="H410" s="1147">
        <v>1</v>
      </c>
      <c r="I410" s="1147">
        <v>2</v>
      </c>
      <c r="J410" s="1147">
        <v>4</v>
      </c>
      <c r="K410" s="1147">
        <v>1</v>
      </c>
      <c r="L410" s="1953" t="str">
        <f t="shared" si="18"/>
        <v>Incremento De Resistencia Mágica+10 RM</v>
      </c>
      <c r="M410" s="227"/>
    </row>
    <row r="411" spans="1:13" ht="12" customHeight="1" x14ac:dyDescent="0.2">
      <c r="A411" s="6342"/>
      <c r="B411" s="6358"/>
      <c r="C411" s="39" t="s">
        <v>9151</v>
      </c>
      <c r="D411" s="78" t="s">
        <v>7501</v>
      </c>
      <c r="E411" s="1147">
        <v>2</v>
      </c>
      <c r="F411" s="1148">
        <v>4</v>
      </c>
      <c r="G411" s="1147">
        <v>5</v>
      </c>
      <c r="H411" s="1147">
        <v>2</v>
      </c>
      <c r="I411" s="1147">
        <v>4</v>
      </c>
      <c r="J411" s="1147">
        <v>7</v>
      </c>
      <c r="K411" s="1147">
        <v>1</v>
      </c>
      <c r="L411" s="1953" t="str">
        <f t="shared" si="18"/>
        <v>Incremento De Resistencia Mágica+20 RM</v>
      </c>
      <c r="M411" s="227"/>
    </row>
    <row r="412" spans="1:13" ht="12" customHeight="1" x14ac:dyDescent="0.2">
      <c r="A412" s="6342"/>
      <c r="B412" s="6358"/>
      <c r="C412" s="39" t="s">
        <v>9151</v>
      </c>
      <c r="D412" s="78" t="s">
        <v>7502</v>
      </c>
      <c r="E412" s="1147">
        <v>4</v>
      </c>
      <c r="F412" s="1148">
        <v>6</v>
      </c>
      <c r="G412" s="1147">
        <v>10</v>
      </c>
      <c r="H412" s="1147">
        <v>3</v>
      </c>
      <c r="I412" s="1147">
        <v>6</v>
      </c>
      <c r="J412" s="1147">
        <v>11</v>
      </c>
      <c r="K412" s="1147">
        <v>1</v>
      </c>
      <c r="L412" s="1953" t="str">
        <f t="shared" si="18"/>
        <v>Incremento De Resistencia Mágica+30 RM</v>
      </c>
      <c r="M412" s="227"/>
    </row>
    <row r="413" spans="1:13" ht="12" customHeight="1" x14ac:dyDescent="0.2">
      <c r="A413" s="6342"/>
      <c r="B413" s="6358"/>
      <c r="C413" s="39" t="s">
        <v>9151</v>
      </c>
      <c r="D413" s="78" t="s">
        <v>7503</v>
      </c>
      <c r="E413" s="1147">
        <v>6</v>
      </c>
      <c r="F413" s="1148">
        <v>9</v>
      </c>
      <c r="G413" s="1147">
        <v>15</v>
      </c>
      <c r="H413" s="1147">
        <v>4</v>
      </c>
      <c r="I413" s="1147">
        <v>8</v>
      </c>
      <c r="J413" s="1147">
        <v>14</v>
      </c>
      <c r="K413" s="1147">
        <v>1</v>
      </c>
      <c r="L413" s="1953" t="str">
        <f t="shared" si="18"/>
        <v>Incremento De Resistencia Mágica+40 RM</v>
      </c>
      <c r="M413" s="227"/>
    </row>
    <row r="414" spans="1:13" ht="12" customHeight="1" x14ac:dyDescent="0.2">
      <c r="A414" s="6342"/>
      <c r="B414" s="6358"/>
      <c r="C414" s="39" t="s">
        <v>9151</v>
      </c>
      <c r="D414" s="78" t="s">
        <v>7504</v>
      </c>
      <c r="E414" s="1147">
        <v>8</v>
      </c>
      <c r="F414" s="1148">
        <v>11</v>
      </c>
      <c r="G414" s="1147">
        <v>20</v>
      </c>
      <c r="H414" s="1147">
        <v>5</v>
      </c>
      <c r="I414" s="1147">
        <v>10</v>
      </c>
      <c r="J414" s="1147">
        <v>18</v>
      </c>
      <c r="K414" s="1147">
        <v>2</v>
      </c>
      <c r="L414" s="1953" t="str">
        <f t="shared" si="18"/>
        <v>Incremento De Resistencia Mágica+50 RM</v>
      </c>
      <c r="M414" s="227"/>
    </row>
    <row r="415" spans="1:13" ht="12" customHeight="1" x14ac:dyDescent="0.2">
      <c r="A415" s="6342"/>
      <c r="B415" s="6358"/>
      <c r="C415" s="39" t="s">
        <v>9151</v>
      </c>
      <c r="D415" s="78" t="s">
        <v>9152</v>
      </c>
      <c r="E415" s="1147">
        <v>10</v>
      </c>
      <c r="F415" s="1148">
        <v>13</v>
      </c>
      <c r="G415" s="1147">
        <v>25</v>
      </c>
      <c r="H415" s="1147">
        <v>6</v>
      </c>
      <c r="I415" s="1147">
        <v>12</v>
      </c>
      <c r="J415" s="1147">
        <v>21</v>
      </c>
      <c r="K415" s="1147">
        <v>2</v>
      </c>
      <c r="L415" s="1953" t="str">
        <f t="shared" si="18"/>
        <v>Incremento De Resistencia Mágica+60 RM</v>
      </c>
      <c r="M415" s="227"/>
    </row>
    <row r="416" spans="1:13" ht="12" customHeight="1" x14ac:dyDescent="0.2">
      <c r="A416" s="6342"/>
      <c r="B416" s="6358"/>
      <c r="C416" s="39" t="s">
        <v>9151</v>
      </c>
      <c r="D416" s="78" t="s">
        <v>9153</v>
      </c>
      <c r="E416" s="1147">
        <v>14</v>
      </c>
      <c r="F416" s="1148">
        <v>18</v>
      </c>
      <c r="G416" s="1147">
        <v>30</v>
      </c>
      <c r="H416" s="1147">
        <v>7</v>
      </c>
      <c r="I416" s="1147">
        <v>14</v>
      </c>
      <c r="J416" s="1147">
        <v>25</v>
      </c>
      <c r="K416" s="1147">
        <v>3</v>
      </c>
      <c r="L416" s="1953" t="str">
        <f t="shared" si="18"/>
        <v>Incremento De Resistencia Mágica+80 RM</v>
      </c>
      <c r="M416" s="227"/>
    </row>
    <row r="417" spans="1:13" ht="12" customHeight="1" x14ac:dyDescent="0.2">
      <c r="A417" s="6342"/>
      <c r="B417" s="6358"/>
      <c r="C417" s="39" t="s">
        <v>9151</v>
      </c>
      <c r="D417" s="78" t="s">
        <v>9154</v>
      </c>
      <c r="E417" s="1147">
        <v>18</v>
      </c>
      <c r="F417" s="1148">
        <v>22</v>
      </c>
      <c r="G417" s="1147">
        <v>40</v>
      </c>
      <c r="H417" s="1147">
        <v>8</v>
      </c>
      <c r="I417" s="1147">
        <v>16</v>
      </c>
      <c r="J417" s="1147">
        <v>28</v>
      </c>
      <c r="K417" s="1147">
        <v>3</v>
      </c>
      <c r="L417" s="1953" t="str">
        <f t="shared" si="18"/>
        <v>Incremento De Resistencia Mágica+100 RM</v>
      </c>
      <c r="M417" s="227"/>
    </row>
    <row r="418" spans="1:13" ht="12" customHeight="1" x14ac:dyDescent="0.2">
      <c r="A418" s="6342"/>
      <c r="B418" s="6358"/>
      <c r="C418" s="39" t="s">
        <v>9155</v>
      </c>
      <c r="D418" s="78"/>
      <c r="E418" s="1147"/>
      <c r="F418" s="1148"/>
      <c r="G418" s="1147"/>
      <c r="H418" s="1147"/>
      <c r="I418" s="1147"/>
      <c r="J418" s="1147"/>
      <c r="K418" s="1147"/>
      <c r="L418" s="1953" t="str">
        <f t="shared" si="18"/>
        <v>&gt; INCREMENTO DE RESISTENCIA PSÍQUICA</v>
      </c>
      <c r="M418" s="227"/>
    </row>
    <row r="419" spans="1:13" ht="12" customHeight="1" x14ac:dyDescent="0.2">
      <c r="A419" s="6342"/>
      <c r="B419" s="6358"/>
      <c r="C419" s="39" t="s">
        <v>9156</v>
      </c>
      <c r="D419" s="78" t="s">
        <v>7495</v>
      </c>
      <c r="E419" s="1147">
        <v>1</v>
      </c>
      <c r="F419" s="1148">
        <v>2</v>
      </c>
      <c r="G419" s="1147">
        <v>5</v>
      </c>
      <c r="H419" s="1147">
        <v>1</v>
      </c>
      <c r="I419" s="1147">
        <v>2</v>
      </c>
      <c r="J419" s="1147">
        <v>4</v>
      </c>
      <c r="K419" s="1147">
        <v>1</v>
      </c>
      <c r="L419" s="1953" t="str">
        <f t="shared" si="18"/>
        <v>Incremento De Resistencia Psíquica+10 RP</v>
      </c>
      <c r="M419" s="227"/>
    </row>
    <row r="420" spans="1:13" ht="12" customHeight="1" x14ac:dyDescent="0.2">
      <c r="A420" s="6342"/>
      <c r="B420" s="6358"/>
      <c r="C420" s="39" t="s">
        <v>9156</v>
      </c>
      <c r="D420" s="78" t="s">
        <v>7496</v>
      </c>
      <c r="E420" s="1147">
        <v>2</v>
      </c>
      <c r="F420" s="1148">
        <v>4</v>
      </c>
      <c r="G420" s="1147">
        <v>5</v>
      </c>
      <c r="H420" s="1147">
        <v>2</v>
      </c>
      <c r="I420" s="1147">
        <v>4</v>
      </c>
      <c r="J420" s="1147">
        <v>7</v>
      </c>
      <c r="K420" s="1147">
        <v>1</v>
      </c>
      <c r="L420" s="1953" t="str">
        <f t="shared" si="18"/>
        <v>Incremento De Resistencia Psíquica+20 RP</v>
      </c>
      <c r="M420" s="227"/>
    </row>
    <row r="421" spans="1:13" ht="12" customHeight="1" x14ac:dyDescent="0.2">
      <c r="A421" s="6342"/>
      <c r="B421" s="6358"/>
      <c r="C421" s="39" t="s">
        <v>9156</v>
      </c>
      <c r="D421" s="78" t="s">
        <v>7497</v>
      </c>
      <c r="E421" s="1147">
        <v>4</v>
      </c>
      <c r="F421" s="1148">
        <v>6</v>
      </c>
      <c r="G421" s="1147">
        <v>10</v>
      </c>
      <c r="H421" s="1147">
        <v>3</v>
      </c>
      <c r="I421" s="1147">
        <v>6</v>
      </c>
      <c r="J421" s="1147">
        <v>11</v>
      </c>
      <c r="K421" s="1147">
        <v>1</v>
      </c>
      <c r="L421" s="1953" t="str">
        <f t="shared" si="18"/>
        <v>Incremento De Resistencia Psíquica+30 RP</v>
      </c>
      <c r="M421" s="227"/>
    </row>
    <row r="422" spans="1:13" ht="12" customHeight="1" x14ac:dyDescent="0.2">
      <c r="A422" s="6342"/>
      <c r="B422" s="6358"/>
      <c r="C422" s="39" t="s">
        <v>9156</v>
      </c>
      <c r="D422" s="78" t="s">
        <v>7498</v>
      </c>
      <c r="E422" s="1147">
        <v>6</v>
      </c>
      <c r="F422" s="1148">
        <v>9</v>
      </c>
      <c r="G422" s="1147">
        <v>15</v>
      </c>
      <c r="H422" s="1147">
        <v>4</v>
      </c>
      <c r="I422" s="1147">
        <v>8</v>
      </c>
      <c r="J422" s="1147">
        <v>14</v>
      </c>
      <c r="K422" s="1147">
        <v>1</v>
      </c>
      <c r="L422" s="1953" t="str">
        <f t="shared" si="18"/>
        <v>Incremento De Resistencia Psíquica+40 RP</v>
      </c>
      <c r="M422" s="227"/>
    </row>
    <row r="423" spans="1:13" ht="12" customHeight="1" x14ac:dyDescent="0.2">
      <c r="A423" s="6342"/>
      <c r="B423" s="6358"/>
      <c r="C423" s="39" t="s">
        <v>9156</v>
      </c>
      <c r="D423" s="78" t="s">
        <v>7499</v>
      </c>
      <c r="E423" s="1147">
        <v>8</v>
      </c>
      <c r="F423" s="1148">
        <v>11</v>
      </c>
      <c r="G423" s="1147">
        <v>20</v>
      </c>
      <c r="H423" s="1147">
        <v>5</v>
      </c>
      <c r="I423" s="1147">
        <v>10</v>
      </c>
      <c r="J423" s="1147">
        <v>18</v>
      </c>
      <c r="K423" s="1147">
        <v>2</v>
      </c>
      <c r="L423" s="1953" t="str">
        <f t="shared" si="18"/>
        <v>Incremento De Resistencia Psíquica+50 RP</v>
      </c>
      <c r="M423" s="227"/>
    </row>
    <row r="424" spans="1:13" ht="12" customHeight="1" x14ac:dyDescent="0.2">
      <c r="A424" s="6342"/>
      <c r="B424" s="6358"/>
      <c r="C424" s="39" t="s">
        <v>9156</v>
      </c>
      <c r="D424" s="78" t="s">
        <v>9157</v>
      </c>
      <c r="E424" s="1147">
        <v>10</v>
      </c>
      <c r="F424" s="1148">
        <v>13</v>
      </c>
      <c r="G424" s="1147">
        <v>25</v>
      </c>
      <c r="H424" s="1147">
        <v>6</v>
      </c>
      <c r="I424" s="1147">
        <v>12</v>
      </c>
      <c r="J424" s="1147">
        <v>21</v>
      </c>
      <c r="K424" s="1147">
        <v>2</v>
      </c>
      <c r="L424" s="1953" t="str">
        <f t="shared" si="18"/>
        <v>Incremento De Resistencia Psíquica+60 RP</v>
      </c>
      <c r="M424" s="227"/>
    </row>
    <row r="425" spans="1:13" ht="12" customHeight="1" x14ac:dyDescent="0.2">
      <c r="A425" s="6342"/>
      <c r="B425" s="6358"/>
      <c r="C425" s="39" t="s">
        <v>9156</v>
      </c>
      <c r="D425" s="78" t="s">
        <v>9158</v>
      </c>
      <c r="E425" s="1147">
        <v>14</v>
      </c>
      <c r="F425" s="1148">
        <v>18</v>
      </c>
      <c r="G425" s="1147">
        <v>30</v>
      </c>
      <c r="H425" s="1147">
        <v>7</v>
      </c>
      <c r="I425" s="1147">
        <v>14</v>
      </c>
      <c r="J425" s="1147">
        <v>25</v>
      </c>
      <c r="K425" s="1147">
        <v>3</v>
      </c>
      <c r="L425" s="1953" t="str">
        <f t="shared" si="18"/>
        <v>Incremento De Resistencia Psíquica+80 RP</v>
      </c>
      <c r="M425" s="227"/>
    </row>
    <row r="426" spans="1:13" ht="12" customHeight="1" x14ac:dyDescent="0.2">
      <c r="A426" s="6342"/>
      <c r="B426" s="6358"/>
      <c r="C426" s="39" t="s">
        <v>9156</v>
      </c>
      <c r="D426" s="78" t="s">
        <v>9159</v>
      </c>
      <c r="E426" s="1147">
        <v>18</v>
      </c>
      <c r="F426" s="1148">
        <v>22</v>
      </c>
      <c r="G426" s="1147">
        <v>40</v>
      </c>
      <c r="H426" s="1147">
        <v>8</v>
      </c>
      <c r="I426" s="1147">
        <v>16</v>
      </c>
      <c r="J426" s="1147">
        <v>28</v>
      </c>
      <c r="K426" s="1147">
        <v>3</v>
      </c>
      <c r="L426" s="1953" t="str">
        <f t="shared" si="18"/>
        <v>Incremento De Resistencia Psíquica+100 RP</v>
      </c>
      <c r="M426" s="227"/>
    </row>
    <row r="427" spans="1:13" ht="12" customHeight="1" x14ac:dyDescent="0.2">
      <c r="A427" s="6342"/>
      <c r="B427" s="6358"/>
      <c r="C427" s="39" t="s">
        <v>9160</v>
      </c>
      <c r="D427" s="78"/>
      <c r="E427" s="1147"/>
      <c r="F427" s="1148"/>
      <c r="G427" s="1147"/>
      <c r="H427" s="1147"/>
      <c r="I427" s="1147"/>
      <c r="J427" s="1147"/>
      <c r="K427" s="1147"/>
      <c r="L427" s="1953" t="str">
        <f t="shared" si="18"/>
        <v>&gt; HABILIDADES PERCEPTIVAS</v>
      </c>
      <c r="M427" s="227"/>
    </row>
    <row r="428" spans="1:13" ht="12" customHeight="1" x14ac:dyDescent="0.2">
      <c r="A428" s="6342"/>
      <c r="B428" s="6358"/>
      <c r="C428" s="39" t="s">
        <v>8945</v>
      </c>
      <c r="D428" s="78" t="s">
        <v>9161</v>
      </c>
      <c r="E428" s="1147">
        <v>2</v>
      </c>
      <c r="F428" s="1148">
        <v>4</v>
      </c>
      <c r="G428" s="1147">
        <v>5</v>
      </c>
      <c r="H428" s="1147">
        <v>1</v>
      </c>
      <c r="I428" s="1147">
        <v>2</v>
      </c>
      <c r="J428" s="1147">
        <v>4</v>
      </c>
      <c r="K428" s="1147">
        <v>1</v>
      </c>
      <c r="L428" s="1953" t="str">
        <f t="shared" si="18"/>
        <v>Habilidades PerceptivasVisión Nocturna</v>
      </c>
      <c r="M428" s="227"/>
    </row>
    <row r="429" spans="1:13" ht="12" customHeight="1" x14ac:dyDescent="0.2">
      <c r="A429" s="6342"/>
      <c r="B429" s="6358"/>
      <c r="C429" s="39" t="s">
        <v>8945</v>
      </c>
      <c r="D429" s="78" t="s">
        <v>9162</v>
      </c>
      <c r="E429" s="1147">
        <v>4</v>
      </c>
      <c r="F429" s="1148">
        <v>6</v>
      </c>
      <c r="G429" s="1147">
        <v>10</v>
      </c>
      <c r="H429" s="1147">
        <v>2</v>
      </c>
      <c r="I429" s="1147">
        <v>4</v>
      </c>
      <c r="J429" s="1147">
        <v>7</v>
      </c>
      <c r="K429" s="1147">
        <v>1</v>
      </c>
      <c r="L429" s="1953" t="str">
        <f t="shared" si="18"/>
        <v>Habilidades PerceptivasVisión Radial</v>
      </c>
      <c r="M429" s="227"/>
    </row>
    <row r="430" spans="1:13" ht="12" customHeight="1" x14ac:dyDescent="0.2">
      <c r="A430" s="6342"/>
      <c r="B430" s="6358"/>
      <c r="C430" s="39" t="s">
        <v>8945</v>
      </c>
      <c r="D430" s="78" t="s">
        <v>9163</v>
      </c>
      <c r="E430" s="1147">
        <v>3</v>
      </c>
      <c r="F430" s="1148">
        <v>5</v>
      </c>
      <c r="G430" s="1147">
        <v>5</v>
      </c>
      <c r="H430" s="1147">
        <v>1</v>
      </c>
      <c r="I430" s="1147">
        <v>2</v>
      </c>
      <c r="J430" s="1147">
        <v>4</v>
      </c>
      <c r="K430" s="1147">
        <v>1</v>
      </c>
      <c r="L430" s="1953" t="str">
        <f t="shared" si="18"/>
        <v>Habilidades PerceptivasVisión Espiritual</v>
      </c>
      <c r="M430" s="227"/>
    </row>
    <row r="431" spans="1:13" ht="12" customHeight="1" x14ac:dyDescent="0.2">
      <c r="A431" s="6342"/>
      <c r="B431" s="6358"/>
      <c r="C431" s="39" t="s">
        <v>8945</v>
      </c>
      <c r="D431" s="78" t="s">
        <v>9164</v>
      </c>
      <c r="E431" s="1147">
        <v>3</v>
      </c>
      <c r="F431" s="1148">
        <v>5</v>
      </c>
      <c r="G431" s="1147">
        <v>5</v>
      </c>
      <c r="H431" s="1147">
        <v>1</v>
      </c>
      <c r="I431" s="1147">
        <v>2</v>
      </c>
      <c r="J431" s="1147">
        <v>4</v>
      </c>
      <c r="K431" s="1147">
        <v>1</v>
      </c>
      <c r="L431" s="1953" t="str">
        <f t="shared" si="18"/>
        <v>Habilidades PerceptivasVisión de Magia</v>
      </c>
      <c r="M431" s="227"/>
    </row>
    <row r="432" spans="1:13" ht="12" customHeight="1" x14ac:dyDescent="0.2">
      <c r="A432" s="6342"/>
      <c r="B432" s="6358"/>
      <c r="C432" s="39" t="s">
        <v>8945</v>
      </c>
      <c r="D432" s="78" t="s">
        <v>9165</v>
      </c>
      <c r="E432" s="1147">
        <v>3</v>
      </c>
      <c r="F432" s="1148">
        <v>5</v>
      </c>
      <c r="G432" s="1147">
        <v>5</v>
      </c>
      <c r="H432" s="1147">
        <v>1</v>
      </c>
      <c r="I432" s="1147">
        <v>2</v>
      </c>
      <c r="J432" s="1147">
        <v>4</v>
      </c>
      <c r="K432" s="1147">
        <v>1</v>
      </c>
      <c r="L432" s="1953" t="str">
        <f t="shared" si="18"/>
        <v>Habilidades PerceptivasVisión de Matrices</v>
      </c>
      <c r="M432" s="227"/>
    </row>
    <row r="433" spans="1:13" ht="12" customHeight="1" x14ac:dyDescent="0.2">
      <c r="A433" s="6342"/>
      <c r="B433" s="6358"/>
      <c r="C433" s="39" t="s">
        <v>8945</v>
      </c>
      <c r="D433" s="78" t="s">
        <v>9166</v>
      </c>
      <c r="E433" s="1147">
        <v>5</v>
      </c>
      <c r="F433" s="1148">
        <v>8</v>
      </c>
      <c r="G433" s="1147">
        <v>15</v>
      </c>
      <c r="H433" s="1147">
        <v>2</v>
      </c>
      <c r="I433" s="1147">
        <v>4</v>
      </c>
      <c r="J433" s="1147">
        <v>7</v>
      </c>
      <c r="K433" s="1147">
        <v>1</v>
      </c>
      <c r="L433" s="1953" t="str">
        <f t="shared" si="18"/>
        <v>Habilidades PerceptivasVer lo Sobrenatural</v>
      </c>
      <c r="M433" s="227"/>
    </row>
    <row r="434" spans="1:13" ht="12" customHeight="1" x14ac:dyDescent="0.2">
      <c r="A434" s="6342"/>
      <c r="B434" s="6358"/>
      <c r="C434" s="39" t="s">
        <v>8945</v>
      </c>
      <c r="D434" s="78" t="s">
        <v>9167</v>
      </c>
      <c r="E434" s="1147">
        <v>8</v>
      </c>
      <c r="F434" s="1148">
        <v>11</v>
      </c>
      <c r="G434" s="1147">
        <v>25</v>
      </c>
      <c r="H434" s="1147">
        <v>2</v>
      </c>
      <c r="I434" s="1147">
        <v>4</v>
      </c>
      <c r="J434" s="1147">
        <v>7</v>
      </c>
      <c r="K434" s="1147">
        <v>2</v>
      </c>
      <c r="L434" s="1953" t="str">
        <f t="shared" si="18"/>
        <v>Habilidades PerceptivasVer Realmente</v>
      </c>
      <c r="M434" s="227"/>
    </row>
    <row r="435" spans="1:13" ht="12" customHeight="1" x14ac:dyDescent="0.2">
      <c r="A435" s="6342"/>
      <c r="B435" s="6358"/>
      <c r="C435" s="39" t="s">
        <v>2911</v>
      </c>
      <c r="D435" s="78"/>
      <c r="E435" s="1147"/>
      <c r="F435" s="1148"/>
      <c r="G435" s="1147"/>
      <c r="H435" s="1147"/>
      <c r="I435" s="1147"/>
      <c r="J435" s="1147"/>
      <c r="K435" s="1147"/>
      <c r="L435" s="1953" t="str">
        <f t="shared" si="18"/>
        <v>&gt;&gt;EFECTOS VARIADOS</v>
      </c>
      <c r="M435" s="227"/>
    </row>
    <row r="436" spans="1:13" ht="12" customHeight="1" x14ac:dyDescent="0.2">
      <c r="A436" s="6342"/>
      <c r="B436" s="6358"/>
      <c r="C436" s="39" t="s">
        <v>9168</v>
      </c>
      <c r="D436" s="78"/>
      <c r="E436" s="1147"/>
      <c r="F436" s="1148"/>
      <c r="G436" s="1147"/>
      <c r="H436" s="1147"/>
      <c r="I436" s="1147"/>
      <c r="J436" s="1147"/>
      <c r="K436" s="1147"/>
      <c r="L436" s="1953" t="str">
        <f t="shared" si="18"/>
        <v>&gt; ATAQUE CAPAZ DE DAÑAR ENERGÍA</v>
      </c>
      <c r="M436" s="227"/>
    </row>
    <row r="437" spans="1:13" ht="12" customHeight="1" x14ac:dyDescent="0.2">
      <c r="A437" s="6342"/>
      <c r="B437" s="6358"/>
      <c r="C437" s="39" t="s">
        <v>9169</v>
      </c>
      <c r="D437" s="78"/>
      <c r="E437" s="1147">
        <v>1</v>
      </c>
      <c r="F437" s="1148">
        <v>2</v>
      </c>
      <c r="G437" s="1147">
        <v>5</v>
      </c>
      <c r="H437" s="1147">
        <v>1</v>
      </c>
      <c r="I437" s="1147">
        <v>2</v>
      </c>
      <c r="J437" s="1147">
        <v>4</v>
      </c>
      <c r="K437" s="1147">
        <v>1</v>
      </c>
      <c r="L437" s="1953" t="str">
        <f t="shared" si="18"/>
        <v>Ataque Capaz De Dañar Energía</v>
      </c>
      <c r="M437" s="227"/>
    </row>
    <row r="438" spans="1:13" ht="12" customHeight="1" x14ac:dyDescent="0.2">
      <c r="A438" s="6342"/>
      <c r="B438" s="6358"/>
      <c r="C438" s="39" t="s">
        <v>9170</v>
      </c>
      <c r="D438" s="78"/>
      <c r="E438" s="1147"/>
      <c r="F438" s="1148"/>
      <c r="G438" s="1147"/>
      <c r="H438" s="1147"/>
      <c r="I438" s="1147"/>
      <c r="J438" s="1147"/>
      <c r="K438" s="1147"/>
      <c r="L438" s="1953" t="str">
        <f t="shared" si="18"/>
        <v>&gt; ATAQUE ELEMENTAL</v>
      </c>
      <c r="M438" s="227"/>
    </row>
    <row r="439" spans="1:13" ht="12" customHeight="1" x14ac:dyDescent="0.2">
      <c r="A439" s="6342"/>
      <c r="B439" s="6358"/>
      <c r="C439" s="39" t="s">
        <v>8949</v>
      </c>
      <c r="D439" s="78" t="s">
        <v>1603</v>
      </c>
      <c r="E439" s="1147">
        <v>2</v>
      </c>
      <c r="F439" s="1148">
        <v>4</v>
      </c>
      <c r="G439" s="1147">
        <v>5</v>
      </c>
      <c r="H439" s="1147">
        <v>1</v>
      </c>
      <c r="I439" s="1147">
        <v>2</v>
      </c>
      <c r="J439" s="1147">
        <v>4</v>
      </c>
      <c r="K439" s="1147">
        <v>1</v>
      </c>
      <c r="L439" s="1953" t="str">
        <f t="shared" si="18"/>
        <v>Ataque ElementalAire</v>
      </c>
      <c r="M439" s="227"/>
    </row>
    <row r="440" spans="1:13" ht="12" customHeight="1" x14ac:dyDescent="0.2">
      <c r="A440" s="6342"/>
      <c r="B440" s="6358"/>
      <c r="C440" s="39" t="s">
        <v>8949</v>
      </c>
      <c r="D440" s="78" t="s">
        <v>1606</v>
      </c>
      <c r="E440" s="1147">
        <v>2</v>
      </c>
      <c r="F440" s="1148">
        <v>4</v>
      </c>
      <c r="G440" s="1147">
        <v>5</v>
      </c>
      <c r="H440" s="1147">
        <v>1</v>
      </c>
      <c r="I440" s="1147">
        <v>2</v>
      </c>
      <c r="J440" s="1147">
        <v>4</v>
      </c>
      <c r="K440" s="1147">
        <v>1</v>
      </c>
      <c r="L440" s="1953" t="str">
        <f t="shared" si="18"/>
        <v>Ataque ElementalAgua</v>
      </c>
      <c r="M440" s="227"/>
    </row>
    <row r="441" spans="1:13" ht="12" customHeight="1" x14ac:dyDescent="0.2">
      <c r="A441" s="6342"/>
      <c r="B441" s="6358"/>
      <c r="C441" s="39" t="s">
        <v>8949</v>
      </c>
      <c r="D441" s="78" t="s">
        <v>1610</v>
      </c>
      <c r="E441" s="1147">
        <v>2</v>
      </c>
      <c r="F441" s="1148">
        <v>4</v>
      </c>
      <c r="G441" s="1147">
        <v>5</v>
      </c>
      <c r="H441" s="1147">
        <v>1</v>
      </c>
      <c r="I441" s="1147">
        <v>2</v>
      </c>
      <c r="J441" s="1147">
        <v>4</v>
      </c>
      <c r="K441" s="1147">
        <v>1</v>
      </c>
      <c r="L441" s="1953" t="str">
        <f t="shared" si="18"/>
        <v>Ataque ElementalFuego</v>
      </c>
      <c r="M441" s="227"/>
    </row>
    <row r="442" spans="1:13" ht="12" customHeight="1" x14ac:dyDescent="0.2">
      <c r="A442" s="6342"/>
      <c r="B442" s="6358"/>
      <c r="C442" s="39" t="s">
        <v>8949</v>
      </c>
      <c r="D442" s="78" t="s">
        <v>1704</v>
      </c>
      <c r="E442" s="1147">
        <v>2</v>
      </c>
      <c r="F442" s="1148">
        <v>4</v>
      </c>
      <c r="G442" s="1147">
        <v>5</v>
      </c>
      <c r="H442" s="1147">
        <v>1</v>
      </c>
      <c r="I442" s="1147">
        <v>2</v>
      </c>
      <c r="J442" s="1147">
        <v>4</v>
      </c>
      <c r="K442" s="1147">
        <v>1</v>
      </c>
      <c r="L442" s="1953" t="str">
        <f t="shared" si="18"/>
        <v>Ataque ElementalTierra</v>
      </c>
      <c r="M442" s="227"/>
    </row>
    <row r="443" spans="1:13" ht="12" customHeight="1" x14ac:dyDescent="0.2">
      <c r="A443" s="6342"/>
      <c r="B443" s="6358"/>
      <c r="C443" s="39" t="s">
        <v>8949</v>
      </c>
      <c r="D443" s="78" t="s">
        <v>1699</v>
      </c>
      <c r="E443" s="1147">
        <v>2</v>
      </c>
      <c r="F443" s="1148">
        <v>4</v>
      </c>
      <c r="G443" s="1147">
        <v>5</v>
      </c>
      <c r="H443" s="1147">
        <v>1</v>
      </c>
      <c r="I443" s="1147">
        <v>2</v>
      </c>
      <c r="J443" s="1147">
        <v>4</v>
      </c>
      <c r="K443" s="1147">
        <v>1</v>
      </c>
      <c r="L443" s="1953" t="str">
        <f t="shared" si="18"/>
        <v>Ataque ElementalLuz</v>
      </c>
      <c r="M443" s="227"/>
    </row>
    <row r="444" spans="1:13" ht="12" customHeight="1" x14ac:dyDescent="0.2">
      <c r="A444" s="6342"/>
      <c r="B444" s="6358"/>
      <c r="C444" s="39" t="s">
        <v>8949</v>
      </c>
      <c r="D444" s="78" t="s">
        <v>1700</v>
      </c>
      <c r="E444" s="1147">
        <v>2</v>
      </c>
      <c r="F444" s="1148">
        <v>4</v>
      </c>
      <c r="G444" s="1147">
        <v>5</v>
      </c>
      <c r="H444" s="1147">
        <v>1</v>
      </c>
      <c r="I444" s="1147">
        <v>2</v>
      </c>
      <c r="J444" s="1147">
        <v>4</v>
      </c>
      <c r="K444" s="1147">
        <v>1</v>
      </c>
      <c r="L444" s="1953" t="str">
        <f t="shared" si="18"/>
        <v>Ataque ElementalOscuridad</v>
      </c>
      <c r="M444" s="227"/>
    </row>
    <row r="445" spans="1:13" ht="12" customHeight="1" x14ac:dyDescent="0.2">
      <c r="A445" s="6342"/>
      <c r="B445" s="6358"/>
      <c r="C445" s="39" t="s">
        <v>9171</v>
      </c>
      <c r="D445" s="78"/>
      <c r="E445" s="1147"/>
      <c r="F445" s="1148"/>
      <c r="G445" s="1147"/>
      <c r="H445" s="1147"/>
      <c r="I445" s="1147"/>
      <c r="J445" s="1147"/>
      <c r="K445" s="1147"/>
      <c r="L445" s="1953" t="str">
        <f t="shared" si="18"/>
        <v>&gt; ARMAS FÍSICAS DE KI</v>
      </c>
      <c r="M445" s="227"/>
    </row>
    <row r="446" spans="1:13" ht="12" customHeight="1" x14ac:dyDescent="0.2">
      <c r="A446" s="6342"/>
      <c r="B446" s="6358"/>
      <c r="C446" s="39" t="s">
        <v>9172</v>
      </c>
      <c r="D446" s="78" t="s">
        <v>6878</v>
      </c>
      <c r="E446" s="1147">
        <v>2</v>
      </c>
      <c r="F446" s="1148">
        <v>4</v>
      </c>
      <c r="G446" s="1147">
        <v>5</v>
      </c>
      <c r="H446" s="1147">
        <v>1</v>
      </c>
      <c r="I446" s="1147">
        <v>2</v>
      </c>
      <c r="J446" s="1147">
        <v>4</v>
      </c>
      <c r="K446" s="1147">
        <v>1</v>
      </c>
      <c r="L446" s="1953" t="str">
        <f t="shared" si="18"/>
        <v>Armas Físicas De Ki+0</v>
      </c>
      <c r="M446" s="227"/>
    </row>
    <row r="447" spans="1:13" ht="12" customHeight="1" x14ac:dyDescent="0.2">
      <c r="A447" s="6342"/>
      <c r="B447" s="6358"/>
      <c r="C447" s="39" t="s">
        <v>9172</v>
      </c>
      <c r="D447" s="78" t="s">
        <v>6879</v>
      </c>
      <c r="E447" s="1147">
        <v>4</v>
      </c>
      <c r="F447" s="1148">
        <v>6</v>
      </c>
      <c r="G447" s="1147">
        <v>5</v>
      </c>
      <c r="H447" s="1147">
        <v>1</v>
      </c>
      <c r="I447" s="1147">
        <v>2</v>
      </c>
      <c r="J447" s="1147">
        <v>4</v>
      </c>
      <c r="K447" s="1147">
        <v>1</v>
      </c>
      <c r="L447" s="1953" t="str">
        <f t="shared" si="18"/>
        <v>Armas Físicas De Ki+5</v>
      </c>
      <c r="M447" s="227"/>
    </row>
    <row r="448" spans="1:13" ht="12" customHeight="1" x14ac:dyDescent="0.2">
      <c r="A448" s="6342"/>
      <c r="B448" s="6358"/>
      <c r="C448" s="39" t="s">
        <v>9172</v>
      </c>
      <c r="D448" s="78" t="s">
        <v>7488</v>
      </c>
      <c r="E448" s="1147">
        <v>6</v>
      </c>
      <c r="F448" s="1148">
        <v>9</v>
      </c>
      <c r="G448" s="1147">
        <v>10</v>
      </c>
      <c r="H448" s="1147">
        <v>2</v>
      </c>
      <c r="I448" s="1147">
        <v>4</v>
      </c>
      <c r="J448" s="1147">
        <v>7</v>
      </c>
      <c r="K448" s="1147">
        <v>1</v>
      </c>
      <c r="L448" s="1953" t="str">
        <f t="shared" si="18"/>
        <v>Armas Físicas De Ki+10</v>
      </c>
      <c r="M448" s="227"/>
    </row>
    <row r="449" spans="1:13" ht="12" customHeight="1" x14ac:dyDescent="0.2">
      <c r="A449" s="6342"/>
      <c r="B449" s="6358"/>
      <c r="C449" s="39" t="s">
        <v>9172</v>
      </c>
      <c r="D449" s="78" t="s">
        <v>7631</v>
      </c>
      <c r="E449" s="1147">
        <v>8</v>
      </c>
      <c r="F449" s="1148">
        <v>11</v>
      </c>
      <c r="G449" s="1147">
        <v>15</v>
      </c>
      <c r="H449" s="1147">
        <v>3</v>
      </c>
      <c r="I449" s="1147">
        <v>6</v>
      </c>
      <c r="J449" s="1147">
        <v>11</v>
      </c>
      <c r="K449" s="1147">
        <v>2</v>
      </c>
      <c r="L449" s="1953" t="str">
        <f t="shared" si="18"/>
        <v>Armas Físicas De Ki+15</v>
      </c>
      <c r="M449" s="227"/>
    </row>
    <row r="450" spans="1:13" ht="12" customHeight="1" x14ac:dyDescent="0.2">
      <c r="A450" s="6342"/>
      <c r="B450" s="6358"/>
      <c r="C450" s="39" t="s">
        <v>9172</v>
      </c>
      <c r="D450" s="78" t="s">
        <v>2699</v>
      </c>
      <c r="E450" s="1147">
        <v>10</v>
      </c>
      <c r="F450" s="1148">
        <v>13</v>
      </c>
      <c r="G450" s="1147">
        <v>20</v>
      </c>
      <c r="H450" s="1147">
        <v>4</v>
      </c>
      <c r="I450" s="1147">
        <v>8</v>
      </c>
      <c r="J450" s="1147">
        <v>14</v>
      </c>
      <c r="K450" s="1147">
        <v>3</v>
      </c>
      <c r="L450" s="1953" t="str">
        <f t="shared" si="18"/>
        <v>Armas Físicas De Ki+20</v>
      </c>
      <c r="M450" s="227"/>
    </row>
    <row r="451" spans="1:13" ht="12" customHeight="1" x14ac:dyDescent="0.2">
      <c r="A451" s="6342"/>
      <c r="B451" s="6358"/>
      <c r="C451" s="39" t="s">
        <v>9172</v>
      </c>
      <c r="D451" s="78" t="s">
        <v>3143</v>
      </c>
      <c r="E451" s="1147">
        <v>2</v>
      </c>
      <c r="F451" s="1148">
        <v>2</v>
      </c>
      <c r="G451" s="1147">
        <v>10</v>
      </c>
      <c r="H451" s="1147">
        <v>1</v>
      </c>
      <c r="I451" s="1147">
        <v>2</v>
      </c>
      <c r="J451" s="1147">
        <v>4</v>
      </c>
      <c r="K451" s="1147"/>
      <c r="L451" s="1953" t="str">
        <f t="shared" si="18"/>
        <v>Armas Físicas De KiArma de Proyectil</v>
      </c>
      <c r="M451" s="227"/>
    </row>
    <row r="452" spans="1:13" ht="12" customHeight="1" x14ac:dyDescent="0.2">
      <c r="A452" s="6342"/>
      <c r="B452" s="6358"/>
      <c r="C452" s="39" t="s">
        <v>9172</v>
      </c>
      <c r="D452" s="78" t="s">
        <v>3144</v>
      </c>
      <c r="E452" s="1147">
        <v>1</v>
      </c>
      <c r="F452" s="1148">
        <v>1</v>
      </c>
      <c r="G452" s="1147">
        <v>5</v>
      </c>
      <c r="H452" s="1147">
        <v>1</v>
      </c>
      <c r="I452" s="1147">
        <v>2</v>
      </c>
      <c r="J452" s="1147">
        <v>4</v>
      </c>
      <c r="K452" s="1147"/>
      <c r="L452" s="1953" t="str">
        <f t="shared" si="18"/>
        <v>Armas Físicas De Ki1 Arma Adicional</v>
      </c>
      <c r="M452" s="227"/>
    </row>
    <row r="453" spans="1:13" ht="12" customHeight="1" x14ac:dyDescent="0.2">
      <c r="A453" s="6342"/>
      <c r="B453" s="6358"/>
      <c r="C453" s="39" t="s">
        <v>9172</v>
      </c>
      <c r="D453" s="78" t="s">
        <v>3145</v>
      </c>
      <c r="E453" s="1147">
        <v>2</v>
      </c>
      <c r="F453" s="1148">
        <v>2</v>
      </c>
      <c r="G453" s="1147">
        <v>10</v>
      </c>
      <c r="H453" s="1147">
        <v>2</v>
      </c>
      <c r="I453" s="1147">
        <v>4</v>
      </c>
      <c r="J453" s="1147">
        <v>7</v>
      </c>
      <c r="K453" s="1147"/>
      <c r="L453" s="1953" t="str">
        <f t="shared" si="18"/>
        <v>Armas Físicas De KiDe 2 a 3 Armas Adicionales</v>
      </c>
      <c r="M453" s="227"/>
    </row>
    <row r="454" spans="1:13" ht="12" customHeight="1" x14ac:dyDescent="0.2">
      <c r="A454" s="6342"/>
      <c r="B454" s="6358"/>
      <c r="C454" s="39" t="s">
        <v>9172</v>
      </c>
      <c r="D454" s="78" t="s">
        <v>3146</v>
      </c>
      <c r="E454" s="1147">
        <v>4</v>
      </c>
      <c r="F454" s="1148">
        <v>4</v>
      </c>
      <c r="G454" s="1147">
        <v>15</v>
      </c>
      <c r="H454" s="1147">
        <v>3</v>
      </c>
      <c r="I454" s="1147">
        <v>6</v>
      </c>
      <c r="J454" s="1147">
        <v>11</v>
      </c>
      <c r="K454" s="1147"/>
      <c r="L454" s="1953" t="str">
        <f t="shared" si="18"/>
        <v>Armas Físicas De KiDe 4 a 10 Armas Adicionales</v>
      </c>
      <c r="M454" s="227"/>
    </row>
    <row r="455" spans="1:13" ht="12" customHeight="1" x14ac:dyDescent="0.2">
      <c r="A455" s="6342"/>
      <c r="B455" s="6358"/>
      <c r="C455" s="39" t="s">
        <v>9172</v>
      </c>
      <c r="D455" s="78" t="s">
        <v>3147</v>
      </c>
      <c r="E455" s="1147">
        <v>6</v>
      </c>
      <c r="F455" s="1148">
        <v>6</v>
      </c>
      <c r="G455" s="1147">
        <v>20</v>
      </c>
      <c r="H455" s="1147">
        <v>4</v>
      </c>
      <c r="I455" s="1147">
        <v>8</v>
      </c>
      <c r="J455" s="1147">
        <v>14</v>
      </c>
      <c r="K455" s="1147"/>
      <c r="L455" s="1953" t="str">
        <f t="shared" si="18"/>
        <v>Armas Físicas De KiArmas Adicionales Ilimitadas</v>
      </c>
      <c r="M455" s="227"/>
    </row>
    <row r="456" spans="1:13" ht="12" customHeight="1" x14ac:dyDescent="0.2">
      <c r="A456" s="6342"/>
      <c r="B456" s="6358"/>
      <c r="C456" s="39" t="s">
        <v>9173</v>
      </c>
      <c r="D456" s="78"/>
      <c r="E456" s="1147"/>
      <c r="F456" s="1148"/>
      <c r="G456" s="1147"/>
      <c r="H456" s="1147"/>
      <c r="I456" s="1147"/>
      <c r="J456" s="1147"/>
      <c r="K456" s="1147"/>
      <c r="L456" s="1953" t="str">
        <f t="shared" si="18"/>
        <v>&gt; ATAQUE SOBRENATURAL</v>
      </c>
      <c r="M456" s="227"/>
    </row>
    <row r="457" spans="1:13" ht="12" customHeight="1" x14ac:dyDescent="0.2">
      <c r="A457" s="6342"/>
      <c r="B457" s="6358"/>
      <c r="C457" s="39" t="s">
        <v>3148</v>
      </c>
      <c r="D457" s="78"/>
      <c r="E457" s="1147">
        <v>5</v>
      </c>
      <c r="F457" s="1148">
        <v>8</v>
      </c>
      <c r="G457" s="1147">
        <v>10</v>
      </c>
      <c r="H457" s="1147">
        <v>1</v>
      </c>
      <c r="I457" s="1147">
        <v>2</v>
      </c>
      <c r="J457" s="1147">
        <v>4</v>
      </c>
      <c r="K457" s="1147">
        <v>1</v>
      </c>
      <c r="L457" s="1953" t="str">
        <f t="shared" si="18"/>
        <v>Ataque Sobrenatural</v>
      </c>
      <c r="M457" s="227"/>
    </row>
    <row r="458" spans="1:13" ht="12" customHeight="1" x14ac:dyDescent="0.2">
      <c r="A458" s="6342"/>
      <c r="B458" s="6358"/>
      <c r="C458" s="39" t="s">
        <v>9174</v>
      </c>
      <c r="D458" s="78"/>
      <c r="E458" s="1147"/>
      <c r="F458" s="1148"/>
      <c r="G458" s="1147"/>
      <c r="H458" s="1147"/>
      <c r="I458" s="1147"/>
      <c r="J458" s="1147"/>
      <c r="K458" s="1147"/>
      <c r="L458" s="1953" t="str">
        <f t="shared" si="18"/>
        <v>&gt; ABSORCIÓN DE KI</v>
      </c>
      <c r="M458" s="227"/>
    </row>
    <row r="459" spans="1:13" ht="12" customHeight="1" x14ac:dyDescent="0.2">
      <c r="A459" s="6342"/>
      <c r="B459" s="6358"/>
      <c r="C459" s="39" t="s">
        <v>9175</v>
      </c>
      <c r="D459" s="78" t="s">
        <v>9176</v>
      </c>
      <c r="E459" s="1147">
        <v>1</v>
      </c>
      <c r="F459" s="1148">
        <v>2</v>
      </c>
      <c r="G459" s="1147">
        <v>5</v>
      </c>
      <c r="H459" s="1147">
        <v>1</v>
      </c>
      <c r="I459" s="1147">
        <v>2</v>
      </c>
      <c r="J459" s="1147">
        <v>4</v>
      </c>
      <c r="K459" s="1147">
        <v>1</v>
      </c>
      <c r="L459" s="1953" t="str">
        <f t="shared" ref="L459:L487" si="19">C459&amp;D459</f>
        <v>Absorción De KiHasta 5 Ki</v>
      </c>
      <c r="M459" s="227"/>
    </row>
    <row r="460" spans="1:13" ht="12" customHeight="1" x14ac:dyDescent="0.2">
      <c r="A460" s="6342"/>
      <c r="B460" s="6358"/>
      <c r="C460" s="39" t="s">
        <v>9175</v>
      </c>
      <c r="D460" s="78" t="s">
        <v>9177</v>
      </c>
      <c r="E460" s="1147">
        <v>2</v>
      </c>
      <c r="F460" s="1148">
        <v>4</v>
      </c>
      <c r="G460" s="1147">
        <v>10</v>
      </c>
      <c r="H460" s="1147">
        <v>2</v>
      </c>
      <c r="I460" s="1147">
        <v>4</v>
      </c>
      <c r="J460" s="1147">
        <v>7</v>
      </c>
      <c r="K460" s="1147">
        <v>1</v>
      </c>
      <c r="L460" s="1953" t="str">
        <f t="shared" si="19"/>
        <v>Absorción De KiHasta 10 Ki</v>
      </c>
      <c r="M460" s="227"/>
    </row>
    <row r="461" spans="1:13" ht="12" customHeight="1" x14ac:dyDescent="0.2">
      <c r="A461" s="6342"/>
      <c r="B461" s="6358"/>
      <c r="C461" s="39" t="s">
        <v>9175</v>
      </c>
      <c r="D461" s="78" t="s">
        <v>9178</v>
      </c>
      <c r="E461" s="1147">
        <v>4</v>
      </c>
      <c r="F461" s="1148">
        <v>6</v>
      </c>
      <c r="G461" s="1147">
        <v>15</v>
      </c>
      <c r="H461" s="1147">
        <v>3</v>
      </c>
      <c r="I461" s="1147">
        <v>6</v>
      </c>
      <c r="J461" s="1147">
        <v>11</v>
      </c>
      <c r="K461" s="1147">
        <v>2</v>
      </c>
      <c r="L461" s="1953" t="str">
        <f t="shared" si="19"/>
        <v>Absorción De KiHasta 15 Ki</v>
      </c>
      <c r="M461" s="227"/>
    </row>
    <row r="462" spans="1:13" ht="12" customHeight="1" x14ac:dyDescent="0.2">
      <c r="A462" s="6342"/>
      <c r="B462" s="6358"/>
      <c r="C462" s="39" t="s">
        <v>9175</v>
      </c>
      <c r="D462" s="78" t="s">
        <v>9179</v>
      </c>
      <c r="E462" s="1147">
        <v>6</v>
      </c>
      <c r="F462" s="1148">
        <v>9</v>
      </c>
      <c r="G462" s="1147">
        <v>20</v>
      </c>
      <c r="H462" s="1147">
        <v>4</v>
      </c>
      <c r="I462" s="1147">
        <v>8</v>
      </c>
      <c r="J462" s="1147">
        <v>14</v>
      </c>
      <c r="K462" s="1147">
        <v>2</v>
      </c>
      <c r="L462" s="1953" t="str">
        <f t="shared" si="19"/>
        <v>Absorción De KiHasta 20 Ki</v>
      </c>
      <c r="M462" s="227"/>
    </row>
    <row r="463" spans="1:13" ht="12" customHeight="1" x14ac:dyDescent="0.2">
      <c r="A463" s="6342"/>
      <c r="B463" s="6358"/>
      <c r="C463" s="39" t="s">
        <v>9175</v>
      </c>
      <c r="D463" s="78" t="s">
        <v>9180</v>
      </c>
      <c r="E463" s="1147">
        <v>8</v>
      </c>
      <c r="F463" s="1148">
        <v>11</v>
      </c>
      <c r="G463" s="1147">
        <v>25</v>
      </c>
      <c r="H463" s="1147">
        <v>6</v>
      </c>
      <c r="I463" s="1147">
        <v>12</v>
      </c>
      <c r="J463" s="1147">
        <v>21</v>
      </c>
      <c r="K463" s="1147">
        <v>2</v>
      </c>
      <c r="L463" s="1953" t="str">
        <f t="shared" si="19"/>
        <v>Absorción De KiHasta 25 Ki</v>
      </c>
      <c r="M463" s="227"/>
    </row>
    <row r="464" spans="1:13" ht="12" customHeight="1" x14ac:dyDescent="0.2">
      <c r="A464" s="6342"/>
      <c r="B464" s="6358"/>
      <c r="C464" s="39" t="s">
        <v>9175</v>
      </c>
      <c r="D464" s="78" t="s">
        <v>5270</v>
      </c>
      <c r="E464" s="1147">
        <v>10</v>
      </c>
      <c r="F464" s="1148">
        <v>13</v>
      </c>
      <c r="G464" s="1147">
        <v>30</v>
      </c>
      <c r="H464" s="1147">
        <v>8</v>
      </c>
      <c r="I464" s="1147">
        <v>16</v>
      </c>
      <c r="J464" s="1147">
        <v>28</v>
      </c>
      <c r="K464" s="1147">
        <v>3</v>
      </c>
      <c r="L464" s="1953" t="str">
        <f t="shared" si="19"/>
        <v>Absorción De KiSin Límite</v>
      </c>
      <c r="M464" s="227"/>
    </row>
    <row r="465" spans="1:13" ht="12" customHeight="1" x14ac:dyDescent="0.2">
      <c r="A465" s="6342"/>
      <c r="B465" s="6358"/>
      <c r="C465" s="39" t="s">
        <v>9181</v>
      </c>
      <c r="D465" s="78"/>
      <c r="E465" s="1147"/>
      <c r="F465" s="1148"/>
      <c r="G465" s="1147"/>
      <c r="H465" s="1147"/>
      <c r="I465" s="1147"/>
      <c r="J465" s="1147"/>
      <c r="K465" s="1147"/>
      <c r="L465" s="1953" t="str">
        <f t="shared" si="19"/>
        <v>&gt; APRESAMIENTO</v>
      </c>
      <c r="M465" s="227"/>
    </row>
    <row r="466" spans="1:13" ht="12" customHeight="1" x14ac:dyDescent="0.2">
      <c r="A466" s="6342"/>
      <c r="B466" s="6358"/>
      <c r="C466" s="39" t="s">
        <v>2923</v>
      </c>
      <c r="D466" s="78" t="s">
        <v>9241</v>
      </c>
      <c r="E466" s="1147">
        <v>2</v>
      </c>
      <c r="F466" s="1148">
        <v>4</v>
      </c>
      <c r="G466" s="1147">
        <v>5</v>
      </c>
      <c r="H466" s="1147">
        <v>1</v>
      </c>
      <c r="I466" s="1147">
        <v>2</v>
      </c>
      <c r="J466" s="1147">
        <v>4</v>
      </c>
      <c r="K466" s="1147">
        <v>1</v>
      </c>
      <c r="L466" s="1953" t="str">
        <f t="shared" si="19"/>
        <v>ApresamientoFUE 4</v>
      </c>
      <c r="M466" s="227"/>
    </row>
    <row r="467" spans="1:13" ht="12" customHeight="1" x14ac:dyDescent="0.2">
      <c r="A467" s="6342"/>
      <c r="B467" s="6358"/>
      <c r="C467" s="39" t="s">
        <v>2923</v>
      </c>
      <c r="D467" s="78" t="s">
        <v>9242</v>
      </c>
      <c r="E467" s="1147">
        <v>3</v>
      </c>
      <c r="F467" s="1148">
        <v>5</v>
      </c>
      <c r="G467" s="1147">
        <v>10</v>
      </c>
      <c r="H467" s="1147">
        <v>2</v>
      </c>
      <c r="I467" s="1147">
        <v>4</v>
      </c>
      <c r="J467" s="1147">
        <v>7</v>
      </c>
      <c r="K467" s="1147">
        <v>1</v>
      </c>
      <c r="L467" s="1953" t="str">
        <f t="shared" si="19"/>
        <v>ApresamientoFUE 6</v>
      </c>
      <c r="M467" s="227"/>
    </row>
    <row r="468" spans="1:13" ht="12" customHeight="1" x14ac:dyDescent="0.2">
      <c r="A468" s="6342"/>
      <c r="B468" s="6358"/>
      <c r="C468" s="39" t="s">
        <v>2923</v>
      </c>
      <c r="D468" s="78" t="s">
        <v>9243</v>
      </c>
      <c r="E468" s="1147">
        <v>4</v>
      </c>
      <c r="F468" s="1148">
        <v>6</v>
      </c>
      <c r="G468" s="1147">
        <v>10</v>
      </c>
      <c r="H468" s="1147">
        <v>3</v>
      </c>
      <c r="I468" s="1147">
        <v>6</v>
      </c>
      <c r="J468" s="1147">
        <v>11</v>
      </c>
      <c r="K468" s="1147">
        <v>1</v>
      </c>
      <c r="L468" s="1953" t="str">
        <f t="shared" si="19"/>
        <v>ApresamientoFUE 8</v>
      </c>
      <c r="M468" s="227"/>
    </row>
    <row r="469" spans="1:13" ht="12" customHeight="1" x14ac:dyDescent="0.2">
      <c r="A469" s="6342"/>
      <c r="B469" s="6358"/>
      <c r="C469" s="39" t="s">
        <v>2923</v>
      </c>
      <c r="D469" s="78" t="s">
        <v>9244</v>
      </c>
      <c r="E469" s="1147">
        <v>5</v>
      </c>
      <c r="F469" s="1148">
        <v>8</v>
      </c>
      <c r="G469" s="1147">
        <v>15</v>
      </c>
      <c r="H469" s="1147">
        <v>4</v>
      </c>
      <c r="I469" s="1147">
        <v>8</v>
      </c>
      <c r="J469" s="1147">
        <v>14</v>
      </c>
      <c r="K469" s="1147">
        <v>1</v>
      </c>
      <c r="L469" s="1953" t="str">
        <f t="shared" si="19"/>
        <v>ApresamientoFUE 10</v>
      </c>
      <c r="M469" s="227"/>
    </row>
    <row r="470" spans="1:13" ht="12" customHeight="1" x14ac:dyDescent="0.2">
      <c r="A470" s="6342"/>
      <c r="B470" s="6358"/>
      <c r="C470" s="39" t="s">
        <v>2923</v>
      </c>
      <c r="D470" s="78" t="s">
        <v>9245</v>
      </c>
      <c r="E470" s="1147">
        <v>6</v>
      </c>
      <c r="F470" s="1148">
        <v>9</v>
      </c>
      <c r="G470" s="1147">
        <v>20</v>
      </c>
      <c r="H470" s="1147">
        <v>5</v>
      </c>
      <c r="I470" s="1147">
        <v>10</v>
      </c>
      <c r="J470" s="1147">
        <v>18</v>
      </c>
      <c r="K470" s="1147">
        <v>1</v>
      </c>
      <c r="L470" s="1953" t="str">
        <f t="shared" si="19"/>
        <v>ApresamientoFUE 12</v>
      </c>
      <c r="M470" s="227"/>
    </row>
    <row r="471" spans="1:13" ht="12" customHeight="1" x14ac:dyDescent="0.2">
      <c r="A471" s="6342"/>
      <c r="B471" s="6358"/>
      <c r="C471" s="39" t="s">
        <v>2923</v>
      </c>
      <c r="D471" s="78" t="s">
        <v>9246</v>
      </c>
      <c r="E471" s="1147">
        <v>8</v>
      </c>
      <c r="F471" s="1148">
        <v>11</v>
      </c>
      <c r="G471" s="1147">
        <v>25</v>
      </c>
      <c r="H471" s="1147">
        <v>6</v>
      </c>
      <c r="I471" s="1147">
        <v>12</v>
      </c>
      <c r="J471" s="1147">
        <v>21</v>
      </c>
      <c r="K471" s="1147">
        <v>2</v>
      </c>
      <c r="L471" s="1953" t="str">
        <f t="shared" si="19"/>
        <v>ApresamientoFUE 14</v>
      </c>
      <c r="M471" s="227"/>
    </row>
    <row r="472" spans="1:13" ht="12" customHeight="1" x14ac:dyDescent="0.2">
      <c r="A472" s="6342"/>
      <c r="B472" s="6358"/>
      <c r="C472" s="39" t="s">
        <v>2923</v>
      </c>
      <c r="D472" s="78" t="s">
        <v>9247</v>
      </c>
      <c r="E472" s="1147">
        <v>10</v>
      </c>
      <c r="F472" s="1148">
        <v>13</v>
      </c>
      <c r="G472" s="1147">
        <v>30</v>
      </c>
      <c r="H472" s="1147">
        <v>7</v>
      </c>
      <c r="I472" s="1147">
        <v>14</v>
      </c>
      <c r="J472" s="1147">
        <v>25</v>
      </c>
      <c r="K472" s="1147">
        <v>2</v>
      </c>
      <c r="L472" s="1953" t="str">
        <f t="shared" si="19"/>
        <v>ApresamientoFUE 16</v>
      </c>
      <c r="M472" s="227"/>
    </row>
    <row r="473" spans="1:13" ht="12" customHeight="1" x14ac:dyDescent="0.2">
      <c r="A473" s="6342"/>
      <c r="B473" s="6358"/>
      <c r="C473" s="39" t="s">
        <v>2923</v>
      </c>
      <c r="D473" s="78" t="s">
        <v>9248</v>
      </c>
      <c r="E473" s="1147">
        <v>14</v>
      </c>
      <c r="F473" s="1148">
        <v>18</v>
      </c>
      <c r="G473" s="1147">
        <v>35</v>
      </c>
      <c r="H473" s="1147">
        <v>8</v>
      </c>
      <c r="I473" s="1147">
        <v>16</v>
      </c>
      <c r="J473" s="1147">
        <v>28</v>
      </c>
      <c r="K473" s="1147">
        <v>3</v>
      </c>
      <c r="L473" s="1953" t="str">
        <f t="shared" si="19"/>
        <v>ApresamientoFUE 18</v>
      </c>
      <c r="M473" s="227"/>
    </row>
    <row r="474" spans="1:13" ht="12" customHeight="1" x14ac:dyDescent="0.2">
      <c r="A474" s="6342"/>
      <c r="B474" s="6358"/>
      <c r="C474" s="39" t="s">
        <v>2923</v>
      </c>
      <c r="D474" s="78" t="s">
        <v>9249</v>
      </c>
      <c r="E474" s="1147">
        <v>18</v>
      </c>
      <c r="F474" s="1148">
        <v>22</v>
      </c>
      <c r="G474" s="1147">
        <v>40</v>
      </c>
      <c r="H474" s="1147">
        <v>10</v>
      </c>
      <c r="I474" s="1147">
        <v>20</v>
      </c>
      <c r="J474" s="1147">
        <v>35</v>
      </c>
      <c r="K474" s="1147">
        <v>3</v>
      </c>
      <c r="L474" s="1953" t="str">
        <f t="shared" si="19"/>
        <v>ApresamientoFUE 20</v>
      </c>
      <c r="M474" s="227"/>
    </row>
    <row r="475" spans="1:13" ht="12" customHeight="1" x14ac:dyDescent="0.2">
      <c r="A475" s="6342"/>
      <c r="B475" s="6358"/>
      <c r="C475" s="39" t="s">
        <v>2923</v>
      </c>
      <c r="D475" s="78" t="s">
        <v>3149</v>
      </c>
      <c r="E475" s="1147">
        <v>1</v>
      </c>
      <c r="F475" s="1148">
        <v>1</v>
      </c>
      <c r="G475" s="1147">
        <v>5</v>
      </c>
      <c r="H475" s="1147">
        <v>1</v>
      </c>
      <c r="I475" s="1147">
        <v>2</v>
      </c>
      <c r="J475" s="1147">
        <v>4</v>
      </c>
      <c r="K475" s="1147"/>
      <c r="L475" s="1953" t="str">
        <f t="shared" si="19"/>
        <v>ApresamientoPresa Existencial</v>
      </c>
      <c r="M475" s="227"/>
    </row>
    <row r="476" spans="1:13" ht="12" customHeight="1" x14ac:dyDescent="0.2">
      <c r="A476" s="6342"/>
      <c r="B476" s="6358"/>
      <c r="C476" s="39" t="s">
        <v>9182</v>
      </c>
      <c r="D476" s="78"/>
      <c r="E476" s="1147"/>
      <c r="F476" s="1148"/>
      <c r="G476" s="1147"/>
      <c r="H476" s="1147"/>
      <c r="I476" s="1147"/>
      <c r="J476" s="1147"/>
      <c r="K476" s="1147"/>
      <c r="L476" s="1953" t="str">
        <f t="shared" si="19"/>
        <v>&gt; CHOQUE FÍSICO</v>
      </c>
      <c r="M476" s="227"/>
    </row>
    <row r="477" spans="1:13" ht="12" customHeight="1" x14ac:dyDescent="0.2">
      <c r="A477" s="6342"/>
      <c r="B477" s="6358"/>
      <c r="C477" s="39" t="s">
        <v>3150</v>
      </c>
      <c r="D477" s="78"/>
      <c r="E477" s="1147">
        <v>1</v>
      </c>
      <c r="F477" s="1148">
        <v>2</v>
      </c>
      <c r="G477" s="1147">
        <v>5</v>
      </c>
      <c r="H477" s="1147">
        <v>1</v>
      </c>
      <c r="I477" s="1147">
        <v>2</v>
      </c>
      <c r="J477" s="1147">
        <v>4</v>
      </c>
      <c r="K477" s="1147">
        <v>1</v>
      </c>
      <c r="L477" s="1953" t="str">
        <f t="shared" si="19"/>
        <v>Choque Físico</v>
      </c>
      <c r="M477" s="227"/>
    </row>
    <row r="478" spans="1:13" ht="12" customHeight="1" x14ac:dyDescent="0.2">
      <c r="A478" s="6342"/>
      <c r="B478" s="6358"/>
      <c r="C478" s="39" t="s">
        <v>9183</v>
      </c>
      <c r="D478" s="78"/>
      <c r="E478" s="1147"/>
      <c r="F478" s="1148"/>
      <c r="G478" s="1147"/>
      <c r="H478" s="1147"/>
      <c r="I478" s="1147"/>
      <c r="J478" s="1147"/>
      <c r="K478" s="1147"/>
      <c r="L478" s="1953" t="str">
        <f t="shared" si="19"/>
        <v>&gt; ACUMULACIÓN</v>
      </c>
      <c r="M478" s="227"/>
    </row>
    <row r="479" spans="1:13" ht="12" customHeight="1" x14ac:dyDescent="0.2">
      <c r="A479" s="6342"/>
      <c r="B479" s="6358"/>
      <c r="C479" s="39" t="s">
        <v>1686</v>
      </c>
      <c r="D479" s="78" t="s">
        <v>9184</v>
      </c>
      <c r="E479" s="1147">
        <v>2</v>
      </c>
      <c r="F479" s="1148">
        <v>4</v>
      </c>
      <c r="G479" s="1147">
        <v>5</v>
      </c>
      <c r="H479" s="1147">
        <v>1</v>
      </c>
      <c r="I479" s="1147">
        <v>2</v>
      </c>
      <c r="J479" s="1147">
        <v>4</v>
      </c>
      <c r="K479" s="1147">
        <v>1</v>
      </c>
      <c r="L479" s="1953" t="str">
        <f t="shared" si="19"/>
        <v>Acumulación100 PV</v>
      </c>
      <c r="M479" s="227"/>
    </row>
    <row r="480" spans="1:13" ht="12" customHeight="1" x14ac:dyDescent="0.2">
      <c r="A480" s="6342"/>
      <c r="B480" s="6358"/>
      <c r="C480" s="39" t="s">
        <v>1686</v>
      </c>
      <c r="D480" s="78" t="s">
        <v>9185</v>
      </c>
      <c r="E480" s="1147">
        <v>3</v>
      </c>
      <c r="F480" s="1148">
        <v>5</v>
      </c>
      <c r="G480" s="1147">
        <v>5</v>
      </c>
      <c r="H480" s="1147">
        <v>1</v>
      </c>
      <c r="I480" s="1147">
        <v>2</v>
      </c>
      <c r="J480" s="1147">
        <v>4</v>
      </c>
      <c r="K480" s="1147">
        <v>1</v>
      </c>
      <c r="L480" s="1953" t="str">
        <f t="shared" si="19"/>
        <v>Acumulación200 PV</v>
      </c>
      <c r="M480" s="227"/>
    </row>
    <row r="481" spans="1:13" ht="12" customHeight="1" x14ac:dyDescent="0.2">
      <c r="A481" s="6342"/>
      <c r="B481" s="6358"/>
      <c r="C481" s="39" t="s">
        <v>1686</v>
      </c>
      <c r="D481" s="78" t="s">
        <v>9186</v>
      </c>
      <c r="E481" s="1147">
        <v>4</v>
      </c>
      <c r="F481" s="1148">
        <v>6</v>
      </c>
      <c r="G481" s="1147">
        <v>10</v>
      </c>
      <c r="H481" s="1147">
        <v>2</v>
      </c>
      <c r="I481" s="1147">
        <v>4</v>
      </c>
      <c r="J481" s="1147">
        <v>7</v>
      </c>
      <c r="K481" s="1147">
        <v>1</v>
      </c>
      <c r="L481" s="1953" t="str">
        <f t="shared" si="19"/>
        <v>Acumulación300 PV</v>
      </c>
      <c r="M481" s="227"/>
    </row>
    <row r="482" spans="1:13" ht="12" customHeight="1" x14ac:dyDescent="0.2">
      <c r="A482" s="6342"/>
      <c r="B482" s="6358"/>
      <c r="C482" s="39" t="s">
        <v>1686</v>
      </c>
      <c r="D482" s="78" t="s">
        <v>9187</v>
      </c>
      <c r="E482" s="1147">
        <v>5</v>
      </c>
      <c r="F482" s="1148">
        <v>8</v>
      </c>
      <c r="G482" s="1147">
        <v>15</v>
      </c>
      <c r="H482" s="1147">
        <v>3</v>
      </c>
      <c r="I482" s="1147">
        <v>6</v>
      </c>
      <c r="J482" s="1147">
        <v>11</v>
      </c>
      <c r="K482" s="1147">
        <v>1</v>
      </c>
      <c r="L482" s="1953" t="str">
        <f t="shared" si="19"/>
        <v>Acumulación400 PV</v>
      </c>
      <c r="M482" s="227"/>
    </row>
    <row r="483" spans="1:13" ht="12" customHeight="1" x14ac:dyDescent="0.2">
      <c r="A483" s="6342"/>
      <c r="B483" s="6358"/>
      <c r="C483" s="39" t="s">
        <v>1686</v>
      </c>
      <c r="D483" s="78" t="s">
        <v>9188</v>
      </c>
      <c r="E483" s="1147">
        <v>8</v>
      </c>
      <c r="F483" s="1148">
        <v>11</v>
      </c>
      <c r="G483" s="1147">
        <v>20</v>
      </c>
      <c r="H483" s="1147">
        <v>4</v>
      </c>
      <c r="I483" s="1147">
        <v>8</v>
      </c>
      <c r="J483" s="1147">
        <v>14</v>
      </c>
      <c r="K483" s="1147">
        <v>1</v>
      </c>
      <c r="L483" s="1953" t="str">
        <f t="shared" si="19"/>
        <v>Acumulación600 PV</v>
      </c>
      <c r="M483" s="227"/>
    </row>
    <row r="484" spans="1:13" ht="12" customHeight="1" x14ac:dyDescent="0.2">
      <c r="A484" s="6342"/>
      <c r="B484" s="6358"/>
      <c r="C484" s="39" t="s">
        <v>1686</v>
      </c>
      <c r="D484" s="78" t="s">
        <v>9189</v>
      </c>
      <c r="E484" s="1147">
        <v>12</v>
      </c>
      <c r="F484" s="1148">
        <v>15</v>
      </c>
      <c r="G484" s="1147">
        <v>25</v>
      </c>
      <c r="H484" s="1147">
        <v>5</v>
      </c>
      <c r="I484" s="1147">
        <v>10</v>
      </c>
      <c r="J484" s="1147">
        <v>18</v>
      </c>
      <c r="K484" s="1147">
        <v>1</v>
      </c>
      <c r="L484" s="1953" t="str">
        <f t="shared" si="19"/>
        <v>Acumulación800 PV</v>
      </c>
      <c r="M484" s="227"/>
    </row>
    <row r="485" spans="1:13" ht="12" customHeight="1" x14ac:dyDescent="0.2">
      <c r="A485" s="6342"/>
      <c r="B485" s="6358"/>
      <c r="C485" s="39" t="s">
        <v>1686</v>
      </c>
      <c r="D485" s="78" t="s">
        <v>9190</v>
      </c>
      <c r="E485" s="1147">
        <v>14</v>
      </c>
      <c r="F485" s="1148">
        <v>18</v>
      </c>
      <c r="G485" s="1147">
        <v>30</v>
      </c>
      <c r="H485" s="1147">
        <v>8</v>
      </c>
      <c r="I485" s="1147">
        <v>16</v>
      </c>
      <c r="J485" s="1147">
        <v>28</v>
      </c>
      <c r="K485" s="1147">
        <v>2</v>
      </c>
      <c r="L485" s="1953" t="str">
        <f t="shared" si="19"/>
        <v>Acumulación1.000 PV</v>
      </c>
      <c r="M485" s="227"/>
    </row>
    <row r="486" spans="1:13" ht="12" customHeight="1" x14ac:dyDescent="0.2">
      <c r="A486" s="6342"/>
      <c r="B486" s="6358"/>
      <c r="C486" s="39" t="s">
        <v>1686</v>
      </c>
      <c r="D486" s="78" t="s">
        <v>9191</v>
      </c>
      <c r="E486" s="1147">
        <v>18</v>
      </c>
      <c r="F486" s="1148">
        <v>22</v>
      </c>
      <c r="G486" s="1147">
        <v>35</v>
      </c>
      <c r="H486" s="1147">
        <v>10</v>
      </c>
      <c r="I486" s="1147">
        <v>20</v>
      </c>
      <c r="J486" s="1147">
        <v>35</v>
      </c>
      <c r="K486" s="1147">
        <v>2</v>
      </c>
      <c r="L486" s="1953" t="str">
        <f t="shared" si="19"/>
        <v>Acumulación1.200 PV</v>
      </c>
      <c r="M486" s="227"/>
    </row>
    <row r="487" spans="1:13" ht="12" customHeight="1" x14ac:dyDescent="0.2">
      <c r="A487" s="6342"/>
      <c r="B487" s="6358"/>
      <c r="C487" s="39" t="s">
        <v>1686</v>
      </c>
      <c r="D487" s="78" t="s">
        <v>9192</v>
      </c>
      <c r="E487" s="1147">
        <v>22</v>
      </c>
      <c r="F487" s="1148">
        <v>26</v>
      </c>
      <c r="G487" s="1147">
        <v>40</v>
      </c>
      <c r="H487" s="1147">
        <v>12</v>
      </c>
      <c r="I487" s="1147">
        <v>24</v>
      </c>
      <c r="J487" s="1147">
        <v>42</v>
      </c>
      <c r="K487" s="1147">
        <v>3</v>
      </c>
      <c r="L487" s="1953" t="str">
        <f t="shared" si="19"/>
        <v>Acumulación1.500 PV</v>
      </c>
      <c r="M487" s="227"/>
    </row>
    <row r="488" spans="1:13" ht="12" customHeight="1" x14ac:dyDescent="0.2">
      <c r="A488" s="6342"/>
      <c r="B488" s="6358"/>
      <c r="C488" s="39" t="s">
        <v>1686</v>
      </c>
      <c r="D488" s="78" t="s">
        <v>3151</v>
      </c>
      <c r="E488" s="1147">
        <v>1</v>
      </c>
      <c r="F488" s="1148">
        <v>1</v>
      </c>
      <c r="G488" s="1147">
        <v>5</v>
      </c>
      <c r="H488" s="1147">
        <v>1</v>
      </c>
      <c r="I488" s="1147">
        <v>2</v>
      </c>
      <c r="J488" s="1147">
        <v>4</v>
      </c>
      <c r="K488" s="1147"/>
      <c r="L488" s="1953" t="str">
        <f t="shared" ref="L488:L520" si="20">C488&amp;D488</f>
        <v>AcumulaciónRegeneración 100</v>
      </c>
      <c r="M488" s="227"/>
    </row>
    <row r="489" spans="1:13" ht="12" customHeight="1" x14ac:dyDescent="0.2">
      <c r="A489" s="6342"/>
      <c r="B489" s="6358"/>
      <c r="C489" s="39" t="s">
        <v>1686</v>
      </c>
      <c r="D489" s="78" t="s">
        <v>3152</v>
      </c>
      <c r="E489" s="1147">
        <v>2</v>
      </c>
      <c r="F489" s="1148">
        <v>2</v>
      </c>
      <c r="G489" s="1147">
        <v>10</v>
      </c>
      <c r="H489" s="1147">
        <v>2</v>
      </c>
      <c r="I489" s="1147">
        <v>4</v>
      </c>
      <c r="J489" s="1147">
        <v>7</v>
      </c>
      <c r="K489" s="1147"/>
      <c r="L489" s="1953" t="str">
        <f t="shared" si="20"/>
        <v>AcumulaciónRegeneración 250</v>
      </c>
      <c r="M489" s="227"/>
    </row>
    <row r="490" spans="1:13" ht="12" customHeight="1" x14ac:dyDescent="0.2">
      <c r="A490" s="6342"/>
      <c r="B490" s="6358"/>
      <c r="C490" s="39" t="s">
        <v>1686</v>
      </c>
      <c r="D490" s="78" t="s">
        <v>3153</v>
      </c>
      <c r="E490" s="1147">
        <v>4</v>
      </c>
      <c r="F490" s="1148">
        <v>4</v>
      </c>
      <c r="G490" s="1147">
        <v>15</v>
      </c>
      <c r="H490" s="1147">
        <v>3</v>
      </c>
      <c r="I490" s="1147">
        <v>6</v>
      </c>
      <c r="J490" s="1147">
        <v>11</v>
      </c>
      <c r="K490" s="1147"/>
      <c r="L490" s="1953" t="str">
        <f t="shared" si="20"/>
        <v>AcumulaciónRegeneración 500</v>
      </c>
      <c r="M490" s="227"/>
    </row>
    <row r="491" spans="1:13" ht="12" customHeight="1" x14ac:dyDescent="0.2">
      <c r="A491" s="6342"/>
      <c r="B491" s="6358"/>
      <c r="C491" s="39" t="s">
        <v>9193</v>
      </c>
      <c r="D491" s="78"/>
      <c r="E491" s="1147"/>
      <c r="F491" s="1148"/>
      <c r="G491" s="1147"/>
      <c r="H491" s="1147"/>
      <c r="I491" s="1147"/>
      <c r="J491" s="1147"/>
      <c r="K491" s="1147"/>
      <c r="L491" s="1953" t="str">
        <f t="shared" si="20"/>
        <v>&gt; ESPEJISMO</v>
      </c>
      <c r="M491" s="227"/>
    </row>
    <row r="492" spans="1:13" ht="12" customHeight="1" x14ac:dyDescent="0.2">
      <c r="A492" s="6342"/>
      <c r="B492" s="6358"/>
      <c r="C492" s="39" t="s">
        <v>2930</v>
      </c>
      <c r="D492" s="78" t="s">
        <v>9194</v>
      </c>
      <c r="E492" s="1147">
        <v>1</v>
      </c>
      <c r="F492" s="1148">
        <v>2</v>
      </c>
      <c r="G492" s="1147">
        <v>5</v>
      </c>
      <c r="H492" s="1147">
        <v>1</v>
      </c>
      <c r="I492" s="1147">
        <v>2</v>
      </c>
      <c r="J492" s="1147">
        <v>4</v>
      </c>
      <c r="K492" s="1147">
        <v>1</v>
      </c>
      <c r="L492" s="1953" t="str">
        <f t="shared" si="20"/>
        <v>Espejismo1 Imagen</v>
      </c>
      <c r="M492" s="227"/>
    </row>
    <row r="493" spans="1:13" ht="12" customHeight="1" x14ac:dyDescent="0.2">
      <c r="A493" s="6342"/>
      <c r="B493" s="6358"/>
      <c r="C493" s="39" t="s">
        <v>2930</v>
      </c>
      <c r="D493" s="78" t="s">
        <v>9195</v>
      </c>
      <c r="E493" s="1147">
        <v>2</v>
      </c>
      <c r="F493" s="1148">
        <v>4</v>
      </c>
      <c r="G493" s="1147">
        <v>5</v>
      </c>
      <c r="H493" s="1147">
        <v>2</v>
      </c>
      <c r="I493" s="1147">
        <v>4</v>
      </c>
      <c r="J493" s="1147">
        <v>7</v>
      </c>
      <c r="K493" s="1147">
        <v>1</v>
      </c>
      <c r="L493" s="1953" t="str">
        <f t="shared" si="20"/>
        <v>Espejismo2 Imágenes</v>
      </c>
      <c r="M493" s="227"/>
    </row>
    <row r="494" spans="1:13" ht="12" customHeight="1" x14ac:dyDescent="0.2">
      <c r="A494" s="6342"/>
      <c r="B494" s="6358"/>
      <c r="C494" s="39" t="s">
        <v>2930</v>
      </c>
      <c r="D494" s="78" t="s">
        <v>9196</v>
      </c>
      <c r="E494" s="1147">
        <v>4</v>
      </c>
      <c r="F494" s="1148">
        <v>6</v>
      </c>
      <c r="G494" s="1147">
        <v>10</v>
      </c>
      <c r="H494" s="1147">
        <v>3</v>
      </c>
      <c r="I494" s="1147">
        <v>6</v>
      </c>
      <c r="J494" s="1147">
        <v>11</v>
      </c>
      <c r="K494" s="1147">
        <v>1</v>
      </c>
      <c r="L494" s="1953" t="str">
        <f t="shared" si="20"/>
        <v>Espejismo4 Imágenes</v>
      </c>
      <c r="M494" s="227"/>
    </row>
    <row r="495" spans="1:13" ht="12" customHeight="1" x14ac:dyDescent="0.2">
      <c r="A495" s="6342"/>
      <c r="B495" s="6358"/>
      <c r="C495" s="39" t="s">
        <v>2930</v>
      </c>
      <c r="D495" s="78" t="s">
        <v>9197</v>
      </c>
      <c r="E495" s="1147">
        <v>6</v>
      </c>
      <c r="F495" s="1148">
        <v>9</v>
      </c>
      <c r="G495" s="1147">
        <v>10</v>
      </c>
      <c r="H495" s="1147">
        <v>4</v>
      </c>
      <c r="I495" s="1147">
        <v>8</v>
      </c>
      <c r="J495" s="1147">
        <v>14</v>
      </c>
      <c r="K495" s="1147">
        <v>1</v>
      </c>
      <c r="L495" s="1953" t="str">
        <f t="shared" si="20"/>
        <v>Espejismo6 Imágenes</v>
      </c>
      <c r="M495" s="227"/>
    </row>
    <row r="496" spans="1:13" ht="12" customHeight="1" x14ac:dyDescent="0.2">
      <c r="A496" s="6342"/>
      <c r="B496" s="6358"/>
      <c r="C496" s="39" t="s">
        <v>2930</v>
      </c>
      <c r="D496" s="78" t="s">
        <v>9198</v>
      </c>
      <c r="E496" s="1147">
        <v>8</v>
      </c>
      <c r="F496" s="1148">
        <v>11</v>
      </c>
      <c r="G496" s="1147">
        <v>15</v>
      </c>
      <c r="H496" s="1147">
        <v>6</v>
      </c>
      <c r="I496" s="1147">
        <v>12</v>
      </c>
      <c r="J496" s="1147">
        <v>21</v>
      </c>
      <c r="K496" s="1147">
        <v>2</v>
      </c>
      <c r="L496" s="1953" t="str">
        <f t="shared" si="20"/>
        <v>Espejismo10 Imágenes</v>
      </c>
      <c r="M496" s="227"/>
    </row>
    <row r="497" spans="1:13" ht="12" customHeight="1" x14ac:dyDescent="0.2">
      <c r="A497" s="6342"/>
      <c r="B497" s="6358"/>
      <c r="C497" s="39" t="s">
        <v>2930</v>
      </c>
      <c r="D497" s="78" t="s">
        <v>9199</v>
      </c>
      <c r="E497" s="1147">
        <v>10</v>
      </c>
      <c r="F497" s="1148">
        <v>13</v>
      </c>
      <c r="G497" s="1147">
        <v>20</v>
      </c>
      <c r="H497" s="1147">
        <v>8</v>
      </c>
      <c r="I497" s="1147">
        <v>16</v>
      </c>
      <c r="J497" s="1147">
        <v>28</v>
      </c>
      <c r="K497" s="1147">
        <v>2</v>
      </c>
      <c r="L497" s="1953" t="str">
        <f t="shared" si="20"/>
        <v>Espejismo15 Imágenes</v>
      </c>
      <c r="M497" s="227"/>
    </row>
    <row r="498" spans="1:13" ht="12" customHeight="1" x14ac:dyDescent="0.2">
      <c r="A498" s="6342"/>
      <c r="B498" s="6358"/>
      <c r="C498" s="39" t="s">
        <v>2930</v>
      </c>
      <c r="D498" s="78" t="s">
        <v>9200</v>
      </c>
      <c r="E498" s="1147">
        <v>12</v>
      </c>
      <c r="F498" s="1148">
        <v>15</v>
      </c>
      <c r="G498" s="1147">
        <v>25</v>
      </c>
      <c r="H498" s="1147">
        <v>10</v>
      </c>
      <c r="I498" s="1147">
        <v>20</v>
      </c>
      <c r="J498" s="1147">
        <v>35</v>
      </c>
      <c r="K498" s="1147">
        <v>2</v>
      </c>
      <c r="L498" s="1953" t="str">
        <f t="shared" si="20"/>
        <v>Espejismo20 Imágenes</v>
      </c>
      <c r="M498" s="227"/>
    </row>
    <row r="499" spans="1:13" ht="12" customHeight="1" x14ac:dyDescent="0.2">
      <c r="A499" s="6342"/>
      <c r="B499" s="6358"/>
      <c r="C499" s="39" t="s">
        <v>2930</v>
      </c>
      <c r="D499" s="78" t="s">
        <v>9201</v>
      </c>
      <c r="E499" s="1147">
        <v>14</v>
      </c>
      <c r="F499" s="1148">
        <v>18</v>
      </c>
      <c r="G499" s="1147">
        <v>30</v>
      </c>
      <c r="H499" s="1147">
        <v>12</v>
      </c>
      <c r="I499" s="1147">
        <v>24</v>
      </c>
      <c r="J499" s="1147">
        <v>42</v>
      </c>
      <c r="K499" s="1147">
        <v>3</v>
      </c>
      <c r="L499" s="1953" t="str">
        <f t="shared" si="20"/>
        <v>Espejismo25 Imágenes</v>
      </c>
      <c r="M499" s="227"/>
    </row>
    <row r="500" spans="1:13" ht="12" customHeight="1" x14ac:dyDescent="0.2">
      <c r="A500" s="6342"/>
      <c r="B500" s="6358"/>
      <c r="C500" s="39" t="s">
        <v>2930</v>
      </c>
      <c r="D500" s="78" t="s">
        <v>3154</v>
      </c>
      <c r="E500" s="1147">
        <v>1</v>
      </c>
      <c r="F500" s="1148">
        <v>1</v>
      </c>
      <c r="G500" s="1147">
        <v>5</v>
      </c>
      <c r="H500" s="1147">
        <v>1</v>
      </c>
      <c r="I500" s="1147">
        <v>2</v>
      </c>
      <c r="J500" s="1147">
        <v>4</v>
      </c>
      <c r="K500" s="1147">
        <v>1</v>
      </c>
      <c r="L500" s="1953" t="str">
        <f t="shared" si="20"/>
        <v>EspejismoIndetección Media (80)</v>
      </c>
      <c r="M500" s="227"/>
    </row>
    <row r="501" spans="1:13" ht="12" customHeight="1" x14ac:dyDescent="0.2">
      <c r="A501" s="6342"/>
      <c r="B501" s="6358"/>
      <c r="C501" s="39" t="s">
        <v>2930</v>
      </c>
      <c r="D501" s="78" t="s">
        <v>3155</v>
      </c>
      <c r="E501" s="1147">
        <v>2</v>
      </c>
      <c r="F501" s="1148">
        <v>2</v>
      </c>
      <c r="G501" s="1147">
        <v>10</v>
      </c>
      <c r="H501" s="1147">
        <v>1</v>
      </c>
      <c r="I501" s="1147">
        <v>2</v>
      </c>
      <c r="J501" s="1147">
        <v>4</v>
      </c>
      <c r="K501" s="1147">
        <v>1</v>
      </c>
      <c r="L501" s="1953" t="str">
        <f t="shared" si="20"/>
        <v>EspejismoIndetección Difícil (120)</v>
      </c>
      <c r="M501" s="227"/>
    </row>
    <row r="502" spans="1:13" ht="12" customHeight="1" x14ac:dyDescent="0.2">
      <c r="A502" s="6342"/>
      <c r="B502" s="6358"/>
      <c r="C502" s="39" t="s">
        <v>2930</v>
      </c>
      <c r="D502" s="78" t="s">
        <v>3156</v>
      </c>
      <c r="E502" s="1147">
        <v>3</v>
      </c>
      <c r="F502" s="1148">
        <v>3</v>
      </c>
      <c r="G502" s="1147">
        <v>10</v>
      </c>
      <c r="H502" s="1147">
        <v>2</v>
      </c>
      <c r="I502" s="1147">
        <v>4</v>
      </c>
      <c r="J502" s="1147">
        <v>7</v>
      </c>
      <c r="K502" s="1147">
        <v>1</v>
      </c>
      <c r="L502" s="1953" t="str">
        <f t="shared" si="20"/>
        <v>EspejismoIndetección Muy Difícil (140)</v>
      </c>
      <c r="M502" s="227"/>
    </row>
    <row r="503" spans="1:13" ht="12" customHeight="1" x14ac:dyDescent="0.2">
      <c r="A503" s="6342"/>
      <c r="B503" s="6358"/>
      <c r="C503" s="39" t="s">
        <v>2930</v>
      </c>
      <c r="D503" s="78" t="s">
        <v>3157</v>
      </c>
      <c r="E503" s="1147">
        <v>4</v>
      </c>
      <c r="F503" s="1148">
        <v>4</v>
      </c>
      <c r="G503" s="1147">
        <v>15</v>
      </c>
      <c r="H503" s="1147">
        <v>2</v>
      </c>
      <c r="I503" s="1147">
        <v>4</v>
      </c>
      <c r="J503" s="1147">
        <v>7</v>
      </c>
      <c r="K503" s="1147">
        <v>1</v>
      </c>
      <c r="L503" s="1953" t="str">
        <f t="shared" si="20"/>
        <v>EspejismoIndetección Absurdo (180)</v>
      </c>
      <c r="M503" s="227"/>
    </row>
    <row r="504" spans="1:13" ht="12" customHeight="1" x14ac:dyDescent="0.2">
      <c r="A504" s="6342"/>
      <c r="B504" s="6358"/>
      <c r="C504" s="39" t="s">
        <v>2930</v>
      </c>
      <c r="D504" s="78" t="s">
        <v>3158</v>
      </c>
      <c r="E504" s="1147">
        <v>5</v>
      </c>
      <c r="F504" s="1148">
        <v>5</v>
      </c>
      <c r="G504" s="1147">
        <v>15</v>
      </c>
      <c r="H504" s="1147">
        <v>3</v>
      </c>
      <c r="I504" s="1147">
        <v>6</v>
      </c>
      <c r="J504" s="1147">
        <v>11</v>
      </c>
      <c r="K504" s="1147">
        <v>1</v>
      </c>
      <c r="L504" s="1953" t="str">
        <f t="shared" si="20"/>
        <v>EspejismoIndetección Casi Imposible (240)</v>
      </c>
      <c r="M504" s="227"/>
    </row>
    <row r="505" spans="1:13" ht="12" customHeight="1" x14ac:dyDescent="0.2">
      <c r="A505" s="6342"/>
      <c r="B505" s="6358"/>
      <c r="C505" s="39" t="s">
        <v>2930</v>
      </c>
      <c r="D505" s="78" t="s">
        <v>3159</v>
      </c>
      <c r="E505" s="1147">
        <v>6</v>
      </c>
      <c r="F505" s="1148">
        <v>6</v>
      </c>
      <c r="G505" s="1147">
        <v>20</v>
      </c>
      <c r="H505" s="1147">
        <v>3</v>
      </c>
      <c r="I505" s="1147">
        <v>6</v>
      </c>
      <c r="J505" s="1147">
        <v>11</v>
      </c>
      <c r="K505" s="1147">
        <v>2</v>
      </c>
      <c r="L505" s="1953" t="str">
        <f t="shared" si="20"/>
        <v>EspejismoIndetección Imposible (280)</v>
      </c>
      <c r="M505" s="227"/>
    </row>
    <row r="506" spans="1:13" ht="12" customHeight="1" x14ac:dyDescent="0.2">
      <c r="A506" s="6342"/>
      <c r="B506" s="6358"/>
      <c r="C506" s="39" t="s">
        <v>2930</v>
      </c>
      <c r="D506" s="78" t="s">
        <v>3160</v>
      </c>
      <c r="E506" s="1147">
        <v>7</v>
      </c>
      <c r="F506" s="1148">
        <v>7</v>
      </c>
      <c r="G506" s="1147">
        <v>20</v>
      </c>
      <c r="H506" s="1147">
        <v>4</v>
      </c>
      <c r="I506" s="1147">
        <v>8</v>
      </c>
      <c r="J506" s="1147">
        <v>14</v>
      </c>
      <c r="K506" s="1147">
        <v>2</v>
      </c>
      <c r="L506" s="1953" t="str">
        <f t="shared" si="20"/>
        <v>EspejismoIndetección Inhumano (320)</v>
      </c>
      <c r="M506" s="227"/>
    </row>
    <row r="507" spans="1:13" ht="12" customHeight="1" x14ac:dyDescent="0.2">
      <c r="A507" s="6342"/>
      <c r="B507" s="6358"/>
      <c r="C507" s="39" t="s">
        <v>2930</v>
      </c>
      <c r="D507" s="78" t="s">
        <v>3161</v>
      </c>
      <c r="E507" s="1147">
        <v>8</v>
      </c>
      <c r="F507" s="1148">
        <v>8</v>
      </c>
      <c r="G507" s="1147">
        <v>30</v>
      </c>
      <c r="H507" s="1147">
        <v>4</v>
      </c>
      <c r="I507" s="1147">
        <v>8</v>
      </c>
      <c r="J507" s="1147">
        <v>14</v>
      </c>
      <c r="K507" s="1147">
        <v>3</v>
      </c>
      <c r="L507" s="1953" t="str">
        <f t="shared" si="20"/>
        <v>EspejismoIndetección Zen (440)</v>
      </c>
      <c r="M507" s="227"/>
    </row>
    <row r="508" spans="1:13" ht="12" customHeight="1" x14ac:dyDescent="0.2">
      <c r="A508" s="6342"/>
      <c r="B508" s="6358"/>
      <c r="C508" s="39" t="s">
        <v>2930</v>
      </c>
      <c r="D508" s="78" t="s">
        <v>3162</v>
      </c>
      <c r="E508" s="1147">
        <v>2</v>
      </c>
      <c r="F508" s="1148">
        <v>2</v>
      </c>
      <c r="G508" s="1147">
        <v>10</v>
      </c>
      <c r="H508" s="1147">
        <v>2</v>
      </c>
      <c r="I508" s="1147">
        <v>4</v>
      </c>
      <c r="J508" s="1147">
        <v>7</v>
      </c>
      <c r="K508" s="1147">
        <v>1</v>
      </c>
      <c r="L508" s="1953" t="str">
        <f t="shared" si="20"/>
        <v>EspejismoModificación de Aspecto</v>
      </c>
      <c r="M508" s="227"/>
    </row>
    <row r="509" spans="1:13" ht="12" customHeight="1" x14ac:dyDescent="0.2">
      <c r="A509" s="6342"/>
      <c r="B509" s="6358"/>
      <c r="C509" s="39" t="s">
        <v>2930</v>
      </c>
      <c r="D509" s="78" t="s">
        <v>9335</v>
      </c>
      <c r="E509" s="1147">
        <v>3</v>
      </c>
      <c r="F509" s="1148">
        <v>3</v>
      </c>
      <c r="G509" s="1147">
        <v>10</v>
      </c>
      <c r="H509" s="1147">
        <v>2</v>
      </c>
      <c r="I509" s="1147">
        <v>4</v>
      </c>
      <c r="J509" s="1147">
        <v>7</v>
      </c>
      <c r="K509" s="1147">
        <v>1</v>
      </c>
      <c r="L509" s="1953" t="str">
        <f t="shared" si="20"/>
        <v>EspejismoIlusión Fantasmal RP 140</v>
      </c>
      <c r="M509" s="227"/>
    </row>
    <row r="510" spans="1:13" ht="12" customHeight="1" x14ac:dyDescent="0.2">
      <c r="A510" s="6342"/>
      <c r="B510" s="6358"/>
      <c r="C510" s="39" t="s">
        <v>2930</v>
      </c>
      <c r="D510" s="78" t="s">
        <v>9336</v>
      </c>
      <c r="E510" s="1147">
        <v>4</v>
      </c>
      <c r="F510" s="1148">
        <v>4</v>
      </c>
      <c r="G510" s="1147">
        <v>15</v>
      </c>
      <c r="H510" s="1147">
        <v>3</v>
      </c>
      <c r="I510" s="1147">
        <v>6</v>
      </c>
      <c r="J510" s="1147">
        <v>11</v>
      </c>
      <c r="K510" s="1147">
        <v>1</v>
      </c>
      <c r="L510" s="1953" t="str">
        <f t="shared" si="20"/>
        <v>EspejismoIlusión Fantasmal RP 180</v>
      </c>
      <c r="M510" s="227"/>
    </row>
    <row r="511" spans="1:13" ht="12" customHeight="1" x14ac:dyDescent="0.2">
      <c r="A511" s="6342"/>
      <c r="B511" s="6358"/>
      <c r="C511" s="39" t="s">
        <v>2930</v>
      </c>
      <c r="D511" s="78" t="s">
        <v>9337</v>
      </c>
      <c r="E511" s="1147">
        <v>6</v>
      </c>
      <c r="F511" s="1148">
        <v>6</v>
      </c>
      <c r="G511" s="1147">
        <v>20</v>
      </c>
      <c r="H511" s="1147">
        <v>4</v>
      </c>
      <c r="I511" s="1147">
        <v>8</v>
      </c>
      <c r="J511" s="1147">
        <v>14</v>
      </c>
      <c r="K511" s="1147">
        <v>1</v>
      </c>
      <c r="L511" s="1953" t="str">
        <f t="shared" si="20"/>
        <v>EspejismoIlusión Fantasmal RP 240</v>
      </c>
      <c r="M511" s="227"/>
    </row>
    <row r="512" spans="1:13" ht="12" customHeight="1" x14ac:dyDescent="0.2">
      <c r="A512" s="6342"/>
      <c r="B512" s="6358"/>
      <c r="C512" s="39" t="s">
        <v>9202</v>
      </c>
      <c r="D512" s="78"/>
      <c r="E512" s="1147"/>
      <c r="F512" s="1148"/>
      <c r="G512" s="1147"/>
      <c r="H512" s="1147"/>
      <c r="I512" s="1147"/>
      <c r="J512" s="1147"/>
      <c r="K512" s="1147"/>
      <c r="L512" s="1953" t="str">
        <f t="shared" si="20"/>
        <v>&gt; ESCUDO DE ENERGÍA</v>
      </c>
      <c r="M512" s="227"/>
    </row>
    <row r="513" spans="1:13" ht="12" customHeight="1" x14ac:dyDescent="0.2">
      <c r="A513" s="6342"/>
      <c r="B513" s="6358"/>
      <c r="C513" s="39" t="s">
        <v>9203</v>
      </c>
      <c r="D513" s="78" t="s">
        <v>9184</v>
      </c>
      <c r="E513" s="1147">
        <v>2</v>
      </c>
      <c r="F513" s="1148">
        <v>4</v>
      </c>
      <c r="G513" s="1147">
        <v>5</v>
      </c>
      <c r="H513" s="1147">
        <v>1</v>
      </c>
      <c r="I513" s="1147">
        <v>2</v>
      </c>
      <c r="J513" s="1147">
        <v>4</v>
      </c>
      <c r="K513" s="1147">
        <v>1</v>
      </c>
      <c r="L513" s="1953" t="str">
        <f t="shared" si="20"/>
        <v>Escudo De Energía100 PV</v>
      </c>
      <c r="M513" s="227"/>
    </row>
    <row r="514" spans="1:13" ht="12" customHeight="1" x14ac:dyDescent="0.2">
      <c r="A514" s="6342"/>
      <c r="B514" s="6358"/>
      <c r="C514" s="39" t="s">
        <v>9203</v>
      </c>
      <c r="D514" s="78" t="s">
        <v>9185</v>
      </c>
      <c r="E514" s="1147">
        <v>3</v>
      </c>
      <c r="F514" s="1148">
        <v>5</v>
      </c>
      <c r="G514" s="1147">
        <v>5</v>
      </c>
      <c r="H514" s="1147">
        <v>1</v>
      </c>
      <c r="I514" s="1147">
        <v>2</v>
      </c>
      <c r="J514" s="1147">
        <v>4</v>
      </c>
      <c r="K514" s="1147">
        <v>1</v>
      </c>
      <c r="L514" s="1953" t="str">
        <f t="shared" si="20"/>
        <v>Escudo De Energía200 PV</v>
      </c>
      <c r="M514" s="227"/>
    </row>
    <row r="515" spans="1:13" ht="12" customHeight="1" x14ac:dyDescent="0.2">
      <c r="A515" s="6342"/>
      <c r="B515" s="6358"/>
      <c r="C515" s="39" t="s">
        <v>9203</v>
      </c>
      <c r="D515" s="78" t="s">
        <v>9186</v>
      </c>
      <c r="E515" s="1147">
        <v>4</v>
      </c>
      <c r="F515" s="1148">
        <v>6</v>
      </c>
      <c r="G515" s="1147">
        <v>10</v>
      </c>
      <c r="H515" s="1147">
        <v>2</v>
      </c>
      <c r="I515" s="1147">
        <v>4</v>
      </c>
      <c r="J515" s="1147">
        <v>7</v>
      </c>
      <c r="K515" s="1147">
        <v>1</v>
      </c>
      <c r="L515" s="1953" t="str">
        <f t="shared" si="20"/>
        <v>Escudo De Energía300 PV</v>
      </c>
      <c r="M515" s="227"/>
    </row>
    <row r="516" spans="1:13" ht="12" customHeight="1" x14ac:dyDescent="0.2">
      <c r="A516" s="6342"/>
      <c r="B516" s="6358"/>
      <c r="C516" s="39" t="s">
        <v>9203</v>
      </c>
      <c r="D516" s="78" t="s">
        <v>9187</v>
      </c>
      <c r="E516" s="1147">
        <v>5</v>
      </c>
      <c r="F516" s="1148">
        <v>8</v>
      </c>
      <c r="G516" s="1147">
        <v>15</v>
      </c>
      <c r="H516" s="1147">
        <v>3</v>
      </c>
      <c r="I516" s="1147">
        <v>6</v>
      </c>
      <c r="J516" s="1147">
        <v>11</v>
      </c>
      <c r="K516" s="1147">
        <v>1</v>
      </c>
      <c r="L516" s="1953" t="str">
        <f t="shared" si="20"/>
        <v>Escudo De Energía400 PV</v>
      </c>
      <c r="M516" s="227"/>
    </row>
    <row r="517" spans="1:13" ht="12" customHeight="1" x14ac:dyDescent="0.2">
      <c r="A517" s="6342"/>
      <c r="B517" s="6358"/>
      <c r="C517" s="39" t="s">
        <v>9203</v>
      </c>
      <c r="D517" s="78" t="s">
        <v>9204</v>
      </c>
      <c r="E517" s="1147">
        <v>8</v>
      </c>
      <c r="F517" s="1148">
        <v>11</v>
      </c>
      <c r="G517" s="1147">
        <v>20</v>
      </c>
      <c r="H517" s="1147">
        <v>4</v>
      </c>
      <c r="I517" s="1147">
        <v>8</v>
      </c>
      <c r="J517" s="1147">
        <v>14</v>
      </c>
      <c r="K517" s="1147">
        <v>1</v>
      </c>
      <c r="L517" s="1953" t="str">
        <f t="shared" si="20"/>
        <v>Escudo De Energía500 PV</v>
      </c>
      <c r="M517" s="227"/>
    </row>
    <row r="518" spans="1:13" ht="12" customHeight="1" x14ac:dyDescent="0.2">
      <c r="A518" s="6342"/>
      <c r="B518" s="6358"/>
      <c r="C518" s="39" t="s">
        <v>9203</v>
      </c>
      <c r="D518" s="78" t="s">
        <v>9189</v>
      </c>
      <c r="E518" s="1147">
        <v>12</v>
      </c>
      <c r="F518" s="1148">
        <v>15</v>
      </c>
      <c r="G518" s="1147">
        <v>25</v>
      </c>
      <c r="H518" s="1147">
        <v>5</v>
      </c>
      <c r="I518" s="1147">
        <v>10</v>
      </c>
      <c r="J518" s="1147">
        <v>18</v>
      </c>
      <c r="K518" s="1147">
        <v>2</v>
      </c>
      <c r="L518" s="1953" t="str">
        <f t="shared" si="20"/>
        <v>Escudo De Energía800 PV</v>
      </c>
      <c r="M518" s="227"/>
    </row>
    <row r="519" spans="1:13" ht="12" customHeight="1" x14ac:dyDescent="0.2">
      <c r="A519" s="6342"/>
      <c r="B519" s="6358"/>
      <c r="C519" s="39" t="s">
        <v>9203</v>
      </c>
      <c r="D519" s="78" t="s">
        <v>9190</v>
      </c>
      <c r="E519" s="1147">
        <v>14</v>
      </c>
      <c r="F519" s="1148">
        <v>18</v>
      </c>
      <c r="G519" s="1147">
        <v>30</v>
      </c>
      <c r="H519" s="1147">
        <v>8</v>
      </c>
      <c r="I519" s="1147">
        <v>16</v>
      </c>
      <c r="J519" s="1147">
        <v>28</v>
      </c>
      <c r="K519" s="1147">
        <v>2</v>
      </c>
      <c r="L519" s="1953" t="str">
        <f t="shared" si="20"/>
        <v>Escudo De Energía1.000 PV</v>
      </c>
      <c r="M519" s="227"/>
    </row>
    <row r="520" spans="1:13" ht="12" customHeight="1" x14ac:dyDescent="0.2">
      <c r="A520" s="6342"/>
      <c r="B520" s="6358"/>
      <c r="C520" s="39" t="s">
        <v>9203</v>
      </c>
      <c r="D520" s="78" t="s">
        <v>9205</v>
      </c>
      <c r="E520" s="1147">
        <v>18</v>
      </c>
      <c r="F520" s="1148">
        <v>22</v>
      </c>
      <c r="G520" s="1147">
        <v>35</v>
      </c>
      <c r="H520" s="1147">
        <v>10</v>
      </c>
      <c r="I520" s="1147">
        <v>20</v>
      </c>
      <c r="J520" s="1147">
        <v>35</v>
      </c>
      <c r="K520" s="1147">
        <v>2</v>
      </c>
      <c r="L520" s="1953" t="str">
        <f t="shared" si="20"/>
        <v>Escudo De Energía1.250 PV</v>
      </c>
      <c r="M520" s="227"/>
    </row>
    <row r="521" spans="1:13" ht="12" customHeight="1" x14ac:dyDescent="0.2">
      <c r="A521" s="6342"/>
      <c r="B521" s="6358"/>
      <c r="C521" s="39" t="s">
        <v>9203</v>
      </c>
      <c r="D521" s="78" t="s">
        <v>9192</v>
      </c>
      <c r="E521" s="1147">
        <v>22</v>
      </c>
      <c r="F521" s="1148">
        <v>26</v>
      </c>
      <c r="G521" s="1147">
        <v>40</v>
      </c>
      <c r="H521" s="1147">
        <v>12</v>
      </c>
      <c r="I521" s="1147">
        <v>24</v>
      </c>
      <c r="J521" s="1147">
        <v>42</v>
      </c>
      <c r="K521" s="1147">
        <v>3</v>
      </c>
      <c r="L521" s="1953" t="str">
        <f t="shared" ref="L521:L584" si="21">C521&amp;D521</f>
        <v>Escudo De Energía1.500 PV</v>
      </c>
      <c r="M521" s="227"/>
    </row>
    <row r="522" spans="1:13" ht="12" customHeight="1" x14ac:dyDescent="0.2">
      <c r="A522" s="6342"/>
      <c r="B522" s="6358"/>
      <c r="C522" s="39" t="s">
        <v>9203</v>
      </c>
      <c r="D522" s="78" t="s">
        <v>9206</v>
      </c>
      <c r="E522" s="1147">
        <v>26</v>
      </c>
      <c r="F522" s="1148">
        <v>32</v>
      </c>
      <c r="G522" s="1147">
        <v>45</v>
      </c>
      <c r="H522" s="1147">
        <v>14</v>
      </c>
      <c r="I522" s="1147">
        <v>28</v>
      </c>
      <c r="J522" s="1147">
        <v>49</v>
      </c>
      <c r="K522" s="1147">
        <v>3</v>
      </c>
      <c r="L522" s="1953" t="str">
        <f t="shared" si="21"/>
        <v>Escudo De Energía2.000 PV</v>
      </c>
      <c r="M522" s="227"/>
    </row>
    <row r="523" spans="1:13" ht="12" customHeight="1" x14ac:dyDescent="0.2">
      <c r="A523" s="6342"/>
      <c r="B523" s="6358"/>
      <c r="C523" s="39" t="s">
        <v>9203</v>
      </c>
      <c r="D523" s="78" t="s">
        <v>3151</v>
      </c>
      <c r="E523" s="1147">
        <v>1</v>
      </c>
      <c r="F523" s="1148">
        <v>1</v>
      </c>
      <c r="G523" s="1147">
        <v>5</v>
      </c>
      <c r="H523" s="1147">
        <v>1</v>
      </c>
      <c r="I523" s="1147">
        <v>2</v>
      </c>
      <c r="J523" s="1147">
        <v>4</v>
      </c>
      <c r="K523" s="1147"/>
      <c r="L523" s="1953" t="str">
        <f t="shared" si="21"/>
        <v>Escudo De EnergíaRegeneración 100</v>
      </c>
      <c r="M523" s="227"/>
    </row>
    <row r="524" spans="1:13" ht="12" customHeight="1" x14ac:dyDescent="0.2">
      <c r="A524" s="6342"/>
      <c r="B524" s="6358"/>
      <c r="C524" s="39" t="s">
        <v>9203</v>
      </c>
      <c r="D524" s="78" t="s">
        <v>3152</v>
      </c>
      <c r="E524" s="1147">
        <v>2</v>
      </c>
      <c r="F524" s="1148">
        <v>2</v>
      </c>
      <c r="G524" s="1147">
        <v>10</v>
      </c>
      <c r="H524" s="1147">
        <v>2</v>
      </c>
      <c r="I524" s="1147">
        <v>4</v>
      </c>
      <c r="J524" s="1147">
        <v>7</v>
      </c>
      <c r="K524" s="1147"/>
      <c r="L524" s="1953" t="str">
        <f t="shared" si="21"/>
        <v>Escudo De EnergíaRegeneración 250</v>
      </c>
      <c r="M524" s="227"/>
    </row>
    <row r="525" spans="1:13" ht="12" customHeight="1" x14ac:dyDescent="0.2">
      <c r="A525" s="6342"/>
      <c r="B525" s="6358"/>
      <c r="C525" s="39" t="s">
        <v>9203</v>
      </c>
      <c r="D525" s="78" t="s">
        <v>3153</v>
      </c>
      <c r="E525" s="1147">
        <v>4</v>
      </c>
      <c r="F525" s="1148">
        <v>4</v>
      </c>
      <c r="G525" s="1147">
        <v>15</v>
      </c>
      <c r="H525" s="1147">
        <v>3</v>
      </c>
      <c r="I525" s="1147">
        <v>6</v>
      </c>
      <c r="J525" s="1147">
        <v>11</v>
      </c>
      <c r="K525" s="1147"/>
      <c r="L525" s="1953" t="str">
        <f t="shared" si="21"/>
        <v>Escudo De EnergíaRegeneración 500</v>
      </c>
      <c r="M525" s="227"/>
    </row>
    <row r="526" spans="1:13" ht="12" customHeight="1" x14ac:dyDescent="0.2">
      <c r="A526" s="6342"/>
      <c r="B526" s="6358"/>
      <c r="C526" s="39" t="s">
        <v>9207</v>
      </c>
      <c r="D526" s="78"/>
      <c r="E526" s="1147"/>
      <c r="F526" s="1148"/>
      <c r="G526" s="1147"/>
      <c r="H526" s="1147"/>
      <c r="I526" s="1147"/>
      <c r="J526" s="1147"/>
      <c r="K526" s="1147"/>
      <c r="L526" s="1953" t="str">
        <f t="shared" si="21"/>
        <v>&gt; ESTADOS SOBRENATURALES</v>
      </c>
      <c r="M526" s="227"/>
    </row>
    <row r="527" spans="1:13" ht="12" customHeight="1" x14ac:dyDescent="0.2">
      <c r="A527" s="6342"/>
      <c r="B527" s="6358"/>
      <c r="C527" s="39" t="s">
        <v>8961</v>
      </c>
      <c r="D527" s="78" t="s">
        <v>9208</v>
      </c>
      <c r="E527" s="1147">
        <v>1</v>
      </c>
      <c r="F527" s="1148">
        <v>2</v>
      </c>
      <c r="G527" s="1147">
        <v>5</v>
      </c>
      <c r="H527" s="1147">
        <v>1</v>
      </c>
      <c r="I527" s="1147">
        <v>2</v>
      </c>
      <c r="J527" s="1147">
        <v>4</v>
      </c>
      <c r="K527" s="1147">
        <v>1</v>
      </c>
      <c r="L527" s="1953" t="str">
        <f t="shared" si="21"/>
        <v>Estados SobrenaturalesRF 40</v>
      </c>
      <c r="M527" s="227"/>
    </row>
    <row r="528" spans="1:13" ht="12" customHeight="1" x14ac:dyDescent="0.2">
      <c r="A528" s="6342"/>
      <c r="B528" s="6358"/>
      <c r="C528" s="39" t="s">
        <v>8961</v>
      </c>
      <c r="D528" s="78" t="s">
        <v>9209</v>
      </c>
      <c r="E528" s="1147">
        <v>2</v>
      </c>
      <c r="F528" s="1148">
        <v>4</v>
      </c>
      <c r="G528" s="1147">
        <v>5</v>
      </c>
      <c r="H528" s="1147">
        <v>1</v>
      </c>
      <c r="I528" s="1147">
        <v>2</v>
      </c>
      <c r="J528" s="1147">
        <v>4</v>
      </c>
      <c r="K528" s="1147">
        <v>1</v>
      </c>
      <c r="L528" s="1953" t="str">
        <f t="shared" si="21"/>
        <v>Estados SobrenaturalesRF 60</v>
      </c>
      <c r="M528" s="227"/>
    </row>
    <row r="529" spans="1:13" ht="12" customHeight="1" x14ac:dyDescent="0.2">
      <c r="A529" s="6342"/>
      <c r="B529" s="6358"/>
      <c r="C529" s="39" t="s">
        <v>8961</v>
      </c>
      <c r="D529" s="78" t="s">
        <v>9210</v>
      </c>
      <c r="E529" s="1147">
        <v>3</v>
      </c>
      <c r="F529" s="1148">
        <v>5</v>
      </c>
      <c r="G529" s="1147">
        <v>10</v>
      </c>
      <c r="H529" s="1147">
        <v>2</v>
      </c>
      <c r="I529" s="1147">
        <v>4</v>
      </c>
      <c r="J529" s="1147">
        <v>7</v>
      </c>
      <c r="K529" s="1147">
        <v>1</v>
      </c>
      <c r="L529" s="1953" t="str">
        <f t="shared" si="21"/>
        <v>Estados SobrenaturalesRF 80</v>
      </c>
      <c r="M529" s="227"/>
    </row>
    <row r="530" spans="1:13" ht="12" customHeight="1" x14ac:dyDescent="0.2">
      <c r="A530" s="6342"/>
      <c r="B530" s="6358"/>
      <c r="C530" s="39" t="s">
        <v>8961</v>
      </c>
      <c r="D530" s="78" t="s">
        <v>9211</v>
      </c>
      <c r="E530" s="1147">
        <v>5</v>
      </c>
      <c r="F530" s="1148">
        <v>8</v>
      </c>
      <c r="G530" s="1147">
        <v>15</v>
      </c>
      <c r="H530" s="1147">
        <v>3</v>
      </c>
      <c r="I530" s="1147">
        <v>6</v>
      </c>
      <c r="J530" s="1147">
        <v>11</v>
      </c>
      <c r="K530" s="1147">
        <v>1</v>
      </c>
      <c r="L530" s="1953" t="str">
        <f t="shared" si="21"/>
        <v>Estados SobrenaturalesRF 100</v>
      </c>
      <c r="M530" s="227"/>
    </row>
    <row r="531" spans="1:13" ht="12" customHeight="1" x14ac:dyDescent="0.2">
      <c r="A531" s="6342"/>
      <c r="B531" s="6358"/>
      <c r="C531" s="39" t="s">
        <v>8961</v>
      </c>
      <c r="D531" s="78" t="s">
        <v>9212</v>
      </c>
      <c r="E531" s="1147">
        <v>6</v>
      </c>
      <c r="F531" s="1148">
        <v>9</v>
      </c>
      <c r="G531" s="1147">
        <v>20</v>
      </c>
      <c r="H531" s="1147">
        <v>4</v>
      </c>
      <c r="I531" s="1147">
        <v>8</v>
      </c>
      <c r="J531" s="1147">
        <v>14</v>
      </c>
      <c r="K531" s="1147">
        <v>1</v>
      </c>
      <c r="L531" s="1953" t="str">
        <f t="shared" si="21"/>
        <v>Estados SobrenaturalesRF 120</v>
      </c>
      <c r="M531" s="227"/>
    </row>
    <row r="532" spans="1:13" ht="12" customHeight="1" x14ac:dyDescent="0.2">
      <c r="A532" s="6342"/>
      <c r="B532" s="6358"/>
      <c r="C532" s="39" t="s">
        <v>8961</v>
      </c>
      <c r="D532" s="78" t="s">
        <v>9213</v>
      </c>
      <c r="E532" s="1147">
        <v>8</v>
      </c>
      <c r="F532" s="1148">
        <v>11</v>
      </c>
      <c r="G532" s="1147">
        <v>20</v>
      </c>
      <c r="H532" s="1147">
        <v>5</v>
      </c>
      <c r="I532" s="1147">
        <v>10</v>
      </c>
      <c r="J532" s="1147">
        <v>18</v>
      </c>
      <c r="K532" s="1147">
        <v>2</v>
      </c>
      <c r="L532" s="1953" t="str">
        <f t="shared" si="21"/>
        <v>Estados SobrenaturalesRF 140</v>
      </c>
      <c r="M532" s="227"/>
    </row>
    <row r="533" spans="1:13" ht="12" customHeight="1" x14ac:dyDescent="0.2">
      <c r="A533" s="6342"/>
      <c r="B533" s="6358"/>
      <c r="C533" s="39" t="s">
        <v>8961</v>
      </c>
      <c r="D533" s="78" t="s">
        <v>9214</v>
      </c>
      <c r="E533" s="1147">
        <v>14</v>
      </c>
      <c r="F533" s="1148">
        <v>18</v>
      </c>
      <c r="G533" s="1147">
        <v>35</v>
      </c>
      <c r="H533" s="1147">
        <v>6</v>
      </c>
      <c r="I533" s="1147">
        <v>12</v>
      </c>
      <c r="J533" s="1147">
        <v>21</v>
      </c>
      <c r="K533" s="1147">
        <v>2</v>
      </c>
      <c r="L533" s="1953" t="str">
        <f t="shared" si="21"/>
        <v>Estados SobrenaturalesRF 160</v>
      </c>
      <c r="M533" s="227"/>
    </row>
    <row r="534" spans="1:13" ht="12" customHeight="1" x14ac:dyDescent="0.2">
      <c r="A534" s="6342"/>
      <c r="B534" s="6358"/>
      <c r="C534" s="39" t="s">
        <v>8961</v>
      </c>
      <c r="D534" s="78" t="s">
        <v>9215</v>
      </c>
      <c r="E534" s="1147">
        <v>20</v>
      </c>
      <c r="F534" s="1148">
        <v>24</v>
      </c>
      <c r="G534" s="1147">
        <v>50</v>
      </c>
      <c r="H534" s="1147">
        <v>8</v>
      </c>
      <c r="I534" s="1147">
        <v>16</v>
      </c>
      <c r="J534" s="1147">
        <v>28</v>
      </c>
      <c r="K534" s="1147">
        <v>3</v>
      </c>
      <c r="L534" s="1953" t="str">
        <f t="shared" si="21"/>
        <v>Estados SobrenaturalesRF 180</v>
      </c>
      <c r="M534" s="227"/>
    </row>
    <row r="535" spans="1:13" ht="12" customHeight="1" x14ac:dyDescent="0.2">
      <c r="A535" s="6342"/>
      <c r="B535" s="6358"/>
      <c r="C535" s="39" t="s">
        <v>8961</v>
      </c>
      <c r="D535" s="78" t="s">
        <v>9216</v>
      </c>
      <c r="E535" s="1147">
        <v>28</v>
      </c>
      <c r="F535" s="1148">
        <v>32</v>
      </c>
      <c r="G535" s="1147">
        <v>80</v>
      </c>
      <c r="H535" s="1147">
        <v>10</v>
      </c>
      <c r="I535" s="1147">
        <v>20</v>
      </c>
      <c r="J535" s="1147">
        <v>35</v>
      </c>
      <c r="K535" s="1147">
        <v>3</v>
      </c>
      <c r="L535" s="1953" t="str">
        <f t="shared" si="21"/>
        <v>Estados SobrenaturalesRF 200</v>
      </c>
      <c r="M535" s="227"/>
    </row>
    <row r="536" spans="1:13" ht="12" customHeight="1" x14ac:dyDescent="0.2">
      <c r="A536" s="6342"/>
      <c r="B536" s="6358"/>
      <c r="C536" s="39" t="s">
        <v>8961</v>
      </c>
      <c r="D536" s="78" t="s">
        <v>8478</v>
      </c>
      <c r="E536" s="1147">
        <v>6</v>
      </c>
      <c r="F536" s="1148">
        <v>6</v>
      </c>
      <c r="G536" s="1147">
        <v>15</v>
      </c>
      <c r="H536" s="1147"/>
      <c r="I536" s="1147"/>
      <c r="J536" s="1147"/>
      <c r="K536" s="1147">
        <v>1</v>
      </c>
      <c r="L536" s="1953" t="str">
        <f t="shared" si="21"/>
        <v>Estados SobrenaturalesEstado añadido: Ceguera</v>
      </c>
      <c r="M536" s="227"/>
    </row>
    <row r="537" spans="1:13" ht="12" customHeight="1" x14ac:dyDescent="0.2">
      <c r="A537" s="6342"/>
      <c r="B537" s="6358"/>
      <c r="C537" s="39" t="s">
        <v>8961</v>
      </c>
      <c r="D537" s="78" t="s">
        <v>8479</v>
      </c>
      <c r="E537" s="1147">
        <v>14</v>
      </c>
      <c r="F537" s="1148">
        <v>14</v>
      </c>
      <c r="G537" s="1147">
        <v>40</v>
      </c>
      <c r="H537" s="1147"/>
      <c r="I537" s="1147"/>
      <c r="J537" s="1147"/>
      <c r="K537" s="1147">
        <v>2</v>
      </c>
      <c r="L537" s="1953" t="str">
        <f t="shared" si="21"/>
        <v>Estados SobrenaturalesEstado añadido: Coma</v>
      </c>
      <c r="M537" s="227"/>
    </row>
    <row r="538" spans="1:13" ht="12" customHeight="1" x14ac:dyDescent="0.2">
      <c r="A538" s="6342"/>
      <c r="B538" s="6358"/>
      <c r="C538" s="39" t="s">
        <v>8961</v>
      </c>
      <c r="D538" s="78" t="s">
        <v>8480</v>
      </c>
      <c r="E538" s="1147">
        <v>14</v>
      </c>
      <c r="F538" s="1148">
        <v>14</v>
      </c>
      <c r="G538" s="1147">
        <v>40</v>
      </c>
      <c r="H538" s="1147"/>
      <c r="I538" s="1147"/>
      <c r="J538" s="1147"/>
      <c r="K538" s="1147">
        <v>2</v>
      </c>
      <c r="L538" s="1953" t="str">
        <f t="shared" si="21"/>
        <v>Estados SobrenaturalesEstado añadido: Control</v>
      </c>
      <c r="M538" s="227"/>
    </row>
    <row r="539" spans="1:13" ht="12" customHeight="1" x14ac:dyDescent="0.2">
      <c r="A539" s="6342"/>
      <c r="B539" s="6358"/>
      <c r="C539" s="39" t="s">
        <v>8961</v>
      </c>
      <c r="D539" s="78" t="s">
        <v>8481</v>
      </c>
      <c r="E539" s="1147">
        <v>1</v>
      </c>
      <c r="F539" s="1148">
        <v>1</v>
      </c>
      <c r="G539" s="1147">
        <v>5</v>
      </c>
      <c r="H539" s="1147"/>
      <c r="I539" s="1147"/>
      <c r="J539" s="1147"/>
      <c r="K539" s="1147">
        <v>1</v>
      </c>
      <c r="L539" s="1953" t="str">
        <f t="shared" si="21"/>
        <v>Estados SobrenaturalesEstado añadido: Daño</v>
      </c>
      <c r="M539" s="227"/>
    </row>
    <row r="540" spans="1:13" ht="12" customHeight="1" x14ac:dyDescent="0.2">
      <c r="A540" s="6342"/>
      <c r="B540" s="6358"/>
      <c r="C540" s="39" t="s">
        <v>8961</v>
      </c>
      <c r="D540" s="78" t="s">
        <v>8482</v>
      </c>
      <c r="E540" s="1147">
        <v>5</v>
      </c>
      <c r="F540" s="1148">
        <v>5</v>
      </c>
      <c r="G540" s="1147">
        <v>10</v>
      </c>
      <c r="H540" s="1147"/>
      <c r="I540" s="1147"/>
      <c r="J540" s="1147"/>
      <c r="K540" s="1147">
        <v>1</v>
      </c>
      <c r="L540" s="1953" t="str">
        <f t="shared" si="21"/>
        <v>Estados SobrenaturalesEstado añadido: Doble Daño</v>
      </c>
      <c r="M540" s="227"/>
    </row>
    <row r="541" spans="1:13" ht="12" customHeight="1" x14ac:dyDescent="0.2">
      <c r="A541" s="6342"/>
      <c r="B541" s="6358"/>
      <c r="C541" s="39" t="s">
        <v>8961</v>
      </c>
      <c r="D541" s="78" t="s">
        <v>8483</v>
      </c>
      <c r="E541" s="1147">
        <v>3</v>
      </c>
      <c r="F541" s="1148">
        <v>3</v>
      </c>
      <c r="G541" s="1147">
        <v>10</v>
      </c>
      <c r="H541" s="1147"/>
      <c r="I541" s="1147"/>
      <c r="J541" s="1147"/>
      <c r="K541" s="1147">
        <v>1</v>
      </c>
      <c r="L541" s="1953" t="str">
        <f t="shared" si="21"/>
        <v>Estados SobrenaturalesEstado añadido: Dolor</v>
      </c>
      <c r="M541" s="227"/>
    </row>
    <row r="542" spans="1:13" ht="12" customHeight="1" x14ac:dyDescent="0.2">
      <c r="A542" s="6342"/>
      <c r="B542" s="6358"/>
      <c r="C542" s="39" t="s">
        <v>8961</v>
      </c>
      <c r="D542" s="78" t="s">
        <v>8484</v>
      </c>
      <c r="E542" s="1147">
        <v>6</v>
      </c>
      <c r="F542" s="1148">
        <v>6</v>
      </c>
      <c r="G542" s="1147">
        <v>15</v>
      </c>
      <c r="H542" s="1147"/>
      <c r="I542" s="1147"/>
      <c r="J542" s="1147"/>
      <c r="K542" s="1147">
        <v>1</v>
      </c>
      <c r="L542" s="1953" t="str">
        <f t="shared" si="21"/>
        <v>Estados SobrenaturalesEstado añadido: Dolor Extremo</v>
      </c>
      <c r="M542" s="227"/>
    </row>
    <row r="543" spans="1:13" ht="12" customHeight="1" x14ac:dyDescent="0.2">
      <c r="A543" s="6342"/>
      <c r="B543" s="6358"/>
      <c r="C543" s="39" t="s">
        <v>8961</v>
      </c>
      <c r="D543" s="78" t="s">
        <v>8485</v>
      </c>
      <c r="E543" s="1147">
        <v>8</v>
      </c>
      <c r="F543" s="1148">
        <v>8</v>
      </c>
      <c r="G543" s="1147">
        <v>15</v>
      </c>
      <c r="H543" s="1147"/>
      <c r="I543" s="1147"/>
      <c r="J543" s="1147"/>
      <c r="K543" s="1147">
        <v>2</v>
      </c>
      <c r="L543" s="1953" t="str">
        <f t="shared" si="21"/>
        <v>Estados SobrenaturalesEstado añadido: Drenaje de Vida</v>
      </c>
      <c r="M543" s="227"/>
    </row>
    <row r="544" spans="1:13" ht="12" customHeight="1" x14ac:dyDescent="0.2">
      <c r="A544" s="6342"/>
      <c r="B544" s="6358"/>
      <c r="C544" s="39" t="s">
        <v>8961</v>
      </c>
      <c r="D544" s="78" t="s">
        <v>8486</v>
      </c>
      <c r="E544" s="1147">
        <v>8</v>
      </c>
      <c r="F544" s="1148">
        <v>8</v>
      </c>
      <c r="G544" s="1147">
        <v>20</v>
      </c>
      <c r="H544" s="1147"/>
      <c r="I544" s="1147"/>
      <c r="J544" s="1147"/>
      <c r="K544" s="1147">
        <v>1</v>
      </c>
      <c r="L544" s="1953" t="str">
        <f t="shared" si="21"/>
        <v>Estados SobrenaturalesEstado añadido: Drenaje de Ki</v>
      </c>
      <c r="M544" s="227"/>
    </row>
    <row r="545" spans="1:13" ht="12" customHeight="1" x14ac:dyDescent="0.2">
      <c r="A545" s="6342"/>
      <c r="B545" s="6358"/>
      <c r="C545" s="39" t="s">
        <v>8961</v>
      </c>
      <c r="D545" s="78" t="s">
        <v>8487</v>
      </c>
      <c r="E545" s="1147">
        <v>6</v>
      </c>
      <c r="F545" s="1148">
        <v>6</v>
      </c>
      <c r="G545" s="1147">
        <v>10</v>
      </c>
      <c r="H545" s="1147"/>
      <c r="I545" s="1147"/>
      <c r="J545" s="1147"/>
      <c r="K545" s="1147">
        <v>1</v>
      </c>
      <c r="L545" s="1953" t="str">
        <f t="shared" si="21"/>
        <v>Estados SobrenaturalesEstado añadido: Fascinación</v>
      </c>
      <c r="M545" s="227"/>
    </row>
    <row r="546" spans="1:13" ht="12" customHeight="1" x14ac:dyDescent="0.2">
      <c r="A546" s="6342"/>
      <c r="B546" s="6358"/>
      <c r="C546" s="39" t="s">
        <v>8961</v>
      </c>
      <c r="D546" s="78" t="s">
        <v>8488</v>
      </c>
      <c r="E546" s="1147">
        <v>7</v>
      </c>
      <c r="F546" s="1148">
        <v>7</v>
      </c>
      <c r="G546" s="1147">
        <v>10</v>
      </c>
      <c r="H546" s="1147"/>
      <c r="I546" s="1147"/>
      <c r="J546" s="1147"/>
      <c r="K546" s="1147">
        <v>1</v>
      </c>
      <c r="L546" s="1953" t="str">
        <f t="shared" si="21"/>
        <v>Estados SobrenaturalesEstado añadido: Ilusión</v>
      </c>
      <c r="M546" s="227"/>
    </row>
    <row r="547" spans="1:13" ht="12" customHeight="1" x14ac:dyDescent="0.2">
      <c r="A547" s="6342"/>
      <c r="B547" s="6358"/>
      <c r="C547" s="39" t="s">
        <v>8961</v>
      </c>
      <c r="D547" s="78" t="s">
        <v>8489</v>
      </c>
      <c r="E547" s="1147">
        <v>11</v>
      </c>
      <c r="F547" s="1148">
        <v>11</v>
      </c>
      <c r="G547" s="1147">
        <v>20</v>
      </c>
      <c r="H547" s="1147"/>
      <c r="I547" s="1147"/>
      <c r="J547" s="1147"/>
      <c r="K547" s="1147">
        <v>1</v>
      </c>
      <c r="L547" s="1953" t="str">
        <f t="shared" si="21"/>
        <v>Estados SobrenaturalesEstado añadido: Ilusión Fantasmal</v>
      </c>
      <c r="M547" s="227"/>
    </row>
    <row r="548" spans="1:13" ht="12" customHeight="1" x14ac:dyDescent="0.2">
      <c r="A548" s="6342"/>
      <c r="B548" s="6358"/>
      <c r="C548" s="39" t="s">
        <v>8961</v>
      </c>
      <c r="D548" s="78" t="s">
        <v>8490</v>
      </c>
      <c r="E548" s="1147">
        <v>9</v>
      </c>
      <c r="F548" s="1148">
        <v>9</v>
      </c>
      <c r="G548" s="1147">
        <v>15</v>
      </c>
      <c r="H548" s="1147"/>
      <c r="I548" s="1147"/>
      <c r="J548" s="1147"/>
      <c r="K548" s="1147">
        <v>1</v>
      </c>
      <c r="L548" s="1953" t="str">
        <f t="shared" si="21"/>
        <v>Estados SobrenaturalesEstado añadido: Ilusión Mayor</v>
      </c>
      <c r="M548" s="227"/>
    </row>
    <row r="549" spans="1:13" ht="12" customHeight="1" x14ac:dyDescent="0.2">
      <c r="A549" s="6342"/>
      <c r="B549" s="6358"/>
      <c r="C549" s="39" t="s">
        <v>8961</v>
      </c>
      <c r="D549" s="78" t="s">
        <v>8491</v>
      </c>
      <c r="E549" s="1147">
        <v>12</v>
      </c>
      <c r="F549" s="1148">
        <v>12</v>
      </c>
      <c r="G549" s="1147">
        <v>35</v>
      </c>
      <c r="H549" s="1147"/>
      <c r="I549" s="1147"/>
      <c r="J549" s="1147"/>
      <c r="K549" s="1147">
        <v>2</v>
      </c>
      <c r="L549" s="1953" t="str">
        <f t="shared" si="21"/>
        <v>Estados SobrenaturalesEstado añadido: Inconsciencia</v>
      </c>
      <c r="M549" s="227"/>
    </row>
    <row r="550" spans="1:13" ht="12" customHeight="1" x14ac:dyDescent="0.2">
      <c r="A550" s="6342"/>
      <c r="B550" s="6358"/>
      <c r="C550" s="39" t="s">
        <v>8961</v>
      </c>
      <c r="D550" s="78" t="s">
        <v>8492</v>
      </c>
      <c r="E550" s="1147">
        <v>3</v>
      </c>
      <c r="F550" s="1148">
        <v>3</v>
      </c>
      <c r="G550" s="1147">
        <v>10</v>
      </c>
      <c r="H550" s="1147"/>
      <c r="I550" s="1147"/>
      <c r="J550" s="1147"/>
      <c r="K550" s="1147">
        <v>1</v>
      </c>
      <c r="L550" s="1953" t="str">
        <f t="shared" si="21"/>
        <v>Estados SobrenaturalesEstado añadido: Miedo</v>
      </c>
      <c r="M550" s="227"/>
    </row>
    <row r="551" spans="1:13" ht="12" customHeight="1" x14ac:dyDescent="0.2">
      <c r="A551" s="6342"/>
      <c r="B551" s="6358"/>
      <c r="C551" s="39" t="s">
        <v>8961</v>
      </c>
      <c r="D551" s="78" t="s">
        <v>8493</v>
      </c>
      <c r="E551" s="1147">
        <v>20</v>
      </c>
      <c r="F551" s="1148">
        <v>20</v>
      </c>
      <c r="G551" s="1147">
        <v>50</v>
      </c>
      <c r="H551" s="1147"/>
      <c r="I551" s="1147"/>
      <c r="J551" s="1147"/>
      <c r="K551" s="1147">
        <v>3</v>
      </c>
      <c r="L551" s="1953" t="str">
        <f t="shared" si="21"/>
        <v>Estados SobrenaturalesEstado añadido: Muerte</v>
      </c>
      <c r="M551" s="227"/>
    </row>
    <row r="552" spans="1:13" ht="12" customHeight="1" x14ac:dyDescent="0.2">
      <c r="A552" s="6342"/>
      <c r="B552" s="6358"/>
      <c r="C552" s="39" t="s">
        <v>8961</v>
      </c>
      <c r="D552" s="78" t="s">
        <v>8494</v>
      </c>
      <c r="E552" s="1147">
        <v>6</v>
      </c>
      <c r="F552" s="1148">
        <v>6</v>
      </c>
      <c r="G552" s="1147">
        <v>10</v>
      </c>
      <c r="H552" s="1147"/>
      <c r="I552" s="1147"/>
      <c r="J552" s="1147"/>
      <c r="K552" s="1147">
        <v>1</v>
      </c>
      <c r="L552" s="1953" t="str">
        <f t="shared" si="21"/>
        <v>Estados SobrenaturalesEstado añadido: Paralización Parcial</v>
      </c>
      <c r="M552" s="227"/>
    </row>
    <row r="553" spans="1:13" ht="12" customHeight="1" x14ac:dyDescent="0.2">
      <c r="A553" s="6342"/>
      <c r="B553" s="6358"/>
      <c r="C553" s="39" t="s">
        <v>8961</v>
      </c>
      <c r="D553" s="78" t="s">
        <v>8495</v>
      </c>
      <c r="E553" s="1147">
        <v>12</v>
      </c>
      <c r="F553" s="1148">
        <v>12</v>
      </c>
      <c r="G553" s="1147">
        <v>20</v>
      </c>
      <c r="H553" s="1147"/>
      <c r="I553" s="1147"/>
      <c r="J553" s="1147"/>
      <c r="K553" s="1147">
        <v>2</v>
      </c>
      <c r="L553" s="1953" t="str">
        <f t="shared" si="21"/>
        <v>Estados SobrenaturalesEstado añadido: Paralización Total</v>
      </c>
      <c r="M553" s="227"/>
    </row>
    <row r="554" spans="1:13" ht="12" customHeight="1" x14ac:dyDescent="0.2">
      <c r="A554" s="6342"/>
      <c r="B554" s="6358"/>
      <c r="C554" s="39" t="s">
        <v>8961</v>
      </c>
      <c r="D554" s="78" t="s">
        <v>9217</v>
      </c>
      <c r="E554" s="1147">
        <v>4</v>
      </c>
      <c r="F554" s="1148">
        <v>4</v>
      </c>
      <c r="G554" s="1147">
        <v>5</v>
      </c>
      <c r="H554" s="1147"/>
      <c r="I554" s="1147"/>
      <c r="J554" s="1147"/>
      <c r="K554" s="1147">
        <v>1</v>
      </c>
      <c r="L554" s="1953" t="str">
        <f t="shared" si="21"/>
        <v>Estados SobrenaturalesEstado añadido: Pen. a la Acción Mayor</v>
      </c>
      <c r="M554" s="227"/>
    </row>
    <row r="555" spans="1:13" ht="12" customHeight="1" x14ac:dyDescent="0.2">
      <c r="A555" s="6342"/>
      <c r="B555" s="6358"/>
      <c r="C555" s="39" t="s">
        <v>8961</v>
      </c>
      <c r="D555" s="78" t="s">
        <v>9218</v>
      </c>
      <c r="E555" s="1147">
        <v>1</v>
      </c>
      <c r="F555" s="1148">
        <v>1</v>
      </c>
      <c r="G555" s="1147">
        <v>5</v>
      </c>
      <c r="H555" s="1147"/>
      <c r="I555" s="1147"/>
      <c r="J555" s="1147"/>
      <c r="K555" s="1147">
        <v>1</v>
      </c>
      <c r="L555" s="1953" t="str">
        <f t="shared" si="21"/>
        <v>Estados SobrenaturalesEstado añadido: Pen. a la Acción Menor</v>
      </c>
      <c r="M555" s="227"/>
    </row>
    <row r="556" spans="1:13" ht="12" customHeight="1" x14ac:dyDescent="0.2">
      <c r="A556" s="6342"/>
      <c r="B556" s="6358"/>
      <c r="C556" s="39" t="s">
        <v>8961</v>
      </c>
      <c r="D556" s="78" t="s">
        <v>9219</v>
      </c>
      <c r="E556" s="1147">
        <v>5</v>
      </c>
      <c r="F556" s="1148">
        <v>5</v>
      </c>
      <c r="G556" s="1147">
        <v>15</v>
      </c>
      <c r="H556" s="1147"/>
      <c r="I556" s="1147"/>
      <c r="J556" s="1147"/>
      <c r="K556" s="1147">
        <v>1</v>
      </c>
      <c r="L556" s="1953" t="str">
        <f t="shared" si="21"/>
        <v>Estados SobrenaturalesEstado añadido: Reducción de Car.</v>
      </c>
      <c r="M556" s="227"/>
    </row>
    <row r="557" spans="1:13" ht="12" customHeight="1" x14ac:dyDescent="0.2">
      <c r="A557" s="6342"/>
      <c r="B557" s="6358"/>
      <c r="C557" s="39" t="s">
        <v>8961</v>
      </c>
      <c r="D557" s="78" t="s">
        <v>9220</v>
      </c>
      <c r="E557" s="1147">
        <v>2</v>
      </c>
      <c r="F557" s="1148">
        <v>2</v>
      </c>
      <c r="G557" s="1147">
        <v>10</v>
      </c>
      <c r="H557" s="1147"/>
      <c r="I557" s="1147"/>
      <c r="J557" s="1147"/>
      <c r="K557" s="1147">
        <v>1</v>
      </c>
      <c r="L557" s="1953" t="str">
        <f t="shared" si="21"/>
        <v>Estados SobrenaturalesEstado añadido: Reducción de una Car.</v>
      </c>
      <c r="M557" s="227"/>
    </row>
    <row r="558" spans="1:13" ht="12" customHeight="1" x14ac:dyDescent="0.2">
      <c r="A558" s="6342"/>
      <c r="B558" s="6358"/>
      <c r="C558" s="39" t="s">
        <v>8961</v>
      </c>
      <c r="D558" s="78" t="s">
        <v>8496</v>
      </c>
      <c r="E558" s="1147">
        <v>2</v>
      </c>
      <c r="F558" s="1148">
        <v>2</v>
      </c>
      <c r="G558" s="1147">
        <v>10</v>
      </c>
      <c r="H558" s="1147"/>
      <c r="I558" s="1147"/>
      <c r="J558" s="1147"/>
      <c r="K558" s="1147">
        <v>1</v>
      </c>
      <c r="L558" s="1953" t="str">
        <f t="shared" si="21"/>
        <v>Estados SobrenaturalesEstado añadido: Reducción de RF</v>
      </c>
      <c r="M558" s="227"/>
    </row>
    <row r="559" spans="1:13" ht="12" customHeight="1" x14ac:dyDescent="0.2">
      <c r="A559" s="6342"/>
      <c r="B559" s="6358"/>
      <c r="C559" s="39" t="s">
        <v>8961</v>
      </c>
      <c r="D559" s="78" t="s">
        <v>8497</v>
      </c>
      <c r="E559" s="1147">
        <v>2</v>
      </c>
      <c r="F559" s="1148">
        <v>2</v>
      </c>
      <c r="G559" s="1147">
        <v>10</v>
      </c>
      <c r="H559" s="1147"/>
      <c r="I559" s="1147"/>
      <c r="J559" s="1147"/>
      <c r="K559" s="1147">
        <v>1</v>
      </c>
      <c r="L559" s="1953" t="str">
        <f t="shared" si="21"/>
        <v>Estados SobrenaturalesEstado añadido: Reducción de RP</v>
      </c>
      <c r="M559" s="227"/>
    </row>
    <row r="560" spans="1:13" ht="12" customHeight="1" x14ac:dyDescent="0.2">
      <c r="A560" s="6342"/>
      <c r="B560" s="6358"/>
      <c r="C560" s="39" t="s">
        <v>8961</v>
      </c>
      <c r="D560" s="78" t="s">
        <v>8498</v>
      </c>
      <c r="E560" s="1147">
        <v>6</v>
      </c>
      <c r="F560" s="1148">
        <v>6</v>
      </c>
      <c r="G560" s="1147">
        <v>15</v>
      </c>
      <c r="H560" s="1147"/>
      <c r="I560" s="1147"/>
      <c r="J560" s="1147"/>
      <c r="K560" s="1147">
        <v>1</v>
      </c>
      <c r="L560" s="1953" t="str">
        <f t="shared" si="21"/>
        <v>Estados SobrenaturalesEstado añadido: Terror</v>
      </c>
      <c r="M560" s="227"/>
    </row>
    <row r="561" spans="1:13" ht="12" customHeight="1" x14ac:dyDescent="0.2">
      <c r="A561" s="6342"/>
      <c r="B561" s="6358"/>
      <c r="C561" s="39" t="s">
        <v>8961</v>
      </c>
      <c r="D561" s="78" t="s">
        <v>9221</v>
      </c>
      <c r="E561" s="1147">
        <v>0</v>
      </c>
      <c r="F561" s="1148">
        <v>0</v>
      </c>
      <c r="G561" s="1147">
        <v>0</v>
      </c>
      <c r="H561" s="1147"/>
      <c r="I561" s="1147"/>
      <c r="J561" s="1147"/>
      <c r="K561" s="1147">
        <v>1</v>
      </c>
      <c r="L561" s="1953" t="str">
        <f t="shared" si="21"/>
        <v>Estados SobrenaturalesCondición: Conseguir dar un ataque</v>
      </c>
      <c r="M561" s="227"/>
    </row>
    <row r="562" spans="1:13" ht="12" customHeight="1" x14ac:dyDescent="0.2">
      <c r="A562" s="6342"/>
      <c r="B562" s="6358"/>
      <c r="C562" s="39" t="s">
        <v>8961</v>
      </c>
      <c r="D562" s="78" t="s">
        <v>9222</v>
      </c>
      <c r="E562" s="1147">
        <v>1</v>
      </c>
      <c r="F562" s="1148">
        <v>1</v>
      </c>
      <c r="G562" s="1147">
        <v>10</v>
      </c>
      <c r="H562" s="1147"/>
      <c r="I562" s="1147"/>
      <c r="J562" s="1147"/>
      <c r="K562" s="1147">
        <v>1</v>
      </c>
      <c r="L562" s="1953" t="str">
        <f t="shared" si="21"/>
        <v>Estados SobrenaturalesCondición: Conseguir dar un Beso</v>
      </c>
      <c r="M562" s="227"/>
    </row>
    <row r="563" spans="1:13" ht="12" customHeight="1" x14ac:dyDescent="0.2">
      <c r="A563" s="6342"/>
      <c r="B563" s="6358"/>
      <c r="C563" s="39" t="s">
        <v>8961</v>
      </c>
      <c r="D563" s="78" t="s">
        <v>9223</v>
      </c>
      <c r="E563" s="1147">
        <v>2</v>
      </c>
      <c r="F563" s="1148">
        <v>2</v>
      </c>
      <c r="G563" s="1147">
        <v>5</v>
      </c>
      <c r="H563" s="1147"/>
      <c r="I563" s="1147"/>
      <c r="J563" s="1147"/>
      <c r="K563" s="1147">
        <v>1</v>
      </c>
      <c r="L563" s="1953" t="str">
        <f t="shared" si="21"/>
        <v>Estados SobrenaturalesCondición: Contacto Físico</v>
      </c>
      <c r="M563" s="227"/>
    </row>
    <row r="564" spans="1:13" ht="12" customHeight="1" x14ac:dyDescent="0.2">
      <c r="A564" s="6342"/>
      <c r="B564" s="6358"/>
      <c r="C564" s="39" t="s">
        <v>8961</v>
      </c>
      <c r="D564" s="78" t="s">
        <v>9224</v>
      </c>
      <c r="E564" s="1147">
        <v>8</v>
      </c>
      <c r="F564" s="1148">
        <v>8</v>
      </c>
      <c r="G564" s="1147">
        <v>15</v>
      </c>
      <c r="H564" s="1147"/>
      <c r="I564" s="1147"/>
      <c r="J564" s="1147"/>
      <c r="K564" s="1147">
        <v>1</v>
      </c>
      <c r="L564" s="1953" t="str">
        <f t="shared" si="21"/>
        <v>Estados SobrenaturalesCondición: Contacto Visual Mutuo</v>
      </c>
      <c r="M564" s="227"/>
    </row>
    <row r="565" spans="1:13" ht="12" customHeight="1" x14ac:dyDescent="0.2">
      <c r="A565" s="6342"/>
      <c r="B565" s="6358"/>
      <c r="C565" s="39" t="s">
        <v>8961</v>
      </c>
      <c r="D565" s="78" t="s">
        <v>9225</v>
      </c>
      <c r="E565" s="1147">
        <v>12</v>
      </c>
      <c r="F565" s="1148">
        <v>12</v>
      </c>
      <c r="G565" s="1147">
        <v>30</v>
      </c>
      <c r="H565" s="1147"/>
      <c r="I565" s="1147"/>
      <c r="J565" s="1147"/>
      <c r="K565" s="1147">
        <v>2</v>
      </c>
      <c r="L565" s="1953" t="str">
        <f t="shared" si="21"/>
        <v>Estados SobrenaturalesCondición: Contacto Visual (Un Blanco)</v>
      </c>
      <c r="M565" s="227"/>
    </row>
    <row r="566" spans="1:13" ht="12" customHeight="1" x14ac:dyDescent="0.2">
      <c r="A566" s="6342"/>
      <c r="B566" s="6358"/>
      <c r="C566" s="39" t="s">
        <v>8961</v>
      </c>
      <c r="D566" s="78" t="s">
        <v>9226</v>
      </c>
      <c r="E566" s="1147">
        <v>16</v>
      </c>
      <c r="F566" s="1148">
        <v>16</v>
      </c>
      <c r="G566" s="1147">
        <v>40</v>
      </c>
      <c r="H566" s="1147"/>
      <c r="I566" s="1147"/>
      <c r="J566" s="1147"/>
      <c r="K566" s="1147">
        <v>3</v>
      </c>
      <c r="L566" s="1953" t="str">
        <f t="shared" si="21"/>
        <v>Estados SobrenaturalesCondición: Contacto Visual (Varios)</v>
      </c>
      <c r="M566" s="227"/>
    </row>
    <row r="567" spans="1:13" ht="12" customHeight="1" x14ac:dyDescent="0.2">
      <c r="A567" s="6342"/>
      <c r="B567" s="6358"/>
      <c r="C567" s="39" t="s">
        <v>8961</v>
      </c>
      <c r="D567" s="78" t="s">
        <v>9227</v>
      </c>
      <c r="E567" s="1147">
        <v>20</v>
      </c>
      <c r="F567" s="1148">
        <v>20</v>
      </c>
      <c r="G567" s="1147">
        <v>50</v>
      </c>
      <c r="H567" s="1147"/>
      <c r="I567" s="1147"/>
      <c r="J567" s="1147"/>
      <c r="K567" s="1147">
        <v>3</v>
      </c>
      <c r="L567" s="1953" t="str">
        <f t="shared" si="21"/>
        <v>Estados SobrenaturalesCondición: Por el Aire</v>
      </c>
      <c r="M567" s="227"/>
    </row>
    <row r="568" spans="1:13" ht="12" customHeight="1" x14ac:dyDescent="0.2">
      <c r="A568" s="6342"/>
      <c r="B568" s="6358"/>
      <c r="C568" s="39" t="s">
        <v>8961</v>
      </c>
      <c r="D568" s="78" t="s">
        <v>9228</v>
      </c>
      <c r="E568" s="1147">
        <v>13</v>
      </c>
      <c r="F568" s="1148">
        <v>13</v>
      </c>
      <c r="G568" s="1147">
        <v>35</v>
      </c>
      <c r="H568" s="1147"/>
      <c r="I568" s="1147"/>
      <c r="J568" s="1147"/>
      <c r="K568" s="1147">
        <v>2</v>
      </c>
      <c r="L568" s="1953" t="str">
        <f t="shared" si="21"/>
        <v>Estados SobrenaturalesCondición: Por Sonido (Un Blanco)</v>
      </c>
      <c r="M568" s="227"/>
    </row>
    <row r="569" spans="1:13" ht="12" customHeight="1" x14ac:dyDescent="0.2">
      <c r="A569" s="6342"/>
      <c r="B569" s="6358"/>
      <c r="C569" s="39" t="s">
        <v>8961</v>
      </c>
      <c r="D569" s="78" t="s">
        <v>9229</v>
      </c>
      <c r="E569" s="1147">
        <v>18</v>
      </c>
      <c r="F569" s="1148">
        <v>18</v>
      </c>
      <c r="G569" s="1147">
        <v>45</v>
      </c>
      <c r="H569" s="1147"/>
      <c r="I569" s="1147"/>
      <c r="J569" s="1147"/>
      <c r="K569" s="1147">
        <v>3</v>
      </c>
      <c r="L569" s="1953" t="str">
        <f t="shared" si="21"/>
        <v>Estados SobrenaturalesCondición: Por Sonido (Varios Blancos)</v>
      </c>
      <c r="M569" s="227"/>
    </row>
    <row r="570" spans="1:13" ht="12" customHeight="1" x14ac:dyDescent="0.2">
      <c r="A570" s="6342"/>
      <c r="B570" s="6358"/>
      <c r="C570" s="39" t="s">
        <v>8961</v>
      </c>
      <c r="D570" s="78" t="s">
        <v>9230</v>
      </c>
      <c r="E570" s="1147">
        <v>12</v>
      </c>
      <c r="F570" s="1148">
        <v>12</v>
      </c>
      <c r="G570" s="1147">
        <v>30</v>
      </c>
      <c r="H570" s="1147"/>
      <c r="I570" s="1147"/>
      <c r="J570" s="1147"/>
      <c r="K570" s="1147">
        <v>2</v>
      </c>
      <c r="L570" s="1953" t="str">
        <f t="shared" si="21"/>
        <v>Estados SobrenaturalesCondición: Por Superficie</v>
      </c>
      <c r="M570" s="227"/>
    </row>
    <row r="571" spans="1:13" ht="12" customHeight="1" x14ac:dyDescent="0.2">
      <c r="A571" s="6342"/>
      <c r="B571" s="6358"/>
      <c r="C571" s="39" t="s">
        <v>8961</v>
      </c>
      <c r="D571" s="78" t="s">
        <v>9231</v>
      </c>
      <c r="E571" s="1147">
        <v>18</v>
      </c>
      <c r="F571" s="1148">
        <v>18</v>
      </c>
      <c r="G571" s="1147">
        <v>45</v>
      </c>
      <c r="H571" s="1147"/>
      <c r="I571" s="1147"/>
      <c r="J571" s="1147"/>
      <c r="K571" s="1147">
        <v>3</v>
      </c>
      <c r="L571" s="1953" t="str">
        <f t="shared" si="21"/>
        <v>Estados SobrenaturalesCondición: Por Toda Superficie</v>
      </c>
      <c r="M571" s="227"/>
    </row>
    <row r="572" spans="1:13" ht="12" customHeight="1" x14ac:dyDescent="0.2">
      <c r="A572" s="6342"/>
      <c r="B572" s="6358"/>
      <c r="C572" s="39" t="s">
        <v>8961</v>
      </c>
      <c r="D572" s="78" t="s">
        <v>9232</v>
      </c>
      <c r="E572" s="1147">
        <v>1</v>
      </c>
      <c r="F572" s="1148">
        <v>1</v>
      </c>
      <c r="G572" s="1147">
        <v>5</v>
      </c>
      <c r="H572" s="1147"/>
      <c r="I572" s="1147"/>
      <c r="J572" s="1147"/>
      <c r="K572" s="1147">
        <v>1</v>
      </c>
      <c r="L572" s="1953" t="str">
        <f t="shared" si="21"/>
        <v>Estados SobrenaturalesDistancia: 1 metro</v>
      </c>
      <c r="M572" s="227"/>
    </row>
    <row r="573" spans="1:13" ht="12" customHeight="1" x14ac:dyDescent="0.2">
      <c r="A573" s="6342"/>
      <c r="B573" s="6358"/>
      <c r="C573" s="39" t="s">
        <v>8961</v>
      </c>
      <c r="D573" s="78" t="s">
        <v>9233</v>
      </c>
      <c r="E573" s="1147">
        <v>3</v>
      </c>
      <c r="F573" s="1148">
        <v>3</v>
      </c>
      <c r="G573" s="1147">
        <v>5</v>
      </c>
      <c r="H573" s="1147"/>
      <c r="I573" s="1147"/>
      <c r="J573" s="1147"/>
      <c r="K573" s="1147">
        <v>1</v>
      </c>
      <c r="L573" s="1953" t="str">
        <f t="shared" si="21"/>
        <v>Estados SobrenaturalesDistancia: 5 metros</v>
      </c>
      <c r="M573" s="227"/>
    </row>
    <row r="574" spans="1:13" ht="12" customHeight="1" x14ac:dyDescent="0.2">
      <c r="A574" s="6342"/>
      <c r="B574" s="6358"/>
      <c r="C574" s="39" t="s">
        <v>8961</v>
      </c>
      <c r="D574" s="78" t="s">
        <v>9234</v>
      </c>
      <c r="E574" s="1147">
        <v>5</v>
      </c>
      <c r="F574" s="1148">
        <v>5</v>
      </c>
      <c r="G574" s="1147">
        <v>10</v>
      </c>
      <c r="H574" s="1147"/>
      <c r="I574" s="1147"/>
      <c r="J574" s="1147"/>
      <c r="K574" s="1147">
        <v>1</v>
      </c>
      <c r="L574" s="1953" t="str">
        <f t="shared" si="21"/>
        <v>Estados SobrenaturalesDistancia: 10 metros</v>
      </c>
      <c r="M574" s="227"/>
    </row>
    <row r="575" spans="1:13" ht="12" customHeight="1" x14ac:dyDescent="0.2">
      <c r="A575" s="6342"/>
      <c r="B575" s="6358"/>
      <c r="C575" s="39" t="s">
        <v>8961</v>
      </c>
      <c r="D575" s="78" t="s">
        <v>9235</v>
      </c>
      <c r="E575" s="1147">
        <v>8</v>
      </c>
      <c r="F575" s="1148">
        <v>8</v>
      </c>
      <c r="G575" s="1147">
        <v>10</v>
      </c>
      <c r="H575" s="1147"/>
      <c r="I575" s="1147"/>
      <c r="J575" s="1147"/>
      <c r="K575" s="1147">
        <v>1</v>
      </c>
      <c r="L575" s="1953" t="str">
        <f t="shared" si="21"/>
        <v>Estados SobrenaturalesDistancia: 25 metros</v>
      </c>
      <c r="M575" s="227"/>
    </row>
    <row r="576" spans="1:13" ht="12" customHeight="1" x14ac:dyDescent="0.2">
      <c r="A576" s="6342"/>
      <c r="B576" s="6358"/>
      <c r="C576" s="39" t="s">
        <v>8961</v>
      </c>
      <c r="D576" s="78" t="s">
        <v>9236</v>
      </c>
      <c r="E576" s="1147">
        <v>12</v>
      </c>
      <c r="F576" s="1148">
        <v>12</v>
      </c>
      <c r="G576" s="1147">
        <v>15</v>
      </c>
      <c r="H576" s="1147"/>
      <c r="I576" s="1147"/>
      <c r="J576" s="1147"/>
      <c r="K576" s="1147">
        <v>2</v>
      </c>
      <c r="L576" s="1953" t="str">
        <f t="shared" si="21"/>
        <v>Estados SobrenaturalesDistancia: 50 metros</v>
      </c>
      <c r="M576" s="227"/>
    </row>
    <row r="577" spans="1:13" ht="12" customHeight="1" x14ac:dyDescent="0.2">
      <c r="A577" s="6342"/>
      <c r="B577" s="6358"/>
      <c r="C577" s="39" t="s">
        <v>8961</v>
      </c>
      <c r="D577" s="78" t="s">
        <v>9237</v>
      </c>
      <c r="E577" s="1147">
        <v>15</v>
      </c>
      <c r="F577" s="1148">
        <v>15</v>
      </c>
      <c r="G577" s="1147">
        <v>20</v>
      </c>
      <c r="H577" s="1147"/>
      <c r="I577" s="1147"/>
      <c r="J577" s="1147"/>
      <c r="K577" s="1147">
        <v>2</v>
      </c>
      <c r="L577" s="1953" t="str">
        <f t="shared" si="21"/>
        <v>Estados SobrenaturalesDistancia: 100 metros</v>
      </c>
      <c r="M577" s="227"/>
    </row>
    <row r="578" spans="1:13" ht="12" customHeight="1" x14ac:dyDescent="0.2">
      <c r="A578" s="6342"/>
      <c r="B578" s="6358"/>
      <c r="C578" s="39" t="s">
        <v>8961</v>
      </c>
      <c r="D578" s="78" t="s">
        <v>9238</v>
      </c>
      <c r="E578" s="1147">
        <v>20</v>
      </c>
      <c r="F578" s="1148">
        <v>20</v>
      </c>
      <c r="G578" s="1147">
        <v>25</v>
      </c>
      <c r="H578" s="1147"/>
      <c r="I578" s="1147"/>
      <c r="J578" s="1147"/>
      <c r="K578" s="1147">
        <v>3</v>
      </c>
      <c r="L578" s="1953" t="str">
        <f t="shared" si="21"/>
        <v>Estados SobrenaturalesDistancia: 150 metros</v>
      </c>
      <c r="M578" s="227"/>
    </row>
    <row r="579" spans="1:13" ht="12" customHeight="1" x14ac:dyDescent="0.2">
      <c r="A579" s="6342"/>
      <c r="B579" s="6358"/>
      <c r="C579" s="39" t="s">
        <v>8961</v>
      </c>
      <c r="D579" s="78" t="s">
        <v>9239</v>
      </c>
      <c r="E579" s="1147">
        <v>25</v>
      </c>
      <c r="F579" s="1148">
        <v>25</v>
      </c>
      <c r="G579" s="1147">
        <v>30</v>
      </c>
      <c r="H579" s="1147"/>
      <c r="I579" s="1147"/>
      <c r="J579" s="1147"/>
      <c r="K579" s="1147">
        <v>3</v>
      </c>
      <c r="L579" s="1953" t="str">
        <f t="shared" si="21"/>
        <v>Estados SobrenaturalesDistancia: 500 metros</v>
      </c>
      <c r="M579" s="227"/>
    </row>
    <row r="580" spans="1:13" ht="12" customHeight="1" x14ac:dyDescent="0.2">
      <c r="A580" s="6342"/>
      <c r="B580" s="6358"/>
      <c r="C580" s="39" t="s">
        <v>9240</v>
      </c>
      <c r="D580" s="78"/>
      <c r="E580" s="1147"/>
      <c r="F580" s="1148"/>
      <c r="G580" s="1147"/>
      <c r="H580" s="1147"/>
      <c r="I580" s="1147"/>
      <c r="J580" s="1147"/>
      <c r="K580" s="1147"/>
      <c r="L580" s="1953" t="str">
        <f t="shared" si="21"/>
        <v>&gt; IMPACTO</v>
      </c>
      <c r="M580" s="227"/>
    </row>
    <row r="581" spans="1:13" ht="12" customHeight="1" x14ac:dyDescent="0.2">
      <c r="A581" s="6342"/>
      <c r="B581" s="6358"/>
      <c r="C581" s="39" t="s">
        <v>2936</v>
      </c>
      <c r="D581" s="78" t="s">
        <v>9241</v>
      </c>
      <c r="E581" s="1147">
        <v>1</v>
      </c>
      <c r="F581" s="1148">
        <v>2</v>
      </c>
      <c r="G581" s="1147">
        <v>5</v>
      </c>
      <c r="H581" s="1147">
        <v>1</v>
      </c>
      <c r="I581" s="1147">
        <v>2</v>
      </c>
      <c r="J581" s="1147">
        <v>4</v>
      </c>
      <c r="K581" s="1147">
        <v>1</v>
      </c>
      <c r="L581" s="1953" t="str">
        <f t="shared" si="21"/>
        <v>ImpactoFUE 4</v>
      </c>
      <c r="M581" s="227"/>
    </row>
    <row r="582" spans="1:13" ht="12" customHeight="1" x14ac:dyDescent="0.2">
      <c r="A582" s="6342"/>
      <c r="B582" s="6358"/>
      <c r="C582" s="39" t="s">
        <v>2936</v>
      </c>
      <c r="D582" s="78" t="s">
        <v>9242</v>
      </c>
      <c r="E582" s="1147">
        <v>2</v>
      </c>
      <c r="F582" s="1148">
        <v>4</v>
      </c>
      <c r="G582" s="1147">
        <v>5</v>
      </c>
      <c r="H582" s="1147">
        <v>2</v>
      </c>
      <c r="I582" s="1147">
        <v>4</v>
      </c>
      <c r="J582" s="1147">
        <v>7</v>
      </c>
      <c r="K582" s="1147">
        <v>1</v>
      </c>
      <c r="L582" s="1953" t="str">
        <f t="shared" si="21"/>
        <v>ImpactoFUE 6</v>
      </c>
      <c r="M582" s="227"/>
    </row>
    <row r="583" spans="1:13" ht="12" customHeight="1" x14ac:dyDescent="0.2">
      <c r="A583" s="6342"/>
      <c r="B583" s="6358"/>
      <c r="C583" s="39" t="s">
        <v>2936</v>
      </c>
      <c r="D583" s="78" t="s">
        <v>9243</v>
      </c>
      <c r="E583" s="1147">
        <v>3</v>
      </c>
      <c r="F583" s="1148">
        <v>5</v>
      </c>
      <c r="G583" s="1147">
        <v>10</v>
      </c>
      <c r="H583" s="1147">
        <v>3</v>
      </c>
      <c r="I583" s="1147">
        <v>6</v>
      </c>
      <c r="J583" s="1147">
        <v>11</v>
      </c>
      <c r="K583" s="1147">
        <v>1</v>
      </c>
      <c r="L583" s="1953" t="str">
        <f t="shared" si="21"/>
        <v>ImpactoFUE 8</v>
      </c>
      <c r="M583" s="227"/>
    </row>
    <row r="584" spans="1:13" ht="12" customHeight="1" x14ac:dyDescent="0.2">
      <c r="A584" s="6342"/>
      <c r="B584" s="6358"/>
      <c r="C584" s="39" t="s">
        <v>2936</v>
      </c>
      <c r="D584" s="78" t="s">
        <v>9244</v>
      </c>
      <c r="E584" s="1147">
        <v>4</v>
      </c>
      <c r="F584" s="1148">
        <v>6</v>
      </c>
      <c r="G584" s="1147">
        <v>10</v>
      </c>
      <c r="H584" s="1147">
        <v>4</v>
      </c>
      <c r="I584" s="1147">
        <v>8</v>
      </c>
      <c r="J584" s="1147">
        <v>14</v>
      </c>
      <c r="K584" s="1147">
        <v>1</v>
      </c>
      <c r="L584" s="1953" t="str">
        <f t="shared" si="21"/>
        <v>ImpactoFUE 10</v>
      </c>
      <c r="M584" s="227"/>
    </row>
    <row r="585" spans="1:13" ht="12" customHeight="1" x14ac:dyDescent="0.2">
      <c r="A585" s="6342"/>
      <c r="B585" s="6358"/>
      <c r="C585" s="39" t="s">
        <v>2936</v>
      </c>
      <c r="D585" s="78" t="s">
        <v>9245</v>
      </c>
      <c r="E585" s="1147">
        <v>5</v>
      </c>
      <c r="F585" s="1148">
        <v>8</v>
      </c>
      <c r="G585" s="1147">
        <v>15</v>
      </c>
      <c r="H585" s="1147">
        <v>5</v>
      </c>
      <c r="I585" s="1147">
        <v>10</v>
      </c>
      <c r="J585" s="1147">
        <v>18</v>
      </c>
      <c r="K585" s="1147">
        <v>1</v>
      </c>
      <c r="L585" s="1953" t="str">
        <f t="shared" ref="L585:L636" si="22">C585&amp;D585</f>
        <v>ImpactoFUE 12</v>
      </c>
      <c r="M585" s="227"/>
    </row>
    <row r="586" spans="1:13" ht="12" customHeight="1" x14ac:dyDescent="0.2">
      <c r="A586" s="6342"/>
      <c r="B586" s="6358"/>
      <c r="C586" s="39" t="s">
        <v>2936</v>
      </c>
      <c r="D586" s="78" t="s">
        <v>9246</v>
      </c>
      <c r="E586" s="1147">
        <v>6</v>
      </c>
      <c r="F586" s="1148">
        <v>9</v>
      </c>
      <c r="G586" s="1147">
        <v>20</v>
      </c>
      <c r="H586" s="1147">
        <v>6</v>
      </c>
      <c r="I586" s="1147">
        <v>12</v>
      </c>
      <c r="J586" s="1147">
        <v>21</v>
      </c>
      <c r="K586" s="1147">
        <v>2</v>
      </c>
      <c r="L586" s="1953" t="str">
        <f t="shared" si="22"/>
        <v>ImpactoFUE 14</v>
      </c>
      <c r="M586" s="227"/>
    </row>
    <row r="587" spans="1:13" ht="12" customHeight="1" x14ac:dyDescent="0.2">
      <c r="A587" s="6342"/>
      <c r="B587" s="6358"/>
      <c r="C587" s="39" t="s">
        <v>2936</v>
      </c>
      <c r="D587" s="78" t="s">
        <v>9247</v>
      </c>
      <c r="E587" s="1147">
        <v>8</v>
      </c>
      <c r="F587" s="1148">
        <v>11</v>
      </c>
      <c r="G587" s="1147">
        <v>25</v>
      </c>
      <c r="H587" s="1147">
        <v>7</v>
      </c>
      <c r="I587" s="1147">
        <v>14</v>
      </c>
      <c r="J587" s="1147">
        <v>25</v>
      </c>
      <c r="K587" s="1147">
        <v>2</v>
      </c>
      <c r="L587" s="1953" t="str">
        <f t="shared" si="22"/>
        <v>ImpactoFUE 16</v>
      </c>
      <c r="M587" s="227"/>
    </row>
    <row r="588" spans="1:13" ht="12" customHeight="1" x14ac:dyDescent="0.2">
      <c r="A588" s="6342"/>
      <c r="B588" s="6358"/>
      <c r="C588" s="39" t="s">
        <v>2936</v>
      </c>
      <c r="D588" s="78" t="s">
        <v>9248</v>
      </c>
      <c r="E588" s="1147">
        <v>10</v>
      </c>
      <c r="F588" s="1148">
        <v>13</v>
      </c>
      <c r="G588" s="1147">
        <v>30</v>
      </c>
      <c r="H588" s="1147">
        <v>8</v>
      </c>
      <c r="I588" s="1147">
        <v>16</v>
      </c>
      <c r="J588" s="1147">
        <v>28</v>
      </c>
      <c r="K588" s="1147">
        <v>3</v>
      </c>
      <c r="L588" s="1953" t="str">
        <f t="shared" si="22"/>
        <v>ImpactoFUE 18</v>
      </c>
      <c r="M588" s="227"/>
    </row>
    <row r="589" spans="1:13" ht="12" customHeight="1" x14ac:dyDescent="0.2">
      <c r="A589" s="6342"/>
      <c r="B589" s="6358"/>
      <c r="C589" s="39" t="s">
        <v>2936</v>
      </c>
      <c r="D589" s="78" t="s">
        <v>9249</v>
      </c>
      <c r="E589" s="1147">
        <v>12</v>
      </c>
      <c r="F589" s="1148">
        <v>15</v>
      </c>
      <c r="G589" s="1147">
        <v>35</v>
      </c>
      <c r="H589" s="1147">
        <v>10</v>
      </c>
      <c r="I589" s="1147">
        <v>20</v>
      </c>
      <c r="J589" s="1147">
        <v>35</v>
      </c>
      <c r="K589" s="1147">
        <v>3</v>
      </c>
      <c r="L589" s="1953" t="str">
        <f t="shared" si="22"/>
        <v>ImpactoFUE 20</v>
      </c>
      <c r="M589" s="227"/>
    </row>
    <row r="590" spans="1:13" ht="12" customHeight="1" x14ac:dyDescent="0.2">
      <c r="A590" s="6342"/>
      <c r="B590" s="6358"/>
      <c r="C590" s="39" t="s">
        <v>2936</v>
      </c>
      <c r="D590" s="78" t="s">
        <v>7086</v>
      </c>
      <c r="E590" s="1147">
        <v>1</v>
      </c>
      <c r="F590" s="1148">
        <v>1</v>
      </c>
      <c r="G590" s="1147">
        <v>5</v>
      </c>
      <c r="H590" s="1147">
        <v>1</v>
      </c>
      <c r="I590" s="1147">
        <v>2</v>
      </c>
      <c r="J590" s="1147">
        <v>4</v>
      </c>
      <c r="K590" s="1147">
        <v>1</v>
      </c>
      <c r="L590" s="1953" t="str">
        <f t="shared" si="22"/>
        <v>ImpactoAtraer</v>
      </c>
      <c r="M590" s="227"/>
    </row>
    <row r="591" spans="1:13" ht="12" customHeight="1" x14ac:dyDescent="0.2">
      <c r="A591" s="6342"/>
      <c r="B591" s="6358"/>
      <c r="C591" s="39" t="s">
        <v>9250</v>
      </c>
      <c r="D591" s="78"/>
      <c r="E591" s="1147"/>
      <c r="F591" s="1148"/>
      <c r="G591" s="1147"/>
      <c r="H591" s="1147"/>
      <c r="I591" s="1147"/>
      <c r="J591" s="1147"/>
      <c r="K591" s="1147"/>
      <c r="L591" s="1953" t="str">
        <f t="shared" si="22"/>
        <v>&gt; INTERRUPCIÓN</v>
      </c>
      <c r="M591" s="227"/>
    </row>
    <row r="592" spans="1:13" ht="12" customHeight="1" x14ac:dyDescent="0.2">
      <c r="A592" s="6342"/>
      <c r="B592" s="6358"/>
      <c r="C592" s="39" t="s">
        <v>2940</v>
      </c>
      <c r="D592" s="78" t="s">
        <v>9251</v>
      </c>
      <c r="E592" s="1147">
        <v>1</v>
      </c>
      <c r="F592" s="1148">
        <v>2</v>
      </c>
      <c r="G592" s="1147">
        <v>5</v>
      </c>
      <c r="H592" s="1147">
        <v>1</v>
      </c>
      <c r="I592" s="1147">
        <v>2</v>
      </c>
      <c r="J592" s="1147">
        <v>4</v>
      </c>
      <c r="K592" s="1147">
        <v>1</v>
      </c>
      <c r="L592" s="1953" t="str">
        <f t="shared" si="22"/>
        <v>InterrupciónRF = Daño</v>
      </c>
      <c r="M592" s="227"/>
    </row>
    <row r="593" spans="1:13" ht="12" customHeight="1" x14ac:dyDescent="0.2">
      <c r="A593" s="6342"/>
      <c r="B593" s="6358"/>
      <c r="C593" s="39" t="s">
        <v>2940</v>
      </c>
      <c r="D593" s="78" t="s">
        <v>9252</v>
      </c>
      <c r="E593" s="1147">
        <v>2</v>
      </c>
      <c r="F593" s="1148">
        <v>4</v>
      </c>
      <c r="G593" s="1147">
        <v>10</v>
      </c>
      <c r="H593" s="1147">
        <v>2</v>
      </c>
      <c r="I593" s="1147">
        <v>4</v>
      </c>
      <c r="J593" s="1147">
        <v>7</v>
      </c>
      <c r="K593" s="1147">
        <v>1</v>
      </c>
      <c r="L593" s="1953" t="str">
        <f t="shared" si="22"/>
        <v>InterrupciónRF = Daño +20</v>
      </c>
      <c r="M593" s="227"/>
    </row>
    <row r="594" spans="1:13" ht="12" customHeight="1" x14ac:dyDescent="0.2">
      <c r="A594" s="6342"/>
      <c r="B594" s="6358"/>
      <c r="C594" s="39" t="s">
        <v>2940</v>
      </c>
      <c r="D594" s="78" t="s">
        <v>9253</v>
      </c>
      <c r="E594" s="1147">
        <v>4</v>
      </c>
      <c r="F594" s="1148">
        <v>6</v>
      </c>
      <c r="G594" s="1147">
        <v>15</v>
      </c>
      <c r="H594" s="1147">
        <v>3</v>
      </c>
      <c r="I594" s="1147">
        <v>6</v>
      </c>
      <c r="J594" s="1147">
        <v>11</v>
      </c>
      <c r="K594" s="1147">
        <v>1</v>
      </c>
      <c r="L594" s="1953" t="str">
        <f t="shared" si="22"/>
        <v>InterrupciónRF = Daño +40</v>
      </c>
      <c r="M594" s="227"/>
    </row>
    <row r="595" spans="1:13" ht="12" customHeight="1" x14ac:dyDescent="0.2">
      <c r="A595" s="6342"/>
      <c r="B595" s="6358"/>
      <c r="C595" s="39" t="s">
        <v>2940</v>
      </c>
      <c r="D595" s="78" t="s">
        <v>9254</v>
      </c>
      <c r="E595" s="1147">
        <v>6</v>
      </c>
      <c r="F595" s="1148">
        <v>9</v>
      </c>
      <c r="G595" s="1147">
        <v>20</v>
      </c>
      <c r="H595" s="1147">
        <v>4</v>
      </c>
      <c r="I595" s="1147">
        <v>8</v>
      </c>
      <c r="J595" s="1147">
        <v>14</v>
      </c>
      <c r="K595" s="1147">
        <v>1</v>
      </c>
      <c r="L595" s="1953" t="str">
        <f t="shared" si="22"/>
        <v>InterrupciónRF = Daño +60</v>
      </c>
      <c r="M595" s="227"/>
    </row>
    <row r="596" spans="1:13" ht="12" customHeight="1" x14ac:dyDescent="0.2">
      <c r="A596" s="6342"/>
      <c r="B596" s="6358"/>
      <c r="C596" s="39" t="s">
        <v>2940</v>
      </c>
      <c r="D596" s="78" t="s">
        <v>9255</v>
      </c>
      <c r="E596" s="1147">
        <v>8</v>
      </c>
      <c r="F596" s="1148">
        <v>11</v>
      </c>
      <c r="G596" s="1147">
        <v>25</v>
      </c>
      <c r="H596" s="1147">
        <v>6</v>
      </c>
      <c r="I596" s="1147">
        <v>12</v>
      </c>
      <c r="J596" s="1147">
        <v>21</v>
      </c>
      <c r="K596" s="1147">
        <v>2</v>
      </c>
      <c r="L596" s="1953" t="str">
        <f t="shared" si="22"/>
        <v>InterrupciónRF = Daño +80</v>
      </c>
      <c r="M596" s="227"/>
    </row>
    <row r="597" spans="1:13" ht="12" customHeight="1" x14ac:dyDescent="0.2">
      <c r="A597" s="6342"/>
      <c r="B597" s="6358"/>
      <c r="C597" s="39" t="s">
        <v>2940</v>
      </c>
      <c r="D597" s="78" t="s">
        <v>9256</v>
      </c>
      <c r="E597" s="1147">
        <v>12</v>
      </c>
      <c r="F597" s="1148">
        <v>15</v>
      </c>
      <c r="G597" s="1147">
        <v>30</v>
      </c>
      <c r="H597" s="1147">
        <v>8</v>
      </c>
      <c r="I597" s="1147">
        <v>16</v>
      </c>
      <c r="J597" s="1147">
        <v>28</v>
      </c>
      <c r="K597" s="1147">
        <v>2</v>
      </c>
      <c r="L597" s="1953" t="str">
        <f t="shared" si="22"/>
        <v>InterrupciónRF = Daño +100</v>
      </c>
      <c r="M597" s="227"/>
    </row>
    <row r="598" spans="1:13" ht="12" customHeight="1" x14ac:dyDescent="0.2">
      <c r="A598" s="6342"/>
      <c r="B598" s="6358"/>
      <c r="C598" s="39" t="s">
        <v>2940</v>
      </c>
      <c r="D598" s="78" t="s">
        <v>9257</v>
      </c>
      <c r="E598" s="1147">
        <v>16</v>
      </c>
      <c r="F598" s="1148">
        <v>20</v>
      </c>
      <c r="G598" s="1147">
        <v>35</v>
      </c>
      <c r="H598" s="1147">
        <v>10</v>
      </c>
      <c r="I598" s="1147">
        <v>20</v>
      </c>
      <c r="J598" s="1147">
        <v>35</v>
      </c>
      <c r="K598" s="1147">
        <v>3</v>
      </c>
      <c r="L598" s="1953" t="str">
        <f t="shared" si="22"/>
        <v>InterrupciónRF = Daño +120</v>
      </c>
      <c r="M598" s="227"/>
    </row>
    <row r="599" spans="1:13" ht="12" customHeight="1" x14ac:dyDescent="0.2">
      <c r="A599" s="6342"/>
      <c r="B599" s="6358"/>
      <c r="C599" s="39" t="s">
        <v>2940</v>
      </c>
      <c r="D599" s="78" t="s">
        <v>3168</v>
      </c>
      <c r="E599" s="1147">
        <v>2</v>
      </c>
      <c r="F599" s="1148">
        <v>2</v>
      </c>
      <c r="G599" s="1147">
        <v>5</v>
      </c>
      <c r="H599" s="1147">
        <v>1</v>
      </c>
      <c r="I599" s="1147">
        <v>2</v>
      </c>
      <c r="J599" s="1147">
        <v>4</v>
      </c>
      <c r="K599" s="1147">
        <v>1</v>
      </c>
      <c r="L599" s="1953" t="str">
        <f t="shared" si="22"/>
        <v>InterrupciónInterrumpe Ki</v>
      </c>
      <c r="M599" s="227"/>
    </row>
    <row r="600" spans="1:13" ht="12" customHeight="1" x14ac:dyDescent="0.2">
      <c r="A600" s="6342"/>
      <c r="B600" s="6358"/>
      <c r="C600" s="39" t="s">
        <v>2940</v>
      </c>
      <c r="D600" s="78" t="s">
        <v>3169</v>
      </c>
      <c r="E600" s="1147">
        <v>2</v>
      </c>
      <c r="F600" s="1148">
        <v>2</v>
      </c>
      <c r="G600" s="1147">
        <v>5</v>
      </c>
      <c r="H600" s="1147">
        <v>1</v>
      </c>
      <c r="I600" s="1147">
        <v>2</v>
      </c>
      <c r="J600" s="1147">
        <v>4</v>
      </c>
      <c r="K600" s="1147">
        <v>1</v>
      </c>
      <c r="L600" s="1953" t="str">
        <f t="shared" si="22"/>
        <v>InterrupciónInterrumpe Magia</v>
      </c>
      <c r="M600" s="227"/>
    </row>
    <row r="601" spans="1:13" ht="12" customHeight="1" x14ac:dyDescent="0.2">
      <c r="A601" s="6342"/>
      <c r="B601" s="6358"/>
      <c r="C601" s="39" t="s">
        <v>2940</v>
      </c>
      <c r="D601" s="78" t="s">
        <v>3170</v>
      </c>
      <c r="E601" s="1147">
        <v>2</v>
      </c>
      <c r="F601" s="1148">
        <v>2</v>
      </c>
      <c r="G601" s="1147">
        <v>5</v>
      </c>
      <c r="H601" s="1147">
        <v>1</v>
      </c>
      <c r="I601" s="1147">
        <v>2</v>
      </c>
      <c r="J601" s="1147">
        <v>4</v>
      </c>
      <c r="K601" s="1147">
        <v>1</v>
      </c>
      <c r="L601" s="1953" t="str">
        <f t="shared" si="22"/>
        <v>InterrupciónInterrumpe Psíquica</v>
      </c>
      <c r="M601" s="227"/>
    </row>
    <row r="602" spans="1:13" ht="12" customHeight="1" x14ac:dyDescent="0.2">
      <c r="A602" s="6342"/>
      <c r="B602" s="6358"/>
      <c r="C602" s="39" t="s">
        <v>9258</v>
      </c>
      <c r="D602" s="78"/>
      <c r="E602" s="1147"/>
      <c r="F602" s="1148"/>
      <c r="G602" s="1147"/>
      <c r="H602" s="1147"/>
      <c r="I602" s="1147"/>
      <c r="J602" s="1147"/>
      <c r="K602" s="1147"/>
      <c r="L602" s="1953" t="str">
        <f t="shared" si="22"/>
        <v>&gt; INTANGIBILIDAD</v>
      </c>
      <c r="M602" s="227"/>
    </row>
    <row r="603" spans="1:13" ht="12" customHeight="1" x14ac:dyDescent="0.2">
      <c r="A603" s="6342"/>
      <c r="B603" s="6358"/>
      <c r="C603" s="39" t="s">
        <v>2943</v>
      </c>
      <c r="D603" s="78"/>
      <c r="E603" s="1147">
        <v>3</v>
      </c>
      <c r="F603" s="1148">
        <v>5</v>
      </c>
      <c r="G603" s="1147">
        <v>10</v>
      </c>
      <c r="H603" s="1147">
        <v>2</v>
      </c>
      <c r="I603" s="1147">
        <v>4</v>
      </c>
      <c r="J603" s="1147">
        <v>7</v>
      </c>
      <c r="K603" s="1147">
        <v>1</v>
      </c>
      <c r="L603" s="1953" t="str">
        <f t="shared" si="22"/>
        <v>Intangibilidad</v>
      </c>
      <c r="M603" s="227"/>
    </row>
    <row r="604" spans="1:13" ht="12" customHeight="1" x14ac:dyDescent="0.2">
      <c r="A604" s="6342"/>
      <c r="B604" s="6358"/>
      <c r="C604" s="39" t="s">
        <v>2943</v>
      </c>
      <c r="D604" s="78" t="s">
        <v>3171</v>
      </c>
      <c r="E604" s="1147">
        <v>1</v>
      </c>
      <c r="F604" s="1148">
        <v>1</v>
      </c>
      <c r="G604" s="1147">
        <v>5</v>
      </c>
      <c r="H604" s="1147">
        <v>1</v>
      </c>
      <c r="I604" s="1147">
        <v>2</v>
      </c>
      <c r="J604" s="1147">
        <v>4</v>
      </c>
      <c r="K604" s="1147">
        <v>1</v>
      </c>
      <c r="L604" s="1953" t="str">
        <f t="shared" si="22"/>
        <v>IntangibilidadPresencia Simple</v>
      </c>
      <c r="M604" s="227"/>
    </row>
    <row r="605" spans="1:13" ht="12" customHeight="1" x14ac:dyDescent="0.2">
      <c r="A605" s="6342"/>
      <c r="B605" s="6358"/>
      <c r="C605" s="39" t="s">
        <v>2943</v>
      </c>
      <c r="D605" s="78" t="s">
        <v>3172</v>
      </c>
      <c r="E605" s="1147">
        <v>3</v>
      </c>
      <c r="F605" s="1148">
        <v>3</v>
      </c>
      <c r="G605" s="1147">
        <v>10</v>
      </c>
      <c r="H605" s="1147">
        <v>2</v>
      </c>
      <c r="I605" s="1147">
        <v>4</v>
      </c>
      <c r="J605" s="1147">
        <v>7</v>
      </c>
      <c r="K605" s="1147">
        <v>1</v>
      </c>
      <c r="L605" s="1953" t="str">
        <f t="shared" si="22"/>
        <v>IntangibilidadPresencia Extendida</v>
      </c>
      <c r="M605" s="227"/>
    </row>
    <row r="606" spans="1:13" ht="12" customHeight="1" x14ac:dyDescent="0.2">
      <c r="A606" s="6342"/>
      <c r="B606" s="6358"/>
      <c r="C606" s="39" t="s">
        <v>2943</v>
      </c>
      <c r="D606" s="78" t="s">
        <v>3173</v>
      </c>
      <c r="E606" s="1147">
        <v>2</v>
      </c>
      <c r="F606" s="1148">
        <v>2</v>
      </c>
      <c r="G606" s="1147">
        <v>10</v>
      </c>
      <c r="H606" s="1147">
        <v>2</v>
      </c>
      <c r="I606" s="1147">
        <v>4</v>
      </c>
      <c r="J606" s="1147">
        <v>7</v>
      </c>
      <c r="K606" s="1147">
        <v>1</v>
      </c>
      <c r="L606" s="1953" t="str">
        <f t="shared" si="22"/>
        <v>IntangibilidadFusión</v>
      </c>
      <c r="M606" s="227"/>
    </row>
    <row r="607" spans="1:13" ht="12" customHeight="1" x14ac:dyDescent="0.2">
      <c r="A607" s="6342"/>
      <c r="B607" s="6358"/>
      <c r="C607" s="39" t="s">
        <v>9259</v>
      </c>
      <c r="D607" s="78"/>
      <c r="E607" s="1147"/>
      <c r="F607" s="1148"/>
      <c r="G607" s="1147"/>
      <c r="H607" s="1147"/>
      <c r="I607" s="1147"/>
      <c r="J607" s="1147"/>
      <c r="K607" s="1147"/>
      <c r="L607" s="1953" t="str">
        <f t="shared" si="22"/>
        <v>&gt; MARCA</v>
      </c>
      <c r="M607" s="227"/>
    </row>
    <row r="608" spans="1:13" ht="12" customHeight="1" x14ac:dyDescent="0.2">
      <c r="A608" s="6342"/>
      <c r="B608" s="6358"/>
      <c r="C608" s="39" t="s">
        <v>2946</v>
      </c>
      <c r="D608" s="78" t="s">
        <v>8353</v>
      </c>
      <c r="E608" s="1147">
        <v>4</v>
      </c>
      <c r="F608" s="1148">
        <v>6</v>
      </c>
      <c r="G608" s="1147">
        <v>10</v>
      </c>
      <c r="H608" s="1147">
        <v>2</v>
      </c>
      <c r="I608" s="1147">
        <v>4</v>
      </c>
      <c r="J608" s="1147">
        <v>7</v>
      </c>
      <c r="K608" s="1147">
        <v>1</v>
      </c>
      <c r="L608" s="1953" t="str">
        <f t="shared" si="22"/>
        <v>MarcaMenor</v>
      </c>
      <c r="M608" s="227"/>
    </row>
    <row r="609" spans="1:13" ht="12" customHeight="1" x14ac:dyDescent="0.2">
      <c r="A609" s="6342"/>
      <c r="B609" s="6358"/>
      <c r="C609" s="39" t="s">
        <v>2946</v>
      </c>
      <c r="D609" s="78" t="s">
        <v>8352</v>
      </c>
      <c r="E609" s="1147">
        <v>10</v>
      </c>
      <c r="F609" s="1148">
        <v>13</v>
      </c>
      <c r="G609" s="1147">
        <v>25</v>
      </c>
      <c r="H609" s="1147">
        <v>4</v>
      </c>
      <c r="I609" s="1147">
        <v>8</v>
      </c>
      <c r="J609" s="1147">
        <v>14</v>
      </c>
      <c r="K609" s="1147">
        <v>2</v>
      </c>
      <c r="L609" s="1953" t="str">
        <f t="shared" si="22"/>
        <v>MarcaMayor</v>
      </c>
      <c r="M609" s="227"/>
    </row>
    <row r="610" spans="1:13" ht="12" customHeight="1" x14ac:dyDescent="0.2">
      <c r="A610" s="6342"/>
      <c r="B610" s="6358"/>
      <c r="C610" s="39" t="s">
        <v>2946</v>
      </c>
      <c r="D610" s="78" t="s">
        <v>3174</v>
      </c>
      <c r="E610" s="1147">
        <v>4</v>
      </c>
      <c r="F610" s="1148">
        <v>4</v>
      </c>
      <c r="G610" s="1147">
        <v>10</v>
      </c>
      <c r="H610" s="1147"/>
      <c r="I610" s="1147"/>
      <c r="J610" s="1147"/>
      <c r="K610" s="1147">
        <v>1</v>
      </c>
      <c r="L610" s="1953" t="str">
        <f t="shared" si="22"/>
        <v>MarcaPermanencia Prolongada</v>
      </c>
      <c r="M610" s="227"/>
    </row>
    <row r="611" spans="1:13" ht="12" customHeight="1" x14ac:dyDescent="0.2">
      <c r="A611" s="6342"/>
      <c r="B611" s="6358"/>
      <c r="C611" s="39" t="s">
        <v>2946</v>
      </c>
      <c r="D611" s="78" t="s">
        <v>3175</v>
      </c>
      <c r="E611" s="1147">
        <v>10</v>
      </c>
      <c r="F611" s="1148">
        <v>10</v>
      </c>
      <c r="G611" s="1147">
        <v>30</v>
      </c>
      <c r="H611" s="1147">
        <v>2</v>
      </c>
      <c r="I611" s="1147">
        <v>4</v>
      </c>
      <c r="J611" s="1147">
        <v>7</v>
      </c>
      <c r="K611" s="1147">
        <v>1</v>
      </c>
      <c r="L611" s="1953" t="str">
        <f t="shared" si="22"/>
        <v>MarcaPermanencia Eterna</v>
      </c>
      <c r="M611" s="227"/>
    </row>
    <row r="612" spans="1:13" ht="12" customHeight="1" x14ac:dyDescent="0.2">
      <c r="A612" s="6342"/>
      <c r="B612" s="6358"/>
      <c r="C612" s="39" t="s">
        <v>9260</v>
      </c>
      <c r="D612" s="78"/>
      <c r="E612" s="1147"/>
      <c r="F612" s="1148"/>
      <c r="G612" s="1147"/>
      <c r="H612" s="1147"/>
      <c r="I612" s="1147"/>
      <c r="J612" s="1147"/>
      <c r="K612" s="1147"/>
      <c r="L612" s="1953" t="str">
        <f t="shared" si="22"/>
        <v>&gt; POTENCIAR CRÍTICO</v>
      </c>
      <c r="M612" s="227"/>
    </row>
    <row r="613" spans="1:13" ht="12" customHeight="1" x14ac:dyDescent="0.2">
      <c r="A613" s="6342"/>
      <c r="B613" s="6358"/>
      <c r="C613" s="39" t="s">
        <v>8969</v>
      </c>
      <c r="D613" s="78" t="s">
        <v>7488</v>
      </c>
      <c r="E613" s="1147">
        <v>2</v>
      </c>
      <c r="F613" s="1148">
        <v>4</v>
      </c>
      <c r="G613" s="1147">
        <v>5</v>
      </c>
      <c r="H613" s="1147">
        <v>1</v>
      </c>
      <c r="I613" s="1147">
        <v>2</v>
      </c>
      <c r="J613" s="1147">
        <v>4</v>
      </c>
      <c r="K613" s="1147">
        <v>1</v>
      </c>
      <c r="L613" s="1953" t="str">
        <f t="shared" si="22"/>
        <v>Potenciar Crítico+10</v>
      </c>
      <c r="M613" s="227"/>
    </row>
    <row r="614" spans="1:13" ht="12" customHeight="1" x14ac:dyDescent="0.2">
      <c r="A614" s="6342"/>
      <c r="B614" s="6358"/>
      <c r="C614" s="39" t="s">
        <v>8969</v>
      </c>
      <c r="D614" s="78" t="s">
        <v>7632</v>
      </c>
      <c r="E614" s="1147">
        <v>3</v>
      </c>
      <c r="F614" s="1148">
        <v>5</v>
      </c>
      <c r="G614" s="1147">
        <v>5</v>
      </c>
      <c r="H614" s="1147">
        <v>2</v>
      </c>
      <c r="I614" s="1147">
        <v>4</v>
      </c>
      <c r="J614" s="1147">
        <v>7</v>
      </c>
      <c r="K614" s="1147">
        <v>1</v>
      </c>
      <c r="L614" s="1953" t="str">
        <f t="shared" si="22"/>
        <v>Potenciar Crítico+25</v>
      </c>
      <c r="M614" s="227"/>
    </row>
    <row r="615" spans="1:13" ht="12" customHeight="1" x14ac:dyDescent="0.2">
      <c r="A615" s="6342"/>
      <c r="B615" s="6358"/>
      <c r="C615" s="39" t="s">
        <v>8969</v>
      </c>
      <c r="D615" s="78" t="s">
        <v>7490</v>
      </c>
      <c r="E615" s="1147">
        <v>4</v>
      </c>
      <c r="F615" s="1148">
        <v>6</v>
      </c>
      <c r="G615" s="1147">
        <v>10</v>
      </c>
      <c r="H615" s="1147">
        <v>3</v>
      </c>
      <c r="I615" s="1147">
        <v>6</v>
      </c>
      <c r="J615" s="1147">
        <v>11</v>
      </c>
      <c r="K615" s="1147">
        <v>1</v>
      </c>
      <c r="L615" s="1953" t="str">
        <f t="shared" si="22"/>
        <v>Potenciar Crítico+40</v>
      </c>
      <c r="M615" s="227"/>
    </row>
    <row r="616" spans="1:13" ht="12" customHeight="1" x14ac:dyDescent="0.2">
      <c r="A616" s="6342"/>
      <c r="B616" s="6358"/>
      <c r="C616" s="39" t="s">
        <v>8969</v>
      </c>
      <c r="D616" s="78" t="s">
        <v>7491</v>
      </c>
      <c r="E616" s="1147">
        <v>5</v>
      </c>
      <c r="F616" s="1148">
        <v>8</v>
      </c>
      <c r="G616" s="1147">
        <v>15</v>
      </c>
      <c r="H616" s="1147">
        <v>4</v>
      </c>
      <c r="I616" s="1147">
        <v>8</v>
      </c>
      <c r="J616" s="1147">
        <v>14</v>
      </c>
      <c r="K616" s="1147">
        <v>1</v>
      </c>
      <c r="L616" s="1953" t="str">
        <f t="shared" si="22"/>
        <v>Potenciar Crítico+50</v>
      </c>
      <c r="M616" s="227"/>
    </row>
    <row r="617" spans="1:13" ht="12" customHeight="1" x14ac:dyDescent="0.2">
      <c r="A617" s="6342"/>
      <c r="B617" s="6358"/>
      <c r="C617" s="39" t="s">
        <v>8969</v>
      </c>
      <c r="D617" s="78" t="s">
        <v>8842</v>
      </c>
      <c r="E617" s="1147">
        <v>8</v>
      </c>
      <c r="F617" s="1148">
        <v>11</v>
      </c>
      <c r="G617" s="1147">
        <v>20</v>
      </c>
      <c r="H617" s="1147">
        <v>6</v>
      </c>
      <c r="I617" s="1147">
        <v>12</v>
      </c>
      <c r="J617" s="1147">
        <v>21</v>
      </c>
      <c r="K617" s="1147">
        <v>1</v>
      </c>
      <c r="L617" s="1953" t="str">
        <f t="shared" si="22"/>
        <v>Potenciar Crítico+75</v>
      </c>
      <c r="M617" s="227"/>
    </row>
    <row r="618" spans="1:13" ht="12" customHeight="1" x14ac:dyDescent="0.2">
      <c r="A618" s="6342"/>
      <c r="B618" s="6358"/>
      <c r="C618" s="39" t="s">
        <v>8969</v>
      </c>
      <c r="D618" s="78" t="s">
        <v>8846</v>
      </c>
      <c r="E618" s="1147">
        <v>12</v>
      </c>
      <c r="F618" s="1148">
        <v>15</v>
      </c>
      <c r="G618" s="1147">
        <v>25</v>
      </c>
      <c r="H618" s="1147">
        <v>8</v>
      </c>
      <c r="I618" s="1147">
        <v>16</v>
      </c>
      <c r="J618" s="1147">
        <v>28</v>
      </c>
      <c r="K618" s="1147">
        <v>1</v>
      </c>
      <c r="L618" s="1953" t="str">
        <f t="shared" si="22"/>
        <v>Potenciar Crítico+90</v>
      </c>
      <c r="M618" s="227"/>
    </row>
    <row r="619" spans="1:13" ht="12" customHeight="1" x14ac:dyDescent="0.2">
      <c r="A619" s="6342"/>
      <c r="B619" s="6358"/>
      <c r="C619" s="39" t="s">
        <v>8969</v>
      </c>
      <c r="D619" s="78" t="s">
        <v>8849</v>
      </c>
      <c r="E619" s="1147">
        <v>14</v>
      </c>
      <c r="F619" s="1148">
        <v>18</v>
      </c>
      <c r="G619" s="1147">
        <v>30</v>
      </c>
      <c r="H619" s="1147">
        <v>10</v>
      </c>
      <c r="I619" s="1147">
        <v>20</v>
      </c>
      <c r="J619" s="1147">
        <v>35</v>
      </c>
      <c r="K619" s="1147">
        <v>1</v>
      </c>
      <c r="L619" s="1953" t="str">
        <f t="shared" si="22"/>
        <v>Potenciar Crítico+100</v>
      </c>
      <c r="M619" s="227"/>
    </row>
    <row r="620" spans="1:13" ht="12" customHeight="1" x14ac:dyDescent="0.2">
      <c r="A620" s="6342"/>
      <c r="B620" s="6358"/>
      <c r="C620" s="39" t="s">
        <v>8969</v>
      </c>
      <c r="D620" s="78" t="s">
        <v>8850</v>
      </c>
      <c r="E620" s="1147">
        <v>18</v>
      </c>
      <c r="F620" s="1148">
        <v>22</v>
      </c>
      <c r="G620" s="1147">
        <v>35</v>
      </c>
      <c r="H620" s="1147">
        <v>12</v>
      </c>
      <c r="I620" s="1147">
        <v>24</v>
      </c>
      <c r="J620" s="1147">
        <v>42</v>
      </c>
      <c r="K620" s="1147">
        <v>2</v>
      </c>
      <c r="L620" s="1953" t="str">
        <f t="shared" si="22"/>
        <v>Potenciar Crítico+125</v>
      </c>
      <c r="M620" s="227"/>
    </row>
    <row r="621" spans="1:13" ht="12" customHeight="1" x14ac:dyDescent="0.2">
      <c r="A621" s="6342"/>
      <c r="B621" s="6358"/>
      <c r="C621" s="39" t="s">
        <v>8969</v>
      </c>
      <c r="D621" s="78" t="s">
        <v>8852</v>
      </c>
      <c r="E621" s="1147">
        <v>22</v>
      </c>
      <c r="F621" s="1148">
        <v>26</v>
      </c>
      <c r="G621" s="1147">
        <v>40</v>
      </c>
      <c r="H621" s="1147">
        <v>14</v>
      </c>
      <c r="I621" s="1147">
        <v>28</v>
      </c>
      <c r="J621" s="1147">
        <v>49</v>
      </c>
      <c r="K621" s="1147">
        <v>2</v>
      </c>
      <c r="L621" s="1953" t="str">
        <f t="shared" si="22"/>
        <v>Potenciar Crítico+150</v>
      </c>
      <c r="M621" s="227"/>
    </row>
    <row r="622" spans="1:13" ht="12" customHeight="1" x14ac:dyDescent="0.2">
      <c r="A622" s="6342"/>
      <c r="B622" s="6358"/>
      <c r="C622" s="39" t="s">
        <v>8969</v>
      </c>
      <c r="D622" s="78" t="s">
        <v>8855</v>
      </c>
      <c r="E622" s="1147">
        <v>26</v>
      </c>
      <c r="F622" s="1148">
        <v>32</v>
      </c>
      <c r="G622" s="1147">
        <v>45</v>
      </c>
      <c r="H622" s="1147">
        <v>16</v>
      </c>
      <c r="I622" s="1147">
        <v>32</v>
      </c>
      <c r="J622" s="1147">
        <v>56</v>
      </c>
      <c r="K622" s="1147">
        <v>3</v>
      </c>
      <c r="L622" s="1953" t="str">
        <f t="shared" si="22"/>
        <v>Potenciar Crítico+175</v>
      </c>
      <c r="M622" s="227"/>
    </row>
    <row r="623" spans="1:13" ht="12" customHeight="1" x14ac:dyDescent="0.2">
      <c r="A623" s="6342"/>
      <c r="B623" s="6358"/>
      <c r="C623" s="39" t="s">
        <v>8969</v>
      </c>
      <c r="D623" s="78" t="s">
        <v>8857</v>
      </c>
      <c r="E623" s="1147">
        <v>30</v>
      </c>
      <c r="F623" s="1148">
        <v>36</v>
      </c>
      <c r="G623" s="1147">
        <v>50</v>
      </c>
      <c r="H623" s="1147">
        <v>18</v>
      </c>
      <c r="I623" s="1147">
        <v>36</v>
      </c>
      <c r="J623" s="1147">
        <v>63</v>
      </c>
      <c r="K623" s="1147">
        <v>3</v>
      </c>
      <c r="L623" s="1953" t="str">
        <f t="shared" si="22"/>
        <v>Potenciar Crítico+200</v>
      </c>
      <c r="M623" s="227"/>
    </row>
    <row r="624" spans="1:13" ht="12" customHeight="1" x14ac:dyDescent="0.2">
      <c r="A624" s="6342"/>
      <c r="B624" s="6358"/>
      <c r="C624" s="39" t="s">
        <v>8969</v>
      </c>
      <c r="D624" s="78" t="s">
        <v>15</v>
      </c>
      <c r="E624" s="1147">
        <v>8</v>
      </c>
      <c r="F624" s="1148">
        <v>8</v>
      </c>
      <c r="G624" s="1147">
        <v>30</v>
      </c>
      <c r="H624" s="1147">
        <v>4</v>
      </c>
      <c r="I624" s="1147">
        <v>8</v>
      </c>
      <c r="J624" s="1147">
        <v>14</v>
      </c>
      <c r="K624" s="1147">
        <v>1</v>
      </c>
      <c r="L624" s="1953" t="str">
        <f t="shared" si="22"/>
        <v>Potenciar CríticoCrítico Automático</v>
      </c>
      <c r="M624" s="227"/>
    </row>
    <row r="625" spans="1:24" ht="12" customHeight="1" x14ac:dyDescent="0.2">
      <c r="A625" s="6342"/>
      <c r="B625" s="6358"/>
      <c r="C625" s="39" t="s">
        <v>9261</v>
      </c>
      <c r="D625" s="78"/>
      <c r="E625" s="1147"/>
      <c r="F625" s="1148"/>
      <c r="G625" s="1147"/>
      <c r="H625" s="1147"/>
      <c r="I625" s="1147"/>
      <c r="J625" s="1147"/>
      <c r="K625" s="1147"/>
      <c r="L625" s="1953" t="str">
        <f t="shared" si="22"/>
        <v>&gt; POTENCIAR CRÍTICO REAL</v>
      </c>
      <c r="M625" s="227"/>
    </row>
    <row r="626" spans="1:24" ht="12" customHeight="1" x14ac:dyDescent="0.2">
      <c r="A626" s="6342"/>
      <c r="B626" s="6358"/>
      <c r="C626" s="39" t="s">
        <v>8971</v>
      </c>
      <c r="D626" s="78" t="s">
        <v>7488</v>
      </c>
      <c r="E626" s="1147">
        <v>3</v>
      </c>
      <c r="F626" s="1148">
        <v>5</v>
      </c>
      <c r="G626" s="1147">
        <v>10</v>
      </c>
      <c r="H626" s="1147">
        <v>2</v>
      </c>
      <c r="I626" s="1147">
        <v>4</v>
      </c>
      <c r="J626" s="1147">
        <v>7</v>
      </c>
      <c r="K626" s="1147">
        <v>1</v>
      </c>
      <c r="L626" s="1953" t="str">
        <f t="shared" si="22"/>
        <v>Potenciar Crítico Real+10</v>
      </c>
      <c r="M626" s="227"/>
    </row>
    <row r="627" spans="1:24" ht="12" customHeight="1" x14ac:dyDescent="0.2">
      <c r="A627" s="6342"/>
      <c r="B627" s="6358"/>
      <c r="C627" s="39" t="s">
        <v>8971</v>
      </c>
      <c r="D627" s="78" t="s">
        <v>7632</v>
      </c>
      <c r="E627" s="1147">
        <v>5</v>
      </c>
      <c r="F627" s="1148">
        <v>8</v>
      </c>
      <c r="G627" s="1147">
        <v>20</v>
      </c>
      <c r="H627" s="1147">
        <v>4</v>
      </c>
      <c r="I627" s="1147">
        <v>8</v>
      </c>
      <c r="J627" s="1147">
        <v>14</v>
      </c>
      <c r="K627" s="1147">
        <v>1</v>
      </c>
      <c r="L627" s="1953" t="str">
        <f t="shared" si="22"/>
        <v>Potenciar Crítico Real+25</v>
      </c>
      <c r="M627" s="227"/>
    </row>
    <row r="628" spans="1:24" ht="12" customHeight="1" x14ac:dyDescent="0.2">
      <c r="A628" s="6342"/>
      <c r="B628" s="6358"/>
      <c r="C628" s="39" t="s">
        <v>8971</v>
      </c>
      <c r="D628" s="78" t="s">
        <v>7490</v>
      </c>
      <c r="E628" s="1147">
        <v>7</v>
      </c>
      <c r="F628" s="1148">
        <v>9</v>
      </c>
      <c r="G628" s="1147">
        <v>25</v>
      </c>
      <c r="H628" s="1147">
        <v>6</v>
      </c>
      <c r="I628" s="1147">
        <v>12</v>
      </c>
      <c r="J628" s="1147">
        <v>21</v>
      </c>
      <c r="K628" s="1147">
        <v>1</v>
      </c>
      <c r="L628" s="1953" t="str">
        <f t="shared" si="22"/>
        <v>Potenciar Crítico Real+40</v>
      </c>
      <c r="M628" s="227"/>
    </row>
    <row r="629" spans="1:24" ht="12" customHeight="1" x14ac:dyDescent="0.2">
      <c r="A629" s="6342"/>
      <c r="B629" s="6358"/>
      <c r="C629" s="78" t="s">
        <v>8971</v>
      </c>
      <c r="D629" s="78" t="s">
        <v>7491</v>
      </c>
      <c r="E629" s="1147">
        <v>9</v>
      </c>
      <c r="F629" s="1148">
        <v>12</v>
      </c>
      <c r="G629" s="1147">
        <v>35</v>
      </c>
      <c r="H629" s="1147">
        <v>8</v>
      </c>
      <c r="I629" s="1147">
        <v>16</v>
      </c>
      <c r="J629" s="1147">
        <v>28</v>
      </c>
      <c r="K629" s="1147">
        <v>2</v>
      </c>
      <c r="L629" s="1953" t="str">
        <f t="shared" si="22"/>
        <v>Potenciar Crítico Real+50</v>
      </c>
      <c r="M629" s="227"/>
    </row>
    <row r="630" spans="1:24" ht="12" customHeight="1" x14ac:dyDescent="0.2">
      <c r="A630" s="6342"/>
      <c r="B630" s="6358"/>
      <c r="C630" s="78" t="s">
        <v>8971</v>
      </c>
      <c r="D630" s="78" t="s">
        <v>8842</v>
      </c>
      <c r="E630" s="1147">
        <v>12</v>
      </c>
      <c r="F630" s="1148">
        <v>15</v>
      </c>
      <c r="G630" s="1147">
        <v>50</v>
      </c>
      <c r="H630" s="1147">
        <v>10</v>
      </c>
      <c r="I630" s="1147">
        <v>20</v>
      </c>
      <c r="J630" s="1147">
        <v>35</v>
      </c>
      <c r="K630" s="1147">
        <v>2</v>
      </c>
      <c r="L630" s="1953" t="str">
        <f t="shared" si="22"/>
        <v>Potenciar Crítico Real+75</v>
      </c>
      <c r="M630" s="227"/>
    </row>
    <row r="631" spans="1:24" ht="12" customHeight="1" x14ac:dyDescent="0.2">
      <c r="A631" s="6342"/>
      <c r="B631" s="6358"/>
      <c r="C631" s="78" t="s">
        <v>8971</v>
      </c>
      <c r="D631" s="78" t="s">
        <v>8846</v>
      </c>
      <c r="E631" s="1147">
        <v>16</v>
      </c>
      <c r="F631" s="1148">
        <v>20</v>
      </c>
      <c r="G631" s="1147">
        <v>60</v>
      </c>
      <c r="H631" s="1147">
        <v>12</v>
      </c>
      <c r="I631" s="1147">
        <v>24</v>
      </c>
      <c r="J631" s="1147">
        <v>42</v>
      </c>
      <c r="K631" s="1147">
        <v>3</v>
      </c>
      <c r="L631" s="1953" t="str">
        <f t="shared" si="22"/>
        <v>Potenciar Crítico Real+90</v>
      </c>
      <c r="M631" s="227"/>
    </row>
    <row r="632" spans="1:24" ht="12" customHeight="1" x14ac:dyDescent="0.2">
      <c r="A632" s="6342"/>
      <c r="B632" s="6358"/>
      <c r="C632" s="78" t="s">
        <v>8971</v>
      </c>
      <c r="D632" s="78" t="s">
        <v>8849</v>
      </c>
      <c r="E632" s="1147">
        <v>18</v>
      </c>
      <c r="F632" s="1148">
        <v>22</v>
      </c>
      <c r="G632" s="1147">
        <v>65</v>
      </c>
      <c r="H632" s="1147">
        <v>14</v>
      </c>
      <c r="I632" s="1147">
        <v>28</v>
      </c>
      <c r="J632" s="1147">
        <v>49</v>
      </c>
      <c r="K632" s="1147">
        <v>3</v>
      </c>
      <c r="L632" s="1953" t="str">
        <f t="shared" si="22"/>
        <v>Potenciar Crítico Real+100</v>
      </c>
      <c r="M632" s="227"/>
    </row>
    <row r="633" spans="1:24" ht="12" customHeight="1" x14ac:dyDescent="0.2">
      <c r="A633" s="6342"/>
      <c r="B633" s="6358"/>
      <c r="C633" s="78" t="s">
        <v>8971</v>
      </c>
      <c r="D633" s="78" t="s">
        <v>15</v>
      </c>
      <c r="E633" s="1147">
        <v>8</v>
      </c>
      <c r="F633" s="1148">
        <v>8</v>
      </c>
      <c r="G633" s="1147">
        <v>30</v>
      </c>
      <c r="H633" s="1147">
        <v>4</v>
      </c>
      <c r="I633" s="1147">
        <v>8</v>
      </c>
      <c r="J633" s="1147">
        <v>14</v>
      </c>
      <c r="K633" s="1147">
        <v>1</v>
      </c>
      <c r="L633" s="1953" t="str">
        <f t="shared" si="22"/>
        <v>Potenciar Crítico RealCrítico Automático</v>
      </c>
      <c r="M633" s="227"/>
    </row>
    <row r="634" spans="1:24" ht="12" customHeight="1" x14ac:dyDescent="0.2">
      <c r="A634" s="6342"/>
      <c r="B634" s="6358"/>
      <c r="C634" s="78" t="s">
        <v>9262</v>
      </c>
      <c r="D634" s="78"/>
      <c r="E634" s="1147"/>
      <c r="F634" s="1148"/>
      <c r="G634" s="1147"/>
      <c r="H634" s="1147"/>
      <c r="I634" s="1147"/>
      <c r="J634" s="1147"/>
      <c r="K634" s="1147"/>
      <c r="L634" s="1953" t="str">
        <f t="shared" si="22"/>
        <v>&gt; REFLECTAR EL ATAQUE</v>
      </c>
      <c r="M634" s="227"/>
      <c r="N634" s="2103"/>
    </row>
    <row r="635" spans="1:24" ht="12" customHeight="1" x14ac:dyDescent="0.2">
      <c r="A635" s="6342"/>
      <c r="B635" s="6358"/>
      <c r="C635" s="1148" t="s">
        <v>9263</v>
      </c>
      <c r="D635" s="1147"/>
      <c r="E635" s="1147">
        <v>12</v>
      </c>
      <c r="F635" s="1147">
        <v>15</v>
      </c>
      <c r="G635" s="1147">
        <v>30</v>
      </c>
      <c r="H635" s="1147">
        <v>8</v>
      </c>
      <c r="I635" s="1147">
        <v>16</v>
      </c>
      <c r="J635" s="1147">
        <v>28</v>
      </c>
      <c r="K635" s="1147">
        <v>2</v>
      </c>
      <c r="L635" s="2161" t="str">
        <f t="shared" si="22"/>
        <v>Reflectar El Ataque</v>
      </c>
      <c r="M635" s="227"/>
    </row>
    <row r="636" spans="1:24" ht="12" customHeight="1" x14ac:dyDescent="0.2">
      <c r="A636" s="6342"/>
      <c r="B636" s="6358"/>
      <c r="C636" s="1148" t="s">
        <v>9263</v>
      </c>
      <c r="D636" s="1147" t="s">
        <v>3138</v>
      </c>
      <c r="E636" s="1147">
        <v>2</v>
      </c>
      <c r="F636" s="1147">
        <v>2</v>
      </c>
      <c r="G636" s="1147">
        <v>10</v>
      </c>
      <c r="H636" s="1147">
        <v>2</v>
      </c>
      <c r="I636" s="1147">
        <v>4</v>
      </c>
      <c r="J636" s="1147">
        <v>7</v>
      </c>
      <c r="K636" s="1147">
        <v>1</v>
      </c>
      <c r="L636" s="2161" t="str">
        <f t="shared" si="22"/>
        <v>Reflectar El AtaqueElección de Blanco</v>
      </c>
      <c r="M636" s="227"/>
    </row>
    <row r="637" spans="1:24" ht="12" customHeight="1" x14ac:dyDescent="0.2">
      <c r="A637" s="6342"/>
      <c r="B637" s="6358"/>
      <c r="C637" s="1148" t="s">
        <v>9263</v>
      </c>
      <c r="D637" s="1148" t="s">
        <v>3177</v>
      </c>
      <c r="E637" s="1147">
        <v>4</v>
      </c>
      <c r="F637" s="1147">
        <v>4</v>
      </c>
      <c r="G637" s="1147">
        <v>20</v>
      </c>
      <c r="H637" s="1147">
        <v>1</v>
      </c>
      <c r="I637" s="1147">
        <v>2</v>
      </c>
      <c r="J637" s="1147">
        <v>4</v>
      </c>
      <c r="K637" s="1147">
        <v>1</v>
      </c>
      <c r="L637" s="2161" t="str">
        <f>C637&amp;D637</f>
        <v>Reflectar El AtaqueReflectar Habilidades Esotéricas</v>
      </c>
      <c r="M637" s="227"/>
    </row>
    <row r="638" spans="1:24" ht="12" customHeight="1" x14ac:dyDescent="0.2">
      <c r="A638" s="6342"/>
      <c r="B638" s="6358"/>
      <c r="C638" s="1148" t="str">
        <f t="shared" ref="C638:C643" si="23">O83</f>
        <v>&gt;&gt; EFECTOS PERSONALIZADOS</v>
      </c>
      <c r="D638" s="1147"/>
      <c r="E638" s="1147"/>
      <c r="F638" s="1147"/>
      <c r="G638" s="1147"/>
      <c r="H638" s="1147"/>
      <c r="I638" s="1147"/>
      <c r="J638" s="1147"/>
      <c r="K638" s="1147"/>
      <c r="L638" s="2161"/>
      <c r="M638" s="227"/>
    </row>
    <row r="639" spans="1:24" ht="12" customHeight="1" x14ac:dyDescent="0.2">
      <c r="A639" s="6342"/>
      <c r="B639" s="6358"/>
      <c r="C639" s="1148" t="str">
        <f t="shared" si="23"/>
        <v>Efecto Personalizado #1</v>
      </c>
      <c r="D639" s="1147"/>
      <c r="E639" s="1147">
        <f>Personalización!AU48</f>
        <v>0</v>
      </c>
      <c r="F639" s="1147">
        <f>Personalización!AV48</f>
        <v>0</v>
      </c>
      <c r="G639" s="1147">
        <f>Personalización!AW48</f>
        <v>0</v>
      </c>
      <c r="H639" s="1147">
        <f>Personalización!AX48</f>
        <v>0</v>
      </c>
      <c r="I639" s="1147">
        <f>Personalización!AY48</f>
        <v>0</v>
      </c>
      <c r="J639" s="1147">
        <f>Personalización!AZ48</f>
        <v>0</v>
      </c>
      <c r="K639" s="1147">
        <f>Personalización!BA48</f>
        <v>0</v>
      </c>
      <c r="L639" s="2162" t="str">
        <f>C639</f>
        <v>Efecto Personalizado #1</v>
      </c>
      <c r="M639" s="227"/>
    </row>
    <row r="640" spans="1:24" ht="12" customHeight="1" x14ac:dyDescent="0.2">
      <c r="A640" s="6342"/>
      <c r="B640" s="6358"/>
      <c r="C640" s="1148" t="str">
        <f t="shared" si="23"/>
        <v>Efecto Personalizado #2</v>
      </c>
      <c r="D640" s="1147"/>
      <c r="E640" s="1147">
        <f>Personalización!AU49</f>
        <v>0</v>
      </c>
      <c r="F640" s="1147">
        <f>Personalización!AV49</f>
        <v>0</v>
      </c>
      <c r="G640" s="1147">
        <f>Personalización!AW49</f>
        <v>0</v>
      </c>
      <c r="H640" s="1147">
        <f>Personalización!AX49</f>
        <v>0</v>
      </c>
      <c r="I640" s="1147">
        <f>Personalización!AY49</f>
        <v>0</v>
      </c>
      <c r="J640" s="1147">
        <f>Personalización!AZ49</f>
        <v>0</v>
      </c>
      <c r="K640" s="1147">
        <f>Personalización!BA49</f>
        <v>0</v>
      </c>
      <c r="L640" s="2162" t="str">
        <f>C640</f>
        <v>Efecto Personalizado #2</v>
      </c>
      <c r="Q640" s="917"/>
      <c r="T640" s="917"/>
      <c r="U640" s="917"/>
      <c r="V640" s="917"/>
      <c r="W640" s="917"/>
      <c r="X640" s="917"/>
    </row>
    <row r="641" spans="1:21" ht="12" customHeight="1" x14ac:dyDescent="0.2">
      <c r="A641" s="6342"/>
      <c r="B641" s="6358"/>
      <c r="C641" s="1148" t="str">
        <f t="shared" si="23"/>
        <v>Efecto Personalizado #3</v>
      </c>
      <c r="D641" s="1147"/>
      <c r="E641" s="1147">
        <f>Personalización!AU50</f>
        <v>0</v>
      </c>
      <c r="F641" s="1147">
        <f>Personalización!AV50</f>
        <v>0</v>
      </c>
      <c r="G641" s="1147">
        <f>Personalización!AW50</f>
        <v>0</v>
      </c>
      <c r="H641" s="1147">
        <f>Personalización!AX50</f>
        <v>0</v>
      </c>
      <c r="I641" s="1147">
        <f>Personalización!AY50</f>
        <v>0</v>
      </c>
      <c r="J641" s="1147">
        <f>Personalización!AZ50</f>
        <v>0</v>
      </c>
      <c r="K641" s="1147">
        <f>Personalización!BA50</f>
        <v>0</v>
      </c>
      <c r="L641" s="2162" t="str">
        <f>C641</f>
        <v>Efecto Personalizado #3</v>
      </c>
    </row>
    <row r="642" spans="1:21" ht="12" customHeight="1" x14ac:dyDescent="0.2">
      <c r="A642" s="6342"/>
      <c r="B642" s="6358"/>
      <c r="C642" s="1148" t="str">
        <f t="shared" si="23"/>
        <v>Efecto Personalizado #4</v>
      </c>
      <c r="D642" s="1147"/>
      <c r="E642" s="1147">
        <f>Personalización!AU51</f>
        <v>0</v>
      </c>
      <c r="F642" s="1147">
        <f>Personalización!AV51</f>
        <v>0</v>
      </c>
      <c r="G642" s="1147">
        <f>Personalización!AW51</f>
        <v>0</v>
      </c>
      <c r="H642" s="1147">
        <f>Personalización!AX51</f>
        <v>0</v>
      </c>
      <c r="I642" s="1147">
        <f>Personalización!AY51</f>
        <v>0</v>
      </c>
      <c r="J642" s="1147">
        <f>Personalización!AZ51</f>
        <v>0</v>
      </c>
      <c r="K642" s="1147">
        <f>Personalización!BA51</f>
        <v>0</v>
      </c>
      <c r="L642" s="2162" t="str">
        <f>C642</f>
        <v>Efecto Personalizado #4</v>
      </c>
    </row>
    <row r="643" spans="1:21" ht="12" customHeight="1" thickBot="1" x14ac:dyDescent="0.25">
      <c r="A643" s="6342"/>
      <c r="B643" s="6359"/>
      <c r="C643" s="1967" t="str">
        <f t="shared" si="23"/>
        <v>Efecto Personalizado #5</v>
      </c>
      <c r="D643" s="1958"/>
      <c r="E643" s="1958">
        <f>Personalización!AU52</f>
        <v>0</v>
      </c>
      <c r="F643" s="1958">
        <f>Personalización!AV52</f>
        <v>0</v>
      </c>
      <c r="G643" s="1958">
        <f>Personalización!AW52</f>
        <v>0</v>
      </c>
      <c r="H643" s="1958">
        <f>Personalización!AX52</f>
        <v>0</v>
      </c>
      <c r="I643" s="1958">
        <f>Personalización!AY52</f>
        <v>0</v>
      </c>
      <c r="J643" s="1958">
        <f>Personalización!AZ52</f>
        <v>0</v>
      </c>
      <c r="K643" s="1958">
        <f>Personalización!BA52</f>
        <v>0</v>
      </c>
      <c r="L643" s="2163" t="str">
        <f>C643</f>
        <v>Efecto Personalizado #5</v>
      </c>
    </row>
    <row r="644" spans="1:21" ht="12" customHeight="1" x14ac:dyDescent="0.2">
      <c r="A644" s="6342"/>
    </row>
    <row r="645" spans="1:21" ht="12" customHeight="1" x14ac:dyDescent="0.2">
      <c r="A645" s="6342"/>
    </row>
    <row r="646" spans="1:21" ht="12" customHeight="1" x14ac:dyDescent="0.2">
      <c r="A646" s="6342"/>
    </row>
    <row r="647" spans="1:21" ht="12" customHeight="1" x14ac:dyDescent="0.2">
      <c r="A647" s="5988"/>
      <c r="B647" s="6003" t="s">
        <v>9264</v>
      </c>
      <c r="C647" s="6003"/>
      <c r="D647" s="6003"/>
      <c r="E647" s="6003"/>
      <c r="F647" s="6003"/>
      <c r="G647" s="6003"/>
      <c r="H647" s="6003"/>
      <c r="I647" s="6003"/>
      <c r="J647" s="6003"/>
      <c r="K647" s="6003"/>
      <c r="L647" s="6003"/>
      <c r="M647" s="6003"/>
      <c r="N647" s="6003"/>
      <c r="O647" s="6003"/>
      <c r="P647" s="6003"/>
      <c r="Q647" s="6003"/>
      <c r="R647" s="6003"/>
      <c r="S647" s="6003"/>
      <c r="T647" s="6003"/>
      <c r="U647" s="6003"/>
    </row>
    <row r="648" spans="1:21" ht="12" customHeight="1" x14ac:dyDescent="0.2">
      <c r="A648" s="5988"/>
      <c r="B648" s="6003"/>
      <c r="C648" s="6003"/>
      <c r="D648" s="6003"/>
      <c r="E648" s="6003"/>
      <c r="F648" s="6003"/>
      <c r="G648" s="6003"/>
      <c r="H648" s="6003"/>
      <c r="I648" s="6003"/>
      <c r="J648" s="6003"/>
      <c r="K648" s="6003"/>
      <c r="L648" s="6003"/>
      <c r="M648" s="6003"/>
      <c r="N648" s="6003"/>
      <c r="O648" s="6003"/>
      <c r="P648" s="6003"/>
      <c r="Q648" s="6003"/>
      <c r="R648" s="6003"/>
      <c r="S648" s="6003"/>
      <c r="T648" s="6003"/>
      <c r="U648" s="6003"/>
    </row>
    <row r="649" spans="1:21" ht="12" customHeight="1" x14ac:dyDescent="0.2">
      <c r="A649" s="5988"/>
      <c r="B649" s="6003"/>
      <c r="C649" s="6003"/>
      <c r="D649" s="6003"/>
      <c r="E649" s="6003"/>
      <c r="F649" s="6003"/>
      <c r="G649" s="6003"/>
      <c r="H649" s="6003"/>
      <c r="I649" s="6003"/>
      <c r="J649" s="6003"/>
      <c r="K649" s="6003"/>
      <c r="L649" s="6003"/>
      <c r="M649" s="6003"/>
      <c r="N649" s="6003"/>
      <c r="O649" s="6003"/>
      <c r="P649" s="6003"/>
      <c r="Q649" s="6003"/>
      <c r="R649" s="6003"/>
      <c r="S649" s="6003"/>
      <c r="T649" s="6003"/>
      <c r="U649" s="6003"/>
    </row>
    <row r="650" spans="1:21" ht="12" customHeight="1" thickBot="1" x14ac:dyDescent="0.25">
      <c r="A650" s="5988"/>
      <c r="O650" s="1960"/>
      <c r="U650" s="227"/>
    </row>
    <row r="651" spans="1:21" ht="12" customHeight="1" x14ac:dyDescent="0.2">
      <c r="A651" s="5988"/>
      <c r="B651" s="5988"/>
      <c r="C651" s="6347" t="s">
        <v>9265</v>
      </c>
      <c r="D651" s="6348"/>
      <c r="E651" s="6348"/>
      <c r="F651" s="6348"/>
      <c r="G651" s="6348"/>
      <c r="H651" s="6348"/>
      <c r="I651" s="6348"/>
      <c r="J651" s="6348"/>
      <c r="K651" s="6348"/>
      <c r="L651" s="6348"/>
      <c r="M651" s="6348"/>
      <c r="N651" s="6348"/>
      <c r="O651" s="6348"/>
      <c r="P651" s="6348"/>
      <c r="Q651" s="6348"/>
      <c r="R651" s="6348"/>
      <c r="S651" s="6349"/>
      <c r="U651" s="6355" t="s">
        <v>9292</v>
      </c>
    </row>
    <row r="652" spans="1:21" ht="12" customHeight="1" x14ac:dyDescent="0.2">
      <c r="A652" s="5988"/>
      <c r="B652" s="5988"/>
      <c r="C652" s="6350"/>
      <c r="D652" s="6351"/>
      <c r="E652" s="6351"/>
      <c r="F652" s="6351"/>
      <c r="G652" s="6351"/>
      <c r="H652" s="6351"/>
      <c r="I652" s="6351"/>
      <c r="J652" s="6351"/>
      <c r="K652" s="6351"/>
      <c r="L652" s="6351"/>
      <c r="M652" s="6351"/>
      <c r="N652" s="6351"/>
      <c r="O652" s="6351"/>
      <c r="P652" s="6351"/>
      <c r="Q652" s="6351"/>
      <c r="R652" s="6351"/>
      <c r="S652" s="6352"/>
      <c r="U652" s="6356"/>
    </row>
    <row r="653" spans="1:21" ht="12" customHeight="1" x14ac:dyDescent="0.2">
      <c r="A653" s="5988"/>
      <c r="B653" s="5988"/>
      <c r="C653" s="362">
        <v>1</v>
      </c>
      <c r="D653" s="355">
        <v>2</v>
      </c>
      <c r="E653" s="355">
        <v>3</v>
      </c>
      <c r="F653" s="355">
        <v>4</v>
      </c>
      <c r="G653" s="355">
        <v>5</v>
      </c>
      <c r="H653" s="355">
        <v>6</v>
      </c>
      <c r="I653" s="355">
        <v>7</v>
      </c>
      <c r="J653" s="355">
        <v>8</v>
      </c>
      <c r="K653" s="355">
        <v>9</v>
      </c>
      <c r="L653" s="355">
        <v>10</v>
      </c>
      <c r="M653" s="6353">
        <v>11</v>
      </c>
      <c r="N653" s="6353"/>
      <c r="O653" s="6353"/>
      <c r="P653" s="6353"/>
      <c r="Q653" s="6353"/>
      <c r="R653" s="6353"/>
      <c r="S653" s="6354"/>
      <c r="U653" s="1968" t="s">
        <v>9268</v>
      </c>
    </row>
    <row r="654" spans="1:21" ht="12" customHeight="1" x14ac:dyDescent="0.2">
      <c r="A654" s="5988"/>
      <c r="B654" s="5988"/>
      <c r="C654" s="362" t="s">
        <v>1441</v>
      </c>
      <c r="D654" s="355" t="s">
        <v>9266</v>
      </c>
      <c r="E654" s="355" t="s">
        <v>1403</v>
      </c>
      <c r="F654" s="355" t="s">
        <v>9530</v>
      </c>
      <c r="G654" s="355" t="s">
        <v>9531</v>
      </c>
      <c r="H654" s="355" t="s">
        <v>1490</v>
      </c>
      <c r="I654" s="355" t="s">
        <v>2824</v>
      </c>
      <c r="J654" s="2078" t="s">
        <v>9529</v>
      </c>
      <c r="K654" s="355" t="s">
        <v>1399</v>
      </c>
      <c r="L654" s="355" t="s">
        <v>9267</v>
      </c>
      <c r="M654" s="2078" t="s">
        <v>9561</v>
      </c>
      <c r="N654" s="355" t="s">
        <v>9535</v>
      </c>
      <c r="O654" s="355" t="s">
        <v>9536</v>
      </c>
      <c r="P654" s="355" t="s">
        <v>9537</v>
      </c>
      <c r="Q654" s="355" t="s">
        <v>9538</v>
      </c>
      <c r="R654" s="355" t="s">
        <v>9539</v>
      </c>
      <c r="S654" s="2085" t="s">
        <v>9540</v>
      </c>
      <c r="U654" s="1968" t="s">
        <v>9269</v>
      </c>
    </row>
    <row r="655" spans="1:21" ht="12" customHeight="1" x14ac:dyDescent="0.2">
      <c r="A655" s="5988"/>
      <c r="B655" s="5988"/>
      <c r="C655" s="2080" t="s">
        <v>2825</v>
      </c>
      <c r="D655" s="2081"/>
      <c r="E655" s="2082"/>
      <c r="F655" s="2082"/>
      <c r="G655" s="2083"/>
      <c r="H655" s="2084"/>
      <c r="I655" s="2084"/>
      <c r="J655" s="2084"/>
      <c r="K655" s="2084"/>
      <c r="L655" s="2084"/>
      <c r="M655" s="2093"/>
      <c r="N655" s="2084"/>
      <c r="O655" s="2084"/>
      <c r="P655" s="2084"/>
      <c r="Q655" s="2084"/>
      <c r="R655" s="2084"/>
      <c r="S655" s="2086"/>
      <c r="U655" s="1968" t="s">
        <v>2695</v>
      </c>
    </row>
    <row r="656" spans="1:21" ht="12" customHeight="1" x14ac:dyDescent="0.2">
      <c r="A656" s="5988"/>
      <c r="B656" s="5988"/>
      <c r="C656" s="2080" t="str">
        <f>IF(OR(INDEX('Creación de Técnicas'!D:D,$L656)="",INDEX('Creación de Técnicas'!D:D,$L656)="Nombre de la Técnica"),"Técnica Propia "&amp;Tablas!$A1,INDEX('Creación de Técnicas'!D:D,$L656))</f>
        <v>Técnica Propia 1</v>
      </c>
      <c r="D656" s="2081" t="str">
        <f>PROPER(MID(C655,3,100))</f>
        <v>Técnicas Propias</v>
      </c>
      <c r="E656" s="2083">
        <f>MAX(1,INDEX('Creación de Técnicas'!P:P,$L656))</f>
        <v>1</v>
      </c>
      <c r="F656" s="2083">
        <f>INDEX('Creación de Técnicas'!U:U,$L656)</f>
        <v>20</v>
      </c>
      <c r="G656" s="2083">
        <f>F656</f>
        <v>20</v>
      </c>
      <c r="H656" s="2084" t="str">
        <f>INDEX('Creación de Técnicas'!X:X,$L656)</f>
        <v/>
      </c>
      <c r="I656" s="2084" t="str">
        <f>IFERROR(IF(INDEX('Creación de Técnicas'!S:S,$L656)="Sí","Combinable. ","")&amp;INDEX('Creación de Técnicas'!AO:AO,$L656+12),"-")</f>
        <v>-</v>
      </c>
      <c r="J656" s="2084" t="str">
        <f>IFERROR(INDEX('Creación de Técnicas'!AO:AO,$L656+13),"-")</f>
        <v>-</v>
      </c>
      <c r="K656" s="2084"/>
      <c r="L656" s="2084">
        <f>12+((45-12)*(Tablas!$A1-1))</f>
        <v>12</v>
      </c>
      <c r="M656" s="2093" t="s">
        <v>9562</v>
      </c>
      <c r="N656" s="2084"/>
      <c r="O656" s="2084"/>
      <c r="P656" s="2084"/>
      <c r="Q656" s="2084"/>
      <c r="R656" s="2084"/>
      <c r="S656" s="2086"/>
      <c r="U656" s="1968" t="s">
        <v>9270</v>
      </c>
    </row>
    <row r="657" spans="1:22" ht="12" customHeight="1" x14ac:dyDescent="0.2">
      <c r="A657" s="5988"/>
      <c r="B657" s="5988"/>
      <c r="C657" s="2080" t="str">
        <f>IF(OR(INDEX('Creación de Técnicas'!D:D,$L657)="",INDEX('Creación de Técnicas'!D:D,$L657)="Nombre de la Técnica"),"Técnica Propia "&amp;Tablas!$A2,INDEX('Creación de Técnicas'!D:D,$L657))</f>
        <v>Técnica Propia 2</v>
      </c>
      <c r="D657" s="2081" t="str">
        <f t="shared" ref="D657:D665" si="24">D656</f>
        <v>Técnicas Propias</v>
      </c>
      <c r="E657" s="2083">
        <f>MAX(1,INDEX('Creación de Técnicas'!P:P,$L657))</f>
        <v>1</v>
      </c>
      <c r="F657" s="2083">
        <f>INDEX('Creación de Técnicas'!U:U,$L657)</f>
        <v>20</v>
      </c>
      <c r="G657" s="2083">
        <f t="shared" ref="G657:G665" si="25">F657</f>
        <v>20</v>
      </c>
      <c r="H657" s="2084" t="str">
        <f>INDEX('Creación de Técnicas'!X:X,$L657)</f>
        <v/>
      </c>
      <c r="I657" s="2084" t="str">
        <f>IFERROR(IF(INDEX('Creación de Técnicas'!S:S,$L657)="Sí","Combinable. ","")&amp;INDEX('Creación de Técnicas'!AO:AO,$L657+12),"-")</f>
        <v>-</v>
      </c>
      <c r="J657" s="2084" t="str">
        <f>IFERROR(INDEX('Creación de Técnicas'!AO:AO,$L657+13),"-")</f>
        <v>-</v>
      </c>
      <c r="K657" s="2084"/>
      <c r="L657" s="2084">
        <f>12+((46-12)*(Tablas!$A2-1))</f>
        <v>46</v>
      </c>
      <c r="M657" s="2093" t="s">
        <v>9562</v>
      </c>
      <c r="N657" s="2084"/>
      <c r="O657" s="2084"/>
      <c r="P657" s="2084"/>
      <c r="Q657" s="2084"/>
      <c r="R657" s="2084"/>
      <c r="S657" s="2086"/>
      <c r="U657" s="1968" t="s">
        <v>9271</v>
      </c>
    </row>
    <row r="658" spans="1:22" ht="12" customHeight="1" x14ac:dyDescent="0.2">
      <c r="A658" s="5988"/>
      <c r="B658" s="5988"/>
      <c r="C658" s="2080" t="str">
        <f>IF(OR(INDEX('Creación de Técnicas'!D:D,$L658)="",INDEX('Creación de Técnicas'!D:D,$L658)="Nombre de la Técnica"),"Técnica Propia "&amp;Tablas!$A3,INDEX('Creación de Técnicas'!D:D,$L658))</f>
        <v>Técnica Propia 3</v>
      </c>
      <c r="D658" s="2081" t="str">
        <f t="shared" si="24"/>
        <v>Técnicas Propias</v>
      </c>
      <c r="E658" s="2083">
        <f>MAX(1,INDEX('Creación de Técnicas'!P:P,$L658))</f>
        <v>1</v>
      </c>
      <c r="F658" s="2083">
        <f>INDEX('Creación de Técnicas'!U:U,$L658)</f>
        <v>20</v>
      </c>
      <c r="G658" s="2083">
        <f t="shared" si="25"/>
        <v>20</v>
      </c>
      <c r="H658" s="2084" t="str">
        <f>INDEX('Creación de Técnicas'!X:X,$L658)</f>
        <v/>
      </c>
      <c r="I658" s="2084" t="str">
        <f>IFERROR(IF(INDEX('Creación de Técnicas'!S:S,$L658)="Sí","Combinable. ","")&amp;INDEX('Creación de Técnicas'!AO:AO,$L658+12),"-")</f>
        <v>-</v>
      </c>
      <c r="J658" s="2084" t="str">
        <f>IFERROR(INDEX('Creación de Técnicas'!AO:AO,$L658+13),"-")</f>
        <v>-</v>
      </c>
      <c r="K658" s="2084"/>
      <c r="L658" s="2084">
        <f>12+((46-12)*(Tablas!$A3-1))</f>
        <v>80</v>
      </c>
      <c r="M658" s="2093" t="s">
        <v>9562</v>
      </c>
      <c r="N658" s="2084"/>
      <c r="O658" s="2084"/>
      <c r="P658" s="2084"/>
      <c r="Q658" s="2084"/>
      <c r="R658" s="2084"/>
      <c r="S658" s="2086"/>
      <c r="U658" s="1968" t="s">
        <v>9272</v>
      </c>
    </row>
    <row r="659" spans="1:22" ht="12" customHeight="1" x14ac:dyDescent="0.2">
      <c r="A659" s="5988"/>
      <c r="B659" s="5988"/>
      <c r="C659" s="2080" t="str">
        <f>IF(OR(INDEX('Creación de Técnicas'!D:D,$L659)="",INDEX('Creación de Técnicas'!D:D,$L659)="Nombre de la Técnica"),"Técnica Propia "&amp;Tablas!$A4,INDEX('Creación de Técnicas'!D:D,$L659))</f>
        <v>Técnica Propia 4</v>
      </c>
      <c r="D659" s="2081" t="str">
        <f t="shared" si="24"/>
        <v>Técnicas Propias</v>
      </c>
      <c r="E659" s="2083">
        <f>MAX(1,INDEX('Creación de Técnicas'!P:P,$L659))</f>
        <v>1</v>
      </c>
      <c r="F659" s="2083">
        <f>INDEX('Creación de Técnicas'!U:U,$L659)</f>
        <v>20</v>
      </c>
      <c r="G659" s="2083">
        <f t="shared" si="25"/>
        <v>20</v>
      </c>
      <c r="H659" s="2084" t="str">
        <f>INDEX('Creación de Técnicas'!X:X,$L659)</f>
        <v/>
      </c>
      <c r="I659" s="2084" t="str">
        <f>IFERROR(IF(INDEX('Creación de Técnicas'!S:S,$L659)="Sí","Combinable. ","")&amp;INDEX('Creación de Técnicas'!AO:AO,$L659+12),"-")</f>
        <v>-</v>
      </c>
      <c r="J659" s="2084" t="str">
        <f>IFERROR(INDEX('Creación de Técnicas'!AO:AO,$L659+13),"-")</f>
        <v>-</v>
      </c>
      <c r="K659" s="2084"/>
      <c r="L659" s="2084">
        <f>12+((46-12)*(Tablas!$A4-1))</f>
        <v>114</v>
      </c>
      <c r="M659" s="2093" t="s">
        <v>9562</v>
      </c>
      <c r="N659" s="2084"/>
      <c r="O659" s="2084"/>
      <c r="P659" s="2084"/>
      <c r="Q659" s="2084"/>
      <c r="R659" s="2084"/>
      <c r="S659" s="2086"/>
      <c r="U659" s="1968" t="s">
        <v>9273</v>
      </c>
    </row>
    <row r="660" spans="1:22" ht="12" customHeight="1" x14ac:dyDescent="0.2">
      <c r="A660" s="5988"/>
      <c r="B660" s="5988"/>
      <c r="C660" s="2080" t="str">
        <f>IF(OR(INDEX('Creación de Técnicas'!D:D,$L660)="",INDEX('Creación de Técnicas'!D:D,$L660)="Nombre de la Técnica"),"Técnica Propia "&amp;Tablas!$A5,INDEX('Creación de Técnicas'!D:D,$L660))</f>
        <v>Técnica Propia 5</v>
      </c>
      <c r="D660" s="2081" t="str">
        <f t="shared" si="24"/>
        <v>Técnicas Propias</v>
      </c>
      <c r="E660" s="2083">
        <f>MAX(1,INDEX('Creación de Técnicas'!P:P,$L660))</f>
        <v>1</v>
      </c>
      <c r="F660" s="2083">
        <f>INDEX('Creación de Técnicas'!U:U,$L660)</f>
        <v>20</v>
      </c>
      <c r="G660" s="2083">
        <f t="shared" si="25"/>
        <v>20</v>
      </c>
      <c r="H660" s="2084" t="str">
        <f>INDEX('Creación de Técnicas'!X:X,$L660)</f>
        <v/>
      </c>
      <c r="I660" s="2084" t="str">
        <f>IFERROR(IF(INDEX('Creación de Técnicas'!S:S,$L660)="Sí","Combinable. ","")&amp;INDEX('Creación de Técnicas'!AO:AO,$L660+12),"-")</f>
        <v>-</v>
      </c>
      <c r="J660" s="2084" t="str">
        <f>IFERROR(INDEX('Creación de Técnicas'!AO:AO,$L660+13),"-")</f>
        <v>-</v>
      </c>
      <c r="K660" s="2084"/>
      <c r="L660" s="2084">
        <f>12+((46-12)*(Tablas!$A5-1))</f>
        <v>148</v>
      </c>
      <c r="M660" s="2093" t="s">
        <v>9562</v>
      </c>
      <c r="N660" s="2084"/>
      <c r="O660" s="2084"/>
      <c r="P660" s="2084"/>
      <c r="Q660" s="2084"/>
      <c r="R660" s="2084"/>
      <c r="S660" s="2086"/>
      <c r="U660" s="1968" t="s">
        <v>9274</v>
      </c>
    </row>
    <row r="661" spans="1:22" ht="12" customHeight="1" x14ac:dyDescent="0.2">
      <c r="A661" s="5988"/>
      <c r="B661" s="5988"/>
      <c r="C661" s="2080" t="str">
        <f>IF(OR(INDEX('Creación de Técnicas'!D:D,$L661)="",INDEX('Creación de Técnicas'!D:D,$L661)="Nombre de la Técnica"),"Técnica Propia "&amp;Tablas!$A6,INDEX('Creación de Técnicas'!D:D,$L661))</f>
        <v>Técnica Propia 6</v>
      </c>
      <c r="D661" s="2081" t="str">
        <f t="shared" si="24"/>
        <v>Técnicas Propias</v>
      </c>
      <c r="E661" s="2083">
        <f>MAX(1,INDEX('Creación de Técnicas'!P:P,$L661))</f>
        <v>1</v>
      </c>
      <c r="F661" s="2083">
        <f>INDEX('Creación de Técnicas'!U:U,$L661)</f>
        <v>20</v>
      </c>
      <c r="G661" s="2083">
        <f t="shared" si="25"/>
        <v>20</v>
      </c>
      <c r="H661" s="2084" t="str">
        <f>INDEX('Creación de Técnicas'!X:X,$L661)</f>
        <v/>
      </c>
      <c r="I661" s="2084" t="str">
        <f>IFERROR(IF(INDEX('Creación de Técnicas'!S:S,$L661)="Sí","Combinable. ","")&amp;INDEX('Creación de Técnicas'!AO:AO,$L661+12),"-")</f>
        <v>-</v>
      </c>
      <c r="J661" s="2084" t="str">
        <f>IFERROR(INDEX('Creación de Técnicas'!AO:AO,$L661+13),"-")</f>
        <v>-</v>
      </c>
      <c r="K661" s="2084"/>
      <c r="L661" s="2084">
        <f>12+((46-12)*(Tablas!$A6-1))+1</f>
        <v>183</v>
      </c>
      <c r="M661" s="2093" t="s">
        <v>9562</v>
      </c>
      <c r="N661" s="2084"/>
      <c r="O661" s="2084"/>
      <c r="P661" s="2084"/>
      <c r="Q661" s="2084"/>
      <c r="R661" s="2084"/>
      <c r="S661" s="2086"/>
      <c r="U661" s="1968" t="s">
        <v>9275</v>
      </c>
    </row>
    <row r="662" spans="1:22" ht="12" customHeight="1" x14ac:dyDescent="0.2">
      <c r="A662" s="5988"/>
      <c r="B662" s="5988"/>
      <c r="C662" s="2080" t="str">
        <f>IF(OR(INDEX('Creación de Técnicas'!D:D,$L662)="",INDEX('Creación de Técnicas'!D:D,$L662)="Nombre de la Técnica"),"Técnica Propia "&amp;Tablas!$A7,INDEX('Creación de Técnicas'!D:D,$L662))</f>
        <v>Técnica Propia 7</v>
      </c>
      <c r="D662" s="2081" t="str">
        <f t="shared" si="24"/>
        <v>Técnicas Propias</v>
      </c>
      <c r="E662" s="2083">
        <f>MAX(1,INDEX('Creación de Técnicas'!P:P,$L662))</f>
        <v>1</v>
      </c>
      <c r="F662" s="2083">
        <f>INDEX('Creación de Técnicas'!U:U,$L662)</f>
        <v>20</v>
      </c>
      <c r="G662" s="2083">
        <f t="shared" si="25"/>
        <v>20</v>
      </c>
      <c r="H662" s="2084" t="str">
        <f>INDEX('Creación de Técnicas'!X:X,$L662)</f>
        <v/>
      </c>
      <c r="I662" s="2084" t="str">
        <f>IFERROR(IF(INDEX('Creación de Técnicas'!S:S,$L662)="Sí","Combinable. ","")&amp;INDEX('Creación de Técnicas'!AO:AO,$L662+12),"-")</f>
        <v>-</v>
      </c>
      <c r="J662" s="2084" t="str">
        <f>IFERROR(INDEX('Creación de Técnicas'!AO:AO,$L662+13),"-")</f>
        <v>-</v>
      </c>
      <c r="K662" s="2084"/>
      <c r="L662" s="2084">
        <f>12+((46-12)*(Tablas!$A7-1))+1</f>
        <v>217</v>
      </c>
      <c r="M662" s="2093" t="s">
        <v>9562</v>
      </c>
      <c r="N662" s="2084"/>
      <c r="O662" s="2084"/>
      <c r="P662" s="2084"/>
      <c r="Q662" s="2084"/>
      <c r="R662" s="2084"/>
      <c r="S662" s="2086"/>
      <c r="U662" s="1968" t="s">
        <v>9276</v>
      </c>
    </row>
    <row r="663" spans="1:22" ht="12" customHeight="1" x14ac:dyDescent="0.2">
      <c r="A663" s="5988"/>
      <c r="B663" s="5988"/>
      <c r="C663" s="2080" t="str">
        <f>IF(OR(INDEX('Creación de Técnicas'!D:D,$L663)="",INDEX('Creación de Técnicas'!D:D,$L663)="Nombre de la Técnica"),"Técnica Propia "&amp;Tablas!$A8,INDEX('Creación de Técnicas'!D:D,$L663))</f>
        <v>Técnica Propia 8</v>
      </c>
      <c r="D663" s="2081" t="str">
        <f t="shared" si="24"/>
        <v>Técnicas Propias</v>
      </c>
      <c r="E663" s="2083">
        <f>MAX(1,INDEX('Creación de Técnicas'!P:P,$L663))</f>
        <v>1</v>
      </c>
      <c r="F663" s="2083">
        <f>INDEX('Creación de Técnicas'!U:U,$L663)</f>
        <v>20</v>
      </c>
      <c r="G663" s="2083">
        <f t="shared" si="25"/>
        <v>20</v>
      </c>
      <c r="H663" s="2084" t="str">
        <f>INDEX('Creación de Técnicas'!X:X,$L663)</f>
        <v/>
      </c>
      <c r="I663" s="2084" t="str">
        <f>IFERROR(IF(INDEX('Creación de Técnicas'!S:S,$L663)="Sí","Combinable. ","")&amp;INDEX('Creación de Técnicas'!AO:AO,$L663+12),"-")</f>
        <v>-</v>
      </c>
      <c r="J663" s="2084" t="str">
        <f>IFERROR(INDEX('Creación de Técnicas'!AO:AO,$L663+13),"-")</f>
        <v>-</v>
      </c>
      <c r="K663" s="2084"/>
      <c r="L663" s="2084">
        <f>12+((46-12)*(Tablas!$A8-1))+1</f>
        <v>251</v>
      </c>
      <c r="M663" s="2093" t="s">
        <v>9562</v>
      </c>
      <c r="N663" s="2084"/>
      <c r="O663" s="2084"/>
      <c r="P663" s="2084"/>
      <c r="Q663" s="2084"/>
      <c r="R663" s="2084"/>
      <c r="S663" s="2086"/>
      <c r="U663" s="1968" t="s">
        <v>9277</v>
      </c>
    </row>
    <row r="664" spans="1:22" ht="12" customHeight="1" x14ac:dyDescent="0.2">
      <c r="A664" s="5988"/>
      <c r="B664" s="5988"/>
      <c r="C664" s="2080" t="str">
        <f>IF(OR(INDEX('Creación de Técnicas'!D:D,$L664)="",INDEX('Creación de Técnicas'!D:D,$L664)="Nombre de la Técnica"),"Técnica Propia "&amp;Tablas!$A9,INDEX('Creación de Técnicas'!D:D,$L664))</f>
        <v>Técnica Propia 9</v>
      </c>
      <c r="D664" s="2081" t="str">
        <f t="shared" si="24"/>
        <v>Técnicas Propias</v>
      </c>
      <c r="E664" s="2083">
        <f>MAX(1,INDEX('Creación de Técnicas'!P:P,$L664))</f>
        <v>1</v>
      </c>
      <c r="F664" s="2083">
        <f>INDEX('Creación de Técnicas'!U:U,$L664)</f>
        <v>20</v>
      </c>
      <c r="G664" s="2083">
        <f t="shared" si="25"/>
        <v>20</v>
      </c>
      <c r="H664" s="2084" t="str">
        <f>INDEX('Creación de Técnicas'!X:X,$L664)</f>
        <v/>
      </c>
      <c r="I664" s="2084" t="str">
        <f>IFERROR(IF(INDEX('Creación de Técnicas'!S:S,$L664)="Sí","Combinable. ","")&amp;INDEX('Creación de Técnicas'!AO:AO,$L664+12),"-")</f>
        <v>-</v>
      </c>
      <c r="J664" s="2084" t="str">
        <f>IFERROR(INDEX('Creación de Técnicas'!AO:AO,$L664+13),"-")</f>
        <v>-</v>
      </c>
      <c r="K664" s="2084"/>
      <c r="L664" s="2084">
        <f>12+((46-12)*(Tablas!$A9-1))+1</f>
        <v>285</v>
      </c>
      <c r="M664" s="2093" t="s">
        <v>9562</v>
      </c>
      <c r="N664" s="2084"/>
      <c r="O664" s="2084"/>
      <c r="P664" s="2084"/>
      <c r="Q664" s="2084"/>
      <c r="R664" s="2084"/>
      <c r="S664" s="2086"/>
      <c r="U664" s="1968" t="s">
        <v>9278</v>
      </c>
    </row>
    <row r="665" spans="1:22" ht="12" customHeight="1" x14ac:dyDescent="0.2">
      <c r="A665" s="5988"/>
      <c r="B665" s="5988"/>
      <c r="C665" s="2080" t="str">
        <f>IF(OR(INDEX('Creación de Técnicas'!D:D,$L665)="",INDEX('Creación de Técnicas'!D:D,$L665)="Nombre de la Técnica"),"Técnica Propia "&amp;Tablas!$A10,INDEX('Creación de Técnicas'!D:D,$L665))</f>
        <v>Técnica Propia 10</v>
      </c>
      <c r="D665" s="2081" t="str">
        <f t="shared" si="24"/>
        <v>Técnicas Propias</v>
      </c>
      <c r="E665" s="2083">
        <f>MAX(1,INDEX('Creación de Técnicas'!P:P,$L665))</f>
        <v>1</v>
      </c>
      <c r="F665" s="2083">
        <f>INDEX('Creación de Técnicas'!U:U,$L665)</f>
        <v>20</v>
      </c>
      <c r="G665" s="2083">
        <f t="shared" si="25"/>
        <v>20</v>
      </c>
      <c r="H665" s="2084" t="str">
        <f>INDEX('Creación de Técnicas'!X:X,$L665)</f>
        <v/>
      </c>
      <c r="I665" s="2084" t="str">
        <f>IFERROR(IF(INDEX('Creación de Técnicas'!S:S,$L665)="Sí","Combinable. ","")&amp;INDEX('Creación de Técnicas'!AO:AO,$L665+12),"-")</f>
        <v>-</v>
      </c>
      <c r="J665" s="2084" t="str">
        <f>IFERROR(INDEX('Creación de Técnicas'!AO:AO,$L665+13),"-")</f>
        <v>-</v>
      </c>
      <c r="K665" s="2084"/>
      <c r="L665" s="2084">
        <f>12+((46-12)*(Tablas!$A10-1))+1</f>
        <v>319</v>
      </c>
      <c r="M665" s="2093" t="s">
        <v>9562</v>
      </c>
      <c r="N665" s="2084"/>
      <c r="O665" s="2084"/>
      <c r="P665" s="2084"/>
      <c r="Q665" s="2084"/>
      <c r="R665" s="2084"/>
      <c r="S665" s="2086"/>
      <c r="U665" s="1968" t="s">
        <v>9279</v>
      </c>
    </row>
    <row r="666" spans="1:22" ht="12" customHeight="1" x14ac:dyDescent="0.2">
      <c r="A666" s="5988"/>
      <c r="B666" s="5988"/>
      <c r="C666" s="1962" t="s">
        <v>2833</v>
      </c>
      <c r="D666" s="834"/>
      <c r="E666" s="1963"/>
      <c r="F666" s="1963"/>
      <c r="G666" s="1965"/>
      <c r="H666" s="1964"/>
      <c r="I666" s="1964"/>
      <c r="J666" s="1964"/>
      <c r="K666" s="1964"/>
      <c r="L666" s="1964"/>
      <c r="M666" s="2094"/>
      <c r="N666" s="1964"/>
      <c r="O666" s="1964"/>
      <c r="P666" s="1964"/>
      <c r="Q666" s="1964"/>
      <c r="R666" s="1964"/>
      <c r="S666" s="2087"/>
      <c r="U666" s="1968" t="s">
        <v>9280</v>
      </c>
    </row>
    <row r="667" spans="1:22" ht="12" customHeight="1" x14ac:dyDescent="0.2">
      <c r="A667" s="5988"/>
      <c r="B667" s="5988"/>
      <c r="C667" s="1962" t="s">
        <v>2834</v>
      </c>
      <c r="D667" s="834" t="str">
        <f>PROPER(MID(C666,3,100))</f>
        <v>Celéritas</v>
      </c>
      <c r="E667" s="1965">
        <v>1</v>
      </c>
      <c r="F667" s="1965">
        <v>25</v>
      </c>
      <c r="G667" s="1965">
        <f t="shared" ref="G667:G730" si="26">IF(E667="","",MAX(IF(E667=3,60,IF(E667=2,40,20)),F667+M667))</f>
        <v>25</v>
      </c>
      <c r="H667" s="1964" t="s">
        <v>2835</v>
      </c>
      <c r="I667" s="1964" t="s">
        <v>9346</v>
      </c>
      <c r="J667" s="1964" t="s">
        <v>6926</v>
      </c>
      <c r="K667" s="1964"/>
      <c r="L667" s="1964"/>
      <c r="M667" s="2095">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79" t="s">
        <v>9541</v>
      </c>
      <c r="O667" s="2079" t="s">
        <v>7537</v>
      </c>
      <c r="P667" s="2079" t="s">
        <v>6926</v>
      </c>
      <c r="Q667" s="2079" t="s">
        <v>6926</v>
      </c>
      <c r="R667" s="2079" t="s">
        <v>6926</v>
      </c>
      <c r="S667" s="2088" t="s">
        <v>6926</v>
      </c>
      <c r="U667" s="1968" t="s">
        <v>9281</v>
      </c>
    </row>
    <row r="668" spans="1:22" ht="12" customHeight="1" x14ac:dyDescent="0.2">
      <c r="A668" s="5988"/>
      <c r="B668" s="5988"/>
      <c r="C668" s="1962" t="s">
        <v>2836</v>
      </c>
      <c r="D668" s="834" t="str">
        <f>D667</f>
        <v>Celéritas</v>
      </c>
      <c r="E668" s="1965">
        <v>1</v>
      </c>
      <c r="F668" s="1965">
        <v>25</v>
      </c>
      <c r="G668" s="1965">
        <f t="shared" si="26"/>
        <v>25</v>
      </c>
      <c r="H668" s="1964" t="s">
        <v>2837</v>
      </c>
      <c r="I668" s="1964" t="s">
        <v>9347</v>
      </c>
      <c r="J668" s="1964" t="s">
        <v>6926</v>
      </c>
      <c r="K668" s="1964"/>
      <c r="L668" s="1964"/>
      <c r="M668" s="2095">
        <f t="shared" si="27"/>
        <v>0</v>
      </c>
      <c r="N668" s="2079" t="s">
        <v>9542</v>
      </c>
      <c r="O668" s="2079" t="s">
        <v>7537</v>
      </c>
      <c r="P668" s="2079" t="s">
        <v>6926</v>
      </c>
      <c r="Q668" s="2079" t="s">
        <v>6926</v>
      </c>
      <c r="R668" s="2079" t="s">
        <v>6926</v>
      </c>
      <c r="S668" s="2088" t="s">
        <v>6926</v>
      </c>
      <c r="U668" s="1968" t="s">
        <v>2887</v>
      </c>
      <c r="V668" s="1948"/>
    </row>
    <row r="669" spans="1:22" ht="12" customHeight="1" x14ac:dyDescent="0.2">
      <c r="A669" s="5988"/>
      <c r="B669" s="5988"/>
      <c r="C669" s="1962" t="s">
        <v>2838</v>
      </c>
      <c r="D669" s="834" t="str">
        <f>D668</f>
        <v>Celéritas</v>
      </c>
      <c r="E669" s="1965">
        <v>2</v>
      </c>
      <c r="F669" s="1965">
        <v>45</v>
      </c>
      <c r="G669" s="1965">
        <f t="shared" si="26"/>
        <v>45</v>
      </c>
      <c r="H669" s="1964" t="s">
        <v>2839</v>
      </c>
      <c r="I669" s="1964" t="s">
        <v>9348</v>
      </c>
      <c r="J669" s="1964" t="s">
        <v>6926</v>
      </c>
      <c r="K669" s="1964"/>
      <c r="L669" s="1964"/>
      <c r="M669" s="2095">
        <f t="shared" si="27"/>
        <v>0</v>
      </c>
      <c r="N669" s="2079" t="s">
        <v>9543</v>
      </c>
      <c r="O669" s="2079" t="s">
        <v>7537</v>
      </c>
      <c r="P669" s="2079" t="s">
        <v>6926</v>
      </c>
      <c r="Q669" s="2079" t="s">
        <v>6926</v>
      </c>
      <c r="R669" s="2079" t="s">
        <v>6926</v>
      </c>
      <c r="S669" s="2088" t="s">
        <v>6926</v>
      </c>
      <c r="U669" s="1968" t="s">
        <v>9282</v>
      </c>
    </row>
    <row r="670" spans="1:22" ht="12" customHeight="1" x14ac:dyDescent="0.2">
      <c r="A670" s="5988"/>
      <c r="B670" s="5988"/>
      <c r="C670" s="1962" t="s">
        <v>2840</v>
      </c>
      <c r="D670" s="834" t="str">
        <f>D669</f>
        <v>Celéritas</v>
      </c>
      <c r="E670" s="1965">
        <v>2</v>
      </c>
      <c r="F670" s="1965">
        <v>45</v>
      </c>
      <c r="G670" s="1965">
        <f t="shared" si="26"/>
        <v>45</v>
      </c>
      <c r="H670" s="1964" t="s">
        <v>2841</v>
      </c>
      <c r="I670" s="1964" t="s">
        <v>9349</v>
      </c>
      <c r="J670" s="1964" t="s">
        <v>6926</v>
      </c>
      <c r="K670" s="1964"/>
      <c r="L670" s="1964"/>
      <c r="M670" s="2095">
        <f t="shared" si="27"/>
        <v>0</v>
      </c>
      <c r="N670" s="2079" t="s">
        <v>9544</v>
      </c>
      <c r="O670" s="2079" t="s">
        <v>7537</v>
      </c>
      <c r="P670" s="2079" t="s">
        <v>6926</v>
      </c>
      <c r="Q670" s="2079" t="s">
        <v>6926</v>
      </c>
      <c r="R670" s="2079" t="s">
        <v>6926</v>
      </c>
      <c r="S670" s="2088" t="s">
        <v>6926</v>
      </c>
      <c r="U670" s="1968" t="s">
        <v>9283</v>
      </c>
    </row>
    <row r="671" spans="1:22" ht="12" customHeight="1" x14ac:dyDescent="0.2">
      <c r="A671" s="5988"/>
      <c r="B671" s="5988"/>
      <c r="C671" s="1962" t="s">
        <v>2842</v>
      </c>
      <c r="D671" s="834" t="str">
        <f>D670</f>
        <v>Celéritas</v>
      </c>
      <c r="E671" s="1965">
        <v>3</v>
      </c>
      <c r="F671" s="1965">
        <v>85</v>
      </c>
      <c r="G671" s="1965">
        <f t="shared" si="26"/>
        <v>85</v>
      </c>
      <c r="H671" s="1964" t="s">
        <v>2843</v>
      </c>
      <c r="I671" s="1964" t="s">
        <v>9350</v>
      </c>
      <c r="J671" s="1964" t="s">
        <v>6926</v>
      </c>
      <c r="K671" s="1964"/>
      <c r="L671" s="1964"/>
      <c r="M671" s="2095">
        <f t="shared" si="27"/>
        <v>0</v>
      </c>
      <c r="N671" s="2079" t="s">
        <v>9542</v>
      </c>
      <c r="O671" s="2079" t="s">
        <v>7537</v>
      </c>
      <c r="P671" s="2079" t="s">
        <v>6926</v>
      </c>
      <c r="Q671" s="2079" t="s">
        <v>6926</v>
      </c>
      <c r="R671" s="2079" t="s">
        <v>6926</v>
      </c>
      <c r="S671" s="2088" t="s">
        <v>6926</v>
      </c>
      <c r="U671" s="1968" t="s">
        <v>9284</v>
      </c>
    </row>
    <row r="672" spans="1:22" ht="12" customHeight="1" x14ac:dyDescent="0.2">
      <c r="A672" s="5988"/>
      <c r="B672" s="5988"/>
      <c r="C672" s="1962" t="s">
        <v>2844</v>
      </c>
      <c r="D672" s="834"/>
      <c r="E672" s="1965"/>
      <c r="F672" s="1965"/>
      <c r="G672" s="1965" t="str">
        <f t="shared" si="26"/>
        <v/>
      </c>
      <c r="H672" s="1964"/>
      <c r="I672" s="1964" t="s">
        <v>6926</v>
      </c>
      <c r="J672" s="1964" t="s">
        <v>6926</v>
      </c>
      <c r="K672" s="1964"/>
      <c r="L672" s="1964"/>
      <c r="M672" s="2095" t="str">
        <f t="shared" si="27"/>
        <v/>
      </c>
      <c r="N672" s="2079" t="s">
        <v>6926</v>
      </c>
      <c r="O672" s="2079" t="s">
        <v>6926</v>
      </c>
      <c r="P672" s="2079" t="s">
        <v>6926</v>
      </c>
      <c r="Q672" s="2079" t="s">
        <v>6926</v>
      </c>
      <c r="R672" s="2079" t="s">
        <v>6926</v>
      </c>
      <c r="S672" s="2088" t="s">
        <v>6926</v>
      </c>
      <c r="U672" s="1968" t="s">
        <v>9285</v>
      </c>
    </row>
    <row r="673" spans="1:21" ht="12" customHeight="1" x14ac:dyDescent="0.2">
      <c r="A673" s="5988"/>
      <c r="B673" s="5988"/>
      <c r="C673" s="1962" t="s">
        <v>2845</v>
      </c>
      <c r="D673" s="834" t="str">
        <f>PROPER(MID(C672,3,100))</f>
        <v>Ignis</v>
      </c>
      <c r="E673" s="1965">
        <v>1</v>
      </c>
      <c r="F673" s="1965">
        <v>20</v>
      </c>
      <c r="G673" s="1965">
        <f t="shared" si="26"/>
        <v>20</v>
      </c>
      <c r="H673" s="1964" t="s">
        <v>2846</v>
      </c>
      <c r="I673" s="1964" t="s">
        <v>9351</v>
      </c>
      <c r="J673" s="1964" t="s">
        <v>6926</v>
      </c>
      <c r="K673" s="1964"/>
      <c r="L673" s="1964"/>
      <c r="M673" s="2095">
        <f t="shared" si="27"/>
        <v>0</v>
      </c>
      <c r="N673" s="2079" t="s">
        <v>9556</v>
      </c>
      <c r="O673" s="2079" t="s">
        <v>9555</v>
      </c>
      <c r="P673" s="2079" t="s">
        <v>6926</v>
      </c>
      <c r="Q673" s="2079" t="s">
        <v>6926</v>
      </c>
      <c r="R673" s="2079" t="s">
        <v>6926</v>
      </c>
      <c r="S673" s="2088" t="s">
        <v>6926</v>
      </c>
      <c r="U673" s="1968" t="s">
        <v>9286</v>
      </c>
    </row>
    <row r="674" spans="1:21" ht="12" customHeight="1" x14ac:dyDescent="0.2">
      <c r="A674" s="5988"/>
      <c r="B674" s="5988"/>
      <c r="C674" s="1962" t="s">
        <v>2848</v>
      </c>
      <c r="D674" s="834" t="str">
        <f>D673</f>
        <v>Ignis</v>
      </c>
      <c r="E674" s="1965">
        <v>1</v>
      </c>
      <c r="F674" s="1965">
        <v>20</v>
      </c>
      <c r="G674" s="1965">
        <f t="shared" si="26"/>
        <v>20</v>
      </c>
      <c r="H674" s="1964" t="s">
        <v>2849</v>
      </c>
      <c r="I674" s="1964" t="s">
        <v>9352</v>
      </c>
      <c r="J674" s="1964" t="s">
        <v>6926</v>
      </c>
      <c r="K674" s="1964"/>
      <c r="L674" s="1964"/>
      <c r="M674" s="2095">
        <f t="shared" si="27"/>
        <v>0</v>
      </c>
      <c r="N674" s="2079" t="s">
        <v>9543</v>
      </c>
      <c r="O674" s="2079" t="s">
        <v>9541</v>
      </c>
      <c r="P674" s="2079" t="s">
        <v>6926</v>
      </c>
      <c r="Q674" s="2079" t="s">
        <v>6926</v>
      </c>
      <c r="R674" s="2079" t="s">
        <v>6926</v>
      </c>
      <c r="S674" s="2088" t="s">
        <v>6926</v>
      </c>
      <c r="T674" s="1960"/>
      <c r="U674" s="1968" t="s">
        <v>9287</v>
      </c>
    </row>
    <row r="675" spans="1:21" ht="12" customHeight="1" x14ac:dyDescent="0.2">
      <c r="A675" s="5988"/>
      <c r="B675" s="5988"/>
      <c r="C675" s="1962" t="s">
        <v>2850</v>
      </c>
      <c r="D675" s="834" t="str">
        <f>D674</f>
        <v>Ignis</v>
      </c>
      <c r="E675" s="1965">
        <v>2</v>
      </c>
      <c r="F675" s="1965">
        <v>40</v>
      </c>
      <c r="G675" s="1965">
        <f t="shared" si="26"/>
        <v>40</v>
      </c>
      <c r="H675" s="1964" t="s">
        <v>2851</v>
      </c>
      <c r="I675" s="1964" t="s">
        <v>9353</v>
      </c>
      <c r="J675" s="1964" t="s">
        <v>9522</v>
      </c>
      <c r="K675" s="1964"/>
      <c r="L675" s="1964"/>
      <c r="M675" s="2095">
        <f t="shared" si="27"/>
        <v>0</v>
      </c>
      <c r="N675" s="2079" t="s">
        <v>9556</v>
      </c>
      <c r="O675" s="2079" t="s">
        <v>9544</v>
      </c>
      <c r="P675" s="2079" t="s">
        <v>6926</v>
      </c>
      <c r="Q675" s="2079" t="s">
        <v>6926</v>
      </c>
      <c r="R675" s="2079" t="s">
        <v>6926</v>
      </c>
      <c r="S675" s="2088" t="s">
        <v>6926</v>
      </c>
      <c r="U675" s="1968" t="s">
        <v>9288</v>
      </c>
    </row>
    <row r="676" spans="1:21" ht="12" customHeight="1" x14ac:dyDescent="0.2">
      <c r="A676" s="5988"/>
      <c r="B676" s="5988"/>
      <c r="C676" s="1962" t="s">
        <v>2852</v>
      </c>
      <c r="D676" s="834" t="str">
        <f>D675</f>
        <v>Ignis</v>
      </c>
      <c r="E676" s="1965">
        <v>2</v>
      </c>
      <c r="F676" s="1965">
        <v>40</v>
      </c>
      <c r="G676" s="1965">
        <f t="shared" si="26"/>
        <v>40</v>
      </c>
      <c r="H676" s="1964" t="s">
        <v>2853</v>
      </c>
      <c r="I676" s="1964" t="s">
        <v>9354</v>
      </c>
      <c r="J676" s="1964" t="s">
        <v>9522</v>
      </c>
      <c r="K676" s="1964"/>
      <c r="L676" s="1964"/>
      <c r="M676" s="2095">
        <f t="shared" si="27"/>
        <v>0</v>
      </c>
      <c r="N676" s="2079" t="s">
        <v>9543</v>
      </c>
      <c r="O676" s="2079" t="s">
        <v>9556</v>
      </c>
      <c r="P676" s="2079" t="s">
        <v>9556</v>
      </c>
      <c r="Q676" s="2079" t="s">
        <v>6926</v>
      </c>
      <c r="R676" s="2079" t="s">
        <v>6926</v>
      </c>
      <c r="S676" s="2088" t="s">
        <v>6926</v>
      </c>
      <c r="U676" s="1968" t="s">
        <v>717</v>
      </c>
    </row>
    <row r="677" spans="1:21" ht="12" customHeight="1" x14ac:dyDescent="0.2">
      <c r="A677" s="5988"/>
      <c r="B677" s="5988"/>
      <c r="C677" s="1962" t="s">
        <v>2854</v>
      </c>
      <c r="D677" s="834" t="str">
        <f>D676</f>
        <v>Ignis</v>
      </c>
      <c r="E677" s="1965">
        <v>3</v>
      </c>
      <c r="F677" s="1965">
        <v>60</v>
      </c>
      <c r="G677" s="1965">
        <f t="shared" si="26"/>
        <v>60</v>
      </c>
      <c r="H677" s="1964" t="s">
        <v>2855</v>
      </c>
      <c r="I677" s="1964" t="s">
        <v>9355</v>
      </c>
      <c r="J677" s="1964" t="s">
        <v>9522</v>
      </c>
      <c r="K677" s="1964"/>
      <c r="L677" s="1964"/>
      <c r="M677" s="2095">
        <f t="shared" si="27"/>
        <v>0</v>
      </c>
      <c r="N677" s="2079" t="s">
        <v>9543</v>
      </c>
      <c r="O677" s="2079" t="s">
        <v>9556</v>
      </c>
      <c r="P677" s="2079" t="s">
        <v>6926</v>
      </c>
      <c r="Q677" s="2079" t="s">
        <v>6926</v>
      </c>
      <c r="R677" s="2079" t="s">
        <v>6926</v>
      </c>
      <c r="S677" s="2088" t="s">
        <v>6926</v>
      </c>
      <c r="U677" s="1968" t="s">
        <v>9289</v>
      </c>
    </row>
    <row r="678" spans="1:21" ht="12" customHeight="1" x14ac:dyDescent="0.2">
      <c r="A678" s="5988"/>
      <c r="B678" s="5988"/>
      <c r="C678" s="1962" t="s">
        <v>2856</v>
      </c>
      <c r="D678" s="834"/>
      <c r="E678" s="1965"/>
      <c r="F678" s="1965"/>
      <c r="G678" s="1965" t="str">
        <f t="shared" si="26"/>
        <v/>
      </c>
      <c r="H678" s="1964"/>
      <c r="I678" s="1964" t="s">
        <v>6926</v>
      </c>
      <c r="J678" s="1964" t="s">
        <v>6926</v>
      </c>
      <c r="K678" s="1964"/>
      <c r="L678" s="1964"/>
      <c r="M678" s="2095" t="str">
        <f t="shared" si="27"/>
        <v/>
      </c>
      <c r="N678" s="2079" t="s">
        <v>6926</v>
      </c>
      <c r="O678" s="2079" t="s">
        <v>6926</v>
      </c>
      <c r="P678" s="2079" t="s">
        <v>6926</v>
      </c>
      <c r="Q678" s="2079" t="s">
        <v>6926</v>
      </c>
      <c r="R678" s="2079" t="s">
        <v>6926</v>
      </c>
      <c r="S678" s="2088" t="s">
        <v>6926</v>
      </c>
      <c r="U678" s="1968" t="s">
        <v>9290</v>
      </c>
    </row>
    <row r="679" spans="1:21" ht="12" customHeight="1" thickBot="1" x14ac:dyDescent="0.25">
      <c r="A679" s="5988"/>
      <c r="B679" s="5988"/>
      <c r="C679" s="1962" t="s">
        <v>2858</v>
      </c>
      <c r="D679" s="834" t="str">
        <f>PROPER(MID(C678,3,100))</f>
        <v>El Dragón</v>
      </c>
      <c r="E679" s="1965">
        <v>1</v>
      </c>
      <c r="F679" s="1965">
        <v>20</v>
      </c>
      <c r="G679" s="1965">
        <f t="shared" si="26"/>
        <v>20</v>
      </c>
      <c r="H679" s="1964" t="s">
        <v>2859</v>
      </c>
      <c r="I679" s="1964" t="s">
        <v>9356</v>
      </c>
      <c r="J679" s="1964" t="s">
        <v>6926</v>
      </c>
      <c r="K679" s="1964"/>
      <c r="L679" s="1964"/>
      <c r="M679" s="2095">
        <f t="shared" si="27"/>
        <v>0</v>
      </c>
      <c r="N679" s="2079" t="s">
        <v>9557</v>
      </c>
      <c r="O679" s="2079" t="s">
        <v>6926</v>
      </c>
      <c r="P679" s="2079" t="s">
        <v>6926</v>
      </c>
      <c r="Q679" s="2079" t="s">
        <v>6926</v>
      </c>
      <c r="R679" s="2079" t="s">
        <v>6926</v>
      </c>
      <c r="S679" s="2088" t="s">
        <v>6926</v>
      </c>
      <c r="U679" s="1969" t="s">
        <v>9291</v>
      </c>
    </row>
    <row r="680" spans="1:21" ht="12" customHeight="1" x14ac:dyDescent="0.2">
      <c r="A680" s="5988"/>
      <c r="B680" s="5988"/>
      <c r="C680" s="1962" t="s">
        <v>2860</v>
      </c>
      <c r="D680" s="834" t="str">
        <f>D679</f>
        <v>El Dragón</v>
      </c>
      <c r="E680" s="1965">
        <v>1</v>
      </c>
      <c r="F680" s="1965">
        <v>30</v>
      </c>
      <c r="G680" s="1965">
        <f t="shared" si="26"/>
        <v>30</v>
      </c>
      <c r="H680" s="1964" t="s">
        <v>2861</v>
      </c>
      <c r="I680" s="1964" t="s">
        <v>9357</v>
      </c>
      <c r="J680" s="1964" t="s">
        <v>6926</v>
      </c>
      <c r="K680" s="1964"/>
      <c r="L680" s="1964"/>
      <c r="M680" s="2095">
        <f t="shared" si="27"/>
        <v>0</v>
      </c>
      <c r="N680" s="2079" t="s">
        <v>10108</v>
      </c>
      <c r="O680" s="2079" t="s">
        <v>9556</v>
      </c>
      <c r="P680" s="2079" t="s">
        <v>6926</v>
      </c>
      <c r="Q680" s="2079" t="s">
        <v>6926</v>
      </c>
      <c r="R680" s="2079" t="s">
        <v>6926</v>
      </c>
      <c r="S680" s="2088" t="s">
        <v>6926</v>
      </c>
    </row>
    <row r="681" spans="1:21" ht="12" customHeight="1" x14ac:dyDescent="0.2">
      <c r="A681" s="5988"/>
      <c r="B681" s="5988"/>
      <c r="C681" s="1962" t="s">
        <v>2862</v>
      </c>
      <c r="D681" s="834" t="str">
        <f>D680</f>
        <v>El Dragón</v>
      </c>
      <c r="E681" s="1965">
        <v>2</v>
      </c>
      <c r="F681" s="1965">
        <v>45</v>
      </c>
      <c r="G681" s="1965">
        <f t="shared" si="26"/>
        <v>45</v>
      </c>
      <c r="H681" s="1964" t="s">
        <v>2863</v>
      </c>
      <c r="I681" s="1964" t="s">
        <v>9358</v>
      </c>
      <c r="J681" s="1964" t="s">
        <v>6926</v>
      </c>
      <c r="K681" s="1964"/>
      <c r="L681" s="1964"/>
      <c r="M681" s="2095">
        <f t="shared" si="27"/>
        <v>0</v>
      </c>
      <c r="N681" s="2079" t="s">
        <v>9558</v>
      </c>
      <c r="O681" s="2079" t="s">
        <v>7537</v>
      </c>
      <c r="P681" s="2079" t="s">
        <v>9543</v>
      </c>
      <c r="Q681" s="2079" t="s">
        <v>6926</v>
      </c>
      <c r="R681" s="2079" t="s">
        <v>6926</v>
      </c>
      <c r="S681" s="2088" t="s">
        <v>6926</v>
      </c>
    </row>
    <row r="682" spans="1:21" ht="12" customHeight="1" x14ac:dyDescent="0.2">
      <c r="A682" s="5988"/>
      <c r="B682" s="5988"/>
      <c r="C682" s="1962" t="s">
        <v>2865</v>
      </c>
      <c r="D682" s="834" t="str">
        <f>D681</f>
        <v>El Dragón</v>
      </c>
      <c r="E682" s="1965">
        <v>2</v>
      </c>
      <c r="F682" s="1965">
        <v>55</v>
      </c>
      <c r="G682" s="1965">
        <f t="shared" si="26"/>
        <v>55</v>
      </c>
      <c r="H682" s="1964" t="s">
        <v>2866</v>
      </c>
      <c r="I682" s="1964" t="s">
        <v>9359</v>
      </c>
      <c r="J682" s="1964" t="s">
        <v>6926</v>
      </c>
      <c r="K682" s="1964"/>
      <c r="L682" s="1964"/>
      <c r="M682" s="2095">
        <f t="shared" si="27"/>
        <v>0</v>
      </c>
      <c r="N682" s="2079" t="s">
        <v>9543</v>
      </c>
      <c r="O682" s="2079" t="s">
        <v>9544</v>
      </c>
      <c r="P682" s="2079" t="s">
        <v>9556</v>
      </c>
      <c r="Q682" s="2079" t="s">
        <v>6926</v>
      </c>
      <c r="R682" s="2079" t="s">
        <v>6926</v>
      </c>
      <c r="S682" s="2088" t="s">
        <v>6926</v>
      </c>
    </row>
    <row r="683" spans="1:21" ht="12" customHeight="1" x14ac:dyDescent="0.2">
      <c r="A683" s="5988"/>
      <c r="B683" s="5988"/>
      <c r="C683" s="1962" t="s">
        <v>2868</v>
      </c>
      <c r="D683" s="834" t="str">
        <f>D682</f>
        <v>El Dragón</v>
      </c>
      <c r="E683" s="1965">
        <v>3</v>
      </c>
      <c r="F683" s="1965">
        <v>80</v>
      </c>
      <c r="G683" s="1965">
        <f t="shared" si="26"/>
        <v>80</v>
      </c>
      <c r="H683" s="1964" t="s">
        <v>2869</v>
      </c>
      <c r="I683" s="1964" t="s">
        <v>9360</v>
      </c>
      <c r="J683" s="1964" t="s">
        <v>3179</v>
      </c>
      <c r="K683" s="1964"/>
      <c r="L683" s="1964"/>
      <c r="M683" s="2095">
        <f t="shared" si="27"/>
        <v>0</v>
      </c>
      <c r="N683" s="2079" t="s">
        <v>9541</v>
      </c>
      <c r="O683" s="2079" t="s">
        <v>9544</v>
      </c>
      <c r="P683" s="2079" t="s">
        <v>9544</v>
      </c>
      <c r="Q683" s="2079" t="s">
        <v>9556</v>
      </c>
      <c r="R683" s="2079" t="s">
        <v>6926</v>
      </c>
      <c r="S683" s="2088" t="s">
        <v>6926</v>
      </c>
    </row>
    <row r="684" spans="1:21" ht="12" customHeight="1" x14ac:dyDescent="0.2">
      <c r="A684" s="5988"/>
      <c r="B684" s="5988"/>
      <c r="C684" s="1962" t="s">
        <v>6247</v>
      </c>
      <c r="D684" s="834"/>
      <c r="E684" s="1965"/>
      <c r="F684" s="1965"/>
      <c r="G684" s="1965" t="str">
        <f t="shared" si="26"/>
        <v/>
      </c>
      <c r="H684" s="1964"/>
      <c r="I684" s="1964" t="s">
        <v>6926</v>
      </c>
      <c r="J684" s="1964" t="s">
        <v>6926</v>
      </c>
      <c r="K684" s="1964"/>
      <c r="L684" s="1964"/>
      <c r="M684" s="2095" t="str">
        <f t="shared" si="27"/>
        <v/>
      </c>
      <c r="N684" s="2079" t="s">
        <v>6926</v>
      </c>
      <c r="O684" s="2079" t="s">
        <v>6926</v>
      </c>
      <c r="P684" s="2079" t="s">
        <v>6926</v>
      </c>
      <c r="Q684" s="2079" t="s">
        <v>6926</v>
      </c>
      <c r="R684" s="2079" t="s">
        <v>6926</v>
      </c>
      <c r="S684" s="2088" t="s">
        <v>6926</v>
      </c>
    </row>
    <row r="685" spans="1:21" ht="12" customHeight="1" x14ac:dyDescent="0.2">
      <c r="A685" s="5988"/>
      <c r="B685" s="5988"/>
      <c r="C685" s="1962" t="s">
        <v>6248</v>
      </c>
      <c r="D685" s="834" t="str">
        <f>PROPER(MID(C684,3,100))</f>
        <v>Las Cadenas</v>
      </c>
      <c r="E685" s="1965">
        <v>1</v>
      </c>
      <c r="F685" s="1965">
        <v>35</v>
      </c>
      <c r="G685" s="1965">
        <f t="shared" si="26"/>
        <v>35</v>
      </c>
      <c r="H685" s="1964" t="s">
        <v>10166</v>
      </c>
      <c r="I685" s="1964" t="s">
        <v>9361</v>
      </c>
      <c r="J685" s="1964" t="s">
        <v>6926</v>
      </c>
      <c r="K685" s="1964"/>
      <c r="L685" s="1964"/>
      <c r="M685" s="2095">
        <f t="shared" si="27"/>
        <v>0</v>
      </c>
      <c r="N685" s="2079" t="s">
        <v>9543</v>
      </c>
      <c r="O685" s="2079" t="s">
        <v>9556</v>
      </c>
      <c r="P685" s="2079" t="s">
        <v>9541</v>
      </c>
      <c r="Q685" s="2079" t="s">
        <v>6926</v>
      </c>
      <c r="R685" s="2079" t="s">
        <v>6926</v>
      </c>
      <c r="S685" s="2088" t="s">
        <v>6926</v>
      </c>
    </row>
    <row r="686" spans="1:21" ht="12" customHeight="1" x14ac:dyDescent="0.2">
      <c r="A686" s="5988"/>
      <c r="B686" s="5988"/>
      <c r="C686" s="1962" t="s">
        <v>6249</v>
      </c>
      <c r="D686" s="834" t="str">
        <f>D685</f>
        <v>Las Cadenas</v>
      </c>
      <c r="E686" s="1965">
        <v>1</v>
      </c>
      <c r="F686" s="1965">
        <v>50</v>
      </c>
      <c r="G686" s="1965">
        <f t="shared" si="26"/>
        <v>50</v>
      </c>
      <c r="H686" s="1964" t="s">
        <v>6253</v>
      </c>
      <c r="I686" s="1964" t="s">
        <v>9362</v>
      </c>
      <c r="J686" s="1964" t="s">
        <v>6926</v>
      </c>
      <c r="K686" s="1964"/>
      <c r="L686" s="1964"/>
      <c r="M686" s="2095">
        <f t="shared" si="27"/>
        <v>0</v>
      </c>
      <c r="N686" s="2079" t="s">
        <v>9556</v>
      </c>
      <c r="O686" s="2079" t="s">
        <v>9544</v>
      </c>
      <c r="P686" s="2079" t="s">
        <v>9541</v>
      </c>
      <c r="Q686" s="2079" t="s">
        <v>6926</v>
      </c>
      <c r="R686" s="2079" t="s">
        <v>6926</v>
      </c>
      <c r="S686" s="2088" t="s">
        <v>6926</v>
      </c>
    </row>
    <row r="687" spans="1:21" ht="12" customHeight="1" x14ac:dyDescent="0.2">
      <c r="A687" s="5988"/>
      <c r="B687" s="5988"/>
      <c r="C687" s="1962" t="s">
        <v>6250</v>
      </c>
      <c r="D687" s="834" t="str">
        <f>D686</f>
        <v>Las Cadenas</v>
      </c>
      <c r="E687" s="1965">
        <v>2</v>
      </c>
      <c r="F687" s="1965">
        <v>60</v>
      </c>
      <c r="G687" s="1965">
        <f t="shared" si="26"/>
        <v>60</v>
      </c>
      <c r="H687" s="1964" t="s">
        <v>6254</v>
      </c>
      <c r="I687" s="1964" t="s">
        <v>9363</v>
      </c>
      <c r="J687" s="1964" t="s">
        <v>6926</v>
      </c>
      <c r="K687" s="1964"/>
      <c r="L687" s="1964"/>
      <c r="M687" s="2095">
        <f t="shared" si="27"/>
        <v>0</v>
      </c>
      <c r="N687" s="2079" t="s">
        <v>9543</v>
      </c>
      <c r="O687" s="2079" t="s">
        <v>9559</v>
      </c>
      <c r="P687" s="2079" t="s">
        <v>9541</v>
      </c>
      <c r="Q687" s="2079" t="s">
        <v>6926</v>
      </c>
      <c r="R687" s="2079" t="s">
        <v>6926</v>
      </c>
      <c r="S687" s="2088" t="s">
        <v>6926</v>
      </c>
    </row>
    <row r="688" spans="1:21" ht="12" customHeight="1" x14ac:dyDescent="0.2">
      <c r="A688" s="5988"/>
      <c r="B688" s="5988"/>
      <c r="C688" s="1962" t="s">
        <v>6251</v>
      </c>
      <c r="D688" s="834" t="str">
        <f>D687</f>
        <v>Las Cadenas</v>
      </c>
      <c r="E688" s="1965">
        <v>2</v>
      </c>
      <c r="F688" s="1965">
        <v>70</v>
      </c>
      <c r="G688" s="1965">
        <f t="shared" si="26"/>
        <v>70</v>
      </c>
      <c r="H688" s="1964" t="s">
        <v>6255</v>
      </c>
      <c r="I688" s="1964" t="s">
        <v>9364</v>
      </c>
      <c r="J688" s="1964" t="s">
        <v>6926</v>
      </c>
      <c r="K688" s="1964"/>
      <c r="L688" s="1964"/>
      <c r="M688" s="2095">
        <f t="shared" si="27"/>
        <v>0</v>
      </c>
      <c r="N688" s="2079" t="s">
        <v>9545</v>
      </c>
      <c r="O688" s="2079" t="s">
        <v>9078</v>
      </c>
      <c r="P688" s="2079" t="s">
        <v>9546</v>
      </c>
      <c r="Q688" s="2079" t="s">
        <v>6926</v>
      </c>
      <c r="R688" s="2079" t="s">
        <v>6926</v>
      </c>
      <c r="S688" s="2088" t="s">
        <v>6926</v>
      </c>
    </row>
    <row r="689" spans="1:19" ht="12" customHeight="1" x14ac:dyDescent="0.2">
      <c r="A689" s="5988"/>
      <c r="B689" s="5988"/>
      <c r="C689" s="1962" t="s">
        <v>6252</v>
      </c>
      <c r="D689" s="834" t="str">
        <f>D688</f>
        <v>Las Cadenas</v>
      </c>
      <c r="E689" s="1965">
        <v>3</v>
      </c>
      <c r="F689" s="1965">
        <v>90</v>
      </c>
      <c r="G689" s="1965">
        <f t="shared" si="26"/>
        <v>90</v>
      </c>
      <c r="H689" s="1964" t="s">
        <v>6256</v>
      </c>
      <c r="I689" s="1964" t="s">
        <v>9365</v>
      </c>
      <c r="J689" s="1964" t="s">
        <v>6926</v>
      </c>
      <c r="K689" s="1964"/>
      <c r="L689" s="1964"/>
      <c r="M689" s="2095">
        <f t="shared" si="27"/>
        <v>0</v>
      </c>
      <c r="N689" s="2079" t="s">
        <v>10108</v>
      </c>
      <c r="O689" s="2079" t="s">
        <v>9558</v>
      </c>
      <c r="P689" s="2079" t="s">
        <v>9541</v>
      </c>
      <c r="Q689" s="2079" t="s">
        <v>6926</v>
      </c>
      <c r="R689" s="2079" t="s">
        <v>6926</v>
      </c>
      <c r="S689" s="2088" t="s">
        <v>6926</v>
      </c>
    </row>
    <row r="690" spans="1:19" ht="12" customHeight="1" x14ac:dyDescent="0.2">
      <c r="A690" s="5988"/>
      <c r="B690" s="5988"/>
      <c r="C690" s="1962" t="s">
        <v>6257</v>
      </c>
      <c r="D690" s="834"/>
      <c r="E690" s="1965"/>
      <c r="F690" s="1965"/>
      <c r="G690" s="1965" t="str">
        <f t="shared" si="26"/>
        <v/>
      </c>
      <c r="H690" s="1964"/>
      <c r="I690" s="1964" t="s">
        <v>6926</v>
      </c>
      <c r="J690" s="1964" t="s">
        <v>6926</v>
      </c>
      <c r="K690" s="1964"/>
      <c r="L690" s="1964"/>
      <c r="M690" s="2095" t="str">
        <f t="shared" si="27"/>
        <v/>
      </c>
      <c r="N690" s="2079" t="s">
        <v>6926</v>
      </c>
      <c r="O690" s="2079" t="s">
        <v>6926</v>
      </c>
      <c r="P690" s="2079" t="s">
        <v>6926</v>
      </c>
      <c r="Q690" s="2079" t="s">
        <v>6926</v>
      </c>
      <c r="R690" s="2079" t="s">
        <v>6926</v>
      </c>
      <c r="S690" s="2088" t="s">
        <v>6926</v>
      </c>
    </row>
    <row r="691" spans="1:19" ht="12" customHeight="1" x14ac:dyDescent="0.2">
      <c r="A691" s="5988"/>
      <c r="B691" s="5988"/>
      <c r="C691" s="1962" t="s">
        <v>6259</v>
      </c>
      <c r="D691" s="834" t="str">
        <f>PROPER(MID(C690,3,100))</f>
        <v>Sirius</v>
      </c>
      <c r="E691" s="1965">
        <v>1</v>
      </c>
      <c r="F691" s="1965">
        <v>30</v>
      </c>
      <c r="G691" s="1965">
        <f t="shared" si="26"/>
        <v>30</v>
      </c>
      <c r="H691" s="1964" t="s">
        <v>6264</v>
      </c>
      <c r="I691" s="1964" t="s">
        <v>9366</v>
      </c>
      <c r="J691" s="1964" t="s">
        <v>9367</v>
      </c>
      <c r="K691" s="1964"/>
      <c r="L691" s="1964"/>
      <c r="M691" s="2095">
        <f t="shared" si="27"/>
        <v>0</v>
      </c>
      <c r="N691" s="2079" t="s">
        <v>9543</v>
      </c>
      <c r="O691" s="2079" t="s">
        <v>9560</v>
      </c>
      <c r="P691" s="2079" t="s">
        <v>6926</v>
      </c>
      <c r="Q691" s="2079" t="s">
        <v>6926</v>
      </c>
      <c r="R691" s="2079" t="s">
        <v>6926</v>
      </c>
      <c r="S691" s="2088" t="s">
        <v>6926</v>
      </c>
    </row>
    <row r="692" spans="1:19" ht="12" customHeight="1" x14ac:dyDescent="0.2">
      <c r="A692" s="5988"/>
      <c r="B692" s="5988"/>
      <c r="C692" s="1962" t="s">
        <v>6260</v>
      </c>
      <c r="D692" s="834" t="str">
        <f>D691</f>
        <v>Sirius</v>
      </c>
      <c r="E692" s="1965">
        <v>1</v>
      </c>
      <c r="F692" s="1965">
        <v>30</v>
      </c>
      <c r="G692" s="1965">
        <f t="shared" si="26"/>
        <v>30</v>
      </c>
      <c r="H692" s="1964" t="s">
        <v>6265</v>
      </c>
      <c r="I692" s="1964" t="s">
        <v>9368</v>
      </c>
      <c r="J692" s="1964" t="s">
        <v>6926</v>
      </c>
      <c r="K692" s="1964"/>
      <c r="L692" s="1964"/>
      <c r="M692" s="2095">
        <f t="shared" si="27"/>
        <v>0</v>
      </c>
      <c r="N692" s="2079" t="s">
        <v>9543</v>
      </c>
      <c r="O692" s="2079" t="s">
        <v>9560</v>
      </c>
      <c r="P692" s="2079" t="s">
        <v>6926</v>
      </c>
      <c r="Q692" s="2079" t="s">
        <v>6926</v>
      </c>
      <c r="R692" s="2079" t="s">
        <v>6926</v>
      </c>
      <c r="S692" s="2088" t="s">
        <v>6926</v>
      </c>
    </row>
    <row r="693" spans="1:19" ht="12" customHeight="1" x14ac:dyDescent="0.2">
      <c r="A693" s="5988"/>
      <c r="B693" s="5988"/>
      <c r="C693" s="1962" t="s">
        <v>6261</v>
      </c>
      <c r="D693" s="834" t="str">
        <f>D692</f>
        <v>Sirius</v>
      </c>
      <c r="E693" s="1965">
        <v>2</v>
      </c>
      <c r="F693" s="1965">
        <v>40</v>
      </c>
      <c r="G693" s="1965">
        <f t="shared" si="26"/>
        <v>40</v>
      </c>
      <c r="H693" s="1964" t="s">
        <v>6266</v>
      </c>
      <c r="I693" s="1964" t="s">
        <v>9369</v>
      </c>
      <c r="J693" s="1964" t="s">
        <v>9367</v>
      </c>
      <c r="K693" s="1964"/>
      <c r="L693" s="1964"/>
      <c r="M693" s="2095">
        <f t="shared" si="27"/>
        <v>0</v>
      </c>
      <c r="N693" s="2079" t="s">
        <v>9543</v>
      </c>
      <c r="O693" s="2079" t="s">
        <v>9560</v>
      </c>
      <c r="P693" s="2079" t="s">
        <v>6926</v>
      </c>
      <c r="Q693" s="2079" t="s">
        <v>6926</v>
      </c>
      <c r="R693" s="2079" t="s">
        <v>6926</v>
      </c>
      <c r="S693" s="2088" t="s">
        <v>6926</v>
      </c>
    </row>
    <row r="694" spans="1:19" ht="12" customHeight="1" x14ac:dyDescent="0.2">
      <c r="A694" s="5988"/>
      <c r="B694" s="5988"/>
      <c r="C694" s="1962" t="s">
        <v>6262</v>
      </c>
      <c r="D694" s="834" t="str">
        <f>D693</f>
        <v>Sirius</v>
      </c>
      <c r="E694" s="1965">
        <v>2</v>
      </c>
      <c r="F694" s="1965">
        <v>40</v>
      </c>
      <c r="G694" s="1965">
        <f t="shared" si="26"/>
        <v>40</v>
      </c>
      <c r="H694" s="1964" t="s">
        <v>6267</v>
      </c>
      <c r="I694" s="1964" t="s">
        <v>9370</v>
      </c>
      <c r="J694" s="1964" t="s">
        <v>9367</v>
      </c>
      <c r="K694" s="1964"/>
      <c r="L694" s="1964"/>
      <c r="M694" s="2095">
        <f t="shared" si="27"/>
        <v>0</v>
      </c>
      <c r="N694" s="2079" t="s">
        <v>9543</v>
      </c>
      <c r="O694" s="2079" t="s">
        <v>9560</v>
      </c>
      <c r="P694" s="2079" t="s">
        <v>6926</v>
      </c>
      <c r="Q694" s="2079" t="s">
        <v>6926</v>
      </c>
      <c r="R694" s="2079" t="s">
        <v>6926</v>
      </c>
      <c r="S694" s="2088" t="s">
        <v>6926</v>
      </c>
    </row>
    <row r="695" spans="1:19" ht="12" customHeight="1" x14ac:dyDescent="0.2">
      <c r="A695" s="5988"/>
      <c r="B695" s="5988"/>
      <c r="C695" s="1962" t="s">
        <v>6263</v>
      </c>
      <c r="D695" s="834" t="str">
        <f>D694</f>
        <v>Sirius</v>
      </c>
      <c r="E695" s="1965">
        <v>3</v>
      </c>
      <c r="F695" s="1965">
        <v>70</v>
      </c>
      <c r="G695" s="1965">
        <f t="shared" si="26"/>
        <v>70</v>
      </c>
      <c r="H695" s="1964" t="s">
        <v>6268</v>
      </c>
      <c r="I695" s="1964" t="s">
        <v>9371</v>
      </c>
      <c r="J695" s="1964" t="s">
        <v>9367</v>
      </c>
      <c r="K695" s="1964"/>
      <c r="L695" s="1964"/>
      <c r="M695" s="2095">
        <f t="shared" si="27"/>
        <v>0</v>
      </c>
      <c r="N695" s="2079" t="s">
        <v>9543</v>
      </c>
      <c r="O695" s="2079" t="s">
        <v>9560</v>
      </c>
      <c r="P695" s="2079" t="s">
        <v>6926</v>
      </c>
      <c r="Q695" s="2079" t="s">
        <v>6926</v>
      </c>
      <c r="R695" s="2079" t="s">
        <v>6926</v>
      </c>
      <c r="S695" s="2088" t="s">
        <v>6926</v>
      </c>
    </row>
    <row r="696" spans="1:19" ht="12" customHeight="1" x14ac:dyDescent="0.2">
      <c r="A696" s="5988"/>
      <c r="B696" s="5988"/>
      <c r="C696" s="1962" t="s">
        <v>6258</v>
      </c>
      <c r="D696" s="834"/>
      <c r="E696" s="1965"/>
      <c r="F696" s="1965"/>
      <c r="G696" s="1965" t="str">
        <f t="shared" si="26"/>
        <v/>
      </c>
      <c r="H696" s="1964"/>
      <c r="I696" s="1964" t="s">
        <v>6926</v>
      </c>
      <c r="J696" s="1964" t="s">
        <v>6926</v>
      </c>
      <c r="K696" s="1964"/>
      <c r="L696" s="1964"/>
      <c r="M696" s="2095" t="str">
        <f t="shared" si="27"/>
        <v/>
      </c>
      <c r="N696" s="2079" t="s">
        <v>6926</v>
      </c>
      <c r="O696" s="2079" t="s">
        <v>6926</v>
      </c>
      <c r="P696" s="2079" t="s">
        <v>6926</v>
      </c>
      <c r="Q696" s="2079" t="s">
        <v>6926</v>
      </c>
      <c r="R696" s="2079" t="s">
        <v>6926</v>
      </c>
      <c r="S696" s="2088" t="s">
        <v>6926</v>
      </c>
    </row>
    <row r="697" spans="1:19" ht="12" customHeight="1" x14ac:dyDescent="0.2">
      <c r="A697" s="5988"/>
      <c r="B697" s="5988"/>
      <c r="C697" s="1962" t="s">
        <v>6269</v>
      </c>
      <c r="D697" s="834" t="str">
        <f>PROPER(MID(C696,3,100))</f>
        <v>Basis</v>
      </c>
      <c r="E697" s="1965">
        <v>1</v>
      </c>
      <c r="F697" s="1965">
        <v>25</v>
      </c>
      <c r="G697" s="1965">
        <f t="shared" si="26"/>
        <v>25</v>
      </c>
      <c r="H697" s="1964" t="s">
        <v>6271</v>
      </c>
      <c r="I697" s="1964" t="s">
        <v>9372</v>
      </c>
      <c r="J697" s="1964" t="s">
        <v>6926</v>
      </c>
      <c r="K697" s="1964"/>
      <c r="L697" s="1964"/>
      <c r="M697" s="2095">
        <f t="shared" si="27"/>
        <v>0</v>
      </c>
      <c r="N697" s="2079" t="s">
        <v>9545</v>
      </c>
      <c r="O697" s="2079" t="s">
        <v>9545</v>
      </c>
      <c r="P697" s="2079" t="s">
        <v>6926</v>
      </c>
      <c r="Q697" s="2079" t="s">
        <v>6926</v>
      </c>
      <c r="R697" s="2079" t="s">
        <v>6926</v>
      </c>
      <c r="S697" s="2088" t="s">
        <v>6926</v>
      </c>
    </row>
    <row r="698" spans="1:19" ht="12" customHeight="1" x14ac:dyDescent="0.2">
      <c r="A698" s="5988"/>
      <c r="B698" s="5988"/>
      <c r="C698" s="1962" t="s">
        <v>6270</v>
      </c>
      <c r="D698" s="834" t="str">
        <f>D697</f>
        <v>Basis</v>
      </c>
      <c r="E698" s="1965">
        <v>1</v>
      </c>
      <c r="F698" s="1965">
        <v>20</v>
      </c>
      <c r="G698" s="1965">
        <f t="shared" si="26"/>
        <v>20</v>
      </c>
      <c r="H698" s="1964" t="s">
        <v>6272</v>
      </c>
      <c r="I698" s="1964" t="s">
        <v>9373</v>
      </c>
      <c r="J698" s="1964" t="s">
        <v>6926</v>
      </c>
      <c r="K698" s="1964"/>
      <c r="L698" s="1964"/>
      <c r="M698" s="2095">
        <f t="shared" si="27"/>
        <v>0</v>
      </c>
      <c r="N698" s="2079" t="s">
        <v>9543</v>
      </c>
      <c r="O698" s="2079" t="s">
        <v>9558</v>
      </c>
      <c r="P698" s="2079" t="s">
        <v>6926</v>
      </c>
      <c r="Q698" s="2079" t="s">
        <v>6926</v>
      </c>
      <c r="R698" s="2079" t="s">
        <v>6926</v>
      </c>
      <c r="S698" s="2088" t="s">
        <v>6926</v>
      </c>
    </row>
    <row r="699" spans="1:19" ht="12" customHeight="1" x14ac:dyDescent="0.2">
      <c r="A699" s="5988"/>
      <c r="B699" s="5988"/>
      <c r="C699" s="1962" t="s">
        <v>6273</v>
      </c>
      <c r="D699" s="834" t="str">
        <f>D698</f>
        <v>Basis</v>
      </c>
      <c r="E699" s="1965">
        <v>2</v>
      </c>
      <c r="F699" s="1965">
        <v>50</v>
      </c>
      <c r="G699" s="1965">
        <f t="shared" si="26"/>
        <v>50</v>
      </c>
      <c r="H699" s="1964" t="s">
        <v>6275</v>
      </c>
      <c r="I699" s="1964" t="s">
        <v>9374</v>
      </c>
      <c r="J699" s="1964" t="s">
        <v>6926</v>
      </c>
      <c r="K699" s="1964"/>
      <c r="L699" s="1964"/>
      <c r="M699" s="2095">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79" t="s">
        <v>9543</v>
      </c>
      <c r="O699" s="2079" t="s">
        <v>9556</v>
      </c>
      <c r="P699" s="2079" t="s">
        <v>9544</v>
      </c>
      <c r="Q699" s="2079" t="s">
        <v>6926</v>
      </c>
      <c r="R699" s="2079" t="s">
        <v>6926</v>
      </c>
      <c r="S699" s="2088" t="s">
        <v>6926</v>
      </c>
    </row>
    <row r="700" spans="1:19" ht="12" customHeight="1" x14ac:dyDescent="0.2">
      <c r="A700" s="5988"/>
      <c r="B700" s="5988"/>
      <c r="C700" s="1962" t="s">
        <v>640</v>
      </c>
      <c r="D700" s="834" t="str">
        <f>D699</f>
        <v>Basis</v>
      </c>
      <c r="E700" s="1965">
        <v>2</v>
      </c>
      <c r="F700" s="1965">
        <v>50</v>
      </c>
      <c r="G700" s="1965">
        <f t="shared" si="26"/>
        <v>50</v>
      </c>
      <c r="H700" s="1964" t="s">
        <v>6276</v>
      </c>
      <c r="I700" s="1964" t="s">
        <v>9375</v>
      </c>
      <c r="J700" s="1964" t="s">
        <v>6926</v>
      </c>
      <c r="K700" s="1964"/>
      <c r="L700" s="1964"/>
      <c r="M700" s="2095">
        <f t="shared" si="28"/>
        <v>0</v>
      </c>
      <c r="N700" s="2079" t="s">
        <v>9556</v>
      </c>
      <c r="O700" s="2079" t="s">
        <v>6926</v>
      </c>
      <c r="P700" s="2079" t="s">
        <v>6926</v>
      </c>
      <c r="Q700" s="2079" t="s">
        <v>6926</v>
      </c>
      <c r="R700" s="2079" t="s">
        <v>6926</v>
      </c>
      <c r="S700" s="2088" t="s">
        <v>6926</v>
      </c>
    </row>
    <row r="701" spans="1:19" ht="12" customHeight="1" x14ac:dyDescent="0.2">
      <c r="A701" s="5988"/>
      <c r="B701" s="5988"/>
      <c r="C701" s="1962" t="s">
        <v>6274</v>
      </c>
      <c r="D701" s="834" t="str">
        <f>D700</f>
        <v>Basis</v>
      </c>
      <c r="E701" s="1965">
        <v>3</v>
      </c>
      <c r="F701" s="1965">
        <v>60</v>
      </c>
      <c r="G701" s="1965">
        <f t="shared" si="26"/>
        <v>60</v>
      </c>
      <c r="H701" s="1964" t="s">
        <v>6277</v>
      </c>
      <c r="I701" s="1964" t="s">
        <v>9376</v>
      </c>
      <c r="J701" s="1964" t="s">
        <v>6926</v>
      </c>
      <c r="K701" s="1964"/>
      <c r="L701" s="1964"/>
      <c r="M701" s="2095">
        <f t="shared" si="28"/>
        <v>0</v>
      </c>
      <c r="N701" s="2079" t="s">
        <v>9545</v>
      </c>
      <c r="O701" s="2079" t="s">
        <v>9547</v>
      </c>
      <c r="P701" s="2079" t="s">
        <v>9556</v>
      </c>
      <c r="Q701" s="2079" t="s">
        <v>6926</v>
      </c>
      <c r="R701" s="2079" t="s">
        <v>6926</v>
      </c>
      <c r="S701" s="2088" t="s">
        <v>6926</v>
      </c>
    </row>
    <row r="702" spans="1:19" ht="12" customHeight="1" x14ac:dyDescent="0.2">
      <c r="A702" s="5988"/>
      <c r="B702" s="5988"/>
      <c r="C702" s="1962" t="s">
        <v>6913</v>
      </c>
      <c r="D702" s="834"/>
      <c r="E702" s="1965"/>
      <c r="F702" s="1965"/>
      <c r="G702" s="1965" t="str">
        <f t="shared" si="26"/>
        <v/>
      </c>
      <c r="H702" s="1964"/>
      <c r="I702" s="1964" t="s">
        <v>6926</v>
      </c>
      <c r="J702" s="1964" t="s">
        <v>6926</v>
      </c>
      <c r="K702" s="1964"/>
      <c r="L702" s="1964"/>
      <c r="M702" s="2095" t="str">
        <f t="shared" si="28"/>
        <v/>
      </c>
      <c r="N702" s="2079" t="s">
        <v>6926</v>
      </c>
      <c r="O702" s="2079" t="s">
        <v>6926</v>
      </c>
      <c r="P702" s="2079" t="s">
        <v>6926</v>
      </c>
      <c r="Q702" s="2079" t="s">
        <v>6926</v>
      </c>
      <c r="R702" s="2079" t="s">
        <v>6926</v>
      </c>
      <c r="S702" s="2088" t="s">
        <v>6926</v>
      </c>
    </row>
    <row r="703" spans="1:19" ht="12" customHeight="1" x14ac:dyDescent="0.2">
      <c r="A703" s="5988"/>
      <c r="B703" s="5988"/>
      <c r="C703" s="1962" t="s">
        <v>2871</v>
      </c>
      <c r="D703" s="834" t="str">
        <f>PROPER(MID(C702,3,100))</f>
        <v>Ormus</v>
      </c>
      <c r="E703" s="1965">
        <v>1</v>
      </c>
      <c r="F703" s="1965">
        <v>45</v>
      </c>
      <c r="G703" s="1965">
        <f t="shared" si="26"/>
        <v>45</v>
      </c>
      <c r="H703" s="1964" t="s">
        <v>2872</v>
      </c>
      <c r="I703" s="1964" t="s">
        <v>9523</v>
      </c>
      <c r="J703" s="1964" t="s">
        <v>6926</v>
      </c>
      <c r="K703" s="1964"/>
      <c r="L703" s="1964"/>
      <c r="M703" s="2095">
        <f t="shared" si="28"/>
        <v>0</v>
      </c>
      <c r="N703" s="2079" t="s">
        <v>9542</v>
      </c>
      <c r="O703" s="2079" t="s">
        <v>9542</v>
      </c>
      <c r="P703" s="2079" t="s">
        <v>9556</v>
      </c>
      <c r="Q703" s="2079" t="s">
        <v>6926</v>
      </c>
      <c r="R703" s="2079" t="s">
        <v>6926</v>
      </c>
      <c r="S703" s="2088" t="s">
        <v>6926</v>
      </c>
    </row>
    <row r="704" spans="1:19" ht="12" customHeight="1" x14ac:dyDescent="0.2">
      <c r="A704" s="5988"/>
      <c r="B704" s="5988"/>
      <c r="C704" s="1962" t="s">
        <v>2873</v>
      </c>
      <c r="D704" s="834" t="str">
        <f>D703</f>
        <v>Ormus</v>
      </c>
      <c r="E704" s="1965">
        <v>1</v>
      </c>
      <c r="F704" s="1965">
        <v>30</v>
      </c>
      <c r="G704" s="1965">
        <f t="shared" si="26"/>
        <v>30</v>
      </c>
      <c r="H704" s="1964" t="s">
        <v>2874</v>
      </c>
      <c r="I704" s="1964" t="s">
        <v>9377</v>
      </c>
      <c r="J704" s="1964" t="s">
        <v>6926</v>
      </c>
      <c r="K704" s="1964"/>
      <c r="L704" s="1964"/>
      <c r="M704" s="2095">
        <f t="shared" si="28"/>
        <v>0</v>
      </c>
      <c r="N704" s="2079" t="s">
        <v>9078</v>
      </c>
      <c r="O704" s="2079" t="s">
        <v>9545</v>
      </c>
      <c r="P704" s="2079" t="s">
        <v>6926</v>
      </c>
      <c r="Q704" s="2079" t="s">
        <v>6926</v>
      </c>
      <c r="R704" s="2079" t="s">
        <v>6926</v>
      </c>
      <c r="S704" s="2088" t="s">
        <v>6926</v>
      </c>
    </row>
    <row r="705" spans="1:19" ht="12" customHeight="1" x14ac:dyDescent="0.2">
      <c r="A705" s="5988"/>
      <c r="B705" s="5988"/>
      <c r="C705" s="1962" t="s">
        <v>2875</v>
      </c>
      <c r="D705" s="834" t="str">
        <f>D704</f>
        <v>Ormus</v>
      </c>
      <c r="E705" s="1965">
        <v>2</v>
      </c>
      <c r="F705" s="1965">
        <v>75</v>
      </c>
      <c r="G705" s="1965">
        <f t="shared" si="26"/>
        <v>75</v>
      </c>
      <c r="H705" s="1964" t="s">
        <v>2876</v>
      </c>
      <c r="I705" s="1964" t="s">
        <v>9378</v>
      </c>
      <c r="J705" s="1964" t="s">
        <v>6926</v>
      </c>
      <c r="K705" s="1964"/>
      <c r="L705" s="1964"/>
      <c r="M705" s="2095">
        <f t="shared" si="28"/>
        <v>0</v>
      </c>
      <c r="N705" s="2079" t="s">
        <v>7537</v>
      </c>
      <c r="O705" s="2079" t="s">
        <v>9556</v>
      </c>
      <c r="P705" s="2079" t="s">
        <v>6926</v>
      </c>
      <c r="Q705" s="2079" t="s">
        <v>6926</v>
      </c>
      <c r="R705" s="2079" t="s">
        <v>6926</v>
      </c>
      <c r="S705" s="2088" t="s">
        <v>6926</v>
      </c>
    </row>
    <row r="706" spans="1:19" ht="12" customHeight="1" x14ac:dyDescent="0.2">
      <c r="A706" s="5988"/>
      <c r="B706" s="5988"/>
      <c r="C706" s="1962" t="s">
        <v>2877</v>
      </c>
      <c r="D706" s="834" t="str">
        <f>D705</f>
        <v>Ormus</v>
      </c>
      <c r="E706" s="1965">
        <v>2</v>
      </c>
      <c r="F706" s="1965">
        <v>55</v>
      </c>
      <c r="G706" s="1965">
        <f t="shared" si="26"/>
        <v>55</v>
      </c>
      <c r="H706" s="1964" t="s">
        <v>2878</v>
      </c>
      <c r="I706" s="1964" t="s">
        <v>9379</v>
      </c>
      <c r="J706" s="1964" t="s">
        <v>6926</v>
      </c>
      <c r="K706" s="1964"/>
      <c r="L706" s="1964"/>
      <c r="M706" s="2095">
        <f t="shared" si="28"/>
        <v>0</v>
      </c>
      <c r="N706" s="2079" t="s">
        <v>9557</v>
      </c>
      <c r="O706" s="2079" t="s">
        <v>9560</v>
      </c>
      <c r="P706" s="2079" t="s">
        <v>9544</v>
      </c>
      <c r="Q706" s="2079" t="s">
        <v>9543</v>
      </c>
      <c r="R706" s="2079" t="s">
        <v>6926</v>
      </c>
      <c r="S706" s="2088" t="s">
        <v>6926</v>
      </c>
    </row>
    <row r="707" spans="1:19" ht="12" customHeight="1" x14ac:dyDescent="0.2">
      <c r="A707" s="5988"/>
      <c r="B707" s="5988"/>
      <c r="C707" s="1962" t="s">
        <v>2879</v>
      </c>
      <c r="D707" s="834" t="str">
        <f>D706</f>
        <v>Ormus</v>
      </c>
      <c r="E707" s="1965">
        <v>3</v>
      </c>
      <c r="F707" s="1965">
        <v>110</v>
      </c>
      <c r="G707" s="1965">
        <f t="shared" si="26"/>
        <v>110</v>
      </c>
      <c r="H707" s="1964" t="s">
        <v>2880</v>
      </c>
      <c r="I707" s="1964" t="s">
        <v>9380</v>
      </c>
      <c r="J707" s="1964" t="s">
        <v>6926</v>
      </c>
      <c r="K707" s="1964"/>
      <c r="L707" s="1964"/>
      <c r="M707" s="2095">
        <f t="shared" si="28"/>
        <v>0</v>
      </c>
      <c r="N707" s="2079" t="s">
        <v>9542</v>
      </c>
      <c r="O707" s="2079" t="s">
        <v>9556</v>
      </c>
      <c r="P707" s="2079" t="s">
        <v>9557</v>
      </c>
      <c r="Q707" s="2079" t="s">
        <v>6926</v>
      </c>
      <c r="R707" s="2079" t="s">
        <v>6926</v>
      </c>
      <c r="S707" s="2088" t="s">
        <v>6926</v>
      </c>
    </row>
    <row r="708" spans="1:19" ht="12" customHeight="1" x14ac:dyDescent="0.2">
      <c r="A708" s="5988"/>
      <c r="B708" s="5988"/>
      <c r="C708" s="1962" t="s">
        <v>2882</v>
      </c>
      <c r="D708" s="834"/>
      <c r="E708" s="1965"/>
      <c r="F708" s="1965"/>
      <c r="G708" s="1965" t="str">
        <f t="shared" si="26"/>
        <v/>
      </c>
      <c r="H708" s="1964"/>
      <c r="I708" s="1964" t="s">
        <v>6926</v>
      </c>
      <c r="J708" s="1964" t="s">
        <v>6926</v>
      </c>
      <c r="K708" s="1964"/>
      <c r="L708" s="1964"/>
      <c r="M708" s="2095" t="str">
        <f t="shared" si="28"/>
        <v/>
      </c>
      <c r="N708" s="2079" t="s">
        <v>6926</v>
      </c>
      <c r="O708" s="2079" t="s">
        <v>6926</v>
      </c>
      <c r="P708" s="2079" t="s">
        <v>6926</v>
      </c>
      <c r="Q708" s="2079" t="s">
        <v>6926</v>
      </c>
      <c r="R708" s="2079" t="s">
        <v>6926</v>
      </c>
      <c r="S708" s="2088" t="s">
        <v>6926</v>
      </c>
    </row>
    <row r="709" spans="1:19" ht="12" customHeight="1" x14ac:dyDescent="0.2">
      <c r="A709" s="5988"/>
      <c r="B709" s="5988"/>
      <c r="C709" s="1962" t="s">
        <v>2883</v>
      </c>
      <c r="D709" s="834" t="str">
        <f>PROPER(MID(C708,3,100))</f>
        <v>Hyousetsu Jigoku</v>
      </c>
      <c r="E709" s="1965">
        <v>1</v>
      </c>
      <c r="F709" s="1965">
        <v>30</v>
      </c>
      <c r="G709" s="1965">
        <f t="shared" si="26"/>
        <v>30</v>
      </c>
      <c r="H709" s="1964" t="s">
        <v>2884</v>
      </c>
      <c r="I709" s="1964" t="s">
        <v>9381</v>
      </c>
      <c r="J709" s="1964" t="s">
        <v>6926</v>
      </c>
      <c r="K709" s="1964"/>
      <c r="L709" s="1964"/>
      <c r="M709" s="2095">
        <f t="shared" si="28"/>
        <v>0</v>
      </c>
      <c r="N709" s="2079" t="s">
        <v>9548</v>
      </c>
      <c r="O709" s="2079" t="s">
        <v>6926</v>
      </c>
      <c r="P709" s="2079" t="s">
        <v>6926</v>
      </c>
      <c r="Q709" s="2079" t="s">
        <v>6926</v>
      </c>
      <c r="R709" s="2079" t="s">
        <v>6926</v>
      </c>
      <c r="S709" s="2088" t="s">
        <v>6926</v>
      </c>
    </row>
    <row r="710" spans="1:19" ht="12" customHeight="1" x14ac:dyDescent="0.2">
      <c r="A710" s="5988"/>
      <c r="B710" s="5988"/>
      <c r="C710" s="1962" t="s">
        <v>2885</v>
      </c>
      <c r="D710" s="834" t="str">
        <f>D709</f>
        <v>Hyousetsu Jigoku</v>
      </c>
      <c r="E710" s="1965">
        <v>1</v>
      </c>
      <c r="F710" s="1965">
        <v>20</v>
      </c>
      <c r="G710" s="1965">
        <f t="shared" si="26"/>
        <v>20</v>
      </c>
      <c r="H710" s="1964" t="s">
        <v>2886</v>
      </c>
      <c r="I710" s="1964" t="s">
        <v>9382</v>
      </c>
      <c r="J710" s="1964" t="s">
        <v>6926</v>
      </c>
      <c r="K710" s="1964"/>
      <c r="L710" s="1964"/>
      <c r="M710" s="2095">
        <f t="shared" si="28"/>
        <v>0</v>
      </c>
      <c r="N710" s="2079" t="s">
        <v>9547</v>
      </c>
      <c r="O710" s="2079" t="s">
        <v>6926</v>
      </c>
      <c r="P710" s="2079" t="s">
        <v>6926</v>
      </c>
      <c r="Q710" s="2079" t="s">
        <v>6926</v>
      </c>
      <c r="R710" s="2079" t="s">
        <v>6926</v>
      </c>
      <c r="S710" s="2088" t="s">
        <v>6926</v>
      </c>
    </row>
    <row r="711" spans="1:19" ht="12" customHeight="1" x14ac:dyDescent="0.2">
      <c r="A711" s="5988"/>
      <c r="B711" s="5988"/>
      <c r="C711" s="1962" t="s">
        <v>2887</v>
      </c>
      <c r="D711" s="834" t="str">
        <f>D710</f>
        <v>Hyousetsu Jigoku</v>
      </c>
      <c r="E711" s="1965">
        <v>2</v>
      </c>
      <c r="F711" s="1965">
        <v>65</v>
      </c>
      <c r="G711" s="1965">
        <f t="shared" si="26"/>
        <v>65</v>
      </c>
      <c r="H711" s="1964" t="s">
        <v>2888</v>
      </c>
      <c r="I711" s="1964" t="s">
        <v>9383</v>
      </c>
      <c r="J711" s="1964" t="s">
        <v>6926</v>
      </c>
      <c r="K711" s="1964"/>
      <c r="L711" s="1964"/>
      <c r="M711" s="2095">
        <f t="shared" si="28"/>
        <v>0</v>
      </c>
      <c r="N711" s="2079" t="s">
        <v>9546</v>
      </c>
      <c r="O711" s="2079" t="s">
        <v>9545</v>
      </c>
      <c r="P711" s="2079" t="s">
        <v>6926</v>
      </c>
      <c r="Q711" s="2079" t="s">
        <v>6926</v>
      </c>
      <c r="R711" s="2079" t="s">
        <v>6926</v>
      </c>
      <c r="S711" s="2088" t="s">
        <v>6926</v>
      </c>
    </row>
    <row r="712" spans="1:19" ht="12" customHeight="1" x14ac:dyDescent="0.2">
      <c r="A712" s="5988"/>
      <c r="B712" s="5988"/>
      <c r="C712" s="1962" t="s">
        <v>2890</v>
      </c>
      <c r="D712" s="834" t="str">
        <f>D711</f>
        <v>Hyousetsu Jigoku</v>
      </c>
      <c r="E712" s="1965">
        <v>2</v>
      </c>
      <c r="F712" s="1965">
        <v>70</v>
      </c>
      <c r="G712" s="1965">
        <f t="shared" si="26"/>
        <v>70</v>
      </c>
      <c r="H712" s="1964" t="s">
        <v>2891</v>
      </c>
      <c r="I712" s="1964" t="s">
        <v>9384</v>
      </c>
      <c r="J712" s="1964" t="s">
        <v>6926</v>
      </c>
      <c r="K712" s="1964"/>
      <c r="L712" s="1964"/>
      <c r="M712" s="2095">
        <f t="shared" si="28"/>
        <v>0</v>
      </c>
      <c r="N712" s="2079" t="s">
        <v>9542</v>
      </c>
      <c r="O712" s="2079" t="s">
        <v>6926</v>
      </c>
      <c r="P712" s="2079" t="s">
        <v>6926</v>
      </c>
      <c r="Q712" s="2079" t="s">
        <v>6926</v>
      </c>
      <c r="R712" s="2079" t="s">
        <v>6926</v>
      </c>
      <c r="S712" s="2088" t="s">
        <v>6926</v>
      </c>
    </row>
    <row r="713" spans="1:19" ht="12" customHeight="1" x14ac:dyDescent="0.2">
      <c r="A713" s="5988"/>
      <c r="B713" s="5988"/>
      <c r="C713" s="1962" t="s">
        <v>2893</v>
      </c>
      <c r="D713" s="834" t="str">
        <f>D712</f>
        <v>Hyousetsu Jigoku</v>
      </c>
      <c r="E713" s="1965">
        <v>3</v>
      </c>
      <c r="F713" s="1965">
        <v>115</v>
      </c>
      <c r="G713" s="1965">
        <f t="shared" si="26"/>
        <v>115</v>
      </c>
      <c r="H713" s="1964" t="s">
        <v>2894</v>
      </c>
      <c r="I713" s="1964" t="s">
        <v>9385</v>
      </c>
      <c r="J713" s="1964" t="s">
        <v>3179</v>
      </c>
      <c r="K713" s="1964"/>
      <c r="L713" s="1964"/>
      <c r="M713" s="2095">
        <f t="shared" si="28"/>
        <v>0</v>
      </c>
      <c r="N713" s="2079" t="s">
        <v>9560</v>
      </c>
      <c r="O713" s="2079" t="s">
        <v>6926</v>
      </c>
      <c r="P713" s="2079" t="s">
        <v>6926</v>
      </c>
      <c r="Q713" s="2079" t="s">
        <v>6926</v>
      </c>
      <c r="R713" s="2079" t="s">
        <v>6926</v>
      </c>
      <c r="S713" s="2088" t="s">
        <v>6926</v>
      </c>
    </row>
    <row r="714" spans="1:19" ht="12" customHeight="1" x14ac:dyDescent="0.2">
      <c r="A714" s="5988"/>
      <c r="B714" s="5988"/>
      <c r="C714" s="1962" t="s">
        <v>2895</v>
      </c>
      <c r="D714" s="834"/>
      <c r="E714" s="1965"/>
      <c r="F714" s="1965"/>
      <c r="G714" s="1965" t="str">
        <f t="shared" si="26"/>
        <v/>
      </c>
      <c r="H714" s="1964"/>
      <c r="I714" s="1964" t="s">
        <v>6926</v>
      </c>
      <c r="J714" s="1964" t="s">
        <v>6926</v>
      </c>
      <c r="K714" s="1964"/>
      <c r="L714" s="1964"/>
      <c r="M714" s="2095" t="str">
        <f t="shared" si="28"/>
        <v/>
      </c>
      <c r="N714" s="2079" t="s">
        <v>6926</v>
      </c>
      <c r="O714" s="2079" t="s">
        <v>6926</v>
      </c>
      <c r="P714" s="2079" t="s">
        <v>6926</v>
      </c>
      <c r="Q714" s="2079" t="s">
        <v>6926</v>
      </c>
      <c r="R714" s="2079" t="s">
        <v>6926</v>
      </c>
      <c r="S714" s="2088" t="s">
        <v>6926</v>
      </c>
    </row>
    <row r="715" spans="1:19" ht="12" customHeight="1" x14ac:dyDescent="0.2">
      <c r="A715" s="5988"/>
      <c r="B715" s="5988"/>
      <c r="C715" s="1962" t="s">
        <v>2896</v>
      </c>
      <c r="D715" s="834" t="str">
        <f>PROPER(MID(C714,3,100))</f>
        <v>Hypnos Requiem</v>
      </c>
      <c r="E715" s="1965">
        <v>1</v>
      </c>
      <c r="F715" s="1965">
        <v>25</v>
      </c>
      <c r="G715" s="1965">
        <f t="shared" si="26"/>
        <v>25</v>
      </c>
      <c r="H715" s="1964" t="s">
        <v>2897</v>
      </c>
      <c r="I715" s="1964" t="s">
        <v>2943</v>
      </c>
      <c r="J715" s="1964" t="s">
        <v>9386</v>
      </c>
      <c r="K715" s="1964"/>
      <c r="L715" s="1964"/>
      <c r="M715" s="2095">
        <f t="shared" si="28"/>
        <v>0</v>
      </c>
      <c r="N715" s="2079" t="s">
        <v>9546</v>
      </c>
      <c r="O715" s="2079" t="s">
        <v>6926</v>
      </c>
      <c r="P715" s="2079" t="s">
        <v>6926</v>
      </c>
      <c r="Q715" s="2079" t="s">
        <v>6926</v>
      </c>
      <c r="R715" s="2079" t="s">
        <v>6926</v>
      </c>
      <c r="S715" s="2088" t="s">
        <v>6926</v>
      </c>
    </row>
    <row r="716" spans="1:19" ht="12" customHeight="1" x14ac:dyDescent="0.2">
      <c r="A716" s="5988"/>
      <c r="B716" s="5988"/>
      <c r="C716" s="1962" t="s">
        <v>2898</v>
      </c>
      <c r="D716" s="834" t="str">
        <f>D715</f>
        <v>Hypnos Requiem</v>
      </c>
      <c r="E716" s="1965">
        <v>1</v>
      </c>
      <c r="F716" s="1965">
        <v>25</v>
      </c>
      <c r="G716" s="1965">
        <f t="shared" si="26"/>
        <v>25</v>
      </c>
      <c r="H716" s="1964" t="s">
        <v>2899</v>
      </c>
      <c r="I716" s="1964" t="s">
        <v>9387</v>
      </c>
      <c r="J716" s="1964" t="s">
        <v>9386</v>
      </c>
      <c r="K716" s="1964"/>
      <c r="L716" s="1964"/>
      <c r="M716" s="2095">
        <f t="shared" si="28"/>
        <v>0</v>
      </c>
      <c r="N716" s="2079" t="s">
        <v>9549</v>
      </c>
      <c r="O716" s="2079" t="s">
        <v>6926</v>
      </c>
      <c r="P716" s="2079" t="s">
        <v>6926</v>
      </c>
      <c r="Q716" s="2079" t="s">
        <v>6926</v>
      </c>
      <c r="R716" s="2079" t="s">
        <v>6926</v>
      </c>
      <c r="S716" s="2088" t="s">
        <v>6926</v>
      </c>
    </row>
    <row r="717" spans="1:19" ht="12" customHeight="1" x14ac:dyDescent="0.2">
      <c r="A717" s="5988"/>
      <c r="B717" s="5988"/>
      <c r="C717" s="1962" t="s">
        <v>2900</v>
      </c>
      <c r="D717" s="834" t="str">
        <f>D716</f>
        <v>Hypnos Requiem</v>
      </c>
      <c r="E717" s="1965">
        <v>1</v>
      </c>
      <c r="F717" s="1965">
        <v>30</v>
      </c>
      <c r="G717" s="1965">
        <f t="shared" si="26"/>
        <v>30</v>
      </c>
      <c r="H717" s="1964" t="s">
        <v>2901</v>
      </c>
      <c r="I717" s="1964" t="s">
        <v>9388</v>
      </c>
      <c r="J717" s="1964" t="s">
        <v>9389</v>
      </c>
      <c r="K717" s="1964"/>
      <c r="L717" s="1964"/>
      <c r="M717" s="2095">
        <f t="shared" si="28"/>
        <v>0</v>
      </c>
      <c r="N717" s="2079" t="s">
        <v>9549</v>
      </c>
      <c r="O717" s="2079" t="s">
        <v>9560</v>
      </c>
      <c r="P717" s="2079" t="s">
        <v>9544</v>
      </c>
      <c r="Q717" s="2079" t="s">
        <v>6926</v>
      </c>
      <c r="R717" s="2079" t="s">
        <v>6926</v>
      </c>
      <c r="S717" s="2088" t="s">
        <v>6926</v>
      </c>
    </row>
    <row r="718" spans="1:19" ht="12" customHeight="1" x14ac:dyDescent="0.2">
      <c r="A718" s="5988"/>
      <c r="B718" s="5988"/>
      <c r="C718" s="1962" t="s">
        <v>2902</v>
      </c>
      <c r="D718" s="834" t="str">
        <f>D717</f>
        <v>Hypnos Requiem</v>
      </c>
      <c r="E718" s="1965">
        <v>2</v>
      </c>
      <c r="F718" s="1965">
        <v>60</v>
      </c>
      <c r="G718" s="1965">
        <f t="shared" si="26"/>
        <v>60</v>
      </c>
      <c r="H718" s="1964" t="s">
        <v>2903</v>
      </c>
      <c r="I718" s="1964" t="s">
        <v>9524</v>
      </c>
      <c r="J718" s="1964" t="s">
        <v>9389</v>
      </c>
      <c r="K718" s="1964"/>
      <c r="L718" s="1964"/>
      <c r="M718" s="2095">
        <f t="shared" si="28"/>
        <v>0</v>
      </c>
      <c r="N718" s="2079" t="s">
        <v>9560</v>
      </c>
      <c r="O718" s="2079" t="s">
        <v>9542</v>
      </c>
      <c r="P718" s="2079" t="s">
        <v>6926</v>
      </c>
      <c r="Q718" s="2079" t="s">
        <v>6926</v>
      </c>
      <c r="R718" s="2079" t="s">
        <v>6926</v>
      </c>
      <c r="S718" s="2088" t="s">
        <v>6926</v>
      </c>
    </row>
    <row r="719" spans="1:19" ht="12" customHeight="1" x14ac:dyDescent="0.2">
      <c r="A719" s="5988"/>
      <c r="B719" s="5988"/>
      <c r="C719" s="1962" t="s">
        <v>2904</v>
      </c>
      <c r="D719" s="834" t="str">
        <f>D718</f>
        <v>Hypnos Requiem</v>
      </c>
      <c r="E719" s="1965">
        <v>2</v>
      </c>
      <c r="F719" s="1965">
        <v>45</v>
      </c>
      <c r="G719" s="1965">
        <f t="shared" si="26"/>
        <v>45</v>
      </c>
      <c r="H719" s="1964" t="s">
        <v>2905</v>
      </c>
      <c r="I719" s="1964" t="s">
        <v>9390</v>
      </c>
      <c r="J719" s="1964" t="s">
        <v>9391</v>
      </c>
      <c r="K719" s="1964"/>
      <c r="L719" s="1964"/>
      <c r="M719" s="2095">
        <f t="shared" si="28"/>
        <v>0</v>
      </c>
      <c r="N719" s="2079" t="s">
        <v>10107</v>
      </c>
      <c r="O719" s="2079" t="s">
        <v>6926</v>
      </c>
      <c r="P719" s="2079" t="s">
        <v>6926</v>
      </c>
      <c r="Q719" s="2079" t="s">
        <v>6926</v>
      </c>
      <c r="R719" s="2079" t="s">
        <v>6926</v>
      </c>
      <c r="S719" s="2088" t="s">
        <v>6926</v>
      </c>
    </row>
    <row r="720" spans="1:19" ht="12" customHeight="1" x14ac:dyDescent="0.2">
      <c r="A720" s="5988"/>
      <c r="B720" s="5988"/>
      <c r="C720" s="1962" t="s">
        <v>2906</v>
      </c>
      <c r="D720" s="834" t="str">
        <f>D719</f>
        <v>Hypnos Requiem</v>
      </c>
      <c r="E720" s="1965">
        <v>2</v>
      </c>
      <c r="F720" s="1965">
        <v>80</v>
      </c>
      <c r="G720" s="1965">
        <f t="shared" si="26"/>
        <v>80</v>
      </c>
      <c r="H720" s="1964" t="s">
        <v>2907</v>
      </c>
      <c r="I720" s="1964" t="s">
        <v>9392</v>
      </c>
      <c r="J720" s="1964" t="s">
        <v>9393</v>
      </c>
      <c r="K720" s="1964"/>
      <c r="L720" s="1964"/>
      <c r="M720" s="2095">
        <f t="shared" si="28"/>
        <v>0</v>
      </c>
      <c r="N720" s="2079" t="s">
        <v>9560</v>
      </c>
      <c r="O720" s="2079" t="s">
        <v>6926</v>
      </c>
      <c r="P720" s="2079" t="s">
        <v>6926</v>
      </c>
      <c r="Q720" s="2079" t="s">
        <v>6926</v>
      </c>
      <c r="R720" s="2079" t="s">
        <v>6926</v>
      </c>
      <c r="S720" s="2088" t="s">
        <v>6926</v>
      </c>
    </row>
    <row r="721" spans="1:19" ht="12" customHeight="1" x14ac:dyDescent="0.2">
      <c r="A721" s="5988"/>
      <c r="B721" s="5988"/>
      <c r="C721" s="1962" t="s">
        <v>2908</v>
      </c>
      <c r="D721" s="834"/>
      <c r="E721" s="1965"/>
      <c r="F721" s="1965"/>
      <c r="G721" s="1965" t="str">
        <f t="shared" si="26"/>
        <v/>
      </c>
      <c r="H721" s="1964"/>
      <c r="I721" s="1964" t="s">
        <v>6926</v>
      </c>
      <c r="J721" s="1964" t="s">
        <v>6926</v>
      </c>
      <c r="K721" s="1964"/>
      <c r="L721" s="1964"/>
      <c r="M721" s="2095" t="str">
        <f t="shared" si="28"/>
        <v/>
      </c>
      <c r="N721" s="2079" t="s">
        <v>6926</v>
      </c>
      <c r="O721" s="2079" t="s">
        <v>6926</v>
      </c>
      <c r="P721" s="2079" t="s">
        <v>6926</v>
      </c>
      <c r="Q721" s="2079" t="s">
        <v>6926</v>
      </c>
      <c r="R721" s="2079" t="s">
        <v>6926</v>
      </c>
      <c r="S721" s="2088" t="s">
        <v>6926</v>
      </c>
    </row>
    <row r="722" spans="1:19" ht="12" customHeight="1" x14ac:dyDescent="0.2">
      <c r="A722" s="5988"/>
      <c r="B722" s="5988"/>
      <c r="C722" s="1962" t="s">
        <v>2909</v>
      </c>
      <c r="D722" s="834" t="str">
        <f>PROPER(MID(C721,3,100))</f>
        <v>Le Rose Du Sang</v>
      </c>
      <c r="E722" s="1965">
        <v>1</v>
      </c>
      <c r="F722" s="1965">
        <v>20</v>
      </c>
      <c r="G722" s="1965">
        <f t="shared" si="26"/>
        <v>20</v>
      </c>
      <c r="H722" s="1964" t="s">
        <v>2910</v>
      </c>
      <c r="I722" s="1964" t="s">
        <v>9394</v>
      </c>
      <c r="J722" s="1964" t="s">
        <v>6926</v>
      </c>
      <c r="K722" s="1964"/>
      <c r="L722" s="1964"/>
      <c r="M722" s="2095">
        <f t="shared" si="28"/>
        <v>0</v>
      </c>
      <c r="N722" s="2079" t="s">
        <v>9557</v>
      </c>
      <c r="O722" s="2079" t="s">
        <v>6926</v>
      </c>
      <c r="P722" s="2079" t="s">
        <v>6926</v>
      </c>
      <c r="Q722" s="2079" t="s">
        <v>6926</v>
      </c>
      <c r="R722" s="2079" t="s">
        <v>6926</v>
      </c>
      <c r="S722" s="2088" t="s">
        <v>6926</v>
      </c>
    </row>
    <row r="723" spans="1:19" ht="12" customHeight="1" x14ac:dyDescent="0.2">
      <c r="A723" s="5988"/>
      <c r="B723" s="5988"/>
      <c r="C723" s="1962" t="s">
        <v>2912</v>
      </c>
      <c r="D723" s="834" t="str">
        <f>D722</f>
        <v>Le Rose Du Sang</v>
      </c>
      <c r="E723" s="1965">
        <v>1</v>
      </c>
      <c r="F723" s="1965">
        <v>30</v>
      </c>
      <c r="G723" s="1965">
        <f t="shared" si="26"/>
        <v>30</v>
      </c>
      <c r="H723" s="1964" t="s">
        <v>2913</v>
      </c>
      <c r="I723" s="1964" t="s">
        <v>9395</v>
      </c>
      <c r="J723" s="1964" t="s">
        <v>6926</v>
      </c>
      <c r="K723" s="1964"/>
      <c r="L723" s="1964"/>
      <c r="M723" s="2095">
        <f t="shared" si="28"/>
        <v>0</v>
      </c>
      <c r="N723" s="2079" t="s">
        <v>9545</v>
      </c>
      <c r="O723" s="2079" t="s">
        <v>6926</v>
      </c>
      <c r="P723" s="2079" t="s">
        <v>6926</v>
      </c>
      <c r="Q723" s="2079" t="s">
        <v>6926</v>
      </c>
      <c r="R723" s="2079" t="s">
        <v>6926</v>
      </c>
      <c r="S723" s="2088" t="s">
        <v>6926</v>
      </c>
    </row>
    <row r="724" spans="1:19" ht="12" customHeight="1" x14ac:dyDescent="0.2">
      <c r="A724" s="5988"/>
      <c r="B724" s="5988"/>
      <c r="C724" s="1962" t="s">
        <v>2914</v>
      </c>
      <c r="D724" s="834" t="str">
        <f>D723</f>
        <v>Le Rose Du Sang</v>
      </c>
      <c r="E724" s="1965">
        <v>2</v>
      </c>
      <c r="F724" s="1965">
        <v>40</v>
      </c>
      <c r="G724" s="1965">
        <f t="shared" si="26"/>
        <v>40</v>
      </c>
      <c r="H724" s="1964" t="s">
        <v>2915</v>
      </c>
      <c r="I724" s="1964" t="s">
        <v>9396</v>
      </c>
      <c r="J724" s="1964" t="s">
        <v>9397</v>
      </c>
      <c r="K724" s="1964"/>
      <c r="L724" s="1964"/>
      <c r="M724" s="2095">
        <f t="shared" si="28"/>
        <v>0</v>
      </c>
      <c r="N724" s="2079" t="s">
        <v>9078</v>
      </c>
      <c r="O724" s="2079" t="s">
        <v>6926</v>
      </c>
      <c r="P724" s="2079" t="s">
        <v>6926</v>
      </c>
      <c r="Q724" s="2079" t="s">
        <v>6926</v>
      </c>
      <c r="R724" s="2079" t="s">
        <v>6926</v>
      </c>
      <c r="S724" s="2088" t="s">
        <v>6926</v>
      </c>
    </row>
    <row r="725" spans="1:19" ht="12" customHeight="1" x14ac:dyDescent="0.2">
      <c r="A725" s="5988"/>
      <c r="B725" s="5988"/>
      <c r="C725" s="1962" t="s">
        <v>2916</v>
      </c>
      <c r="D725" s="834" t="str">
        <f>D724</f>
        <v>Le Rose Du Sang</v>
      </c>
      <c r="E725" s="1965">
        <v>2</v>
      </c>
      <c r="F725" s="1965">
        <v>55</v>
      </c>
      <c r="G725" s="1965">
        <f t="shared" si="26"/>
        <v>55</v>
      </c>
      <c r="H725" s="1964" t="s">
        <v>2917</v>
      </c>
      <c r="I725" s="1964" t="s">
        <v>9398</v>
      </c>
      <c r="J725" s="1964" t="s">
        <v>9399</v>
      </c>
      <c r="K725" s="1964"/>
      <c r="L725" s="1964"/>
      <c r="M725" s="2095">
        <f t="shared" si="28"/>
        <v>0</v>
      </c>
      <c r="N725" s="2079" t="s">
        <v>9542</v>
      </c>
      <c r="O725" s="2079" t="s">
        <v>6926</v>
      </c>
      <c r="P725" s="2079" t="s">
        <v>6926</v>
      </c>
      <c r="Q725" s="2079" t="s">
        <v>6926</v>
      </c>
      <c r="R725" s="2079" t="s">
        <v>6926</v>
      </c>
      <c r="S725" s="2088" t="s">
        <v>6926</v>
      </c>
    </row>
    <row r="726" spans="1:19" ht="12" customHeight="1" x14ac:dyDescent="0.2">
      <c r="A726" s="5988"/>
      <c r="B726" s="5988"/>
      <c r="C726" s="1962" t="s">
        <v>2918</v>
      </c>
      <c r="D726" s="834" t="str">
        <f>D725</f>
        <v>Le Rose Du Sang</v>
      </c>
      <c r="E726" s="1965">
        <v>3</v>
      </c>
      <c r="F726" s="1965">
        <v>90</v>
      </c>
      <c r="G726" s="1965">
        <f t="shared" si="26"/>
        <v>90</v>
      </c>
      <c r="H726" s="1964" t="s">
        <v>2919</v>
      </c>
      <c r="I726" s="1964" t="s">
        <v>9525</v>
      </c>
      <c r="J726" s="1964" t="s">
        <v>9400</v>
      </c>
      <c r="K726" s="1964"/>
      <c r="L726" s="1964"/>
      <c r="M726" s="2095">
        <f t="shared" si="28"/>
        <v>0</v>
      </c>
      <c r="N726" s="2079" t="s">
        <v>9544</v>
      </c>
      <c r="O726" s="2079" t="s">
        <v>10108</v>
      </c>
      <c r="P726" s="2079" t="s">
        <v>9542</v>
      </c>
      <c r="Q726" s="2079" t="s">
        <v>6926</v>
      </c>
      <c r="R726" s="2079" t="s">
        <v>6926</v>
      </c>
      <c r="S726" s="2088" t="s">
        <v>6926</v>
      </c>
    </row>
    <row r="727" spans="1:19" ht="12" customHeight="1" x14ac:dyDescent="0.2">
      <c r="A727" s="5988"/>
      <c r="B727" s="5988"/>
      <c r="C727" s="1962" t="s">
        <v>2920</v>
      </c>
      <c r="D727" s="834"/>
      <c r="E727" s="1965"/>
      <c r="F727" s="1965"/>
      <c r="G727" s="1965" t="str">
        <f t="shared" si="26"/>
        <v/>
      </c>
      <c r="H727" s="1964"/>
      <c r="I727" s="1964" t="s">
        <v>6926</v>
      </c>
      <c r="J727" s="1964" t="s">
        <v>6926</v>
      </c>
      <c r="K727" s="1964"/>
      <c r="L727" s="1964"/>
      <c r="M727" s="2095" t="str">
        <f t="shared" si="28"/>
        <v/>
      </c>
      <c r="N727" s="2079" t="s">
        <v>6926</v>
      </c>
      <c r="O727" s="2079" t="s">
        <v>6926</v>
      </c>
      <c r="P727" s="2079" t="s">
        <v>6926</v>
      </c>
      <c r="Q727" s="2079" t="s">
        <v>6926</v>
      </c>
      <c r="R727" s="2079" t="s">
        <v>6926</v>
      </c>
      <c r="S727" s="2088" t="s">
        <v>6926</v>
      </c>
    </row>
    <row r="728" spans="1:19" ht="12" customHeight="1" x14ac:dyDescent="0.2">
      <c r="A728" s="5988"/>
      <c r="B728" s="5988"/>
      <c r="C728" s="1962" t="s">
        <v>2921</v>
      </c>
      <c r="D728" s="834" t="str">
        <f>PROPER(MID(C727,3,100))</f>
        <v>Arashido, El Camino De Las Tormentas</v>
      </c>
      <c r="E728" s="1965">
        <v>1</v>
      </c>
      <c r="F728" s="1965">
        <v>25</v>
      </c>
      <c r="G728" s="1965">
        <f t="shared" si="26"/>
        <v>25</v>
      </c>
      <c r="H728" s="1964" t="s">
        <v>2922</v>
      </c>
      <c r="I728" s="1964" t="s">
        <v>9401</v>
      </c>
      <c r="J728" s="1964" t="s">
        <v>6926</v>
      </c>
      <c r="K728" s="1964"/>
      <c r="L728" s="1964"/>
      <c r="M728" s="2095">
        <f t="shared" si="28"/>
        <v>0</v>
      </c>
      <c r="N728" s="2079" t="s">
        <v>7537</v>
      </c>
      <c r="O728" s="2079" t="s">
        <v>6926</v>
      </c>
      <c r="P728" s="2079" t="s">
        <v>6926</v>
      </c>
      <c r="Q728" s="2079" t="s">
        <v>6926</v>
      </c>
      <c r="R728" s="2079" t="s">
        <v>6926</v>
      </c>
      <c r="S728" s="2088" t="s">
        <v>6926</v>
      </c>
    </row>
    <row r="729" spans="1:19" ht="12" customHeight="1" x14ac:dyDescent="0.2">
      <c r="A729" s="5988"/>
      <c r="B729" s="5988"/>
      <c r="C729" s="1962" t="s">
        <v>2924</v>
      </c>
      <c r="D729" s="834" t="str">
        <f>D728</f>
        <v>Arashido, El Camino De Las Tormentas</v>
      </c>
      <c r="E729" s="1965">
        <v>1</v>
      </c>
      <c r="F729" s="1965">
        <v>40</v>
      </c>
      <c r="G729" s="1965">
        <f t="shared" si="26"/>
        <v>40</v>
      </c>
      <c r="H729" s="1964" t="s">
        <v>2925</v>
      </c>
      <c r="I729" s="1964" t="s">
        <v>9402</v>
      </c>
      <c r="J729" s="1964" t="s">
        <v>6926</v>
      </c>
      <c r="K729" s="1964"/>
      <c r="L729" s="1964"/>
      <c r="M729" s="2095">
        <f t="shared" si="28"/>
        <v>0</v>
      </c>
      <c r="N729" s="2079" t="s">
        <v>9541</v>
      </c>
      <c r="O729" s="2079" t="s">
        <v>9556</v>
      </c>
      <c r="P729" s="2079" t="s">
        <v>6926</v>
      </c>
      <c r="Q729" s="2079" t="s">
        <v>6926</v>
      </c>
      <c r="R729" s="2079" t="s">
        <v>6926</v>
      </c>
      <c r="S729" s="2088" t="s">
        <v>6926</v>
      </c>
    </row>
    <row r="730" spans="1:19" ht="12" customHeight="1" x14ac:dyDescent="0.2">
      <c r="A730" s="5988"/>
      <c r="B730" s="5988"/>
      <c r="C730" s="1962" t="s">
        <v>2926</v>
      </c>
      <c r="D730" s="834" t="str">
        <f>D729</f>
        <v>Arashido, El Camino De Las Tormentas</v>
      </c>
      <c r="E730" s="1965">
        <v>2</v>
      </c>
      <c r="F730" s="1965">
        <v>75</v>
      </c>
      <c r="G730" s="1965">
        <f t="shared" si="26"/>
        <v>75</v>
      </c>
      <c r="H730" s="1964" t="s">
        <v>2927</v>
      </c>
      <c r="I730" s="1964" t="s">
        <v>9403</v>
      </c>
      <c r="J730" s="1964" t="s">
        <v>9404</v>
      </c>
      <c r="K730" s="1964"/>
      <c r="L730" s="1964"/>
      <c r="M730" s="2095">
        <f t="shared" si="28"/>
        <v>0</v>
      </c>
      <c r="N730" s="2079" t="s">
        <v>9544</v>
      </c>
      <c r="O730" s="2079" t="s">
        <v>7537</v>
      </c>
      <c r="P730" s="2079" t="s">
        <v>9556</v>
      </c>
      <c r="Q730" s="2079" t="s">
        <v>6926</v>
      </c>
      <c r="R730" s="2079" t="s">
        <v>6926</v>
      </c>
      <c r="S730" s="2088" t="s">
        <v>6926</v>
      </c>
    </row>
    <row r="731" spans="1:19" ht="12" customHeight="1" x14ac:dyDescent="0.2">
      <c r="A731" s="5988"/>
      <c r="B731" s="5988"/>
      <c r="C731" s="1962" t="s">
        <v>2928</v>
      </c>
      <c r="D731" s="834" t="str">
        <f>D730</f>
        <v>Arashido, El Camino De Las Tormentas</v>
      </c>
      <c r="E731" s="1965">
        <v>2</v>
      </c>
      <c r="F731" s="1965">
        <v>75</v>
      </c>
      <c r="G731" s="1965">
        <f t="shared" ref="G731:G794" si="29">IF(E731="","",MAX(IF(E731=3,60,IF(E731=2,40,20)),F731+M731))</f>
        <v>75</v>
      </c>
      <c r="H731" s="1964" t="s">
        <v>2929</v>
      </c>
      <c r="I731" s="1964" t="s">
        <v>9405</v>
      </c>
      <c r="J731" s="1964" t="s">
        <v>9397</v>
      </c>
      <c r="K731" s="1964"/>
      <c r="L731" s="1964"/>
      <c r="M731" s="2095">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79" t="s">
        <v>9078</v>
      </c>
      <c r="O731" s="2079" t="s">
        <v>9548</v>
      </c>
      <c r="P731" s="2079" t="s">
        <v>6926</v>
      </c>
      <c r="Q731" s="2079" t="s">
        <v>6926</v>
      </c>
      <c r="R731" s="2079" t="s">
        <v>6926</v>
      </c>
      <c r="S731" s="2088" t="s">
        <v>6926</v>
      </c>
    </row>
    <row r="732" spans="1:19" ht="12" customHeight="1" x14ac:dyDescent="0.2">
      <c r="A732" s="5988"/>
      <c r="B732" s="5988"/>
      <c r="C732" s="1962" t="s">
        <v>2931</v>
      </c>
      <c r="D732" s="834" t="str">
        <f>D731</f>
        <v>Arashido, El Camino De Las Tormentas</v>
      </c>
      <c r="E732" s="1965">
        <v>3</v>
      </c>
      <c r="F732" s="1965">
        <v>95</v>
      </c>
      <c r="G732" s="1965">
        <f t="shared" si="29"/>
        <v>95</v>
      </c>
      <c r="H732" s="1964" t="s">
        <v>2932</v>
      </c>
      <c r="I732" s="1964" t="s">
        <v>9406</v>
      </c>
      <c r="J732" s="1964" t="s">
        <v>9407</v>
      </c>
      <c r="K732" s="1964"/>
      <c r="L732" s="1964"/>
      <c r="M732" s="2095">
        <f t="shared" si="30"/>
        <v>0</v>
      </c>
      <c r="N732" s="2079" t="s">
        <v>9543</v>
      </c>
      <c r="O732" s="2079" t="s">
        <v>9541</v>
      </c>
      <c r="P732" s="2079" t="s">
        <v>7537</v>
      </c>
      <c r="Q732" s="2079" t="s">
        <v>9548</v>
      </c>
      <c r="R732" s="2079" t="s">
        <v>6926</v>
      </c>
      <c r="S732" s="2088" t="s">
        <v>6926</v>
      </c>
    </row>
    <row r="733" spans="1:19" ht="12" customHeight="1" x14ac:dyDescent="0.2">
      <c r="A733" s="5988"/>
      <c r="B733" s="5988"/>
      <c r="C733" s="1962" t="s">
        <v>2933</v>
      </c>
      <c r="D733" s="834"/>
      <c r="E733" s="1965"/>
      <c r="F733" s="1965"/>
      <c r="G733" s="1965" t="str">
        <f t="shared" si="29"/>
        <v/>
      </c>
      <c r="H733" s="1964"/>
      <c r="I733" s="1964" t="s">
        <v>6926</v>
      </c>
      <c r="J733" s="1964" t="s">
        <v>6926</v>
      </c>
      <c r="K733" s="1964"/>
      <c r="L733" s="1964"/>
      <c r="M733" s="2095" t="str">
        <f t="shared" si="30"/>
        <v/>
      </c>
      <c r="N733" s="2079" t="s">
        <v>6926</v>
      </c>
      <c r="O733" s="2079" t="s">
        <v>6926</v>
      </c>
      <c r="P733" s="2079" t="s">
        <v>6926</v>
      </c>
      <c r="Q733" s="2079" t="s">
        <v>6926</v>
      </c>
      <c r="R733" s="2079" t="s">
        <v>6926</v>
      </c>
      <c r="S733" s="2088" t="s">
        <v>6926</v>
      </c>
    </row>
    <row r="734" spans="1:19" ht="12" customHeight="1" x14ac:dyDescent="0.2">
      <c r="A734" s="5988"/>
      <c r="B734" s="5988"/>
      <c r="C734" s="1030" t="s">
        <v>2934</v>
      </c>
      <c r="D734" s="834" t="str">
        <f>PROPER(MID(C733,3,100))</f>
        <v>Di Quiu</v>
      </c>
      <c r="E734" s="479">
        <v>1</v>
      </c>
      <c r="F734" s="479">
        <v>35</v>
      </c>
      <c r="G734" s="1965">
        <f t="shared" si="29"/>
        <v>35</v>
      </c>
      <c r="H734" s="1964" t="s">
        <v>2935</v>
      </c>
      <c r="I734" s="1964" t="s">
        <v>9408</v>
      </c>
      <c r="J734" s="1964" t="s">
        <v>9409</v>
      </c>
      <c r="K734" s="1964"/>
      <c r="L734" s="1964"/>
      <c r="M734" s="2095">
        <f t="shared" si="30"/>
        <v>0</v>
      </c>
      <c r="N734" s="2079" t="s">
        <v>9550</v>
      </c>
      <c r="O734" s="2079" t="s">
        <v>6926</v>
      </c>
      <c r="P734" s="2079" t="s">
        <v>6926</v>
      </c>
      <c r="Q734" s="2079" t="s">
        <v>6926</v>
      </c>
      <c r="R734" s="2079" t="s">
        <v>6926</v>
      </c>
      <c r="S734" s="2088" t="s">
        <v>6926</v>
      </c>
    </row>
    <row r="735" spans="1:19" ht="12" customHeight="1" x14ac:dyDescent="0.2">
      <c r="A735" s="5988"/>
      <c r="B735" s="5988"/>
      <c r="C735" s="1030" t="s">
        <v>2937</v>
      </c>
      <c r="D735" s="834" t="str">
        <f>D734</f>
        <v>Di Quiu</v>
      </c>
      <c r="E735" s="479">
        <v>1</v>
      </c>
      <c r="F735" s="479">
        <v>50</v>
      </c>
      <c r="G735" s="1965">
        <f t="shared" si="29"/>
        <v>50</v>
      </c>
      <c r="H735" s="1964" t="s">
        <v>2938</v>
      </c>
      <c r="I735" s="1964" t="s">
        <v>9410</v>
      </c>
      <c r="J735" s="1964" t="s">
        <v>6926</v>
      </c>
      <c r="K735" s="1964"/>
      <c r="L735" s="1964"/>
      <c r="M735" s="2095">
        <f t="shared" si="30"/>
        <v>0</v>
      </c>
      <c r="N735" s="2079" t="s">
        <v>9545</v>
      </c>
      <c r="O735" s="2079" t="s">
        <v>6926</v>
      </c>
      <c r="P735" s="2079" t="s">
        <v>6926</v>
      </c>
      <c r="Q735" s="2079" t="s">
        <v>6926</v>
      </c>
      <c r="R735" s="2079" t="s">
        <v>6926</v>
      </c>
      <c r="S735" s="2088" t="s">
        <v>6926</v>
      </c>
    </row>
    <row r="736" spans="1:19" ht="12" customHeight="1" x14ac:dyDescent="0.2">
      <c r="A736" s="5988"/>
      <c r="B736" s="5988"/>
      <c r="C736" s="1030" t="s">
        <v>2941</v>
      </c>
      <c r="D736" s="834" t="str">
        <f>D735</f>
        <v>Di Quiu</v>
      </c>
      <c r="E736" s="479">
        <v>2</v>
      </c>
      <c r="F736" s="479">
        <v>40</v>
      </c>
      <c r="G736" s="1965">
        <f t="shared" si="29"/>
        <v>40</v>
      </c>
      <c r="H736" s="1964" t="s">
        <v>2942</v>
      </c>
      <c r="I736" s="1964" t="s">
        <v>9411</v>
      </c>
      <c r="J736" s="1964" t="s">
        <v>3179</v>
      </c>
      <c r="K736" s="1964"/>
      <c r="L736" s="1964"/>
      <c r="M736" s="2095">
        <f t="shared" si="30"/>
        <v>0</v>
      </c>
      <c r="N736" s="2079" t="s">
        <v>9559</v>
      </c>
      <c r="O736" s="2079" t="s">
        <v>6926</v>
      </c>
      <c r="P736" s="2079" t="s">
        <v>6926</v>
      </c>
      <c r="Q736" s="2079" t="s">
        <v>6926</v>
      </c>
      <c r="R736" s="2079" t="s">
        <v>6926</v>
      </c>
      <c r="S736" s="2088" t="s">
        <v>6926</v>
      </c>
    </row>
    <row r="737" spans="1:19" ht="12" customHeight="1" x14ac:dyDescent="0.2">
      <c r="A737" s="5988"/>
      <c r="B737" s="5988"/>
      <c r="C737" s="1030" t="s">
        <v>2944</v>
      </c>
      <c r="D737" s="834" t="str">
        <f>D736</f>
        <v>Di Quiu</v>
      </c>
      <c r="E737" s="479">
        <v>2</v>
      </c>
      <c r="F737" s="479">
        <v>65</v>
      </c>
      <c r="G737" s="1965">
        <f t="shared" si="29"/>
        <v>65</v>
      </c>
      <c r="H737" s="1964" t="s">
        <v>2945</v>
      </c>
      <c r="I737" s="1964" t="s">
        <v>9412</v>
      </c>
      <c r="J737" s="1964" t="s">
        <v>9413</v>
      </c>
      <c r="K737" s="1964"/>
      <c r="L737" s="1964"/>
      <c r="M737" s="2095">
        <f t="shared" si="30"/>
        <v>0</v>
      </c>
      <c r="N737" s="2079" t="s">
        <v>9544</v>
      </c>
      <c r="O737" s="2079" t="s">
        <v>9559</v>
      </c>
      <c r="P737" s="2079" t="s">
        <v>6926</v>
      </c>
      <c r="Q737" s="2079" t="s">
        <v>6926</v>
      </c>
      <c r="R737" s="2079" t="s">
        <v>6926</v>
      </c>
      <c r="S737" s="2088" t="s">
        <v>6926</v>
      </c>
    </row>
    <row r="738" spans="1:19" ht="12" customHeight="1" x14ac:dyDescent="0.2">
      <c r="A738" s="5988"/>
      <c r="B738" s="5988"/>
      <c r="C738" s="1030" t="s">
        <v>2947</v>
      </c>
      <c r="D738" s="834" t="str">
        <f>D737</f>
        <v>Di Quiu</v>
      </c>
      <c r="E738" s="479">
        <v>2</v>
      </c>
      <c r="F738" s="479">
        <v>60</v>
      </c>
      <c r="G738" s="1965">
        <f t="shared" si="29"/>
        <v>60</v>
      </c>
      <c r="H738" s="1964" t="s">
        <v>2948</v>
      </c>
      <c r="I738" s="1964" t="s">
        <v>9414</v>
      </c>
      <c r="J738" s="1964" t="s">
        <v>9415</v>
      </c>
      <c r="K738" s="1964"/>
      <c r="L738" s="1964"/>
      <c r="M738" s="2095">
        <f t="shared" si="30"/>
        <v>0</v>
      </c>
      <c r="N738" s="2079" t="s">
        <v>9544</v>
      </c>
      <c r="O738" s="2079" t="s">
        <v>9556</v>
      </c>
      <c r="P738" s="2079" t="s">
        <v>6926</v>
      </c>
      <c r="Q738" s="2079" t="s">
        <v>6926</v>
      </c>
      <c r="R738" s="2079" t="s">
        <v>6926</v>
      </c>
      <c r="S738" s="2088" t="s">
        <v>6926</v>
      </c>
    </row>
    <row r="739" spans="1:19" ht="12" customHeight="1" x14ac:dyDescent="0.2">
      <c r="A739" s="5988"/>
      <c r="B739" s="5988"/>
      <c r="C739" s="1030" t="s">
        <v>2949</v>
      </c>
      <c r="D739" s="834" t="str">
        <f>D738</f>
        <v>Di Quiu</v>
      </c>
      <c r="E739" s="479">
        <v>3</v>
      </c>
      <c r="F739" s="479">
        <v>90</v>
      </c>
      <c r="G739" s="1965">
        <f t="shared" si="29"/>
        <v>90</v>
      </c>
      <c r="H739" s="1964" t="s">
        <v>2950</v>
      </c>
      <c r="I739" s="1964" t="s">
        <v>9533</v>
      </c>
      <c r="J739" s="1964" t="s">
        <v>9416</v>
      </c>
      <c r="K739" s="1964"/>
      <c r="L739" s="1964"/>
      <c r="M739" s="2095">
        <f t="shared" si="30"/>
        <v>0</v>
      </c>
      <c r="N739" s="2079" t="s">
        <v>9544</v>
      </c>
      <c r="O739" s="2079" t="s">
        <v>9556</v>
      </c>
      <c r="P739" s="2079" t="s">
        <v>9542</v>
      </c>
      <c r="Q739" s="2079" t="s">
        <v>9558</v>
      </c>
      <c r="R739" s="2079" t="s">
        <v>6926</v>
      </c>
      <c r="S739" s="2088" t="s">
        <v>6926</v>
      </c>
    </row>
    <row r="740" spans="1:19" ht="12" customHeight="1" x14ac:dyDescent="0.2">
      <c r="A740" s="5988"/>
      <c r="B740" s="5988"/>
      <c r="C740" s="1030" t="s">
        <v>2951</v>
      </c>
      <c r="D740" s="834"/>
      <c r="E740" s="479"/>
      <c r="F740" s="479"/>
      <c r="G740" s="1965" t="str">
        <f t="shared" si="29"/>
        <v/>
      </c>
      <c r="H740" s="1964"/>
      <c r="I740" s="1964" t="s">
        <v>6926</v>
      </c>
      <c r="J740" s="1964" t="s">
        <v>6926</v>
      </c>
      <c r="K740" s="1964"/>
      <c r="L740" s="1964"/>
      <c r="M740" s="2095" t="str">
        <f t="shared" si="30"/>
        <v/>
      </c>
      <c r="N740" s="2079" t="s">
        <v>6926</v>
      </c>
      <c r="O740" s="2079" t="s">
        <v>6926</v>
      </c>
      <c r="P740" s="2079" t="s">
        <v>6926</v>
      </c>
      <c r="Q740" s="2079" t="s">
        <v>6926</v>
      </c>
      <c r="R740" s="2079" t="s">
        <v>6926</v>
      </c>
      <c r="S740" s="2088" t="s">
        <v>6926</v>
      </c>
    </row>
    <row r="741" spans="1:19" ht="12" customHeight="1" x14ac:dyDescent="0.2">
      <c r="A741" s="5988"/>
      <c r="B741" s="5988"/>
      <c r="C741" s="1030" t="s">
        <v>2952</v>
      </c>
      <c r="D741" s="834" t="str">
        <f>PROPER(MID(C740,3,100))</f>
        <v>Obscuritas</v>
      </c>
      <c r="E741" s="479">
        <v>1</v>
      </c>
      <c r="F741" s="479">
        <v>20</v>
      </c>
      <c r="G741" s="1965">
        <f t="shared" si="29"/>
        <v>20</v>
      </c>
      <c r="H741" s="1964" t="s">
        <v>2953</v>
      </c>
      <c r="I741" s="1964" t="s">
        <v>9417</v>
      </c>
      <c r="J741" s="1964" t="s">
        <v>9418</v>
      </c>
      <c r="K741" s="1964"/>
      <c r="L741" s="1964"/>
      <c r="M741" s="2095">
        <f t="shared" si="30"/>
        <v>0</v>
      </c>
      <c r="N741" s="2079" t="s">
        <v>7537</v>
      </c>
      <c r="O741" s="2079" t="s">
        <v>6926</v>
      </c>
      <c r="P741" s="2079" t="s">
        <v>6926</v>
      </c>
      <c r="Q741" s="2079" t="s">
        <v>6926</v>
      </c>
      <c r="R741" s="2079" t="s">
        <v>6926</v>
      </c>
      <c r="S741" s="2088" t="s">
        <v>6926</v>
      </c>
    </row>
    <row r="742" spans="1:19" ht="12" customHeight="1" x14ac:dyDescent="0.2">
      <c r="A742" s="5988"/>
      <c r="B742" s="5988"/>
      <c r="C742" s="1030" t="s">
        <v>2954</v>
      </c>
      <c r="D742" s="834" t="str">
        <f>D741</f>
        <v>Obscuritas</v>
      </c>
      <c r="E742" s="479">
        <v>1</v>
      </c>
      <c r="F742" s="479">
        <v>20</v>
      </c>
      <c r="G742" s="1965">
        <f t="shared" si="29"/>
        <v>20</v>
      </c>
      <c r="H742" s="1964" t="s">
        <v>2955</v>
      </c>
      <c r="I742" s="1964" t="s">
        <v>9419</v>
      </c>
      <c r="J742" s="1964" t="s">
        <v>6926</v>
      </c>
      <c r="K742" s="1964"/>
      <c r="L742" s="1964"/>
      <c r="M742" s="2095">
        <f t="shared" si="30"/>
        <v>0</v>
      </c>
      <c r="N742" s="2079" t="s">
        <v>7537</v>
      </c>
      <c r="O742" s="2079" t="s">
        <v>6926</v>
      </c>
      <c r="P742" s="2079" t="s">
        <v>6926</v>
      </c>
      <c r="Q742" s="2079" t="s">
        <v>6926</v>
      </c>
      <c r="R742" s="2079" t="s">
        <v>6926</v>
      </c>
      <c r="S742" s="2088" t="s">
        <v>6926</v>
      </c>
    </row>
    <row r="743" spans="1:19" ht="12" customHeight="1" x14ac:dyDescent="0.2">
      <c r="A743" s="5988"/>
      <c r="B743" s="5988"/>
      <c r="C743" s="1030" t="s">
        <v>2956</v>
      </c>
      <c r="D743" s="834" t="str">
        <f>D742</f>
        <v>Obscuritas</v>
      </c>
      <c r="E743" s="479">
        <v>1</v>
      </c>
      <c r="F743" s="479">
        <v>40</v>
      </c>
      <c r="G743" s="1965">
        <f t="shared" si="29"/>
        <v>40</v>
      </c>
      <c r="H743" s="1964" t="s">
        <v>2957</v>
      </c>
      <c r="I743" s="1964" t="s">
        <v>9420</v>
      </c>
      <c r="J743" s="1964" t="s">
        <v>9418</v>
      </c>
      <c r="K743" s="1964"/>
      <c r="L743" s="1964"/>
      <c r="M743" s="2095">
        <f t="shared" si="30"/>
        <v>0</v>
      </c>
      <c r="N743" s="2079" t="s">
        <v>9556</v>
      </c>
      <c r="O743" s="2079" t="s">
        <v>6926</v>
      </c>
      <c r="P743" s="2079" t="s">
        <v>6926</v>
      </c>
      <c r="Q743" s="2079" t="s">
        <v>6926</v>
      </c>
      <c r="R743" s="2079" t="s">
        <v>6926</v>
      </c>
      <c r="S743" s="2088" t="s">
        <v>6926</v>
      </c>
    </row>
    <row r="744" spans="1:19" ht="12" customHeight="1" x14ac:dyDescent="0.2">
      <c r="A744" s="5988"/>
      <c r="B744" s="5988"/>
      <c r="C744" s="1030" t="s">
        <v>2958</v>
      </c>
      <c r="D744" s="834" t="str">
        <f>D743</f>
        <v>Obscuritas</v>
      </c>
      <c r="E744" s="479">
        <v>2</v>
      </c>
      <c r="F744" s="479">
        <v>40</v>
      </c>
      <c r="G744" s="1965">
        <f t="shared" si="29"/>
        <v>40</v>
      </c>
      <c r="H744" s="1964" t="s">
        <v>2959</v>
      </c>
      <c r="I744" s="1964" t="s">
        <v>9421</v>
      </c>
      <c r="J744" s="1964" t="s">
        <v>6926</v>
      </c>
      <c r="K744" s="1964"/>
      <c r="L744" s="1964"/>
      <c r="M744" s="2095">
        <f t="shared" si="30"/>
        <v>0</v>
      </c>
      <c r="N744" s="2079" t="s">
        <v>10107</v>
      </c>
      <c r="O744" s="2079" t="s">
        <v>6926</v>
      </c>
      <c r="P744" s="2079" t="s">
        <v>6926</v>
      </c>
      <c r="Q744" s="2079" t="s">
        <v>6926</v>
      </c>
      <c r="R744" s="2079" t="s">
        <v>6926</v>
      </c>
      <c r="S744" s="2088" t="s">
        <v>6926</v>
      </c>
    </row>
    <row r="745" spans="1:19" ht="12" customHeight="1" x14ac:dyDescent="0.2">
      <c r="A745" s="5988"/>
      <c r="B745" s="5988"/>
      <c r="C745" s="1030" t="s">
        <v>2960</v>
      </c>
      <c r="D745" s="834" t="str">
        <f>D744</f>
        <v>Obscuritas</v>
      </c>
      <c r="E745" s="479">
        <v>2</v>
      </c>
      <c r="F745" s="479">
        <v>45</v>
      </c>
      <c r="G745" s="1965">
        <f t="shared" si="29"/>
        <v>45</v>
      </c>
      <c r="H745" s="1964" t="s">
        <v>2961</v>
      </c>
      <c r="I745" s="1964" t="s">
        <v>9422</v>
      </c>
      <c r="J745" s="1964" t="s">
        <v>9423</v>
      </c>
      <c r="K745" s="1964"/>
      <c r="L745" s="1964"/>
      <c r="M745" s="2095">
        <f t="shared" si="30"/>
        <v>0</v>
      </c>
      <c r="N745" s="2079" t="s">
        <v>9542</v>
      </c>
      <c r="O745" s="2079" t="s">
        <v>6926</v>
      </c>
      <c r="P745" s="2079" t="s">
        <v>6926</v>
      </c>
      <c r="Q745" s="2079" t="s">
        <v>6926</v>
      </c>
      <c r="R745" s="2079" t="s">
        <v>6926</v>
      </c>
      <c r="S745" s="2088" t="s">
        <v>6926</v>
      </c>
    </row>
    <row r="746" spans="1:19" ht="12" customHeight="1" x14ac:dyDescent="0.2">
      <c r="A746" s="5988"/>
      <c r="B746" s="5988"/>
      <c r="C746" s="1030" t="s">
        <v>2962</v>
      </c>
      <c r="D746" s="834"/>
      <c r="E746" s="2051"/>
      <c r="F746" s="2051"/>
      <c r="G746" s="1965" t="str">
        <f t="shared" si="29"/>
        <v/>
      </c>
      <c r="H746" s="1964"/>
      <c r="I746" s="1964" t="s">
        <v>6926</v>
      </c>
      <c r="J746" s="1964" t="s">
        <v>6926</v>
      </c>
      <c r="K746" s="1964"/>
      <c r="L746" s="1964"/>
      <c r="M746" s="2095" t="str">
        <f t="shared" si="30"/>
        <v/>
      </c>
      <c r="N746" s="2079" t="s">
        <v>6926</v>
      </c>
      <c r="O746" s="2079" t="s">
        <v>6926</v>
      </c>
      <c r="P746" s="2079" t="s">
        <v>6926</v>
      </c>
      <c r="Q746" s="2079" t="s">
        <v>6926</v>
      </c>
      <c r="R746" s="2079" t="s">
        <v>6926</v>
      </c>
      <c r="S746" s="2088" t="s">
        <v>6926</v>
      </c>
    </row>
    <row r="747" spans="1:19" ht="12" customHeight="1" x14ac:dyDescent="0.2">
      <c r="A747" s="5988"/>
      <c r="B747" s="5988"/>
      <c r="C747" s="1030" t="s">
        <v>2963</v>
      </c>
      <c r="D747" s="834" t="str">
        <f>PROPER(MID(C746,3,100))</f>
        <v>Cosmos</v>
      </c>
      <c r="E747" s="479">
        <v>1</v>
      </c>
      <c r="F747" s="479">
        <v>35</v>
      </c>
      <c r="G747" s="1965">
        <f t="shared" si="29"/>
        <v>35</v>
      </c>
      <c r="H747" s="1964" t="s">
        <v>2964</v>
      </c>
      <c r="I747" s="1964" t="s">
        <v>9532</v>
      </c>
      <c r="J747" s="1964" t="s">
        <v>9424</v>
      </c>
      <c r="K747" s="1964"/>
      <c r="L747" s="1964"/>
      <c r="M747" s="2095">
        <f t="shared" si="30"/>
        <v>0</v>
      </c>
      <c r="N747" s="2079" t="s">
        <v>10108</v>
      </c>
      <c r="O747" s="2079" t="s">
        <v>9541</v>
      </c>
      <c r="P747" s="2079" t="s">
        <v>9542</v>
      </c>
      <c r="Q747" s="2079" t="s">
        <v>6926</v>
      </c>
      <c r="R747" s="2079" t="s">
        <v>6926</v>
      </c>
      <c r="S747" s="2088" t="s">
        <v>6926</v>
      </c>
    </row>
    <row r="748" spans="1:19" ht="12" customHeight="1" x14ac:dyDescent="0.2">
      <c r="A748" s="5988"/>
      <c r="B748" s="5988"/>
      <c r="C748" s="1030" t="s">
        <v>2965</v>
      </c>
      <c r="D748" s="834" t="str">
        <f>D747</f>
        <v>Cosmos</v>
      </c>
      <c r="E748" s="479">
        <v>1</v>
      </c>
      <c r="F748" s="479">
        <v>45</v>
      </c>
      <c r="G748" s="1965">
        <f t="shared" si="29"/>
        <v>45</v>
      </c>
      <c r="H748" s="1964" t="s">
        <v>2966</v>
      </c>
      <c r="I748" s="1964" t="s">
        <v>9425</v>
      </c>
      <c r="J748" s="1964" t="s">
        <v>6926</v>
      </c>
      <c r="K748" s="1964"/>
      <c r="L748" s="1964"/>
      <c r="M748" s="2095">
        <f t="shared" si="30"/>
        <v>0</v>
      </c>
      <c r="N748" s="2079" t="s">
        <v>9549</v>
      </c>
      <c r="O748" s="2079" t="s">
        <v>9549</v>
      </c>
      <c r="P748" s="2079" t="s">
        <v>6926</v>
      </c>
      <c r="Q748" s="2079" t="s">
        <v>6926</v>
      </c>
      <c r="R748" s="2079" t="s">
        <v>6926</v>
      </c>
      <c r="S748" s="2088" t="s">
        <v>6926</v>
      </c>
    </row>
    <row r="749" spans="1:19" ht="12" customHeight="1" x14ac:dyDescent="0.2">
      <c r="A749" s="5988"/>
      <c r="B749" s="5988"/>
      <c r="C749" s="1030" t="s">
        <v>2967</v>
      </c>
      <c r="D749" s="834" t="str">
        <f>D748</f>
        <v>Cosmos</v>
      </c>
      <c r="E749" s="479">
        <v>2</v>
      </c>
      <c r="F749" s="479">
        <v>75</v>
      </c>
      <c r="G749" s="1965">
        <f t="shared" si="29"/>
        <v>75</v>
      </c>
      <c r="H749" s="1964" t="s">
        <v>2968</v>
      </c>
      <c r="I749" s="1964" t="s">
        <v>9426</v>
      </c>
      <c r="J749" s="1964" t="s">
        <v>6926</v>
      </c>
      <c r="K749" s="1964"/>
      <c r="L749" s="1964"/>
      <c r="M749" s="2095">
        <f t="shared" si="30"/>
        <v>0</v>
      </c>
      <c r="N749" s="2079" t="s">
        <v>9560</v>
      </c>
      <c r="O749" s="2079" t="s">
        <v>6926</v>
      </c>
      <c r="P749" s="2079" t="s">
        <v>6926</v>
      </c>
      <c r="Q749" s="2079" t="s">
        <v>6926</v>
      </c>
      <c r="R749" s="2079" t="s">
        <v>6926</v>
      </c>
      <c r="S749" s="2088" t="s">
        <v>6926</v>
      </c>
    </row>
    <row r="750" spans="1:19" ht="12" customHeight="1" x14ac:dyDescent="0.2">
      <c r="A750" s="5988"/>
      <c r="B750" s="5988"/>
      <c r="C750" s="1030" t="s">
        <v>2969</v>
      </c>
      <c r="D750" s="834" t="str">
        <f>D749</f>
        <v>Cosmos</v>
      </c>
      <c r="E750" s="479">
        <v>2</v>
      </c>
      <c r="F750" s="479">
        <v>70</v>
      </c>
      <c r="G750" s="1965">
        <f t="shared" si="29"/>
        <v>70</v>
      </c>
      <c r="H750" s="1964" t="s">
        <v>2970</v>
      </c>
      <c r="I750" s="1964" t="s">
        <v>9427</v>
      </c>
      <c r="J750" s="1964" t="s">
        <v>9428</v>
      </c>
      <c r="K750" s="1964"/>
      <c r="L750" s="1964"/>
      <c r="M750" s="2095">
        <f t="shared" si="30"/>
        <v>0</v>
      </c>
      <c r="N750" s="2079" t="s">
        <v>9544</v>
      </c>
      <c r="O750" s="2079" t="s">
        <v>9556</v>
      </c>
      <c r="P750" s="2079" t="s">
        <v>9543</v>
      </c>
      <c r="Q750" s="2079" t="s">
        <v>6926</v>
      </c>
      <c r="R750" s="2079" t="s">
        <v>6926</v>
      </c>
      <c r="S750" s="2088" t="s">
        <v>6926</v>
      </c>
    </row>
    <row r="751" spans="1:19" ht="12" customHeight="1" x14ac:dyDescent="0.2">
      <c r="A751" s="5988"/>
      <c r="B751" s="5988"/>
      <c r="C751" s="1030" t="s">
        <v>2971</v>
      </c>
      <c r="D751" s="834" t="str">
        <f>D750</f>
        <v>Cosmos</v>
      </c>
      <c r="E751" s="479">
        <v>3</v>
      </c>
      <c r="F751" s="479">
        <v>105</v>
      </c>
      <c r="G751" s="1965">
        <f t="shared" si="29"/>
        <v>105</v>
      </c>
      <c r="H751" s="1964" t="s">
        <v>2972</v>
      </c>
      <c r="I751" s="1964" t="s">
        <v>9429</v>
      </c>
      <c r="J751" s="1964" t="s">
        <v>9430</v>
      </c>
      <c r="K751" s="1964"/>
      <c r="L751" s="1964"/>
      <c r="M751" s="2095">
        <f t="shared" si="30"/>
        <v>0</v>
      </c>
      <c r="N751" s="2079" t="s">
        <v>9543</v>
      </c>
      <c r="O751" s="2079" t="s">
        <v>9560</v>
      </c>
      <c r="P751" s="2079" t="s">
        <v>6926</v>
      </c>
      <c r="Q751" s="2079" t="s">
        <v>6926</v>
      </c>
      <c r="R751" s="2079" t="s">
        <v>6926</v>
      </c>
      <c r="S751" s="2088" t="s">
        <v>6926</v>
      </c>
    </row>
    <row r="752" spans="1:19" ht="12" customHeight="1" x14ac:dyDescent="0.2">
      <c r="A752" s="5988"/>
      <c r="B752" s="5988"/>
      <c r="C752" s="1030" t="s">
        <v>2973</v>
      </c>
      <c r="D752" s="834"/>
      <c r="E752" s="2051"/>
      <c r="F752" s="479"/>
      <c r="G752" s="1965" t="str">
        <f t="shared" si="29"/>
        <v/>
      </c>
      <c r="H752" s="1964"/>
      <c r="I752" s="1964" t="s">
        <v>6926</v>
      </c>
      <c r="J752" s="1964" t="s">
        <v>6926</v>
      </c>
      <c r="K752" s="1964"/>
      <c r="L752" s="1964"/>
      <c r="M752" s="2095" t="str">
        <f t="shared" si="30"/>
        <v/>
      </c>
      <c r="N752" s="2079" t="s">
        <v>6926</v>
      </c>
      <c r="O752" s="2079" t="s">
        <v>6926</v>
      </c>
      <c r="P752" s="2079" t="s">
        <v>6926</v>
      </c>
      <c r="Q752" s="2079" t="s">
        <v>6926</v>
      </c>
      <c r="R752" s="2079" t="s">
        <v>6926</v>
      </c>
      <c r="S752" s="2088" t="s">
        <v>6926</v>
      </c>
    </row>
    <row r="753" spans="1:19" ht="12" customHeight="1" x14ac:dyDescent="0.2">
      <c r="A753" s="5988"/>
      <c r="B753" s="5988"/>
      <c r="C753" s="1030" t="s">
        <v>2974</v>
      </c>
      <c r="D753" s="834" t="str">
        <f>PROPER(MID(C752,3,100))</f>
        <v>Kagami</v>
      </c>
      <c r="E753" s="479">
        <v>1</v>
      </c>
      <c r="F753" s="479">
        <v>30</v>
      </c>
      <c r="G753" s="1965">
        <f t="shared" si="29"/>
        <v>30</v>
      </c>
      <c r="H753" s="1964" t="s">
        <v>2975</v>
      </c>
      <c r="I753" s="1964" t="s">
        <v>9431</v>
      </c>
      <c r="J753" s="1964" t="s">
        <v>6926</v>
      </c>
      <c r="K753" s="1964"/>
      <c r="L753" s="1964"/>
      <c r="M753" s="2095">
        <f t="shared" si="30"/>
        <v>0</v>
      </c>
      <c r="N753" s="2079" t="s">
        <v>9543</v>
      </c>
      <c r="O753" s="2079" t="s">
        <v>9541</v>
      </c>
      <c r="P753" s="2079" t="s">
        <v>9555</v>
      </c>
      <c r="Q753" s="2079" t="s">
        <v>6926</v>
      </c>
      <c r="R753" s="2079" t="s">
        <v>6926</v>
      </c>
      <c r="S753" s="2088" t="s">
        <v>6926</v>
      </c>
    </row>
    <row r="754" spans="1:19" ht="12" customHeight="1" x14ac:dyDescent="0.2">
      <c r="A754" s="5988"/>
      <c r="B754" s="5988"/>
      <c r="C754" s="1030" t="s">
        <v>2976</v>
      </c>
      <c r="D754" s="834" t="str">
        <f>D753</f>
        <v>Kagami</v>
      </c>
      <c r="E754" s="479">
        <v>1</v>
      </c>
      <c r="F754" s="479">
        <v>30</v>
      </c>
      <c r="G754" s="1965">
        <f t="shared" si="29"/>
        <v>30</v>
      </c>
      <c r="H754" s="1964" t="s">
        <v>2977</v>
      </c>
      <c r="I754" s="1964" t="s">
        <v>9432</v>
      </c>
      <c r="J754" s="1964" t="s">
        <v>6926</v>
      </c>
      <c r="K754" s="1964"/>
      <c r="L754" s="1964"/>
      <c r="M754" s="2095">
        <f t="shared" si="30"/>
        <v>0</v>
      </c>
      <c r="N754" s="2079" t="s">
        <v>9548</v>
      </c>
      <c r="O754" s="2079" t="s">
        <v>9549</v>
      </c>
      <c r="P754" s="2079" t="s">
        <v>6926</v>
      </c>
      <c r="Q754" s="2079" t="s">
        <v>6926</v>
      </c>
      <c r="R754" s="2079" t="s">
        <v>6926</v>
      </c>
      <c r="S754" s="2088" t="s">
        <v>6926</v>
      </c>
    </row>
    <row r="755" spans="1:19" ht="12" customHeight="1" x14ac:dyDescent="0.2">
      <c r="A755" s="5988"/>
      <c r="B755" s="5988"/>
      <c r="C755" s="1030" t="s">
        <v>2978</v>
      </c>
      <c r="D755" s="834" t="str">
        <f>D754</f>
        <v>Kagami</v>
      </c>
      <c r="E755" s="479">
        <v>2</v>
      </c>
      <c r="F755" s="479">
        <v>70</v>
      </c>
      <c r="G755" s="1965">
        <f t="shared" si="29"/>
        <v>70</v>
      </c>
      <c r="H755" s="1964" t="s">
        <v>2979</v>
      </c>
      <c r="I755" s="1964" t="s">
        <v>9433</v>
      </c>
      <c r="J755" s="1964" t="s">
        <v>6926</v>
      </c>
      <c r="K755" s="1964"/>
      <c r="L755" s="1964"/>
      <c r="M755" s="2095">
        <f t="shared" si="30"/>
        <v>0</v>
      </c>
      <c r="N755" s="2079" t="s">
        <v>10107</v>
      </c>
      <c r="O755" s="2079" t="s">
        <v>9542</v>
      </c>
      <c r="P755" s="2079"/>
      <c r="Q755" s="2079" t="s">
        <v>6926</v>
      </c>
      <c r="R755" s="2079" t="s">
        <v>6926</v>
      </c>
      <c r="S755" s="2088" t="s">
        <v>6926</v>
      </c>
    </row>
    <row r="756" spans="1:19" ht="12" customHeight="1" x14ac:dyDescent="0.2">
      <c r="A756" s="5988"/>
      <c r="B756" s="5988"/>
      <c r="C756" s="1030" t="s">
        <v>2980</v>
      </c>
      <c r="D756" s="834" t="str">
        <f>D755</f>
        <v>Kagami</v>
      </c>
      <c r="E756" s="479">
        <v>2</v>
      </c>
      <c r="F756" s="479">
        <v>60</v>
      </c>
      <c r="G756" s="1965">
        <f t="shared" si="29"/>
        <v>60</v>
      </c>
      <c r="H756" s="1964" t="s">
        <v>2981</v>
      </c>
      <c r="I756" s="1964" t="s">
        <v>9434</v>
      </c>
      <c r="J756" s="1964" t="s">
        <v>9435</v>
      </c>
      <c r="K756" s="1964"/>
      <c r="L756" s="1964"/>
      <c r="M756" s="2095">
        <f t="shared" si="30"/>
        <v>0</v>
      </c>
      <c r="N756" s="2079" t="s">
        <v>9543</v>
      </c>
      <c r="O756" s="2079" t="s">
        <v>9560</v>
      </c>
      <c r="P756" s="2079" t="s">
        <v>6926</v>
      </c>
      <c r="Q756" s="2079" t="s">
        <v>6926</v>
      </c>
      <c r="R756" s="2079" t="s">
        <v>6926</v>
      </c>
      <c r="S756" s="2088" t="s">
        <v>6926</v>
      </c>
    </row>
    <row r="757" spans="1:19" ht="12" customHeight="1" x14ac:dyDescent="0.2">
      <c r="A757" s="5988"/>
      <c r="B757" s="5988"/>
      <c r="C757" s="1030" t="s">
        <v>2982</v>
      </c>
      <c r="D757" s="834" t="str">
        <f>D756</f>
        <v>Kagami</v>
      </c>
      <c r="E757" s="479">
        <v>3</v>
      </c>
      <c r="F757" s="479">
        <v>115</v>
      </c>
      <c r="G757" s="1965">
        <f t="shared" si="29"/>
        <v>115</v>
      </c>
      <c r="H757" s="1964" t="s">
        <v>2983</v>
      </c>
      <c r="I757" s="1964" t="s">
        <v>9436</v>
      </c>
      <c r="J757" s="1964" t="s">
        <v>6926</v>
      </c>
      <c r="K757" s="1964"/>
      <c r="L757" s="1964"/>
      <c r="M757" s="2095">
        <f t="shared" si="30"/>
        <v>0</v>
      </c>
      <c r="N757" s="2079" t="s">
        <v>9560</v>
      </c>
      <c r="O757" s="2079" t="s">
        <v>6926</v>
      </c>
      <c r="P757" s="2079" t="s">
        <v>6926</v>
      </c>
      <c r="Q757" s="2079" t="s">
        <v>6926</v>
      </c>
      <c r="R757" s="2079" t="s">
        <v>6926</v>
      </c>
      <c r="S757" s="2088" t="s">
        <v>6926</v>
      </c>
    </row>
    <row r="758" spans="1:19" ht="12" customHeight="1" x14ac:dyDescent="0.2">
      <c r="A758" s="5988"/>
      <c r="B758" s="5988"/>
      <c r="C758" s="1030" t="s">
        <v>2984</v>
      </c>
      <c r="D758" s="834"/>
      <c r="E758" s="2051"/>
      <c r="F758" s="479"/>
      <c r="G758" s="1965" t="str">
        <f t="shared" si="29"/>
        <v/>
      </c>
      <c r="H758" s="1964"/>
      <c r="I758" s="1964" t="s">
        <v>6926</v>
      </c>
      <c r="J758" s="1964" t="s">
        <v>6926</v>
      </c>
      <c r="K758" s="1964"/>
      <c r="L758" s="1964"/>
      <c r="M758" s="2095" t="str">
        <f t="shared" si="30"/>
        <v/>
      </c>
      <c r="N758" s="2079" t="s">
        <v>6926</v>
      </c>
      <c r="O758" s="2079" t="s">
        <v>6926</v>
      </c>
      <c r="P758" s="2079" t="s">
        <v>6926</v>
      </c>
      <c r="Q758" s="2079" t="s">
        <v>6926</v>
      </c>
      <c r="R758" s="2079" t="s">
        <v>6926</v>
      </c>
      <c r="S758" s="2088" t="s">
        <v>6926</v>
      </c>
    </row>
    <row r="759" spans="1:19" ht="12" customHeight="1" x14ac:dyDescent="0.2">
      <c r="A759" s="5988"/>
      <c r="B759" s="5988"/>
      <c r="C759" s="1030" t="s">
        <v>2985</v>
      </c>
      <c r="D759" s="834" t="str">
        <f>PROPER(MID(C758,3,100))</f>
        <v>Magus Abstergo</v>
      </c>
      <c r="E759" s="479">
        <v>1</v>
      </c>
      <c r="F759" s="479">
        <v>30</v>
      </c>
      <c r="G759" s="1965">
        <f t="shared" si="29"/>
        <v>30</v>
      </c>
      <c r="H759" s="1964" t="s">
        <v>2986</v>
      </c>
      <c r="I759" s="1964" t="s">
        <v>9437</v>
      </c>
      <c r="J759" s="1964" t="s">
        <v>6926</v>
      </c>
      <c r="K759" s="1964"/>
      <c r="L759" s="1964"/>
      <c r="M759" s="2095">
        <f t="shared" si="30"/>
        <v>0</v>
      </c>
      <c r="N759" s="2079" t="s">
        <v>9550</v>
      </c>
      <c r="O759" s="2079" t="s">
        <v>6926</v>
      </c>
      <c r="P759" s="2079" t="s">
        <v>6926</v>
      </c>
      <c r="Q759" s="2079" t="s">
        <v>6926</v>
      </c>
      <c r="R759" s="2079" t="s">
        <v>6926</v>
      </c>
      <c r="S759" s="2088" t="s">
        <v>6926</v>
      </c>
    </row>
    <row r="760" spans="1:19" ht="12" customHeight="1" x14ac:dyDescent="0.2">
      <c r="A760" s="5988"/>
      <c r="B760" s="5988"/>
      <c r="C760" s="1030" t="s">
        <v>2987</v>
      </c>
      <c r="D760" s="834" t="str">
        <f>D759</f>
        <v>Magus Abstergo</v>
      </c>
      <c r="E760" s="479">
        <v>1</v>
      </c>
      <c r="F760" s="479">
        <v>25</v>
      </c>
      <c r="G760" s="1965">
        <f t="shared" si="29"/>
        <v>25</v>
      </c>
      <c r="H760" s="1964" t="s">
        <v>2988</v>
      </c>
      <c r="I760" s="1964" t="s">
        <v>9438</v>
      </c>
      <c r="J760" s="1964" t="s">
        <v>9439</v>
      </c>
      <c r="K760" s="1964"/>
      <c r="L760" s="1964"/>
      <c r="M760" s="2095">
        <f t="shared" si="30"/>
        <v>0</v>
      </c>
      <c r="N760" s="2079" t="s">
        <v>9543</v>
      </c>
      <c r="O760" s="2079" t="s">
        <v>9556</v>
      </c>
      <c r="P760" s="2079" t="s">
        <v>6926</v>
      </c>
      <c r="Q760" s="2079" t="s">
        <v>6926</v>
      </c>
      <c r="R760" s="2079" t="s">
        <v>6926</v>
      </c>
      <c r="S760" s="2088" t="s">
        <v>6926</v>
      </c>
    </row>
    <row r="761" spans="1:19" ht="12" customHeight="1" x14ac:dyDescent="0.2">
      <c r="A761" s="5988"/>
      <c r="B761" s="5988"/>
      <c r="C761" s="1030" t="s">
        <v>2989</v>
      </c>
      <c r="D761" s="834" t="str">
        <f>D760</f>
        <v>Magus Abstergo</v>
      </c>
      <c r="E761" s="479">
        <v>2</v>
      </c>
      <c r="F761" s="479">
        <v>70</v>
      </c>
      <c r="G761" s="1965">
        <f t="shared" si="29"/>
        <v>70</v>
      </c>
      <c r="H761" s="1964" t="s">
        <v>2990</v>
      </c>
      <c r="I761" s="1964" t="s">
        <v>9440</v>
      </c>
      <c r="J761" s="1964" t="s">
        <v>9441</v>
      </c>
      <c r="K761" s="1964"/>
      <c r="L761" s="1964"/>
      <c r="M761" s="2095">
        <f t="shared" si="30"/>
        <v>0</v>
      </c>
      <c r="N761" s="2079" t="s">
        <v>9545</v>
      </c>
      <c r="O761" s="2079" t="s">
        <v>6926</v>
      </c>
      <c r="P761" s="2079" t="s">
        <v>6926</v>
      </c>
      <c r="Q761" s="2079" t="s">
        <v>6926</v>
      </c>
      <c r="R761" s="2079" t="s">
        <v>6926</v>
      </c>
      <c r="S761" s="2088" t="s">
        <v>6926</v>
      </c>
    </row>
    <row r="762" spans="1:19" ht="12" customHeight="1" x14ac:dyDescent="0.2">
      <c r="A762" s="5988"/>
      <c r="B762" s="5988"/>
      <c r="C762" s="1030" t="s">
        <v>2991</v>
      </c>
      <c r="D762" s="834" t="str">
        <f>D761</f>
        <v>Magus Abstergo</v>
      </c>
      <c r="E762" s="479">
        <v>2</v>
      </c>
      <c r="F762" s="479">
        <v>65</v>
      </c>
      <c r="G762" s="1965">
        <f t="shared" si="29"/>
        <v>65</v>
      </c>
      <c r="H762" s="1964" t="s">
        <v>2992</v>
      </c>
      <c r="I762" s="1964" t="s">
        <v>9442</v>
      </c>
      <c r="J762" s="1964" t="s">
        <v>9441</v>
      </c>
      <c r="K762" s="1964"/>
      <c r="L762" s="1964"/>
      <c r="M762" s="2095">
        <f t="shared" si="30"/>
        <v>0</v>
      </c>
      <c r="N762" s="2079" t="s">
        <v>9545</v>
      </c>
      <c r="O762" s="2079" t="s">
        <v>9557</v>
      </c>
      <c r="P762" s="2079" t="s">
        <v>6926</v>
      </c>
      <c r="Q762" s="2079" t="s">
        <v>6926</v>
      </c>
      <c r="R762" s="2079" t="s">
        <v>6926</v>
      </c>
      <c r="S762" s="2088" t="s">
        <v>6926</v>
      </c>
    </row>
    <row r="763" spans="1:19" ht="12" customHeight="1" x14ac:dyDescent="0.2">
      <c r="A763" s="5988"/>
      <c r="B763" s="5988"/>
      <c r="C763" s="1030" t="s">
        <v>2993</v>
      </c>
      <c r="D763" s="834" t="str">
        <f>D762</f>
        <v>Magus Abstergo</v>
      </c>
      <c r="E763" s="479">
        <v>2</v>
      </c>
      <c r="F763" s="479">
        <v>100</v>
      </c>
      <c r="G763" s="1965">
        <f t="shared" si="29"/>
        <v>100</v>
      </c>
      <c r="H763" s="1964" t="s">
        <v>2994</v>
      </c>
      <c r="I763" s="1964" t="s">
        <v>9443</v>
      </c>
      <c r="J763" s="1964" t="s">
        <v>6926</v>
      </c>
      <c r="K763" s="1964"/>
      <c r="L763" s="1964"/>
      <c r="M763" s="2095">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79" t="s">
        <v>9543</v>
      </c>
      <c r="O763" s="2079" t="s">
        <v>9548</v>
      </c>
      <c r="P763" s="2079" t="s">
        <v>9556</v>
      </c>
      <c r="Q763" s="2079"/>
      <c r="R763" s="2079" t="s">
        <v>6926</v>
      </c>
      <c r="S763" s="2088" t="s">
        <v>6926</v>
      </c>
    </row>
    <row r="764" spans="1:19" ht="12" customHeight="1" x14ac:dyDescent="0.2">
      <c r="A764" s="5988"/>
      <c r="B764" s="5988"/>
      <c r="C764" s="1030" t="s">
        <v>2995</v>
      </c>
      <c r="D764" s="834"/>
      <c r="E764" s="2051"/>
      <c r="F764" s="479"/>
      <c r="G764" s="1965" t="str">
        <f t="shared" si="29"/>
        <v/>
      </c>
      <c r="H764" s="1964"/>
      <c r="I764" s="1964" t="s">
        <v>6926</v>
      </c>
      <c r="J764" s="1964" t="s">
        <v>6926</v>
      </c>
      <c r="K764" s="1964"/>
      <c r="L764" s="1964"/>
      <c r="M764" s="2095" t="str">
        <f t="shared" si="31"/>
        <v/>
      </c>
      <c r="N764" s="2079" t="s">
        <v>6926</v>
      </c>
      <c r="O764" s="2079" t="s">
        <v>6926</v>
      </c>
      <c r="P764" s="2079" t="s">
        <v>6926</v>
      </c>
      <c r="Q764" s="2079" t="s">
        <v>6926</v>
      </c>
      <c r="R764" s="2079" t="s">
        <v>6926</v>
      </c>
      <c r="S764" s="2088" t="s">
        <v>6926</v>
      </c>
    </row>
    <row r="765" spans="1:19" ht="12" customHeight="1" x14ac:dyDescent="0.2">
      <c r="A765" s="5988"/>
      <c r="B765" s="5988"/>
      <c r="C765" s="1030" t="s">
        <v>2996</v>
      </c>
      <c r="D765" s="834" t="str">
        <f>PROPER(MID(C764,3,100))</f>
        <v>Gunhell</v>
      </c>
      <c r="E765" s="479">
        <v>1</v>
      </c>
      <c r="F765" s="479">
        <v>35</v>
      </c>
      <c r="G765" s="1965">
        <f t="shared" si="29"/>
        <v>35</v>
      </c>
      <c r="H765" s="1964" t="s">
        <v>2997</v>
      </c>
      <c r="I765" s="1964" t="s">
        <v>9444</v>
      </c>
      <c r="J765" s="1964" t="s">
        <v>6926</v>
      </c>
      <c r="K765" s="1964"/>
      <c r="L765" s="1964"/>
      <c r="M765" s="2095">
        <f t="shared" si="31"/>
        <v>0</v>
      </c>
      <c r="N765" s="2079" t="s">
        <v>9551</v>
      </c>
      <c r="O765" s="2079" t="s">
        <v>6926</v>
      </c>
      <c r="P765" s="2079" t="s">
        <v>6926</v>
      </c>
      <c r="Q765" s="2079" t="s">
        <v>6926</v>
      </c>
      <c r="R765" s="2079" t="s">
        <v>6926</v>
      </c>
      <c r="S765" s="2088" t="s">
        <v>6926</v>
      </c>
    </row>
    <row r="766" spans="1:19" ht="12" customHeight="1" x14ac:dyDescent="0.2">
      <c r="A766" s="5988"/>
      <c r="B766" s="5988"/>
      <c r="C766" s="1030" t="s">
        <v>2998</v>
      </c>
      <c r="D766" s="834" t="str">
        <f t="shared" ref="D766:D771" si="32">D765</f>
        <v>Gunhell</v>
      </c>
      <c r="E766" s="479">
        <v>1</v>
      </c>
      <c r="F766" s="479">
        <v>45</v>
      </c>
      <c r="G766" s="1965">
        <f t="shared" si="29"/>
        <v>45</v>
      </c>
      <c r="H766" s="1964" t="s">
        <v>2999</v>
      </c>
      <c r="I766" s="1964" t="s">
        <v>9445</v>
      </c>
      <c r="J766" s="1964" t="s">
        <v>9446</v>
      </c>
      <c r="K766" s="1964"/>
      <c r="L766" s="1964"/>
      <c r="M766" s="2095">
        <f t="shared" si="31"/>
        <v>0</v>
      </c>
      <c r="N766" s="2079" t="s">
        <v>9542</v>
      </c>
      <c r="O766" s="2079" t="s">
        <v>6926</v>
      </c>
      <c r="P766" s="2079" t="s">
        <v>6926</v>
      </c>
      <c r="Q766" s="2079" t="s">
        <v>6926</v>
      </c>
      <c r="R766" s="2079" t="s">
        <v>6926</v>
      </c>
      <c r="S766" s="2088" t="s">
        <v>6926</v>
      </c>
    </row>
    <row r="767" spans="1:19" ht="12" customHeight="1" x14ac:dyDescent="0.2">
      <c r="A767" s="5988"/>
      <c r="B767" s="5988"/>
      <c r="C767" s="1030" t="s">
        <v>3000</v>
      </c>
      <c r="D767" s="834" t="str">
        <f t="shared" si="32"/>
        <v>Gunhell</v>
      </c>
      <c r="E767" s="479">
        <v>1</v>
      </c>
      <c r="F767" s="479">
        <v>25</v>
      </c>
      <c r="G767" s="1965">
        <f t="shared" si="29"/>
        <v>25</v>
      </c>
      <c r="H767" s="1964" t="s">
        <v>3001</v>
      </c>
      <c r="I767" s="1964" t="s">
        <v>9534</v>
      </c>
      <c r="J767" s="1964" t="s">
        <v>9446</v>
      </c>
      <c r="K767" s="1964"/>
      <c r="L767" s="1964"/>
      <c r="M767" s="2095">
        <f t="shared" si="31"/>
        <v>0</v>
      </c>
      <c r="N767" s="2079" t="s">
        <v>9542</v>
      </c>
      <c r="O767" s="2079" t="s">
        <v>9542</v>
      </c>
      <c r="P767" s="2079" t="s">
        <v>6926</v>
      </c>
      <c r="Q767" s="2079" t="s">
        <v>6926</v>
      </c>
      <c r="R767" s="2079" t="s">
        <v>6926</v>
      </c>
      <c r="S767" s="2088" t="s">
        <v>6926</v>
      </c>
    </row>
    <row r="768" spans="1:19" ht="12" customHeight="1" x14ac:dyDescent="0.2">
      <c r="A768" s="5988"/>
      <c r="B768" s="5988"/>
      <c r="C768" s="1030" t="s">
        <v>3002</v>
      </c>
      <c r="D768" s="834" t="str">
        <f t="shared" si="32"/>
        <v>Gunhell</v>
      </c>
      <c r="E768" s="479">
        <v>1</v>
      </c>
      <c r="F768" s="479">
        <v>30</v>
      </c>
      <c r="G768" s="1965">
        <f t="shared" si="29"/>
        <v>30</v>
      </c>
      <c r="H768" s="1964" t="s">
        <v>3001</v>
      </c>
      <c r="I768" s="1964" t="s">
        <v>9447</v>
      </c>
      <c r="J768" s="1964" t="s">
        <v>9448</v>
      </c>
      <c r="K768" s="1964"/>
      <c r="L768" s="1964"/>
      <c r="M768" s="2095">
        <f t="shared" si="31"/>
        <v>0</v>
      </c>
      <c r="N768" s="2079" t="s">
        <v>9548</v>
      </c>
      <c r="O768" s="2079" t="s">
        <v>6926</v>
      </c>
      <c r="P768" s="2079" t="s">
        <v>6926</v>
      </c>
      <c r="Q768" s="2079" t="s">
        <v>6926</v>
      </c>
      <c r="R768" s="2079" t="s">
        <v>6926</v>
      </c>
      <c r="S768" s="2088" t="s">
        <v>6926</v>
      </c>
    </row>
    <row r="769" spans="1:19" ht="12" customHeight="1" x14ac:dyDescent="0.2">
      <c r="A769" s="5988"/>
      <c r="B769" s="5988"/>
      <c r="C769" s="1030" t="s">
        <v>3003</v>
      </c>
      <c r="D769" s="834" t="str">
        <f t="shared" si="32"/>
        <v>Gunhell</v>
      </c>
      <c r="E769" s="479">
        <v>2</v>
      </c>
      <c r="F769" s="479">
        <v>85</v>
      </c>
      <c r="G769" s="1965">
        <f t="shared" si="29"/>
        <v>85</v>
      </c>
      <c r="H769" s="1964" t="s">
        <v>3004</v>
      </c>
      <c r="I769" s="1964" t="s">
        <v>9449</v>
      </c>
      <c r="J769" s="1964" t="s">
        <v>9446</v>
      </c>
      <c r="K769" s="1964"/>
      <c r="L769" s="1964"/>
      <c r="M769" s="2095">
        <f t="shared" si="31"/>
        <v>0</v>
      </c>
      <c r="N769" s="2079" t="s">
        <v>9543</v>
      </c>
      <c r="O769" s="2079" t="s">
        <v>9549</v>
      </c>
      <c r="P769" s="2079" t="s">
        <v>6926</v>
      </c>
      <c r="Q769" s="2079" t="s">
        <v>6926</v>
      </c>
      <c r="R769" s="2079" t="s">
        <v>6926</v>
      </c>
      <c r="S769" s="2088" t="s">
        <v>6926</v>
      </c>
    </row>
    <row r="770" spans="1:19" ht="12" customHeight="1" x14ac:dyDescent="0.2">
      <c r="A770" s="5988"/>
      <c r="B770" s="5988"/>
      <c r="C770" s="1030" t="s">
        <v>3005</v>
      </c>
      <c r="D770" s="834" t="str">
        <f t="shared" si="32"/>
        <v>Gunhell</v>
      </c>
      <c r="E770" s="479">
        <v>2</v>
      </c>
      <c r="F770" s="479">
        <v>65</v>
      </c>
      <c r="G770" s="1965">
        <f t="shared" si="29"/>
        <v>65</v>
      </c>
      <c r="H770" s="1964" t="s">
        <v>3006</v>
      </c>
      <c r="I770" s="1964" t="s">
        <v>9450</v>
      </c>
      <c r="J770" s="1964" t="s">
        <v>9451</v>
      </c>
      <c r="K770" s="1964"/>
      <c r="L770" s="1964"/>
      <c r="M770" s="2095">
        <f t="shared" si="31"/>
        <v>0</v>
      </c>
      <c r="N770" s="2079" t="s">
        <v>7537</v>
      </c>
      <c r="O770" s="2079" t="s">
        <v>9541</v>
      </c>
      <c r="P770" s="2079" t="s">
        <v>9556</v>
      </c>
      <c r="Q770" s="2079" t="s">
        <v>6926</v>
      </c>
      <c r="R770" s="2079" t="s">
        <v>6926</v>
      </c>
      <c r="S770" s="2088" t="s">
        <v>6926</v>
      </c>
    </row>
    <row r="771" spans="1:19" ht="12" customHeight="1" x14ac:dyDescent="0.2">
      <c r="A771" s="5988"/>
      <c r="B771" s="5988"/>
      <c r="C771" s="1030" t="s">
        <v>3007</v>
      </c>
      <c r="D771" s="834" t="str">
        <f t="shared" si="32"/>
        <v>Gunhell</v>
      </c>
      <c r="E771" s="479">
        <v>3</v>
      </c>
      <c r="F771" s="479">
        <v>90</v>
      </c>
      <c r="G771" s="1965">
        <f t="shared" si="29"/>
        <v>90</v>
      </c>
      <c r="H771" s="1964" t="s">
        <v>3008</v>
      </c>
      <c r="I771" s="1964" t="s">
        <v>9452</v>
      </c>
      <c r="J771" s="1964" t="s">
        <v>9453</v>
      </c>
      <c r="K771" s="1964"/>
      <c r="L771" s="1964"/>
      <c r="M771" s="2095">
        <f t="shared" si="31"/>
        <v>0</v>
      </c>
      <c r="N771" s="2079" t="s">
        <v>9543</v>
      </c>
      <c r="O771" s="2079" t="s">
        <v>9544</v>
      </c>
      <c r="P771" s="2079" t="s">
        <v>9560</v>
      </c>
      <c r="Q771" s="2079"/>
      <c r="R771" s="2079" t="s">
        <v>6926</v>
      </c>
      <c r="S771" s="2088" t="s">
        <v>6926</v>
      </c>
    </row>
    <row r="772" spans="1:19" ht="12" customHeight="1" x14ac:dyDescent="0.2">
      <c r="A772" s="5988"/>
      <c r="B772" s="5988"/>
      <c r="C772" s="1030" t="s">
        <v>3009</v>
      </c>
      <c r="D772" s="834"/>
      <c r="E772" s="2051"/>
      <c r="F772" s="479"/>
      <c r="G772" s="1965" t="str">
        <f t="shared" si="29"/>
        <v/>
      </c>
      <c r="H772" s="1964"/>
      <c r="I772" s="1964" t="s">
        <v>6926</v>
      </c>
      <c r="J772" s="1964" t="s">
        <v>6926</v>
      </c>
      <c r="K772" s="1964"/>
      <c r="L772" s="1964"/>
      <c r="M772" s="2095" t="str">
        <f t="shared" si="31"/>
        <v/>
      </c>
      <c r="N772" s="2079" t="s">
        <v>6926</v>
      </c>
      <c r="O772" s="2079" t="s">
        <v>6926</v>
      </c>
      <c r="P772" s="2079" t="s">
        <v>6926</v>
      </c>
      <c r="Q772" s="2079" t="s">
        <v>6926</v>
      </c>
      <c r="R772" s="2079" t="s">
        <v>6926</v>
      </c>
      <c r="S772" s="2088" t="s">
        <v>6926</v>
      </c>
    </row>
    <row r="773" spans="1:19" ht="12" customHeight="1" x14ac:dyDescent="0.2">
      <c r="A773" s="5988"/>
      <c r="B773" s="5988"/>
      <c r="C773" s="1030" t="s">
        <v>3010</v>
      </c>
      <c r="D773" s="834" t="str">
        <f>PROPER(MID(C772,3,100))</f>
        <v>Sattyagraha</v>
      </c>
      <c r="E773" s="479">
        <v>1</v>
      </c>
      <c r="F773" s="479">
        <v>20</v>
      </c>
      <c r="G773" s="1965">
        <f t="shared" si="29"/>
        <v>20</v>
      </c>
      <c r="H773" s="1964" t="s">
        <v>3011</v>
      </c>
      <c r="I773" s="1964" t="s">
        <v>9454</v>
      </c>
      <c r="J773" s="1964" t="s">
        <v>6926</v>
      </c>
      <c r="K773" s="1964"/>
      <c r="L773" s="1964"/>
      <c r="M773" s="2095">
        <f t="shared" si="31"/>
        <v>0</v>
      </c>
      <c r="N773" s="2079" t="s">
        <v>9545</v>
      </c>
      <c r="O773" s="2079" t="s">
        <v>9557</v>
      </c>
      <c r="P773" s="2079" t="s">
        <v>6926</v>
      </c>
      <c r="Q773" s="2079" t="s">
        <v>6926</v>
      </c>
      <c r="R773" s="2079" t="s">
        <v>6926</v>
      </c>
      <c r="S773" s="2088" t="s">
        <v>6926</v>
      </c>
    </row>
    <row r="774" spans="1:19" ht="12" customHeight="1" x14ac:dyDescent="0.2">
      <c r="A774" s="5988"/>
      <c r="B774" s="5988"/>
      <c r="C774" s="1030" t="s">
        <v>3012</v>
      </c>
      <c r="D774" s="834" t="str">
        <f>D773</f>
        <v>Sattyagraha</v>
      </c>
      <c r="E774" s="479">
        <v>1</v>
      </c>
      <c r="F774" s="479">
        <v>35</v>
      </c>
      <c r="G774" s="1965">
        <f t="shared" si="29"/>
        <v>35</v>
      </c>
      <c r="H774" s="1964" t="s">
        <v>3013</v>
      </c>
      <c r="I774" s="1964" t="s">
        <v>9455</v>
      </c>
      <c r="J774" s="1964" t="s">
        <v>6926</v>
      </c>
      <c r="K774" s="1964"/>
      <c r="L774" s="1964"/>
      <c r="M774" s="2095">
        <f t="shared" si="31"/>
        <v>0</v>
      </c>
      <c r="N774" s="2079" t="s">
        <v>9548</v>
      </c>
      <c r="O774" s="2079" t="s">
        <v>6926</v>
      </c>
      <c r="P774" s="2079" t="s">
        <v>6926</v>
      </c>
      <c r="Q774" s="2079" t="s">
        <v>6926</v>
      </c>
      <c r="R774" s="2079" t="s">
        <v>6926</v>
      </c>
      <c r="S774" s="2088" t="s">
        <v>6926</v>
      </c>
    </row>
    <row r="775" spans="1:19" ht="12" customHeight="1" x14ac:dyDescent="0.2">
      <c r="A775" s="5988"/>
      <c r="B775" s="5988"/>
      <c r="C775" s="1030" t="s">
        <v>3014</v>
      </c>
      <c r="D775" s="834" t="str">
        <f>D774</f>
        <v>Sattyagraha</v>
      </c>
      <c r="E775" s="479">
        <v>1</v>
      </c>
      <c r="F775" s="479">
        <v>45</v>
      </c>
      <c r="G775" s="1965">
        <f t="shared" si="29"/>
        <v>45</v>
      </c>
      <c r="H775" s="1964" t="s">
        <v>3011</v>
      </c>
      <c r="I775" s="1964" t="s">
        <v>9456</v>
      </c>
      <c r="J775" s="1964" t="s">
        <v>6926</v>
      </c>
      <c r="K775" s="1964"/>
      <c r="L775" s="1964"/>
      <c r="M775" s="2095">
        <f t="shared" si="31"/>
        <v>0</v>
      </c>
      <c r="N775" s="2079" t="s">
        <v>9552</v>
      </c>
      <c r="O775" s="2079" t="s">
        <v>9545</v>
      </c>
      <c r="P775" s="2079" t="s">
        <v>6926</v>
      </c>
      <c r="Q775" s="2079" t="s">
        <v>6926</v>
      </c>
      <c r="R775" s="2079" t="s">
        <v>6926</v>
      </c>
      <c r="S775" s="2088" t="s">
        <v>6926</v>
      </c>
    </row>
    <row r="776" spans="1:19" ht="12" customHeight="1" x14ac:dyDescent="0.2">
      <c r="A776" s="5988"/>
      <c r="B776" s="5988"/>
      <c r="C776" s="1030" t="s">
        <v>3015</v>
      </c>
      <c r="D776" s="834" t="str">
        <f>D775</f>
        <v>Sattyagraha</v>
      </c>
      <c r="E776" s="479">
        <v>2</v>
      </c>
      <c r="F776" s="479">
        <v>55</v>
      </c>
      <c r="G776" s="1965">
        <f t="shared" si="29"/>
        <v>55</v>
      </c>
      <c r="H776" s="1964" t="s">
        <v>3016</v>
      </c>
      <c r="I776" s="1964" t="s">
        <v>9457</v>
      </c>
      <c r="J776" s="1964" t="s">
        <v>9435</v>
      </c>
      <c r="K776" s="1964"/>
      <c r="L776" s="1964"/>
      <c r="M776" s="2095">
        <f t="shared" si="31"/>
        <v>0</v>
      </c>
      <c r="N776" s="2079" t="s">
        <v>9543</v>
      </c>
      <c r="O776" s="2079" t="s">
        <v>9560</v>
      </c>
      <c r="P776" s="2079" t="s">
        <v>6926</v>
      </c>
      <c r="Q776" s="2079" t="s">
        <v>6926</v>
      </c>
      <c r="R776" s="2079" t="s">
        <v>6926</v>
      </c>
      <c r="S776" s="2088" t="s">
        <v>6926</v>
      </c>
    </row>
    <row r="777" spans="1:19" ht="12" customHeight="1" x14ac:dyDescent="0.2">
      <c r="A777" s="5988"/>
      <c r="B777" s="5988"/>
      <c r="C777" s="1030" t="s">
        <v>3017</v>
      </c>
      <c r="D777" s="834" t="str">
        <f>D776</f>
        <v>Sattyagraha</v>
      </c>
      <c r="E777" s="479">
        <v>2</v>
      </c>
      <c r="F777" s="479">
        <v>90</v>
      </c>
      <c r="G777" s="1965">
        <f t="shared" si="29"/>
        <v>90</v>
      </c>
      <c r="H777" s="1964" t="s">
        <v>3018</v>
      </c>
      <c r="I777" s="1964" t="s">
        <v>9458</v>
      </c>
      <c r="J777" s="1964" t="s">
        <v>6926</v>
      </c>
      <c r="K777" s="1964"/>
      <c r="L777" s="1964"/>
      <c r="M777" s="2095">
        <f t="shared" si="31"/>
        <v>0</v>
      </c>
      <c r="N777" s="2079" t="s">
        <v>9547</v>
      </c>
      <c r="O777" s="2079" t="s">
        <v>7537</v>
      </c>
      <c r="P777" s="2079" t="s">
        <v>9553</v>
      </c>
      <c r="Q777" s="2079" t="s">
        <v>6926</v>
      </c>
      <c r="R777" s="2079" t="s">
        <v>6926</v>
      </c>
      <c r="S777" s="2088" t="s">
        <v>6926</v>
      </c>
    </row>
    <row r="778" spans="1:19" ht="12" customHeight="1" x14ac:dyDescent="0.2">
      <c r="A778" s="5988"/>
      <c r="B778" s="5988"/>
      <c r="C778" s="1030" t="s">
        <v>3019</v>
      </c>
      <c r="D778" s="834" t="str">
        <f>D777</f>
        <v>Sattyagraha</v>
      </c>
      <c r="E778" s="479">
        <v>3</v>
      </c>
      <c r="F778" s="479">
        <v>95</v>
      </c>
      <c r="G778" s="1965">
        <f t="shared" si="29"/>
        <v>95</v>
      </c>
      <c r="H778" s="1964" t="s">
        <v>3020</v>
      </c>
      <c r="I778" s="1964" t="s">
        <v>9459</v>
      </c>
      <c r="J778" s="1964" t="s">
        <v>6926</v>
      </c>
      <c r="K778" s="1964"/>
      <c r="L778" s="1964"/>
      <c r="M778" s="2095">
        <f t="shared" si="31"/>
        <v>0</v>
      </c>
      <c r="N778" s="2079" t="s">
        <v>9545</v>
      </c>
      <c r="O778" s="2079" t="s">
        <v>9078</v>
      </c>
      <c r="P778" s="2079" t="s">
        <v>9546</v>
      </c>
      <c r="Q778" s="2079" t="s">
        <v>6926</v>
      </c>
      <c r="R778" s="2079" t="s">
        <v>6926</v>
      </c>
      <c r="S778" s="2088" t="s">
        <v>6926</v>
      </c>
    </row>
    <row r="779" spans="1:19" ht="12" customHeight="1" x14ac:dyDescent="0.2">
      <c r="A779" s="5988"/>
      <c r="B779" s="5988"/>
      <c r="C779" s="1030" t="s">
        <v>3021</v>
      </c>
      <c r="D779" s="834"/>
      <c r="E779" s="2051"/>
      <c r="F779" s="479"/>
      <c r="G779" s="1965" t="str">
        <f t="shared" si="29"/>
        <v/>
      </c>
      <c r="H779" s="1964"/>
      <c r="I779" s="1964" t="s">
        <v>6926</v>
      </c>
      <c r="J779" s="1964" t="s">
        <v>6926</v>
      </c>
      <c r="K779" s="1964"/>
      <c r="L779" s="1964"/>
      <c r="M779" s="2095" t="str">
        <f t="shared" si="31"/>
        <v/>
      </c>
      <c r="N779" s="2079" t="s">
        <v>6926</v>
      </c>
      <c r="O779" s="2079" t="s">
        <v>6926</v>
      </c>
      <c r="P779" s="2079" t="s">
        <v>6926</v>
      </c>
      <c r="Q779" s="2079" t="s">
        <v>6926</v>
      </c>
      <c r="R779" s="2079" t="s">
        <v>6926</v>
      </c>
      <c r="S779" s="2088" t="s">
        <v>6926</v>
      </c>
    </row>
    <row r="780" spans="1:19" ht="12" customHeight="1" x14ac:dyDescent="0.2">
      <c r="A780" s="5988"/>
      <c r="B780" s="5988"/>
      <c r="C780" s="1030" t="s">
        <v>3022</v>
      </c>
      <c r="D780" s="834" t="str">
        <f>PROPER(MID(C779,3,100))</f>
        <v>A’Arab Zaraq</v>
      </c>
      <c r="E780" s="479">
        <v>1</v>
      </c>
      <c r="F780" s="479">
        <v>30</v>
      </c>
      <c r="G780" s="1965">
        <f t="shared" si="29"/>
        <v>30</v>
      </c>
      <c r="H780" s="1964" t="s">
        <v>3023</v>
      </c>
      <c r="I780" s="1964" t="s">
        <v>9460</v>
      </c>
      <c r="J780" s="1964" t="s">
        <v>9461</v>
      </c>
      <c r="K780" s="1964"/>
      <c r="L780" s="1964"/>
      <c r="M780" s="2095">
        <f t="shared" si="31"/>
        <v>0</v>
      </c>
      <c r="N780" s="2079" t="s">
        <v>9554</v>
      </c>
      <c r="O780" s="2079" t="s">
        <v>9547</v>
      </c>
      <c r="P780" s="2079" t="s">
        <v>6926</v>
      </c>
      <c r="Q780" s="2079" t="s">
        <v>6926</v>
      </c>
      <c r="R780" s="2079" t="s">
        <v>6926</v>
      </c>
      <c r="S780" s="2088" t="s">
        <v>6926</v>
      </c>
    </row>
    <row r="781" spans="1:19" ht="12" customHeight="1" x14ac:dyDescent="0.2">
      <c r="A781" s="5988"/>
      <c r="B781" s="5988"/>
      <c r="C781" s="1030" t="s">
        <v>3024</v>
      </c>
      <c r="D781" s="834" t="str">
        <f>D780</f>
        <v>A’Arab Zaraq</v>
      </c>
      <c r="E781" s="479">
        <v>1</v>
      </c>
      <c r="F781" s="479">
        <v>25</v>
      </c>
      <c r="G781" s="1965">
        <f t="shared" si="29"/>
        <v>25</v>
      </c>
      <c r="H781" s="1964" t="s">
        <v>3025</v>
      </c>
      <c r="I781" s="1964" t="s">
        <v>9462</v>
      </c>
      <c r="J781" s="1964" t="s">
        <v>6926</v>
      </c>
      <c r="K781" s="1964"/>
      <c r="L781" s="1964"/>
      <c r="M781" s="2095">
        <f t="shared" si="31"/>
        <v>0</v>
      </c>
      <c r="N781" s="2079" t="s">
        <v>9556</v>
      </c>
      <c r="O781" s="2079" t="s">
        <v>6926</v>
      </c>
      <c r="P781" s="2079" t="s">
        <v>6926</v>
      </c>
      <c r="Q781" s="2079" t="s">
        <v>6926</v>
      </c>
      <c r="R781" s="2079" t="s">
        <v>6926</v>
      </c>
      <c r="S781" s="2088" t="s">
        <v>6926</v>
      </c>
    </row>
    <row r="782" spans="1:19" ht="12" customHeight="1" x14ac:dyDescent="0.2">
      <c r="A782" s="5988"/>
      <c r="B782" s="5988"/>
      <c r="C782" s="1030" t="s">
        <v>3026</v>
      </c>
      <c r="D782" s="834" t="str">
        <f>D781</f>
        <v>A’Arab Zaraq</v>
      </c>
      <c r="E782" s="479">
        <v>1</v>
      </c>
      <c r="F782" s="479">
        <v>35</v>
      </c>
      <c r="G782" s="1965">
        <f t="shared" si="29"/>
        <v>35</v>
      </c>
      <c r="H782" s="1964" t="s">
        <v>3027</v>
      </c>
      <c r="I782" s="1964" t="s">
        <v>9463</v>
      </c>
      <c r="J782" s="1964" t="s">
        <v>3028</v>
      </c>
      <c r="K782" s="1964"/>
      <c r="L782" s="1964"/>
      <c r="M782" s="2095">
        <f t="shared" si="31"/>
        <v>0</v>
      </c>
      <c r="N782" s="2079" t="s">
        <v>9541</v>
      </c>
      <c r="O782" s="2079" t="s">
        <v>9559</v>
      </c>
      <c r="P782" s="2079" t="s">
        <v>6926</v>
      </c>
      <c r="Q782" s="2079" t="s">
        <v>6926</v>
      </c>
      <c r="R782" s="2079" t="s">
        <v>6926</v>
      </c>
      <c r="S782" s="2088" t="s">
        <v>6926</v>
      </c>
    </row>
    <row r="783" spans="1:19" ht="12" customHeight="1" x14ac:dyDescent="0.2">
      <c r="A783" s="5988"/>
      <c r="B783" s="5988"/>
      <c r="C783" s="1030" t="s">
        <v>3029</v>
      </c>
      <c r="D783" s="834" t="str">
        <f>D782</f>
        <v>A’Arab Zaraq</v>
      </c>
      <c r="E783" s="479">
        <v>2</v>
      </c>
      <c r="F783" s="479">
        <v>45</v>
      </c>
      <c r="G783" s="1965">
        <f t="shared" si="29"/>
        <v>45</v>
      </c>
      <c r="H783" s="1964" t="s">
        <v>3030</v>
      </c>
      <c r="I783" s="1964" t="s">
        <v>9464</v>
      </c>
      <c r="J783" s="1964" t="s">
        <v>9465</v>
      </c>
      <c r="K783" s="1964"/>
      <c r="L783" s="1964"/>
      <c r="M783" s="2095">
        <f t="shared" si="31"/>
        <v>0</v>
      </c>
      <c r="N783" s="2079" t="s">
        <v>9544</v>
      </c>
      <c r="O783" s="2079" t="s">
        <v>9556</v>
      </c>
      <c r="P783" s="2079" t="s">
        <v>9556</v>
      </c>
      <c r="Q783" s="2079" t="s">
        <v>6926</v>
      </c>
      <c r="R783" s="2079" t="s">
        <v>6926</v>
      </c>
      <c r="S783" s="2088" t="s">
        <v>6926</v>
      </c>
    </row>
    <row r="784" spans="1:19" ht="12" customHeight="1" x14ac:dyDescent="0.2">
      <c r="A784" s="5988"/>
      <c r="B784" s="5988"/>
      <c r="C784" s="1030" t="s">
        <v>3031</v>
      </c>
      <c r="D784" s="834" t="str">
        <f>D783</f>
        <v>A’Arab Zaraq</v>
      </c>
      <c r="E784" s="479">
        <v>2</v>
      </c>
      <c r="F784" s="479">
        <v>75</v>
      </c>
      <c r="G784" s="1965">
        <f t="shared" si="29"/>
        <v>75</v>
      </c>
      <c r="H784" s="1964" t="s">
        <v>3032</v>
      </c>
      <c r="I784" s="1964" t="s">
        <v>9466</v>
      </c>
      <c r="J784" s="1964" t="s">
        <v>6926</v>
      </c>
      <c r="K784" s="1964"/>
      <c r="L784" s="1964"/>
      <c r="M784" s="2095">
        <f t="shared" si="31"/>
        <v>0</v>
      </c>
      <c r="N784" s="2079" t="s">
        <v>9559</v>
      </c>
      <c r="O784" s="2079" t="s">
        <v>9546</v>
      </c>
      <c r="P784" s="2079" t="s">
        <v>6926</v>
      </c>
      <c r="Q784" s="2079" t="s">
        <v>6926</v>
      </c>
      <c r="R784" s="2079" t="s">
        <v>6926</v>
      </c>
      <c r="S784" s="2088" t="s">
        <v>6926</v>
      </c>
    </row>
    <row r="785" spans="1:19" ht="12" customHeight="1" x14ac:dyDescent="0.2">
      <c r="A785" s="5988"/>
      <c r="B785" s="5988"/>
      <c r="C785" s="1030" t="s">
        <v>3033</v>
      </c>
      <c r="D785" s="834" t="str">
        <f>D784</f>
        <v>A’Arab Zaraq</v>
      </c>
      <c r="E785" s="479">
        <v>3</v>
      </c>
      <c r="F785" s="479">
        <v>95</v>
      </c>
      <c r="G785" s="1965">
        <f t="shared" si="29"/>
        <v>95</v>
      </c>
      <c r="H785" s="1964" t="s">
        <v>3034</v>
      </c>
      <c r="I785" s="1964" t="s">
        <v>9467</v>
      </c>
      <c r="J785" s="1964" t="s">
        <v>9399</v>
      </c>
      <c r="K785" s="1964"/>
      <c r="L785" s="1964"/>
      <c r="M785" s="2095">
        <f t="shared" si="31"/>
        <v>0</v>
      </c>
      <c r="N785" s="2079" t="s">
        <v>9543</v>
      </c>
      <c r="O785" s="2079" t="s">
        <v>9541</v>
      </c>
      <c r="P785" s="2079" t="s">
        <v>9560</v>
      </c>
      <c r="Q785" s="2079" t="s">
        <v>6926</v>
      </c>
      <c r="R785" s="2079" t="s">
        <v>6926</v>
      </c>
      <c r="S785" s="2088" t="s">
        <v>6926</v>
      </c>
    </row>
    <row r="786" spans="1:19" ht="12" customHeight="1" x14ac:dyDescent="0.2">
      <c r="A786" s="5988"/>
      <c r="B786" s="5988"/>
      <c r="C786" s="1030" t="s">
        <v>3035</v>
      </c>
      <c r="D786" s="834"/>
      <c r="E786" s="2051"/>
      <c r="F786" s="479"/>
      <c r="G786" s="1965" t="str">
        <f t="shared" si="29"/>
        <v/>
      </c>
      <c r="H786" s="1964"/>
      <c r="I786" s="1964" t="s">
        <v>6926</v>
      </c>
      <c r="J786" s="1964" t="s">
        <v>6926</v>
      </c>
      <c r="K786" s="1964"/>
      <c r="L786" s="1964"/>
      <c r="M786" s="2095" t="str">
        <f t="shared" si="31"/>
        <v/>
      </c>
      <c r="N786" s="2079" t="s">
        <v>6926</v>
      </c>
      <c r="O786" s="2079" t="s">
        <v>6926</v>
      </c>
      <c r="P786" s="2079" t="s">
        <v>6926</v>
      </c>
      <c r="Q786" s="2079" t="s">
        <v>6926</v>
      </c>
      <c r="R786" s="2079" t="s">
        <v>6926</v>
      </c>
      <c r="S786" s="2088" t="s">
        <v>6926</v>
      </c>
    </row>
    <row r="787" spans="1:19" ht="12" customHeight="1" x14ac:dyDescent="0.2">
      <c r="A787" s="5988"/>
      <c r="B787" s="5988"/>
      <c r="C787" s="1030" t="s">
        <v>3036</v>
      </c>
      <c r="D787" s="834" t="str">
        <f>PROPER(MID(C786,3,100))</f>
        <v>Wushu</v>
      </c>
      <c r="E787" s="479">
        <v>1</v>
      </c>
      <c r="F787" s="479">
        <v>20</v>
      </c>
      <c r="G787" s="1965">
        <f t="shared" si="29"/>
        <v>20</v>
      </c>
      <c r="H787" s="1964" t="s">
        <v>3037</v>
      </c>
      <c r="I787" s="1964" t="s">
        <v>9468</v>
      </c>
      <c r="J787" s="1964" t="s">
        <v>6926</v>
      </c>
      <c r="K787" s="1964"/>
      <c r="L787" s="1964"/>
      <c r="M787" s="2095">
        <f t="shared" si="31"/>
        <v>0</v>
      </c>
      <c r="N787" s="2079" t="s">
        <v>9548</v>
      </c>
      <c r="O787" s="2079" t="s">
        <v>9547</v>
      </c>
      <c r="P787" s="2079" t="s">
        <v>6926</v>
      </c>
      <c r="Q787" s="2079" t="s">
        <v>6926</v>
      </c>
      <c r="R787" s="2079" t="s">
        <v>6926</v>
      </c>
      <c r="S787" s="2088" t="s">
        <v>6926</v>
      </c>
    </row>
    <row r="788" spans="1:19" ht="12" customHeight="1" x14ac:dyDescent="0.2">
      <c r="A788" s="5988"/>
      <c r="B788" s="5988"/>
      <c r="C788" s="1030" t="s">
        <v>3038</v>
      </c>
      <c r="D788" s="834" t="str">
        <f t="shared" ref="D788:D795" si="33">D787</f>
        <v>Wushu</v>
      </c>
      <c r="E788" s="479">
        <v>1</v>
      </c>
      <c r="F788" s="479">
        <v>20</v>
      </c>
      <c r="G788" s="1965">
        <f t="shared" si="29"/>
        <v>20</v>
      </c>
      <c r="H788" s="1964" t="s">
        <v>3039</v>
      </c>
      <c r="I788" s="1964" t="s">
        <v>9469</v>
      </c>
      <c r="J788" s="1964" t="s">
        <v>6926</v>
      </c>
      <c r="K788" s="1964"/>
      <c r="L788" s="1964"/>
      <c r="M788" s="2095">
        <f t="shared" si="31"/>
        <v>0</v>
      </c>
      <c r="N788" s="2079" t="s">
        <v>9545</v>
      </c>
      <c r="O788" s="2079" t="s">
        <v>9542</v>
      </c>
      <c r="P788" s="2079" t="s">
        <v>6926</v>
      </c>
      <c r="Q788" s="2079" t="s">
        <v>6926</v>
      </c>
      <c r="R788" s="2079" t="s">
        <v>6926</v>
      </c>
      <c r="S788" s="2088" t="s">
        <v>6926</v>
      </c>
    </row>
    <row r="789" spans="1:19" ht="12" customHeight="1" x14ac:dyDescent="0.2">
      <c r="A789" s="5988"/>
      <c r="B789" s="5988"/>
      <c r="C789" s="1030" t="s">
        <v>3040</v>
      </c>
      <c r="D789" s="834" t="str">
        <f t="shared" si="33"/>
        <v>Wushu</v>
      </c>
      <c r="E789" s="479">
        <v>1</v>
      </c>
      <c r="F789" s="479">
        <v>25</v>
      </c>
      <c r="G789" s="1965">
        <f t="shared" si="29"/>
        <v>25</v>
      </c>
      <c r="H789" s="1964" t="s">
        <v>3041</v>
      </c>
      <c r="I789" s="1964" t="s">
        <v>9470</v>
      </c>
      <c r="J789" s="1964" t="s">
        <v>6926</v>
      </c>
      <c r="K789" s="1964"/>
      <c r="L789" s="1964"/>
      <c r="M789" s="2095">
        <f t="shared" si="31"/>
        <v>0</v>
      </c>
      <c r="N789" s="2079" t="s">
        <v>9556</v>
      </c>
      <c r="O789" s="2079" t="s">
        <v>9558</v>
      </c>
      <c r="P789" s="2079" t="s">
        <v>6926</v>
      </c>
      <c r="Q789" s="2079" t="s">
        <v>6926</v>
      </c>
      <c r="R789" s="2079" t="s">
        <v>6926</v>
      </c>
      <c r="S789" s="2088" t="s">
        <v>6926</v>
      </c>
    </row>
    <row r="790" spans="1:19" ht="12" customHeight="1" x14ac:dyDescent="0.2">
      <c r="A790" s="5988"/>
      <c r="B790" s="5988"/>
      <c r="C790" s="1030" t="s">
        <v>3042</v>
      </c>
      <c r="D790" s="834" t="str">
        <f t="shared" si="33"/>
        <v>Wushu</v>
      </c>
      <c r="E790" s="479">
        <v>1</v>
      </c>
      <c r="F790" s="479">
        <v>30</v>
      </c>
      <c r="G790" s="1965">
        <f t="shared" si="29"/>
        <v>30</v>
      </c>
      <c r="H790" s="1964" t="s">
        <v>3043</v>
      </c>
      <c r="I790" s="1964" t="s">
        <v>9471</v>
      </c>
      <c r="J790" s="1964" t="s">
        <v>9399</v>
      </c>
      <c r="K790" s="1964"/>
      <c r="L790" s="1964"/>
      <c r="M790" s="2095">
        <f t="shared" si="31"/>
        <v>0</v>
      </c>
      <c r="N790" s="2079" t="s">
        <v>9542</v>
      </c>
      <c r="O790" s="2079" t="s">
        <v>6926</v>
      </c>
      <c r="P790" s="2079" t="s">
        <v>6926</v>
      </c>
      <c r="Q790" s="2079" t="s">
        <v>6926</v>
      </c>
      <c r="R790" s="2079" t="s">
        <v>6926</v>
      </c>
      <c r="S790" s="2088" t="s">
        <v>6926</v>
      </c>
    </row>
    <row r="791" spans="1:19" ht="12" customHeight="1" x14ac:dyDescent="0.2">
      <c r="A791" s="5988"/>
      <c r="B791" s="5988"/>
      <c r="C791" s="1030" t="s">
        <v>3044</v>
      </c>
      <c r="D791" s="834" t="str">
        <f t="shared" si="33"/>
        <v>Wushu</v>
      </c>
      <c r="E791" s="479">
        <v>1</v>
      </c>
      <c r="F791" s="479">
        <v>30</v>
      </c>
      <c r="G791" s="1965">
        <f t="shared" si="29"/>
        <v>30</v>
      </c>
      <c r="H791" s="1964" t="s">
        <v>3039</v>
      </c>
      <c r="I791" s="1964" t="s">
        <v>9472</v>
      </c>
      <c r="J791" s="1964" t="s">
        <v>9435</v>
      </c>
      <c r="K791" s="1964"/>
      <c r="L791" s="1964"/>
      <c r="M791" s="2095">
        <f t="shared" si="31"/>
        <v>0</v>
      </c>
      <c r="N791" s="2079" t="s">
        <v>9543</v>
      </c>
      <c r="O791" s="2079" t="s">
        <v>9559</v>
      </c>
      <c r="P791" s="2079" t="s">
        <v>6926</v>
      </c>
      <c r="Q791" s="2079" t="s">
        <v>6926</v>
      </c>
      <c r="R791" s="2079" t="s">
        <v>6926</v>
      </c>
      <c r="S791" s="2088" t="s">
        <v>6926</v>
      </c>
    </row>
    <row r="792" spans="1:19" ht="12" customHeight="1" x14ac:dyDescent="0.2">
      <c r="A792" s="5988"/>
      <c r="B792" s="5988"/>
      <c r="C792" s="1030" t="s">
        <v>3045</v>
      </c>
      <c r="D792" s="834" t="str">
        <f t="shared" si="33"/>
        <v>Wushu</v>
      </c>
      <c r="E792" s="479">
        <v>1</v>
      </c>
      <c r="F792" s="479">
        <v>30</v>
      </c>
      <c r="G792" s="1965">
        <f t="shared" si="29"/>
        <v>30</v>
      </c>
      <c r="H792" s="1964" t="s">
        <v>3046</v>
      </c>
      <c r="I792" s="1964" t="s">
        <v>9473</v>
      </c>
      <c r="J792" s="1964" t="s">
        <v>6926</v>
      </c>
      <c r="K792" s="1964"/>
      <c r="L792" s="1964"/>
      <c r="M792" s="2095">
        <f t="shared" si="31"/>
        <v>0</v>
      </c>
      <c r="N792" s="2079" t="s">
        <v>7537</v>
      </c>
      <c r="O792" s="2079" t="s">
        <v>9556</v>
      </c>
      <c r="P792" s="2079" t="s">
        <v>7537</v>
      </c>
      <c r="Q792" s="2079" t="s">
        <v>6926</v>
      </c>
      <c r="R792" s="2079" t="s">
        <v>6926</v>
      </c>
      <c r="S792" s="2088" t="s">
        <v>6926</v>
      </c>
    </row>
    <row r="793" spans="1:19" ht="12" customHeight="1" x14ac:dyDescent="0.2">
      <c r="A793" s="5988"/>
      <c r="B793" s="5988"/>
      <c r="C793" s="1030" t="s">
        <v>3047</v>
      </c>
      <c r="D793" s="834" t="str">
        <f t="shared" si="33"/>
        <v>Wushu</v>
      </c>
      <c r="E793" s="479">
        <v>2</v>
      </c>
      <c r="F793" s="479">
        <v>50</v>
      </c>
      <c r="G793" s="1965">
        <f t="shared" si="29"/>
        <v>50</v>
      </c>
      <c r="H793" s="1964" t="s">
        <v>3048</v>
      </c>
      <c r="I793" s="1964" t="s">
        <v>9474</v>
      </c>
      <c r="J793" s="1964" t="s">
        <v>6926</v>
      </c>
      <c r="K793" s="1964"/>
      <c r="L793" s="1964"/>
      <c r="M793" s="2095">
        <f t="shared" si="31"/>
        <v>0</v>
      </c>
      <c r="N793" s="2079" t="s">
        <v>9542</v>
      </c>
      <c r="O793" s="2079" t="s">
        <v>10107</v>
      </c>
      <c r="P793" s="2079" t="s">
        <v>7537</v>
      </c>
      <c r="Q793" s="2079" t="s">
        <v>6926</v>
      </c>
      <c r="R793" s="2079" t="s">
        <v>6926</v>
      </c>
      <c r="S793" s="2088" t="s">
        <v>6926</v>
      </c>
    </row>
    <row r="794" spans="1:19" ht="12" customHeight="1" x14ac:dyDescent="0.2">
      <c r="A794" s="5988"/>
      <c r="B794" s="5988"/>
      <c r="C794" s="1030" t="s">
        <v>3049</v>
      </c>
      <c r="D794" s="834" t="str">
        <f t="shared" si="33"/>
        <v>Wushu</v>
      </c>
      <c r="E794" s="479">
        <v>2</v>
      </c>
      <c r="F794" s="479">
        <v>70</v>
      </c>
      <c r="G794" s="1965">
        <f t="shared" si="29"/>
        <v>70</v>
      </c>
      <c r="H794" s="1964" t="s">
        <v>3050</v>
      </c>
      <c r="I794" s="1964" t="s">
        <v>9475</v>
      </c>
      <c r="J794" s="1964" t="s">
        <v>6926</v>
      </c>
      <c r="K794" s="1964"/>
      <c r="L794" s="1964"/>
      <c r="M794" s="2095">
        <f t="shared" si="31"/>
        <v>0</v>
      </c>
      <c r="N794" s="2079" t="s">
        <v>9559</v>
      </c>
      <c r="O794" s="2079" t="s">
        <v>9556</v>
      </c>
      <c r="P794" s="2079" t="s">
        <v>9543</v>
      </c>
      <c r="Q794" s="2079" t="s">
        <v>6926</v>
      </c>
      <c r="R794" s="2079" t="s">
        <v>6926</v>
      </c>
      <c r="S794" s="2088" t="s">
        <v>6926</v>
      </c>
    </row>
    <row r="795" spans="1:19" ht="12" customHeight="1" x14ac:dyDescent="0.2">
      <c r="A795" s="5988"/>
      <c r="B795" s="5988"/>
      <c r="C795" s="1030" t="s">
        <v>3051</v>
      </c>
      <c r="D795" s="834" t="str">
        <f t="shared" si="33"/>
        <v>Wushu</v>
      </c>
      <c r="E795" s="479">
        <v>2</v>
      </c>
      <c r="F795" s="479">
        <v>85</v>
      </c>
      <c r="G795" s="1965">
        <f t="shared" ref="G795:G854" si="34">IF(E795="","",MAX(IF(E795=3,60,IF(E795=2,40,20)),F795+M795))</f>
        <v>85</v>
      </c>
      <c r="H795" s="1964" t="s">
        <v>3052</v>
      </c>
      <c r="I795" s="1964" t="s">
        <v>9476</v>
      </c>
      <c r="J795" s="1964" t="s">
        <v>6926</v>
      </c>
      <c r="K795" s="1964"/>
      <c r="L795" s="1964"/>
      <c r="M795" s="2095">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79" t="s">
        <v>9543</v>
      </c>
      <c r="O795" s="2079" t="s">
        <v>10108</v>
      </c>
      <c r="P795" s="2079" t="s">
        <v>6926</v>
      </c>
      <c r="Q795" s="2079" t="s">
        <v>6926</v>
      </c>
      <c r="R795" s="2079" t="s">
        <v>6926</v>
      </c>
      <c r="S795" s="2088" t="s">
        <v>6926</v>
      </c>
    </row>
    <row r="796" spans="1:19" ht="12" customHeight="1" x14ac:dyDescent="0.2">
      <c r="A796" s="5988"/>
      <c r="B796" s="5988"/>
      <c r="C796" s="1030" t="s">
        <v>3053</v>
      </c>
      <c r="D796" s="834"/>
      <c r="E796" s="2051"/>
      <c r="F796" s="479"/>
      <c r="G796" s="1965" t="str">
        <f t="shared" si="34"/>
        <v/>
      </c>
      <c r="H796" s="1964"/>
      <c r="I796" s="1964" t="s">
        <v>6926</v>
      </c>
      <c r="J796" s="1964" t="s">
        <v>6926</v>
      </c>
      <c r="K796" s="1964"/>
      <c r="L796" s="1964"/>
      <c r="M796" s="2095" t="str">
        <f t="shared" si="35"/>
        <v/>
      </c>
      <c r="N796" s="2079" t="s">
        <v>6926</v>
      </c>
      <c r="O796" s="2079" t="s">
        <v>6926</v>
      </c>
      <c r="P796" s="2079" t="s">
        <v>6926</v>
      </c>
      <c r="Q796" s="2079" t="s">
        <v>6926</v>
      </c>
      <c r="R796" s="2079" t="s">
        <v>6926</v>
      </c>
      <c r="S796" s="2088" t="s">
        <v>6926</v>
      </c>
    </row>
    <row r="797" spans="1:19" ht="12" customHeight="1" x14ac:dyDescent="0.2">
      <c r="A797" s="5988"/>
      <c r="B797" s="5988"/>
      <c r="C797" s="1030" t="s">
        <v>3054</v>
      </c>
      <c r="D797" s="834" t="str">
        <f>PROPER(MID(C796,3,100))</f>
        <v>La Vía De Meizo</v>
      </c>
      <c r="E797" s="479">
        <v>1</v>
      </c>
      <c r="F797" s="479">
        <v>30</v>
      </c>
      <c r="G797" s="1965">
        <f t="shared" si="34"/>
        <v>30</v>
      </c>
      <c r="H797" s="1964" t="s">
        <v>3055</v>
      </c>
      <c r="I797" s="1964" t="s">
        <v>9477</v>
      </c>
      <c r="J797" s="1964" t="s">
        <v>9478</v>
      </c>
      <c r="K797" s="1964"/>
      <c r="L797" s="1964"/>
      <c r="M797" s="2095">
        <f t="shared" si="35"/>
        <v>0</v>
      </c>
      <c r="N797" s="2079" t="s">
        <v>9556</v>
      </c>
      <c r="O797" s="2079" t="s">
        <v>7537</v>
      </c>
      <c r="P797" s="2079" t="s">
        <v>6926</v>
      </c>
      <c r="Q797" s="2079" t="s">
        <v>6926</v>
      </c>
      <c r="R797" s="2079" t="s">
        <v>6926</v>
      </c>
      <c r="S797" s="2088" t="s">
        <v>6926</v>
      </c>
    </row>
    <row r="798" spans="1:19" ht="12" customHeight="1" x14ac:dyDescent="0.2">
      <c r="A798" s="5988"/>
      <c r="B798" s="5988"/>
      <c r="C798" s="1030" t="s">
        <v>3056</v>
      </c>
      <c r="D798" s="834" t="str">
        <f>D797</f>
        <v>La Vía De Meizo</v>
      </c>
      <c r="E798" s="479">
        <v>1</v>
      </c>
      <c r="F798" s="479">
        <v>20</v>
      </c>
      <c r="G798" s="1965">
        <f t="shared" si="34"/>
        <v>20</v>
      </c>
      <c r="H798" s="1964" t="s">
        <v>3057</v>
      </c>
      <c r="I798" s="1964" t="s">
        <v>9479</v>
      </c>
      <c r="J798" s="1964" t="s">
        <v>6926</v>
      </c>
      <c r="K798" s="1964"/>
      <c r="L798" s="1964"/>
      <c r="M798" s="2095">
        <f t="shared" si="35"/>
        <v>0</v>
      </c>
      <c r="N798" s="2079" t="s">
        <v>7537</v>
      </c>
      <c r="O798" s="2079" t="s">
        <v>7537</v>
      </c>
      <c r="P798" s="2079" t="s">
        <v>6926</v>
      </c>
      <c r="Q798" s="2079" t="s">
        <v>6926</v>
      </c>
      <c r="R798" s="2079" t="s">
        <v>6926</v>
      </c>
      <c r="S798" s="2088" t="s">
        <v>6926</v>
      </c>
    </row>
    <row r="799" spans="1:19" ht="12" customHeight="1" x14ac:dyDescent="0.2">
      <c r="A799" s="5988"/>
      <c r="B799" s="5988"/>
      <c r="C799" s="1030" t="s">
        <v>3058</v>
      </c>
      <c r="D799" s="834" t="str">
        <f>D798</f>
        <v>La Vía De Meizo</v>
      </c>
      <c r="E799" s="479">
        <v>1</v>
      </c>
      <c r="F799" s="479">
        <v>20</v>
      </c>
      <c r="G799" s="1965">
        <f t="shared" si="34"/>
        <v>20</v>
      </c>
      <c r="H799" s="1964" t="s">
        <v>3059</v>
      </c>
      <c r="I799" s="1964" t="s">
        <v>9480</v>
      </c>
      <c r="J799" s="1964" t="s">
        <v>6926</v>
      </c>
      <c r="K799" s="1964"/>
      <c r="L799" s="1964"/>
      <c r="M799" s="2095">
        <f t="shared" si="35"/>
        <v>0</v>
      </c>
      <c r="N799" s="2079" t="s">
        <v>9541</v>
      </c>
      <c r="O799" s="2079" t="s">
        <v>9558</v>
      </c>
      <c r="P799" s="2079" t="s">
        <v>6926</v>
      </c>
      <c r="Q799" s="2079" t="s">
        <v>6926</v>
      </c>
      <c r="R799" s="2079" t="s">
        <v>6926</v>
      </c>
      <c r="S799" s="2088" t="s">
        <v>6926</v>
      </c>
    </row>
    <row r="800" spans="1:19" ht="12" customHeight="1" x14ac:dyDescent="0.2">
      <c r="A800" s="5988"/>
      <c r="B800" s="5988"/>
      <c r="C800" s="1030" t="s">
        <v>3060</v>
      </c>
      <c r="D800" s="834" t="str">
        <f>D799</f>
        <v>La Vía De Meizo</v>
      </c>
      <c r="E800" s="479">
        <v>2</v>
      </c>
      <c r="F800" s="2051">
        <v>50</v>
      </c>
      <c r="G800" s="1965">
        <f t="shared" si="34"/>
        <v>50</v>
      </c>
      <c r="H800" s="1964" t="s">
        <v>3018</v>
      </c>
      <c r="I800" s="1964" t="s">
        <v>9481</v>
      </c>
      <c r="J800" s="1964" t="s">
        <v>6926</v>
      </c>
      <c r="K800" s="1964"/>
      <c r="L800" s="1964"/>
      <c r="M800" s="2095">
        <f t="shared" si="35"/>
        <v>0</v>
      </c>
      <c r="N800" s="2079" t="s">
        <v>9542</v>
      </c>
      <c r="O800" s="2079" t="s">
        <v>6926</v>
      </c>
      <c r="P800" s="2079" t="s">
        <v>6926</v>
      </c>
      <c r="Q800" s="2079" t="s">
        <v>6926</v>
      </c>
      <c r="R800" s="2079" t="s">
        <v>6926</v>
      </c>
      <c r="S800" s="2088" t="s">
        <v>6926</v>
      </c>
    </row>
    <row r="801" spans="1:19" ht="12" customHeight="1" x14ac:dyDescent="0.2">
      <c r="A801" s="5988"/>
      <c r="B801" s="5988"/>
      <c r="C801" s="1030" t="s">
        <v>3061</v>
      </c>
      <c r="D801" s="834" t="str">
        <f>D800</f>
        <v>La Vía De Meizo</v>
      </c>
      <c r="E801" s="479">
        <v>2</v>
      </c>
      <c r="F801" s="2051">
        <v>70</v>
      </c>
      <c r="G801" s="1965">
        <f t="shared" si="34"/>
        <v>70</v>
      </c>
      <c r="H801" s="1964" t="s">
        <v>3062</v>
      </c>
      <c r="I801" s="1964" t="s">
        <v>9482</v>
      </c>
      <c r="J801" s="1964" t="s">
        <v>9483</v>
      </c>
      <c r="K801" s="1964"/>
      <c r="L801" s="1964"/>
      <c r="M801" s="2095">
        <f t="shared" si="35"/>
        <v>0</v>
      </c>
      <c r="N801" s="2079" t="s">
        <v>9544</v>
      </c>
      <c r="O801" s="2079" t="s">
        <v>9556</v>
      </c>
      <c r="P801" s="2079" t="s">
        <v>9543</v>
      </c>
      <c r="Q801" s="2079" t="s">
        <v>6926</v>
      </c>
      <c r="R801" s="2079" t="s">
        <v>6926</v>
      </c>
      <c r="S801" s="2088" t="s">
        <v>6926</v>
      </c>
    </row>
    <row r="802" spans="1:19" ht="12" customHeight="1" x14ac:dyDescent="0.2">
      <c r="A802" s="5988"/>
      <c r="B802" s="5988"/>
      <c r="C802" s="1030" t="s">
        <v>3063</v>
      </c>
      <c r="D802" s="834" t="str">
        <f>D801</f>
        <v>La Vía De Meizo</v>
      </c>
      <c r="E802" s="479">
        <v>3</v>
      </c>
      <c r="F802" s="479">
        <v>75</v>
      </c>
      <c r="G802" s="1965">
        <f t="shared" si="34"/>
        <v>75</v>
      </c>
      <c r="H802" s="1964" t="s">
        <v>3064</v>
      </c>
      <c r="I802" s="1964" t="s">
        <v>9484</v>
      </c>
      <c r="J802" s="1964" t="s">
        <v>9485</v>
      </c>
      <c r="K802" s="1964"/>
      <c r="L802" s="1964"/>
      <c r="M802" s="2095">
        <f t="shared" si="35"/>
        <v>0</v>
      </c>
      <c r="N802" s="2079" t="s">
        <v>9543</v>
      </c>
      <c r="O802" s="2079" t="s">
        <v>7537</v>
      </c>
      <c r="P802" s="2079" t="s">
        <v>7537</v>
      </c>
      <c r="Q802" s="2079" t="s">
        <v>9549</v>
      </c>
      <c r="R802" s="2079" t="s">
        <v>6926</v>
      </c>
      <c r="S802" s="2088" t="s">
        <v>6926</v>
      </c>
    </row>
    <row r="803" spans="1:19" ht="12" customHeight="1" x14ac:dyDescent="0.2">
      <c r="A803" s="5988"/>
      <c r="B803" s="5988"/>
      <c r="C803" s="1030" t="s">
        <v>3065</v>
      </c>
      <c r="D803" s="834"/>
      <c r="E803" s="2051"/>
      <c r="F803" s="479"/>
      <c r="G803" s="1965" t="str">
        <f t="shared" si="34"/>
        <v/>
      </c>
      <c r="H803" s="1964"/>
      <c r="I803" s="1964" t="s">
        <v>6926</v>
      </c>
      <c r="J803" s="1964" t="s">
        <v>6926</v>
      </c>
      <c r="K803" s="1964"/>
      <c r="L803" s="1964"/>
      <c r="M803" s="2095" t="str">
        <f t="shared" si="35"/>
        <v/>
      </c>
      <c r="N803" s="2079" t="s">
        <v>6926</v>
      </c>
      <c r="O803" s="2079" t="s">
        <v>6926</v>
      </c>
      <c r="P803" s="2079" t="s">
        <v>6926</v>
      </c>
      <c r="Q803" s="2079" t="s">
        <v>6926</v>
      </c>
      <c r="R803" s="2079" t="s">
        <v>6926</v>
      </c>
      <c r="S803" s="2088" t="s">
        <v>6926</v>
      </c>
    </row>
    <row r="804" spans="1:19" ht="12" customHeight="1" x14ac:dyDescent="0.2">
      <c r="A804" s="5988"/>
      <c r="B804" s="5988"/>
      <c r="C804" s="1030" t="s">
        <v>3066</v>
      </c>
      <c r="D804" s="834" t="str">
        <f>PROPER(MID(C803,3,100))</f>
        <v>Maestro De Catástrofes</v>
      </c>
      <c r="E804" s="479">
        <v>1</v>
      </c>
      <c r="F804" s="479">
        <v>25</v>
      </c>
      <c r="G804" s="1965">
        <f t="shared" si="34"/>
        <v>25</v>
      </c>
      <c r="H804" s="1964" t="s">
        <v>3067</v>
      </c>
      <c r="I804" s="1964" t="s">
        <v>9486</v>
      </c>
      <c r="J804" s="1964" t="s">
        <v>3028</v>
      </c>
      <c r="K804" s="1964"/>
      <c r="L804" s="1964"/>
      <c r="M804" s="2095">
        <f t="shared" si="35"/>
        <v>0</v>
      </c>
      <c r="N804" s="2079" t="s">
        <v>9544</v>
      </c>
      <c r="O804" s="2079" t="s">
        <v>9556</v>
      </c>
      <c r="P804" s="2079" t="s">
        <v>6926</v>
      </c>
      <c r="Q804" s="2079" t="s">
        <v>6926</v>
      </c>
      <c r="R804" s="2079" t="s">
        <v>6926</v>
      </c>
      <c r="S804" s="2088" t="s">
        <v>6926</v>
      </c>
    </row>
    <row r="805" spans="1:19" ht="12" customHeight="1" x14ac:dyDescent="0.2">
      <c r="A805" s="5988"/>
      <c r="B805" s="5988"/>
      <c r="C805" s="1030" t="s">
        <v>3068</v>
      </c>
      <c r="D805" s="834" t="str">
        <f>D804</f>
        <v>Maestro De Catástrofes</v>
      </c>
      <c r="E805" s="479">
        <v>1</v>
      </c>
      <c r="F805" s="479">
        <v>45</v>
      </c>
      <c r="G805" s="1965">
        <f t="shared" si="34"/>
        <v>45</v>
      </c>
      <c r="H805" s="1964" t="s">
        <v>3069</v>
      </c>
      <c r="I805" s="1964" t="s">
        <v>9487</v>
      </c>
      <c r="J805" s="1964" t="s">
        <v>9488</v>
      </c>
      <c r="K805" s="1964"/>
      <c r="L805" s="1964"/>
      <c r="M805" s="2095">
        <f t="shared" si="35"/>
        <v>0</v>
      </c>
      <c r="N805" s="2079" t="s">
        <v>9544</v>
      </c>
      <c r="O805" s="2079" t="s">
        <v>9556</v>
      </c>
      <c r="P805" s="2079" t="s">
        <v>6926</v>
      </c>
      <c r="Q805" s="2079" t="s">
        <v>6926</v>
      </c>
      <c r="R805" s="2079" t="s">
        <v>6926</v>
      </c>
      <c r="S805" s="2088" t="s">
        <v>6926</v>
      </c>
    </row>
    <row r="806" spans="1:19" ht="12" customHeight="1" x14ac:dyDescent="0.2">
      <c r="A806" s="5988"/>
      <c r="B806" s="5988"/>
      <c r="C806" s="1030" t="s">
        <v>3070</v>
      </c>
      <c r="D806" s="834" t="str">
        <f>D805</f>
        <v>Maestro De Catástrofes</v>
      </c>
      <c r="E806" s="479">
        <v>2</v>
      </c>
      <c r="F806" s="479">
        <v>65</v>
      </c>
      <c r="G806" s="1965">
        <f t="shared" si="34"/>
        <v>65</v>
      </c>
      <c r="H806" s="1964" t="s">
        <v>3071</v>
      </c>
      <c r="I806" s="1964" t="s">
        <v>9489</v>
      </c>
      <c r="J806" s="1964" t="s">
        <v>9490</v>
      </c>
      <c r="K806" s="1964"/>
      <c r="L806" s="1964"/>
      <c r="M806" s="2095">
        <f t="shared" si="35"/>
        <v>0</v>
      </c>
      <c r="N806" s="2079" t="s">
        <v>9544</v>
      </c>
      <c r="O806" s="2079" t="s">
        <v>9543</v>
      </c>
      <c r="P806" s="2079" t="s">
        <v>6926</v>
      </c>
      <c r="Q806" s="2079" t="s">
        <v>6926</v>
      </c>
      <c r="R806" s="2079" t="s">
        <v>6926</v>
      </c>
      <c r="S806" s="2088" t="s">
        <v>6926</v>
      </c>
    </row>
    <row r="807" spans="1:19" ht="12" customHeight="1" x14ac:dyDescent="0.2">
      <c r="A807" s="5988"/>
      <c r="B807" s="5988"/>
      <c r="C807" s="1030" t="s">
        <v>3072</v>
      </c>
      <c r="D807" s="834" t="str">
        <f>D806</f>
        <v>Maestro De Catástrofes</v>
      </c>
      <c r="E807" s="479">
        <v>2</v>
      </c>
      <c r="F807" s="479">
        <v>75</v>
      </c>
      <c r="G807" s="1965">
        <f t="shared" si="34"/>
        <v>75</v>
      </c>
      <c r="H807" s="1964" t="s">
        <v>3073</v>
      </c>
      <c r="I807" s="1964" t="s">
        <v>9491</v>
      </c>
      <c r="J807" s="1964" t="s">
        <v>9492</v>
      </c>
      <c r="K807" s="1964"/>
      <c r="L807" s="1964"/>
      <c r="M807" s="2095">
        <f t="shared" si="35"/>
        <v>0</v>
      </c>
      <c r="N807" s="2079" t="s">
        <v>9560</v>
      </c>
      <c r="O807" s="2079" t="s">
        <v>6926</v>
      </c>
      <c r="P807" s="2079" t="s">
        <v>6926</v>
      </c>
      <c r="Q807" s="2079" t="s">
        <v>6926</v>
      </c>
      <c r="R807" s="2079" t="s">
        <v>6926</v>
      </c>
      <c r="S807" s="2088" t="s">
        <v>6926</v>
      </c>
    </row>
    <row r="808" spans="1:19" ht="12" customHeight="1" x14ac:dyDescent="0.2">
      <c r="A808" s="5988"/>
      <c r="B808" s="5988"/>
      <c r="C808" s="1030" t="s">
        <v>3074</v>
      </c>
      <c r="D808" s="834" t="str">
        <f>D807</f>
        <v>Maestro De Catástrofes</v>
      </c>
      <c r="E808" s="479">
        <v>3</v>
      </c>
      <c r="F808" s="479">
        <v>110</v>
      </c>
      <c r="G808" s="1965">
        <f t="shared" si="34"/>
        <v>110</v>
      </c>
      <c r="H808" s="1964" t="s">
        <v>3075</v>
      </c>
      <c r="I808" s="1964" t="s">
        <v>9526</v>
      </c>
      <c r="J808" s="1964" t="s">
        <v>9488</v>
      </c>
      <c r="K808" s="1964"/>
      <c r="L808" s="1964"/>
      <c r="M808" s="2095">
        <f t="shared" si="35"/>
        <v>0</v>
      </c>
      <c r="N808" s="2079" t="s">
        <v>9544</v>
      </c>
      <c r="O808" s="2079" t="s">
        <v>9556</v>
      </c>
      <c r="P808" s="2079" t="s">
        <v>9556</v>
      </c>
      <c r="Q808" s="2079" t="s">
        <v>9555</v>
      </c>
      <c r="R808" s="2079" t="s">
        <v>9542</v>
      </c>
      <c r="S808" s="2088" t="s">
        <v>6926</v>
      </c>
    </row>
    <row r="809" spans="1:19" ht="12" customHeight="1" x14ac:dyDescent="0.2">
      <c r="A809" s="5988"/>
      <c r="B809" s="5988"/>
      <c r="C809" s="1030" t="s">
        <v>3076</v>
      </c>
      <c r="D809" s="834" t="str">
        <f>D808</f>
        <v>Maestro De Catástrofes</v>
      </c>
      <c r="E809" s="479">
        <v>3</v>
      </c>
      <c r="F809" s="479">
        <v>110</v>
      </c>
      <c r="G809" s="1965">
        <f t="shared" si="34"/>
        <v>110</v>
      </c>
      <c r="H809" s="1964" t="s">
        <v>3077</v>
      </c>
      <c r="I809" s="1964" t="s">
        <v>9493</v>
      </c>
      <c r="J809" s="1964" t="s">
        <v>9494</v>
      </c>
      <c r="K809" s="1964"/>
      <c r="L809" s="1964"/>
      <c r="M809" s="2095">
        <f t="shared" si="35"/>
        <v>0</v>
      </c>
      <c r="N809" s="2079" t="s">
        <v>9544</v>
      </c>
      <c r="O809" s="2079" t="s">
        <v>9556</v>
      </c>
      <c r="P809" s="2079" t="s">
        <v>9556</v>
      </c>
      <c r="Q809" s="2079" t="s">
        <v>9551</v>
      </c>
      <c r="R809" s="2079" t="s">
        <v>6926</v>
      </c>
      <c r="S809" s="2088" t="s">
        <v>6926</v>
      </c>
    </row>
    <row r="810" spans="1:19" ht="12" customHeight="1" x14ac:dyDescent="0.2">
      <c r="A810" s="5988"/>
      <c r="B810" s="5988"/>
      <c r="C810" s="1030" t="s">
        <v>3078</v>
      </c>
      <c r="D810" s="834"/>
      <c r="E810" s="2051"/>
      <c r="F810" s="479"/>
      <c r="G810" s="1965" t="str">
        <f t="shared" si="34"/>
        <v/>
      </c>
      <c r="H810" s="1964"/>
      <c r="I810" s="1964" t="s">
        <v>6926</v>
      </c>
      <c r="J810" s="1964" t="s">
        <v>6926</v>
      </c>
      <c r="K810" s="1964"/>
      <c r="L810" s="1964"/>
      <c r="M810" s="2095" t="str">
        <f t="shared" si="35"/>
        <v/>
      </c>
      <c r="N810" s="2079" t="s">
        <v>6926</v>
      </c>
      <c r="O810" s="2079" t="s">
        <v>6926</v>
      </c>
      <c r="P810" s="2079" t="s">
        <v>6926</v>
      </c>
      <c r="Q810" s="2079" t="s">
        <v>6926</v>
      </c>
      <c r="R810" s="2079" t="s">
        <v>6926</v>
      </c>
      <c r="S810" s="2088" t="s">
        <v>6926</v>
      </c>
    </row>
    <row r="811" spans="1:19" ht="12" customHeight="1" x14ac:dyDescent="0.2">
      <c r="A811" s="5988"/>
      <c r="B811" s="5988"/>
      <c r="C811" s="1030" t="s">
        <v>3079</v>
      </c>
      <c r="D811" s="834" t="str">
        <f>PROPER(MID(C810,3,100))</f>
        <v>Thanathos</v>
      </c>
      <c r="E811" s="479">
        <v>1</v>
      </c>
      <c r="F811" s="479">
        <v>20</v>
      </c>
      <c r="G811" s="1965">
        <f t="shared" si="34"/>
        <v>20</v>
      </c>
      <c r="H811" s="1964" t="s">
        <v>3080</v>
      </c>
      <c r="I811" s="1964" t="s">
        <v>9495</v>
      </c>
      <c r="J811" s="1964" t="s">
        <v>9496</v>
      </c>
      <c r="K811" s="1964"/>
      <c r="L811" s="1964"/>
      <c r="M811" s="2095">
        <f t="shared" si="35"/>
        <v>0</v>
      </c>
      <c r="N811" s="2079" t="s">
        <v>9541</v>
      </c>
      <c r="O811" s="2079" t="s">
        <v>9543</v>
      </c>
      <c r="P811" s="2079" t="s">
        <v>6926</v>
      </c>
      <c r="Q811" s="2079" t="s">
        <v>6926</v>
      </c>
      <c r="R811" s="2079" t="s">
        <v>6926</v>
      </c>
      <c r="S811" s="2088" t="s">
        <v>6926</v>
      </c>
    </row>
    <row r="812" spans="1:19" ht="12" customHeight="1" x14ac:dyDescent="0.2">
      <c r="A812" s="5988"/>
      <c r="B812" s="5988"/>
      <c r="C812" s="1030" t="s">
        <v>3081</v>
      </c>
      <c r="D812" s="834" t="str">
        <f>D811</f>
        <v>Thanathos</v>
      </c>
      <c r="E812" s="479">
        <v>1</v>
      </c>
      <c r="F812" s="479">
        <v>25</v>
      </c>
      <c r="G812" s="1965">
        <f t="shared" si="34"/>
        <v>25</v>
      </c>
      <c r="H812" s="1964" t="s">
        <v>3082</v>
      </c>
      <c r="I812" s="1964" t="s">
        <v>9497</v>
      </c>
      <c r="J812" s="1964" t="s">
        <v>9496</v>
      </c>
      <c r="K812" s="1964"/>
      <c r="L812" s="1964"/>
      <c r="M812" s="2095">
        <f t="shared" si="35"/>
        <v>0</v>
      </c>
      <c r="N812" s="2079" t="s">
        <v>9543</v>
      </c>
      <c r="O812" s="2079" t="s">
        <v>9556</v>
      </c>
      <c r="P812" s="2079" t="s">
        <v>6926</v>
      </c>
      <c r="Q812" s="2079" t="s">
        <v>6926</v>
      </c>
      <c r="R812" s="2079" t="s">
        <v>6926</v>
      </c>
      <c r="S812" s="2088" t="s">
        <v>6926</v>
      </c>
    </row>
    <row r="813" spans="1:19" ht="12" customHeight="1" x14ac:dyDescent="0.2">
      <c r="A813" s="5988"/>
      <c r="B813" s="5988"/>
      <c r="C813" s="1030" t="s">
        <v>3083</v>
      </c>
      <c r="D813" s="834" t="str">
        <f>D812</f>
        <v>Thanathos</v>
      </c>
      <c r="E813" s="479">
        <v>2</v>
      </c>
      <c r="F813" s="479">
        <v>65</v>
      </c>
      <c r="G813" s="1965">
        <f t="shared" si="34"/>
        <v>65</v>
      </c>
      <c r="H813" s="1964" t="s">
        <v>3084</v>
      </c>
      <c r="I813" s="1964" t="s">
        <v>9498</v>
      </c>
      <c r="J813" s="1964" t="s">
        <v>9496</v>
      </c>
      <c r="K813" s="1964"/>
      <c r="L813" s="1964"/>
      <c r="M813" s="2095">
        <f t="shared" si="35"/>
        <v>0</v>
      </c>
      <c r="N813" s="2079" t="s">
        <v>9541</v>
      </c>
      <c r="O813" s="2079" t="s">
        <v>9544</v>
      </c>
      <c r="P813" s="2079" t="s">
        <v>6926</v>
      </c>
      <c r="Q813" s="2079" t="s">
        <v>6926</v>
      </c>
      <c r="R813" s="2079" t="s">
        <v>6926</v>
      </c>
      <c r="S813" s="2088" t="s">
        <v>6926</v>
      </c>
    </row>
    <row r="814" spans="1:19" ht="12" customHeight="1" x14ac:dyDescent="0.2">
      <c r="A814" s="5988"/>
      <c r="B814" s="5988"/>
      <c r="C814" s="1030" t="s">
        <v>3085</v>
      </c>
      <c r="D814" s="834" t="str">
        <f>D813</f>
        <v>Thanathos</v>
      </c>
      <c r="E814" s="479">
        <v>2</v>
      </c>
      <c r="F814" s="479">
        <v>50</v>
      </c>
      <c r="G814" s="1965">
        <f t="shared" si="34"/>
        <v>50</v>
      </c>
      <c r="H814" s="1964" t="s">
        <v>3086</v>
      </c>
      <c r="I814" s="1964" t="s">
        <v>9499</v>
      </c>
      <c r="J814" s="1964" t="s">
        <v>9496</v>
      </c>
      <c r="K814" s="1964"/>
      <c r="L814" s="1964"/>
      <c r="M814" s="2095">
        <f t="shared" si="35"/>
        <v>0</v>
      </c>
      <c r="N814" s="2079" t="s">
        <v>9545</v>
      </c>
      <c r="O814" s="2079" t="s">
        <v>9547</v>
      </c>
      <c r="P814" s="2079" t="s">
        <v>6926</v>
      </c>
      <c r="Q814" s="2079" t="s">
        <v>6926</v>
      </c>
      <c r="R814" s="2079" t="s">
        <v>6926</v>
      </c>
      <c r="S814" s="2088" t="s">
        <v>6926</v>
      </c>
    </row>
    <row r="815" spans="1:19" ht="12" customHeight="1" x14ac:dyDescent="0.2">
      <c r="A815" s="5988"/>
      <c r="B815" s="5988"/>
      <c r="C815" s="1030" t="s">
        <v>3087</v>
      </c>
      <c r="D815" s="834" t="str">
        <f>D814</f>
        <v>Thanathos</v>
      </c>
      <c r="E815" s="479">
        <v>2</v>
      </c>
      <c r="F815" s="479">
        <v>60</v>
      </c>
      <c r="G815" s="1965">
        <f t="shared" si="34"/>
        <v>60</v>
      </c>
      <c r="H815" s="1964" t="s">
        <v>3086</v>
      </c>
      <c r="I815" s="1964" t="s">
        <v>9500</v>
      </c>
      <c r="J815" s="1964" t="s">
        <v>9496</v>
      </c>
      <c r="K815" s="1964"/>
      <c r="L815" s="1964"/>
      <c r="M815" s="2095">
        <f t="shared" si="35"/>
        <v>0</v>
      </c>
      <c r="N815" s="2079" t="s">
        <v>9548</v>
      </c>
      <c r="O815" s="2079" t="s">
        <v>9547</v>
      </c>
      <c r="P815" s="2079" t="s">
        <v>6926</v>
      </c>
      <c r="Q815" s="2079" t="s">
        <v>6926</v>
      </c>
      <c r="R815" s="2079" t="s">
        <v>6926</v>
      </c>
      <c r="S815" s="2088" t="s">
        <v>6926</v>
      </c>
    </row>
    <row r="816" spans="1:19" ht="12" customHeight="1" x14ac:dyDescent="0.2">
      <c r="A816" s="5988"/>
      <c r="B816" s="5988"/>
      <c r="C816" s="1030" t="s">
        <v>3088</v>
      </c>
      <c r="D816" s="834" t="str">
        <f>D815</f>
        <v>Thanathos</v>
      </c>
      <c r="E816" s="479">
        <v>3</v>
      </c>
      <c r="F816" s="479">
        <v>90</v>
      </c>
      <c r="G816" s="1965">
        <f t="shared" si="34"/>
        <v>90</v>
      </c>
      <c r="H816" s="1964" t="s">
        <v>3089</v>
      </c>
      <c r="I816" s="1964" t="s">
        <v>9501</v>
      </c>
      <c r="J816" s="1964" t="s">
        <v>10258</v>
      </c>
      <c r="K816" s="1964"/>
      <c r="L816" s="1964"/>
      <c r="M816" s="2095">
        <f t="shared" si="35"/>
        <v>0</v>
      </c>
      <c r="N816" s="2079" t="s">
        <v>9543</v>
      </c>
      <c r="O816" s="2079" t="s">
        <v>9541</v>
      </c>
      <c r="P816" s="2079" t="s">
        <v>6926</v>
      </c>
      <c r="Q816" s="2079" t="s">
        <v>6926</v>
      </c>
      <c r="R816" s="2079" t="s">
        <v>6926</v>
      </c>
      <c r="S816" s="2088" t="s">
        <v>6926</v>
      </c>
    </row>
    <row r="817" spans="1:19" ht="12" customHeight="1" x14ac:dyDescent="0.2">
      <c r="A817" s="5988"/>
      <c r="B817" s="5988"/>
      <c r="C817" s="1030" t="s">
        <v>3090</v>
      </c>
      <c r="D817" s="834"/>
      <c r="E817" s="2051"/>
      <c r="F817" s="479"/>
      <c r="G817" s="1965" t="str">
        <f t="shared" si="34"/>
        <v/>
      </c>
      <c r="H817" s="1964"/>
      <c r="I817" s="1964" t="s">
        <v>6926</v>
      </c>
      <c r="J817" s="1964" t="s">
        <v>6926</v>
      </c>
      <c r="K817" s="1964"/>
      <c r="L817" s="1964"/>
      <c r="M817" s="2095" t="str">
        <f t="shared" si="35"/>
        <v/>
      </c>
      <c r="N817" s="2079" t="s">
        <v>6926</v>
      </c>
      <c r="O817" s="2079" t="s">
        <v>6926</v>
      </c>
      <c r="P817" s="2079" t="s">
        <v>6926</v>
      </c>
      <c r="Q817" s="2079" t="s">
        <v>6926</v>
      </c>
      <c r="R817" s="2079" t="s">
        <v>6926</v>
      </c>
      <c r="S817" s="2088" t="s">
        <v>6926</v>
      </c>
    </row>
    <row r="818" spans="1:19" ht="12" customHeight="1" x14ac:dyDescent="0.2">
      <c r="A818" s="5988"/>
      <c r="B818" s="5988"/>
      <c r="C818" s="1030" t="s">
        <v>3091</v>
      </c>
      <c r="D818" s="834" t="str">
        <f>PROPER(MID(C817,3,100))</f>
        <v>Legado De Sólomon</v>
      </c>
      <c r="E818" s="479">
        <v>1</v>
      </c>
      <c r="F818" s="479">
        <v>50</v>
      </c>
      <c r="G818" s="1965">
        <f t="shared" si="34"/>
        <v>50</v>
      </c>
      <c r="H818" s="1964" t="s">
        <v>3092</v>
      </c>
      <c r="I818" s="1964" t="s">
        <v>9502</v>
      </c>
      <c r="J818" s="1964" t="s">
        <v>9503</v>
      </c>
      <c r="K818" s="1964"/>
      <c r="L818" s="1964"/>
      <c r="M818" s="2095">
        <f t="shared" si="35"/>
        <v>0</v>
      </c>
      <c r="N818" s="2079" t="s">
        <v>9545</v>
      </c>
      <c r="O818" s="2079" t="s">
        <v>9078</v>
      </c>
      <c r="P818" s="2079" t="s">
        <v>6926</v>
      </c>
      <c r="Q818" s="2079" t="s">
        <v>6926</v>
      </c>
      <c r="R818" s="2079" t="s">
        <v>6926</v>
      </c>
      <c r="S818" s="2088" t="s">
        <v>6926</v>
      </c>
    </row>
    <row r="819" spans="1:19" ht="12" customHeight="1" x14ac:dyDescent="0.2">
      <c r="A819" s="5988"/>
      <c r="B819" s="5988"/>
      <c r="C819" s="1030" t="s">
        <v>3093</v>
      </c>
      <c r="D819" s="834" t="str">
        <f t="shared" ref="D819:D826" si="36">D818</f>
        <v>Legado De Sólomon</v>
      </c>
      <c r="E819" s="479">
        <v>1</v>
      </c>
      <c r="F819" s="479">
        <v>25</v>
      </c>
      <c r="G819" s="1965">
        <f t="shared" si="34"/>
        <v>25</v>
      </c>
      <c r="H819" s="1964" t="s">
        <v>3059</v>
      </c>
      <c r="I819" s="1964" t="s">
        <v>9504</v>
      </c>
      <c r="J819" s="1964" t="s">
        <v>9503</v>
      </c>
      <c r="K819" s="1964"/>
      <c r="L819" s="1964"/>
      <c r="M819" s="2095">
        <f t="shared" si="35"/>
        <v>0</v>
      </c>
      <c r="N819" s="2079" t="s">
        <v>9554</v>
      </c>
      <c r="O819" s="2079" t="s">
        <v>6926</v>
      </c>
      <c r="P819" s="2079" t="s">
        <v>6926</v>
      </c>
      <c r="Q819" s="2079" t="s">
        <v>6926</v>
      </c>
      <c r="R819" s="2079" t="s">
        <v>6926</v>
      </c>
      <c r="S819" s="2088" t="s">
        <v>6926</v>
      </c>
    </row>
    <row r="820" spans="1:19" ht="12" customHeight="1" x14ac:dyDescent="0.2">
      <c r="A820" s="5988"/>
      <c r="B820" s="5988"/>
      <c r="C820" s="1030" t="s">
        <v>3094</v>
      </c>
      <c r="D820" s="834" t="str">
        <f t="shared" si="36"/>
        <v>Legado De Sólomon</v>
      </c>
      <c r="E820" s="479">
        <v>1</v>
      </c>
      <c r="F820" s="479">
        <v>35</v>
      </c>
      <c r="G820" s="1965">
        <f t="shared" si="34"/>
        <v>35</v>
      </c>
      <c r="H820" s="1964" t="s">
        <v>3062</v>
      </c>
      <c r="I820" s="1964" t="s">
        <v>9505</v>
      </c>
      <c r="J820" s="1964" t="s">
        <v>9503</v>
      </c>
      <c r="K820" s="1964"/>
      <c r="L820" s="1964"/>
      <c r="M820" s="2095">
        <f t="shared" si="35"/>
        <v>0</v>
      </c>
      <c r="N820" s="2079" t="s">
        <v>9542</v>
      </c>
      <c r="O820" s="2079" t="s">
        <v>9551</v>
      </c>
      <c r="P820" s="2079" t="s">
        <v>9541</v>
      </c>
      <c r="Q820" s="2079" t="s">
        <v>6926</v>
      </c>
      <c r="R820" s="2079" t="s">
        <v>6926</v>
      </c>
      <c r="S820" s="2088" t="s">
        <v>6926</v>
      </c>
    </row>
    <row r="821" spans="1:19" ht="12" customHeight="1" x14ac:dyDescent="0.2">
      <c r="A821" s="5988"/>
      <c r="B821" s="5988"/>
      <c r="C821" s="1030" t="s">
        <v>3095</v>
      </c>
      <c r="D821" s="834" t="str">
        <f t="shared" si="36"/>
        <v>Legado De Sólomon</v>
      </c>
      <c r="E821" s="479">
        <v>2</v>
      </c>
      <c r="F821" s="479">
        <v>65</v>
      </c>
      <c r="G821" s="1965">
        <f t="shared" si="34"/>
        <v>65</v>
      </c>
      <c r="H821" s="1964" t="s">
        <v>3096</v>
      </c>
      <c r="I821" s="1964" t="s">
        <v>9506</v>
      </c>
      <c r="J821" s="1964" t="s">
        <v>9503</v>
      </c>
      <c r="K821" s="1964"/>
      <c r="L821" s="1964"/>
      <c r="M821" s="2095">
        <f t="shared" si="35"/>
        <v>0</v>
      </c>
      <c r="N821" s="2079" t="s">
        <v>9545</v>
      </c>
      <c r="O821" s="2079" t="s">
        <v>9078</v>
      </c>
      <c r="P821" s="2079" t="s">
        <v>6926</v>
      </c>
      <c r="Q821" s="2079" t="s">
        <v>6926</v>
      </c>
      <c r="R821" s="2079" t="s">
        <v>6926</v>
      </c>
      <c r="S821" s="2088" t="s">
        <v>6926</v>
      </c>
    </row>
    <row r="822" spans="1:19" ht="12" customHeight="1" x14ac:dyDescent="0.2">
      <c r="A822" s="5988"/>
      <c r="B822" s="5988"/>
      <c r="C822" s="1030" t="s">
        <v>3097</v>
      </c>
      <c r="D822" s="834" t="str">
        <f t="shared" si="36"/>
        <v>Legado De Sólomon</v>
      </c>
      <c r="E822" s="479">
        <v>2</v>
      </c>
      <c r="F822" s="479">
        <v>60</v>
      </c>
      <c r="G822" s="1965">
        <f t="shared" si="34"/>
        <v>60</v>
      </c>
      <c r="H822" s="1964" t="s">
        <v>3098</v>
      </c>
      <c r="I822" s="1964" t="s">
        <v>9507</v>
      </c>
      <c r="J822" s="1964" t="s">
        <v>9503</v>
      </c>
      <c r="K822" s="1964"/>
      <c r="L822" s="1964"/>
      <c r="M822" s="2095">
        <f t="shared" si="35"/>
        <v>0</v>
      </c>
      <c r="N822" s="2079" t="s">
        <v>9548</v>
      </c>
      <c r="O822" s="2079" t="s">
        <v>6926</v>
      </c>
      <c r="P822" s="2079" t="s">
        <v>6926</v>
      </c>
      <c r="Q822" s="2079" t="s">
        <v>6926</v>
      </c>
      <c r="R822" s="2079" t="s">
        <v>6926</v>
      </c>
      <c r="S822" s="2088" t="s">
        <v>6926</v>
      </c>
    </row>
    <row r="823" spans="1:19" ht="12" customHeight="1" x14ac:dyDescent="0.2">
      <c r="A823" s="5988"/>
      <c r="B823" s="5988"/>
      <c r="C823" s="1030" t="s">
        <v>3099</v>
      </c>
      <c r="D823" s="834" t="str">
        <f t="shared" si="36"/>
        <v>Legado De Sólomon</v>
      </c>
      <c r="E823" s="479">
        <v>2</v>
      </c>
      <c r="F823" s="479">
        <v>100</v>
      </c>
      <c r="G823" s="1965">
        <f t="shared" si="34"/>
        <v>100</v>
      </c>
      <c r="H823" s="1964" t="s">
        <v>3100</v>
      </c>
      <c r="I823" s="1964" t="s">
        <v>9508</v>
      </c>
      <c r="J823" s="1964" t="s">
        <v>9503</v>
      </c>
      <c r="K823" s="1964"/>
      <c r="L823" s="1964"/>
      <c r="M823" s="2095">
        <f t="shared" si="35"/>
        <v>0</v>
      </c>
      <c r="N823" s="2079" t="s">
        <v>9542</v>
      </c>
      <c r="O823" s="2079" t="s">
        <v>9551</v>
      </c>
      <c r="P823" s="2079" t="s">
        <v>9541</v>
      </c>
      <c r="Q823" s="2079" t="s">
        <v>6926</v>
      </c>
      <c r="R823" s="2079" t="s">
        <v>6926</v>
      </c>
      <c r="S823" s="2088" t="s">
        <v>6926</v>
      </c>
    </row>
    <row r="824" spans="1:19" ht="12" customHeight="1" x14ac:dyDescent="0.2">
      <c r="A824" s="5988"/>
      <c r="B824" s="5988"/>
      <c r="C824" s="1030" t="s">
        <v>3101</v>
      </c>
      <c r="D824" s="834" t="str">
        <f t="shared" si="36"/>
        <v>Legado De Sólomon</v>
      </c>
      <c r="E824" s="479">
        <v>2</v>
      </c>
      <c r="F824" s="479">
        <v>65</v>
      </c>
      <c r="G824" s="1965">
        <f t="shared" si="34"/>
        <v>65</v>
      </c>
      <c r="H824" s="1964" t="s">
        <v>3059</v>
      </c>
      <c r="I824" s="1964" t="s">
        <v>9509</v>
      </c>
      <c r="J824" s="1964" t="s">
        <v>9510</v>
      </c>
      <c r="K824" s="1964"/>
      <c r="L824" s="1964"/>
      <c r="M824" s="2095">
        <f t="shared" si="35"/>
        <v>0</v>
      </c>
      <c r="N824" s="2079" t="s">
        <v>9544</v>
      </c>
      <c r="O824" s="2079" t="s">
        <v>6926</v>
      </c>
      <c r="P824" s="2079" t="s">
        <v>6926</v>
      </c>
      <c r="Q824" s="2079" t="s">
        <v>6926</v>
      </c>
      <c r="R824" s="2079" t="s">
        <v>6926</v>
      </c>
      <c r="S824" s="2088" t="s">
        <v>6926</v>
      </c>
    </row>
    <row r="825" spans="1:19" ht="12" customHeight="1" x14ac:dyDescent="0.2">
      <c r="A825" s="5988"/>
      <c r="B825" s="5988"/>
      <c r="C825" s="1030" t="s">
        <v>3102</v>
      </c>
      <c r="D825" s="834" t="str">
        <f t="shared" si="36"/>
        <v>Legado De Sólomon</v>
      </c>
      <c r="E825" s="479">
        <v>3</v>
      </c>
      <c r="F825" s="479">
        <v>95</v>
      </c>
      <c r="G825" s="1965">
        <f t="shared" si="34"/>
        <v>95</v>
      </c>
      <c r="H825" s="1964" t="s">
        <v>3103</v>
      </c>
      <c r="I825" s="1964" t="s">
        <v>9511</v>
      </c>
      <c r="J825" s="1964" t="s">
        <v>9503</v>
      </c>
      <c r="K825" s="1964"/>
      <c r="L825" s="1964"/>
      <c r="M825" s="2095">
        <f t="shared" si="35"/>
        <v>0</v>
      </c>
      <c r="N825" s="2079" t="s">
        <v>9545</v>
      </c>
      <c r="O825" s="2079" t="s">
        <v>9078</v>
      </c>
      <c r="P825" s="2079" t="s">
        <v>6926</v>
      </c>
      <c r="Q825" s="2079" t="s">
        <v>6926</v>
      </c>
      <c r="R825" s="2079" t="s">
        <v>6926</v>
      </c>
      <c r="S825" s="2088" t="s">
        <v>6926</v>
      </c>
    </row>
    <row r="826" spans="1:19" ht="12" customHeight="1" x14ac:dyDescent="0.2">
      <c r="A826" s="5988"/>
      <c r="B826" s="5988"/>
      <c r="C826" s="1030" t="s">
        <v>3104</v>
      </c>
      <c r="D826" s="834" t="str">
        <f t="shared" si="36"/>
        <v>Legado De Sólomon</v>
      </c>
      <c r="E826" s="479">
        <v>3</v>
      </c>
      <c r="F826" s="479">
        <v>80</v>
      </c>
      <c r="G826" s="1965">
        <f t="shared" si="34"/>
        <v>80</v>
      </c>
      <c r="H826" s="1964" t="s">
        <v>3105</v>
      </c>
      <c r="I826" s="1964" t="s">
        <v>9512</v>
      </c>
      <c r="J826" s="1964" t="s">
        <v>9513</v>
      </c>
      <c r="K826" s="1964"/>
      <c r="L826" s="1964"/>
      <c r="M826" s="2095">
        <f t="shared" si="35"/>
        <v>0</v>
      </c>
      <c r="N826" s="2079" t="s">
        <v>9551</v>
      </c>
      <c r="O826" s="2079" t="s">
        <v>9556</v>
      </c>
      <c r="P826" s="2079" t="s">
        <v>6926</v>
      </c>
      <c r="Q826" s="2079" t="s">
        <v>6926</v>
      </c>
      <c r="R826" s="2079" t="s">
        <v>6926</v>
      </c>
      <c r="S826" s="2088" t="s">
        <v>6926</v>
      </c>
    </row>
    <row r="827" spans="1:19" ht="12" customHeight="1" x14ac:dyDescent="0.2">
      <c r="A827" s="5988"/>
      <c r="B827" s="5988"/>
      <c r="C827" s="1030" t="s">
        <v>3106</v>
      </c>
      <c r="D827" s="834"/>
      <c r="E827" s="2051"/>
      <c r="F827" s="479"/>
      <c r="G827" s="1965" t="str">
        <f t="shared" si="34"/>
        <v/>
      </c>
      <c r="H827" s="1964"/>
      <c r="I827" s="1964" t="s">
        <v>6926</v>
      </c>
      <c r="J827" s="1964" t="s">
        <v>6926</v>
      </c>
      <c r="K827" s="1964"/>
      <c r="L827" s="1964"/>
      <c r="M827" s="2095"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79" t="s">
        <v>6926</v>
      </c>
      <c r="O827" s="2079" t="s">
        <v>6926</v>
      </c>
      <c r="P827" s="2079" t="s">
        <v>6926</v>
      </c>
      <c r="Q827" s="2079" t="s">
        <v>6926</v>
      </c>
      <c r="R827" s="2079" t="s">
        <v>6926</v>
      </c>
      <c r="S827" s="2088" t="s">
        <v>6926</v>
      </c>
    </row>
    <row r="828" spans="1:19" ht="12" customHeight="1" x14ac:dyDescent="0.2">
      <c r="A828" s="5988"/>
      <c r="B828" s="5988"/>
      <c r="C828" s="1030" t="s">
        <v>3107</v>
      </c>
      <c r="D828" s="834" t="str">
        <f>PROPER(MID(C827,3,100))</f>
        <v>Frostkolier</v>
      </c>
      <c r="E828" s="479">
        <v>1</v>
      </c>
      <c r="F828" s="479">
        <v>35</v>
      </c>
      <c r="G828" s="1965">
        <f t="shared" si="34"/>
        <v>35</v>
      </c>
      <c r="H828" s="1964" t="s">
        <v>3108</v>
      </c>
      <c r="I828" s="1964" t="s">
        <v>9514</v>
      </c>
      <c r="J828" s="1964" t="s">
        <v>9515</v>
      </c>
      <c r="K828" s="1964"/>
      <c r="L828" s="1964"/>
      <c r="M828" s="2095">
        <f t="shared" si="37"/>
        <v>0</v>
      </c>
      <c r="N828" s="2079" t="s">
        <v>9541</v>
      </c>
      <c r="O828" s="2079" t="s">
        <v>10108</v>
      </c>
      <c r="P828" s="2079" t="s">
        <v>6926</v>
      </c>
      <c r="Q828" s="2079" t="s">
        <v>6926</v>
      </c>
      <c r="R828" s="2079" t="s">
        <v>6926</v>
      </c>
      <c r="S828" s="2088" t="s">
        <v>6926</v>
      </c>
    </row>
    <row r="829" spans="1:19" ht="12" customHeight="1" x14ac:dyDescent="0.2">
      <c r="A829" s="5988"/>
      <c r="B829" s="5988"/>
      <c r="C829" s="1030" t="s">
        <v>3109</v>
      </c>
      <c r="D829" s="834" t="str">
        <f>D828</f>
        <v>Frostkolier</v>
      </c>
      <c r="E829" s="479">
        <v>1</v>
      </c>
      <c r="F829" s="479">
        <v>25</v>
      </c>
      <c r="G829" s="1965">
        <f t="shared" si="34"/>
        <v>25</v>
      </c>
      <c r="H829" s="1964" t="s">
        <v>10167</v>
      </c>
      <c r="I829" s="1964" t="s">
        <v>9516</v>
      </c>
      <c r="J829" s="1964" t="s">
        <v>9515</v>
      </c>
      <c r="K829" s="1964"/>
      <c r="L829" s="1964"/>
      <c r="M829" s="2095">
        <f t="shared" si="37"/>
        <v>0</v>
      </c>
      <c r="N829" s="2079" t="s">
        <v>9545</v>
      </c>
      <c r="O829" s="2079" t="s">
        <v>9076</v>
      </c>
      <c r="P829" s="2079" t="s">
        <v>6926</v>
      </c>
      <c r="Q829" s="2079" t="s">
        <v>6926</v>
      </c>
      <c r="R829" s="2079" t="s">
        <v>6926</v>
      </c>
      <c r="S829" s="2088" t="s">
        <v>6926</v>
      </c>
    </row>
    <row r="830" spans="1:19" ht="12" customHeight="1" x14ac:dyDescent="0.2">
      <c r="A830" s="5988"/>
      <c r="B830" s="5988"/>
      <c r="C830" s="1030" t="s">
        <v>3110</v>
      </c>
      <c r="D830" s="834" t="str">
        <f>D829</f>
        <v>Frostkolier</v>
      </c>
      <c r="E830" s="479">
        <v>2</v>
      </c>
      <c r="F830" s="479">
        <v>45</v>
      </c>
      <c r="G830" s="1965">
        <f t="shared" si="34"/>
        <v>45</v>
      </c>
      <c r="H830" s="1964" t="s">
        <v>3111</v>
      </c>
      <c r="I830" s="1964" t="s">
        <v>9440</v>
      </c>
      <c r="J830" s="1964" t="s">
        <v>9515</v>
      </c>
      <c r="K830" s="1964"/>
      <c r="L830" s="1964"/>
      <c r="M830" s="2095">
        <f t="shared" si="37"/>
        <v>0</v>
      </c>
      <c r="N830" s="2079" t="s">
        <v>9545</v>
      </c>
      <c r="O830" s="2079"/>
      <c r="P830" s="2079" t="s">
        <v>6926</v>
      </c>
      <c r="Q830" s="2079" t="s">
        <v>6926</v>
      </c>
      <c r="R830" s="2079" t="s">
        <v>6926</v>
      </c>
      <c r="S830" s="2088" t="s">
        <v>6926</v>
      </c>
    </row>
    <row r="831" spans="1:19" ht="12" customHeight="1" x14ac:dyDescent="0.2">
      <c r="A831" s="5988"/>
      <c r="B831" s="5988"/>
      <c r="C831" s="1030" t="s">
        <v>3112</v>
      </c>
      <c r="D831" s="834" t="str">
        <f>D830</f>
        <v>Frostkolier</v>
      </c>
      <c r="E831" s="479">
        <v>2</v>
      </c>
      <c r="F831" s="479">
        <v>45</v>
      </c>
      <c r="G831" s="1965">
        <f t="shared" si="34"/>
        <v>45</v>
      </c>
      <c r="H831" s="1964" t="s">
        <v>3113</v>
      </c>
      <c r="I831" s="1964" t="s">
        <v>9527</v>
      </c>
      <c r="J831" s="1964" t="s">
        <v>9515</v>
      </c>
      <c r="K831" s="1964"/>
      <c r="L831" s="1964"/>
      <c r="M831" s="2095">
        <f t="shared" si="37"/>
        <v>0</v>
      </c>
      <c r="N831" s="2079" t="s">
        <v>9545</v>
      </c>
      <c r="O831" s="2079" t="s">
        <v>9547</v>
      </c>
      <c r="P831" s="2079" t="s">
        <v>9542</v>
      </c>
      <c r="Q831" s="2079" t="s">
        <v>9542</v>
      </c>
      <c r="R831" s="2079"/>
      <c r="S831" s="2088" t="s">
        <v>6926</v>
      </c>
    </row>
    <row r="832" spans="1:19" ht="12" customHeight="1" x14ac:dyDescent="0.2">
      <c r="A832" s="5988"/>
      <c r="B832" s="5988"/>
      <c r="C832" s="1030" t="s">
        <v>3114</v>
      </c>
      <c r="D832" s="834" t="str">
        <f>D831</f>
        <v>Frostkolier</v>
      </c>
      <c r="E832" s="479">
        <v>3</v>
      </c>
      <c r="F832" s="479">
        <v>75</v>
      </c>
      <c r="G832" s="1965">
        <f t="shared" si="34"/>
        <v>75</v>
      </c>
      <c r="H832" s="1964" t="s">
        <v>3115</v>
      </c>
      <c r="I832" s="1964" t="s">
        <v>9966</v>
      </c>
      <c r="J832" s="1964" t="s">
        <v>9515</v>
      </c>
      <c r="K832" s="1964"/>
      <c r="L832" s="1964"/>
      <c r="M832" s="2095">
        <f t="shared" si="37"/>
        <v>0</v>
      </c>
      <c r="N832" s="2079" t="s">
        <v>9542</v>
      </c>
      <c r="O832" s="2079"/>
      <c r="P832" s="2079" t="s">
        <v>6926</v>
      </c>
      <c r="Q832" s="2079" t="s">
        <v>6926</v>
      </c>
      <c r="R832" s="2079" t="s">
        <v>6926</v>
      </c>
      <c r="S832" s="2088" t="s">
        <v>6926</v>
      </c>
    </row>
    <row r="833" spans="1:22" ht="12" customHeight="1" x14ac:dyDescent="0.2">
      <c r="A833" s="5988"/>
      <c r="B833" s="5988"/>
      <c r="C833" s="1030" t="s">
        <v>3116</v>
      </c>
      <c r="D833" s="834"/>
      <c r="E833" s="2051"/>
      <c r="F833" s="479"/>
      <c r="G833" s="1965" t="str">
        <f t="shared" si="34"/>
        <v/>
      </c>
      <c r="H833" s="1964"/>
      <c r="I833" s="1964" t="s">
        <v>6926</v>
      </c>
      <c r="J833" s="1964" t="s">
        <v>6926</v>
      </c>
      <c r="K833" s="1964"/>
      <c r="L833" s="1964"/>
      <c r="M833" s="2095" t="str">
        <f t="shared" si="37"/>
        <v/>
      </c>
      <c r="N833" s="2079" t="s">
        <v>6926</v>
      </c>
      <c r="O833" s="2079" t="s">
        <v>6926</v>
      </c>
      <c r="P833" s="2079" t="s">
        <v>6926</v>
      </c>
      <c r="Q833" s="2079" t="s">
        <v>6926</v>
      </c>
      <c r="R833" s="2079" t="s">
        <v>6926</v>
      </c>
      <c r="S833" s="2088" t="s">
        <v>6926</v>
      </c>
    </row>
    <row r="834" spans="1:22" ht="12" customHeight="1" x14ac:dyDescent="0.2">
      <c r="A834" s="5988"/>
      <c r="B834" s="5988"/>
      <c r="C834" s="1030" t="s">
        <v>3118</v>
      </c>
      <c r="D834" s="834" t="str">
        <f>PROPER(MID(C833,3,100))</f>
        <v>Anima, La Canción De Los Ángeles Caídos</v>
      </c>
      <c r="E834" s="479">
        <v>1</v>
      </c>
      <c r="F834" s="479">
        <v>50</v>
      </c>
      <c r="G834" s="1965">
        <f t="shared" si="34"/>
        <v>50</v>
      </c>
      <c r="H834" s="1964" t="s">
        <v>3119</v>
      </c>
      <c r="I834" s="1964" t="s">
        <v>9517</v>
      </c>
      <c r="J834" s="1964" t="s">
        <v>6926</v>
      </c>
      <c r="K834" s="1964"/>
      <c r="L834" s="1964"/>
      <c r="M834" s="2095">
        <f t="shared" si="37"/>
        <v>0</v>
      </c>
      <c r="N834" s="2079" t="s">
        <v>9543</v>
      </c>
      <c r="O834" s="2079" t="s">
        <v>10108</v>
      </c>
      <c r="P834" s="2079" t="s">
        <v>6926</v>
      </c>
      <c r="Q834" s="2079" t="s">
        <v>6926</v>
      </c>
      <c r="R834" s="2079" t="s">
        <v>6926</v>
      </c>
      <c r="S834" s="2088" t="s">
        <v>6926</v>
      </c>
    </row>
    <row r="835" spans="1:22" ht="12" customHeight="1" x14ac:dyDescent="0.2">
      <c r="A835" s="5988"/>
      <c r="B835" s="5988"/>
      <c r="C835" s="1030" t="s">
        <v>3121</v>
      </c>
      <c r="D835" s="834" t="str">
        <f>D834</f>
        <v>Anima, La Canción De Los Ángeles Caídos</v>
      </c>
      <c r="E835" s="479">
        <v>1</v>
      </c>
      <c r="F835" s="479">
        <v>40</v>
      </c>
      <c r="G835" s="1965">
        <f t="shared" si="34"/>
        <v>40</v>
      </c>
      <c r="H835" s="1964" t="s">
        <v>3122</v>
      </c>
      <c r="I835" s="1964" t="s">
        <v>9518</v>
      </c>
      <c r="J835" s="1964" t="s">
        <v>6926</v>
      </c>
      <c r="K835" s="1964"/>
      <c r="L835" s="1964"/>
      <c r="M835" s="2095">
        <f t="shared" si="37"/>
        <v>0</v>
      </c>
      <c r="N835" s="2079" t="s">
        <v>9548</v>
      </c>
      <c r="O835" s="2079" t="s">
        <v>9557</v>
      </c>
      <c r="P835" s="2079" t="s">
        <v>6926</v>
      </c>
      <c r="Q835" s="2079" t="s">
        <v>6926</v>
      </c>
      <c r="R835" s="2079" t="s">
        <v>6926</v>
      </c>
      <c r="S835" s="2088" t="s">
        <v>6926</v>
      </c>
    </row>
    <row r="836" spans="1:22" ht="12" customHeight="1" x14ac:dyDescent="0.2">
      <c r="A836" s="5988"/>
      <c r="B836" s="5988"/>
      <c r="C836" s="1030" t="s">
        <v>3124</v>
      </c>
      <c r="D836" s="834" t="str">
        <f>D835</f>
        <v>Anima, La Canción De Los Ángeles Caídos</v>
      </c>
      <c r="E836" s="479">
        <v>2</v>
      </c>
      <c r="F836" s="479">
        <v>100</v>
      </c>
      <c r="G836" s="1965">
        <f t="shared" si="34"/>
        <v>100</v>
      </c>
      <c r="H836" s="1964" t="s">
        <v>3125</v>
      </c>
      <c r="I836" s="1964" t="s">
        <v>9519</v>
      </c>
      <c r="J836" s="1964" t="s">
        <v>3179</v>
      </c>
      <c r="K836" s="1964"/>
      <c r="L836" s="1964"/>
      <c r="M836" s="2095">
        <f t="shared" si="37"/>
        <v>0</v>
      </c>
      <c r="N836" s="2079" t="s">
        <v>9543</v>
      </c>
      <c r="O836" s="2079" t="s">
        <v>9541</v>
      </c>
      <c r="P836" s="2079" t="s">
        <v>9544</v>
      </c>
      <c r="Q836" s="2079" t="s">
        <v>6926</v>
      </c>
      <c r="R836" s="2079" t="s">
        <v>6926</v>
      </c>
      <c r="S836" s="2088" t="s">
        <v>6926</v>
      </c>
    </row>
    <row r="837" spans="1:22" ht="12" customHeight="1" x14ac:dyDescent="0.2">
      <c r="A837" s="5988"/>
      <c r="B837" s="5988"/>
      <c r="C837" s="1030" t="s">
        <v>3127</v>
      </c>
      <c r="D837" s="834" t="str">
        <f>D836</f>
        <v>Anima, La Canción De Los Ángeles Caídos</v>
      </c>
      <c r="E837" s="479">
        <v>2</v>
      </c>
      <c r="F837" s="479">
        <v>100</v>
      </c>
      <c r="G837" s="1965">
        <f t="shared" si="34"/>
        <v>100</v>
      </c>
      <c r="H837" s="1964" t="s">
        <v>3128</v>
      </c>
      <c r="I837" s="1964" t="s">
        <v>9520</v>
      </c>
      <c r="J837" s="1964" t="s">
        <v>6926</v>
      </c>
      <c r="K837" s="1964"/>
      <c r="L837" s="1964"/>
      <c r="M837" s="2095">
        <f t="shared" si="37"/>
        <v>0</v>
      </c>
      <c r="N837" s="2079" t="s">
        <v>9543</v>
      </c>
      <c r="O837" s="2079" t="s">
        <v>9542</v>
      </c>
      <c r="P837" s="2079" t="s">
        <v>6926</v>
      </c>
      <c r="Q837" s="2079" t="s">
        <v>6926</v>
      </c>
      <c r="R837" s="2079" t="s">
        <v>6926</v>
      </c>
      <c r="S837" s="2088" t="s">
        <v>6926</v>
      </c>
    </row>
    <row r="838" spans="1:22" ht="12" customHeight="1" x14ac:dyDescent="0.2">
      <c r="A838" s="5988"/>
      <c r="B838" s="5988"/>
      <c r="C838" s="1030" t="s">
        <v>3129</v>
      </c>
      <c r="D838" s="834" t="str">
        <f>D837</f>
        <v>Anima, La Canción De Los Ángeles Caídos</v>
      </c>
      <c r="E838" s="479">
        <v>3</v>
      </c>
      <c r="F838" s="479">
        <v>200</v>
      </c>
      <c r="G838" s="1965">
        <f t="shared" si="34"/>
        <v>200</v>
      </c>
      <c r="H838" s="1964" t="s">
        <v>3130</v>
      </c>
      <c r="I838" s="1964" t="s">
        <v>9528</v>
      </c>
      <c r="J838" s="1964" t="s">
        <v>9521</v>
      </c>
      <c r="K838" s="1964"/>
      <c r="L838" s="1964"/>
      <c r="M838" s="2095">
        <f t="shared" si="37"/>
        <v>0</v>
      </c>
      <c r="N838" s="2079" t="s">
        <v>9543</v>
      </c>
      <c r="O838" s="2079" t="s">
        <v>9544</v>
      </c>
      <c r="P838" s="2079" t="s">
        <v>9556</v>
      </c>
      <c r="Q838" s="2079" t="s">
        <v>9560</v>
      </c>
      <c r="R838" s="2079" t="s">
        <v>9542</v>
      </c>
      <c r="S838" s="2088" t="s">
        <v>9558</v>
      </c>
    </row>
    <row r="839" spans="1:22" ht="12" customHeight="1" x14ac:dyDescent="0.2">
      <c r="A839" s="5988"/>
      <c r="B839" s="5988"/>
      <c r="C839" s="1030" t="s">
        <v>10329</v>
      </c>
      <c r="D839" s="834"/>
      <c r="E839" s="479"/>
      <c r="F839" s="479"/>
      <c r="G839" s="1965" t="str">
        <f t="shared" si="34"/>
        <v/>
      </c>
      <c r="H839" s="1964"/>
      <c r="I839" s="1964"/>
      <c r="J839" s="1964"/>
      <c r="K839" s="1964"/>
      <c r="L839" s="1964"/>
      <c r="M839" s="2095" t="str">
        <f t="shared" si="37"/>
        <v/>
      </c>
      <c r="N839" s="2079"/>
      <c r="O839" s="2079"/>
      <c r="P839" s="2079"/>
      <c r="Q839" s="2079"/>
      <c r="R839" s="2079"/>
      <c r="S839" s="2088"/>
    </row>
    <row r="840" spans="1:22" ht="12" customHeight="1" x14ac:dyDescent="0.2">
      <c r="A840" s="5988"/>
      <c r="B840" s="5988"/>
      <c r="C840" s="1030" t="s">
        <v>10330</v>
      </c>
      <c r="D840" s="834" t="str">
        <f>PROPER(MID(C839,3,100))</f>
        <v>Coelo Ruinam</v>
      </c>
      <c r="E840" s="479">
        <v>1</v>
      </c>
      <c r="F840" s="479">
        <v>35</v>
      </c>
      <c r="G840" s="1965">
        <f t="shared" si="34"/>
        <v>35</v>
      </c>
      <c r="H840" s="1964" t="s">
        <v>10335</v>
      </c>
      <c r="I840" s="2896" t="s">
        <v>10365</v>
      </c>
      <c r="J840" s="1964"/>
      <c r="K840" s="1964"/>
      <c r="L840" s="1964"/>
      <c r="M840" s="2095">
        <f t="shared" si="37"/>
        <v>0</v>
      </c>
      <c r="N840" s="2079" t="s">
        <v>9556</v>
      </c>
      <c r="O840" s="2079" t="s">
        <v>9543</v>
      </c>
      <c r="P840" s="2079"/>
      <c r="Q840" s="2079"/>
      <c r="R840" s="2079"/>
      <c r="S840" s="2088"/>
      <c r="U840" s="91" t="s">
        <v>1603</v>
      </c>
      <c r="V840" s="227">
        <v>1</v>
      </c>
    </row>
    <row r="841" spans="1:22" ht="12" customHeight="1" x14ac:dyDescent="0.2">
      <c r="A841" s="5988"/>
      <c r="B841" s="5988"/>
      <c r="C841" s="1030" t="s">
        <v>10331</v>
      </c>
      <c r="D841" s="834" t="str">
        <f>D840</f>
        <v>Coelo Ruinam</v>
      </c>
      <c r="E841" s="479">
        <v>1</v>
      </c>
      <c r="F841" s="479">
        <v>30</v>
      </c>
      <c r="G841" s="1965">
        <f t="shared" si="34"/>
        <v>30</v>
      </c>
      <c r="H841" s="1964" t="s">
        <v>10335</v>
      </c>
      <c r="I841" s="1964" t="s">
        <v>10363</v>
      </c>
      <c r="J841" s="1964"/>
      <c r="K841" s="1964"/>
      <c r="L841" s="1964"/>
      <c r="M841" s="2095">
        <f t="shared" si="37"/>
        <v>0</v>
      </c>
      <c r="N841" s="2079" t="s">
        <v>10359</v>
      </c>
      <c r="O841" s="2079" t="s">
        <v>10358</v>
      </c>
      <c r="P841" s="2079"/>
      <c r="Q841" s="2079"/>
      <c r="R841" s="2079"/>
      <c r="S841" s="2088"/>
      <c r="U841" s="91" t="s">
        <v>1606</v>
      </c>
      <c r="V841" s="227">
        <v>2</v>
      </c>
    </row>
    <row r="842" spans="1:22" ht="12" customHeight="1" x14ac:dyDescent="0.2">
      <c r="A842" s="5988"/>
      <c r="B842" s="5988"/>
      <c r="C842" s="1030" t="s">
        <v>10332</v>
      </c>
      <c r="D842" s="834" t="str">
        <f>D841</f>
        <v>Coelo Ruinam</v>
      </c>
      <c r="E842" s="479">
        <v>2</v>
      </c>
      <c r="F842" s="479">
        <v>45</v>
      </c>
      <c r="G842" s="1965">
        <f t="shared" si="34"/>
        <v>45</v>
      </c>
      <c r="H842" s="1964" t="s">
        <v>10336</v>
      </c>
      <c r="I842" s="1964" t="s">
        <v>10372</v>
      </c>
      <c r="J842" s="1964"/>
      <c r="K842" s="1964"/>
      <c r="L842" s="1964"/>
      <c r="M842" s="2095">
        <f t="shared" si="37"/>
        <v>0</v>
      </c>
      <c r="N842" s="2079" t="s">
        <v>9543</v>
      </c>
      <c r="O842" s="2079" t="s">
        <v>9556</v>
      </c>
      <c r="P842" s="2079" t="s">
        <v>7537</v>
      </c>
      <c r="Q842" s="2079"/>
      <c r="R842" s="2079"/>
      <c r="S842" s="2088"/>
      <c r="U842" s="91" t="s">
        <v>1610</v>
      </c>
      <c r="V842" s="227">
        <v>3</v>
      </c>
    </row>
    <row r="843" spans="1:22" ht="12" customHeight="1" x14ac:dyDescent="0.2">
      <c r="A843" s="5988"/>
      <c r="B843" s="5988"/>
      <c r="C843" s="1030" t="s">
        <v>10333</v>
      </c>
      <c r="D843" s="834" t="str">
        <f>D842</f>
        <v>Coelo Ruinam</v>
      </c>
      <c r="E843" s="479">
        <v>2</v>
      </c>
      <c r="F843" s="479">
        <v>65</v>
      </c>
      <c r="G843" s="1965">
        <f t="shared" si="34"/>
        <v>65</v>
      </c>
      <c r="H843" s="1964" t="s">
        <v>10337</v>
      </c>
      <c r="I843" s="1964" t="s">
        <v>10364</v>
      </c>
      <c r="J843" s="1964"/>
      <c r="K843" s="1964"/>
      <c r="L843" s="1964"/>
      <c r="M843" s="2095">
        <f t="shared" si="37"/>
        <v>0</v>
      </c>
      <c r="N843" s="2079" t="s">
        <v>10360</v>
      </c>
      <c r="O843" s="2079" t="s">
        <v>7537</v>
      </c>
      <c r="P843" s="2079"/>
      <c r="Q843" s="2079"/>
      <c r="R843" s="2079"/>
      <c r="S843" s="2088"/>
      <c r="U843" s="91" t="s">
        <v>1704</v>
      </c>
      <c r="V843" s="227">
        <v>4</v>
      </c>
    </row>
    <row r="844" spans="1:22" ht="12" customHeight="1" x14ac:dyDescent="0.2">
      <c r="A844" s="5988"/>
      <c r="B844" s="5988"/>
      <c r="C844" s="1030" t="s">
        <v>10334</v>
      </c>
      <c r="D844" s="834" t="str">
        <f>D843</f>
        <v>Coelo Ruinam</v>
      </c>
      <c r="E844" s="479">
        <v>3</v>
      </c>
      <c r="F844" s="479">
        <v>70</v>
      </c>
      <c r="G844" s="1965">
        <f t="shared" si="34"/>
        <v>70</v>
      </c>
      <c r="H844" s="1964" t="s">
        <v>10338</v>
      </c>
      <c r="I844" s="1964" t="s">
        <v>10373</v>
      </c>
      <c r="J844" s="1964"/>
      <c r="K844" s="1964"/>
      <c r="L844" s="1964"/>
      <c r="M844" s="2095">
        <f t="shared" si="37"/>
        <v>0</v>
      </c>
      <c r="N844" s="2079" t="s">
        <v>9543</v>
      </c>
      <c r="O844" s="2079" t="s">
        <v>9549</v>
      </c>
      <c r="P844" s="2079"/>
      <c r="Q844" s="2079"/>
      <c r="R844" s="2079"/>
      <c r="S844" s="2088"/>
      <c r="U844" s="91" t="s">
        <v>1699</v>
      </c>
      <c r="V844" s="227">
        <v>5</v>
      </c>
    </row>
    <row r="845" spans="1:22" ht="12" customHeight="1" x14ac:dyDescent="0.2">
      <c r="A845" s="5988"/>
      <c r="B845" s="5988"/>
      <c r="C845" s="1030" t="s">
        <v>10339</v>
      </c>
      <c r="D845" s="834"/>
      <c r="E845" s="479"/>
      <c r="F845" s="479"/>
      <c r="G845" s="1965" t="str">
        <f t="shared" si="34"/>
        <v/>
      </c>
      <c r="H845" s="1964"/>
      <c r="I845" s="1964"/>
      <c r="J845" s="1964"/>
      <c r="K845" s="1964"/>
      <c r="L845" s="1964"/>
      <c r="M845" s="2095" t="str">
        <f t="shared" si="37"/>
        <v/>
      </c>
      <c r="N845" s="2079"/>
      <c r="O845" s="2079"/>
      <c r="P845" s="2079"/>
      <c r="Q845" s="2079"/>
      <c r="R845" s="2079"/>
      <c r="S845" s="2088"/>
      <c r="U845" s="91" t="s">
        <v>1700</v>
      </c>
      <c r="V845" s="227">
        <v>6</v>
      </c>
    </row>
    <row r="846" spans="1:22" ht="12" customHeight="1" x14ac:dyDescent="0.2">
      <c r="A846" s="5988"/>
      <c r="B846" s="5988"/>
      <c r="C846" s="1030" t="s">
        <v>10340</v>
      </c>
      <c r="D846" s="834" t="str">
        <f>PROPER(MID(C845,3,100))</f>
        <v>Solomon Imperus</v>
      </c>
      <c r="E846" s="479">
        <v>1</v>
      </c>
      <c r="F846" s="479">
        <v>30</v>
      </c>
      <c r="G846" s="1965">
        <f t="shared" si="34"/>
        <v>30</v>
      </c>
      <c r="H846" s="1964" t="s">
        <v>10341</v>
      </c>
      <c r="I846" s="2896" t="s">
        <v>10370</v>
      </c>
      <c r="J846" s="1964" t="s">
        <v>10342</v>
      </c>
      <c r="K846" s="1964"/>
      <c r="L846" s="1964"/>
      <c r="M846" s="2095">
        <f t="shared" si="37"/>
        <v>0</v>
      </c>
      <c r="N846" s="2079" t="s">
        <v>9543</v>
      </c>
      <c r="O846" s="2079" t="s">
        <v>7537</v>
      </c>
      <c r="P846" s="2079"/>
      <c r="Q846" s="2079"/>
      <c r="R846" s="2079"/>
      <c r="S846" s="2088"/>
    </row>
    <row r="847" spans="1:22" ht="12" customHeight="1" x14ac:dyDescent="0.2">
      <c r="A847" s="5988"/>
      <c r="B847" s="5988"/>
      <c r="C847" s="1030" t="s">
        <v>10343</v>
      </c>
      <c r="D847" s="834"/>
      <c r="E847" s="479"/>
      <c r="F847" s="479"/>
      <c r="G847" s="1965" t="str">
        <f t="shared" si="34"/>
        <v/>
      </c>
      <c r="H847" s="1964"/>
      <c r="I847" s="1964"/>
      <c r="J847" s="1964"/>
      <c r="K847" s="1964"/>
      <c r="L847" s="1964"/>
      <c r="M847" s="2095" t="str">
        <f t="shared" si="37"/>
        <v/>
      </c>
      <c r="N847" s="2079"/>
      <c r="O847" s="2079"/>
      <c r="P847" s="2079"/>
      <c r="Q847" s="2079"/>
      <c r="R847" s="2079"/>
      <c r="S847" s="2088"/>
    </row>
    <row r="848" spans="1:22" ht="12" customHeight="1" x14ac:dyDescent="0.2">
      <c r="A848" s="5988"/>
      <c r="B848" s="5988"/>
      <c r="C848" s="1030" t="s">
        <v>10344</v>
      </c>
      <c r="D848" s="834" t="str">
        <f>PROPER(MID(C847,3,100))</f>
        <v>Estilo De La Familia Vilfain</v>
      </c>
      <c r="E848" s="479">
        <v>1</v>
      </c>
      <c r="F848" s="479">
        <v>45</v>
      </c>
      <c r="G848" s="1965">
        <f t="shared" si="34"/>
        <v>45</v>
      </c>
      <c r="H848" s="1964" t="s">
        <v>10345</v>
      </c>
      <c r="I848" s="1964" t="s">
        <v>10369</v>
      </c>
      <c r="J848" s="1964"/>
      <c r="K848" s="1964"/>
      <c r="L848" s="1964"/>
      <c r="M848" s="2095">
        <f t="shared" si="37"/>
        <v>0</v>
      </c>
      <c r="N848" s="2079" t="s">
        <v>9543</v>
      </c>
      <c r="O848" s="2079" t="s">
        <v>7537</v>
      </c>
      <c r="P848" s="2079" t="s">
        <v>9558</v>
      </c>
      <c r="Q848" s="2079"/>
      <c r="R848" s="2079"/>
      <c r="S848" s="2088"/>
    </row>
    <row r="849" spans="1:19" ht="12" customHeight="1" x14ac:dyDescent="0.2">
      <c r="A849" s="5988"/>
      <c r="B849" s="5988"/>
      <c r="C849" s="1030" t="s">
        <v>10346</v>
      </c>
      <c r="D849" s="834"/>
      <c r="E849" s="479"/>
      <c r="F849" s="479"/>
      <c r="G849" s="1965" t="str">
        <f t="shared" si="34"/>
        <v/>
      </c>
      <c r="H849" s="1964"/>
      <c r="I849" s="1964"/>
      <c r="J849" s="1964"/>
      <c r="K849" s="1964"/>
      <c r="L849" s="1964"/>
      <c r="M849" s="2095" t="str">
        <f t="shared" si="37"/>
        <v/>
      </c>
      <c r="N849" s="2079"/>
      <c r="O849" s="2079"/>
      <c r="P849" s="2079"/>
      <c r="Q849" s="2079"/>
      <c r="R849" s="2079"/>
      <c r="S849" s="2088"/>
    </row>
    <row r="850" spans="1:19" ht="12" customHeight="1" x14ac:dyDescent="0.2">
      <c r="A850" s="5988"/>
      <c r="B850" s="5988"/>
      <c r="C850" s="1030" t="s">
        <v>10347</v>
      </c>
      <c r="D850" s="834" t="str">
        <f>PROPER(MID(C849,3,100))</f>
        <v>El Arte</v>
      </c>
      <c r="E850" s="479">
        <v>1</v>
      </c>
      <c r="F850" s="479">
        <v>20</v>
      </c>
      <c r="G850" s="1965">
        <f t="shared" si="34"/>
        <v>20</v>
      </c>
      <c r="H850" s="1964" t="s">
        <v>10352</v>
      </c>
      <c r="I850" s="1964" t="s">
        <v>10362</v>
      </c>
      <c r="J850" s="1964" t="s">
        <v>10357</v>
      </c>
      <c r="K850" s="1964"/>
      <c r="L850" s="1964"/>
      <c r="M850" s="2095">
        <f t="shared" si="37"/>
        <v>0</v>
      </c>
      <c r="N850" s="2079" t="s">
        <v>9543</v>
      </c>
      <c r="O850" s="2079"/>
      <c r="P850" s="2079"/>
      <c r="Q850" s="2079"/>
      <c r="R850" s="2079"/>
      <c r="S850" s="2088"/>
    </row>
    <row r="851" spans="1:19" ht="12" customHeight="1" x14ac:dyDescent="0.2">
      <c r="A851" s="5988"/>
      <c r="B851" s="5988"/>
      <c r="C851" s="1030" t="s">
        <v>10348</v>
      </c>
      <c r="D851" s="834" t="str">
        <f>D850</f>
        <v>El Arte</v>
      </c>
      <c r="E851" s="479">
        <v>1</v>
      </c>
      <c r="F851" s="479">
        <v>25</v>
      </c>
      <c r="G851" s="1965">
        <f t="shared" si="34"/>
        <v>25</v>
      </c>
      <c r="H851" s="1964" t="s">
        <v>10353</v>
      </c>
      <c r="I851" s="2896" t="s">
        <v>10368</v>
      </c>
      <c r="J851" s="1964" t="s">
        <v>10357</v>
      </c>
      <c r="K851" s="1964"/>
      <c r="L851" s="1964"/>
      <c r="M851" s="2095">
        <f t="shared" si="37"/>
        <v>0</v>
      </c>
      <c r="N851" s="2079" t="s">
        <v>10359</v>
      </c>
      <c r="O851" s="2079" t="s">
        <v>9557</v>
      </c>
      <c r="P851" s="2079"/>
      <c r="Q851" s="2079"/>
      <c r="R851" s="2079"/>
      <c r="S851" s="2088"/>
    </row>
    <row r="852" spans="1:19" ht="12" customHeight="1" x14ac:dyDescent="0.2">
      <c r="A852" s="5988"/>
      <c r="B852" s="5988"/>
      <c r="C852" s="1030" t="s">
        <v>10349</v>
      </c>
      <c r="D852" s="834" t="str">
        <f>D851</f>
        <v>El Arte</v>
      </c>
      <c r="E852" s="479">
        <v>2</v>
      </c>
      <c r="F852" s="479">
        <v>50</v>
      </c>
      <c r="G852" s="1965">
        <f t="shared" si="34"/>
        <v>50</v>
      </c>
      <c r="H852" s="1964" t="s">
        <v>10354</v>
      </c>
      <c r="I852" s="1964" t="s">
        <v>10371</v>
      </c>
      <c r="J852" s="1964" t="s">
        <v>10357</v>
      </c>
      <c r="K852" s="1964"/>
      <c r="L852" s="1964"/>
      <c r="M852" s="2095">
        <f t="shared" si="37"/>
        <v>0</v>
      </c>
      <c r="N852" s="2079" t="s">
        <v>9543</v>
      </c>
      <c r="O852" s="2079" t="s">
        <v>9544</v>
      </c>
      <c r="P852" s="2079"/>
      <c r="Q852" s="2079"/>
      <c r="R852" s="2079"/>
      <c r="S852" s="2088"/>
    </row>
    <row r="853" spans="1:19" ht="12" customHeight="1" x14ac:dyDescent="0.2">
      <c r="A853" s="5988"/>
      <c r="B853" s="5988"/>
      <c r="C853" s="1030" t="s">
        <v>10350</v>
      </c>
      <c r="D853" s="834" t="str">
        <f>D852</f>
        <v>El Arte</v>
      </c>
      <c r="E853" s="479">
        <v>2</v>
      </c>
      <c r="F853" s="479">
        <v>65</v>
      </c>
      <c r="G853" s="1965">
        <f t="shared" si="34"/>
        <v>65</v>
      </c>
      <c r="H853" s="1964" t="s">
        <v>10355</v>
      </c>
      <c r="I853" s="1964" t="s">
        <v>10367</v>
      </c>
      <c r="J853" s="1964" t="s">
        <v>10357</v>
      </c>
      <c r="K853" s="1964"/>
      <c r="L853" s="1964"/>
      <c r="M853" s="2095">
        <f t="shared" si="37"/>
        <v>0</v>
      </c>
      <c r="N853" s="2079" t="s">
        <v>10361</v>
      </c>
      <c r="O853" s="2079" t="s">
        <v>9543</v>
      </c>
      <c r="P853" s="2079" t="s">
        <v>10360</v>
      </c>
      <c r="Q853" s="2079"/>
      <c r="R853" s="2079"/>
      <c r="S853" s="2088"/>
    </row>
    <row r="854" spans="1:19" ht="12" customHeight="1" thickBot="1" x14ac:dyDescent="0.25">
      <c r="A854" s="5988"/>
      <c r="B854" s="5988"/>
      <c r="C854" s="1373" t="s">
        <v>10351</v>
      </c>
      <c r="D854" s="1966" t="str">
        <f>D853</f>
        <v>El Arte</v>
      </c>
      <c r="E854" s="520">
        <v>3</v>
      </c>
      <c r="F854" s="520">
        <v>100</v>
      </c>
      <c r="G854" s="2089">
        <f t="shared" si="34"/>
        <v>100</v>
      </c>
      <c r="H854" s="2090" t="s">
        <v>10356</v>
      </c>
      <c r="I854" s="2090" t="s">
        <v>10366</v>
      </c>
      <c r="J854" s="2090" t="s">
        <v>10357</v>
      </c>
      <c r="K854" s="2090"/>
      <c r="L854" s="2090"/>
      <c r="M854" s="2096">
        <f t="shared" si="37"/>
        <v>0</v>
      </c>
      <c r="N854" s="2091" t="s">
        <v>9543</v>
      </c>
      <c r="O854" s="2091" t="s">
        <v>7538</v>
      </c>
      <c r="P854" s="2091"/>
      <c r="Q854" s="2091"/>
      <c r="R854" s="2091"/>
      <c r="S854" s="2092"/>
    </row>
  </sheetData>
  <sheetProtection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37" activePane="bottomRight" state="frozen"/>
      <selection pane="topRight" activeCell="D1" sqref="D1"/>
      <selection pane="bottomLeft" activeCell="A6" sqref="A6"/>
      <selection pane="bottomRight" activeCell="D646" sqref="D646"/>
    </sheetView>
  </sheetViews>
  <sheetFormatPr baseColWidth="10" defaultColWidth="11.42578125" defaultRowHeight="12.75" x14ac:dyDescent="0.2"/>
  <cols>
    <col min="1" max="1" width="2" style="222" customWidth="1"/>
    <col min="2" max="3" width="9.42578125" style="251" customWidth="1"/>
    <col min="4" max="4" width="26.7109375" style="357" bestFit="1" customWidth="1"/>
    <col min="5" max="5" width="9.42578125" style="357" customWidth="1"/>
    <col min="6" max="6" width="9.42578125" style="358" customWidth="1"/>
    <col min="7" max="9" width="9.42578125" style="359" customWidth="1"/>
    <col min="10" max="26" width="9.42578125" style="357" customWidth="1"/>
    <col min="27" max="16384" width="11.42578125" style="357"/>
  </cols>
  <sheetData>
    <row r="1" spans="1:27" ht="12.75" customHeight="1" thickBot="1" x14ac:dyDescent="0.25"/>
    <row r="2" spans="1:27" ht="12.75" customHeight="1" x14ac:dyDescent="0.2">
      <c r="B2" s="801"/>
      <c r="C2" s="801"/>
      <c r="D2" s="6348"/>
      <c r="E2" s="6348"/>
      <c r="F2" s="6348"/>
      <c r="G2" s="6348"/>
      <c r="H2" s="6348"/>
      <c r="I2" s="6348"/>
      <c r="J2" s="6348"/>
      <c r="K2" s="6348"/>
      <c r="L2" s="6348"/>
      <c r="M2" s="6348"/>
      <c r="N2" s="6348"/>
      <c r="O2" s="6348"/>
      <c r="P2" s="6348"/>
      <c r="Q2" s="6348"/>
      <c r="R2" s="6348"/>
      <c r="S2" s="6348"/>
      <c r="T2" s="6348"/>
      <c r="U2" s="6348"/>
      <c r="V2" s="6348"/>
      <c r="W2" s="6348"/>
      <c r="X2" s="6348"/>
      <c r="Y2" s="6348"/>
      <c r="Z2" s="6348"/>
      <c r="AA2" s="6349"/>
    </row>
    <row r="3" spans="1:27" ht="12.75" customHeight="1" x14ac:dyDescent="0.2">
      <c r="B3" s="801"/>
      <c r="C3" s="801"/>
      <c r="D3" s="6361"/>
      <c r="E3" s="6361"/>
      <c r="F3" s="6361"/>
      <c r="G3" s="6361"/>
      <c r="H3" s="6361"/>
      <c r="I3" s="6361"/>
      <c r="J3" s="6361"/>
      <c r="K3" s="6361"/>
      <c r="L3" s="6361"/>
      <c r="M3" s="6361"/>
      <c r="N3" s="6361"/>
      <c r="O3" s="6361"/>
      <c r="P3" s="6361"/>
      <c r="Q3" s="6361"/>
      <c r="R3" s="6361"/>
      <c r="S3" s="6361"/>
      <c r="T3" s="6361"/>
      <c r="U3" s="6361"/>
      <c r="V3" s="6361"/>
      <c r="W3" s="6361"/>
      <c r="X3" s="6361"/>
      <c r="Y3" s="6361"/>
      <c r="Z3" s="6361"/>
      <c r="AA3" s="6352"/>
    </row>
    <row r="4" spans="1:27" ht="12.75" customHeight="1" x14ac:dyDescent="0.2">
      <c r="B4" s="801"/>
      <c r="C4" s="801"/>
      <c r="D4" s="2956">
        <v>1</v>
      </c>
      <c r="E4" s="2956">
        <v>2</v>
      </c>
      <c r="F4" s="2956">
        <v>3</v>
      </c>
      <c r="G4" s="2956">
        <v>4</v>
      </c>
      <c r="H4" s="2956">
        <v>5</v>
      </c>
      <c r="I4" s="2956">
        <v>6</v>
      </c>
      <c r="J4" s="2956">
        <v>7</v>
      </c>
      <c r="K4" s="2956">
        <v>8</v>
      </c>
      <c r="L4" s="2956">
        <v>9</v>
      </c>
      <c r="M4" s="2952">
        <v>10</v>
      </c>
      <c r="N4" s="2952">
        <v>11</v>
      </c>
      <c r="O4" s="2952">
        <v>12</v>
      </c>
      <c r="P4" s="2952">
        <v>13</v>
      </c>
      <c r="Q4" s="2952">
        <v>14</v>
      </c>
      <c r="R4" s="2952">
        <v>15</v>
      </c>
      <c r="S4" s="2952">
        <v>16</v>
      </c>
      <c r="T4" s="2952">
        <v>17</v>
      </c>
      <c r="U4" s="2952">
        <v>18</v>
      </c>
      <c r="V4" s="2952">
        <v>19</v>
      </c>
      <c r="W4" s="2952">
        <v>20</v>
      </c>
      <c r="X4" s="2952">
        <v>21</v>
      </c>
      <c r="Y4" s="2952">
        <v>22</v>
      </c>
      <c r="Z4" s="2952">
        <v>23</v>
      </c>
      <c r="AA4" s="364">
        <v>24</v>
      </c>
    </row>
    <row r="5" spans="1:27" ht="12.75" customHeight="1" thickBot="1" x14ac:dyDescent="0.25">
      <c r="D5" s="367" t="s">
        <v>1694</v>
      </c>
      <c r="E5" s="367" t="s">
        <v>1695</v>
      </c>
      <c r="F5" s="367" t="s">
        <v>1403</v>
      </c>
      <c r="G5" s="367" t="s">
        <v>3184</v>
      </c>
      <c r="H5" s="367" t="s">
        <v>1399</v>
      </c>
      <c r="I5" s="367" t="s">
        <v>2820</v>
      </c>
      <c r="J5" s="367" t="s">
        <v>3185</v>
      </c>
      <c r="K5" s="367" t="s">
        <v>3186</v>
      </c>
      <c r="L5" s="367" t="s">
        <v>3187</v>
      </c>
      <c r="M5" s="367" t="s">
        <v>3188</v>
      </c>
      <c r="N5" s="367" t="s">
        <v>3189</v>
      </c>
      <c r="O5" s="367" t="s">
        <v>3190</v>
      </c>
      <c r="P5" s="367" t="s">
        <v>3191</v>
      </c>
      <c r="Q5" s="367" t="s">
        <v>3192</v>
      </c>
      <c r="R5" s="367" t="s">
        <v>3193</v>
      </c>
      <c r="S5" s="367" t="s">
        <v>3194</v>
      </c>
      <c r="T5" s="367" t="s">
        <v>3195</v>
      </c>
      <c r="U5" s="367" t="s">
        <v>3196</v>
      </c>
      <c r="V5" s="2953" t="s">
        <v>1365</v>
      </c>
      <c r="W5" s="2953" t="s">
        <v>3197</v>
      </c>
      <c r="X5" s="2953" t="s">
        <v>3198</v>
      </c>
      <c r="Y5" s="2953" t="s">
        <v>3199</v>
      </c>
      <c r="Z5" s="2953" t="s">
        <v>1234</v>
      </c>
      <c r="AA5" s="294" t="s">
        <v>10425</v>
      </c>
    </row>
    <row r="6" spans="1:27" ht="12.75" customHeight="1" x14ac:dyDescent="0.2">
      <c r="A6" s="6360"/>
      <c r="D6" s="272" t="s">
        <v>238</v>
      </c>
      <c r="E6" s="2957"/>
      <c r="F6" s="2957"/>
      <c r="G6" s="2958"/>
      <c r="H6" s="2958"/>
      <c r="I6" s="372"/>
      <c r="J6" s="2957"/>
      <c r="K6" s="2957"/>
      <c r="L6" s="2957"/>
      <c r="M6" s="373"/>
      <c r="N6" s="2957"/>
      <c r="O6" s="2957"/>
      <c r="P6" s="2957"/>
      <c r="Q6" s="373"/>
      <c r="R6" s="2957"/>
      <c r="S6" s="2957"/>
      <c r="T6" s="2959"/>
      <c r="U6" s="374"/>
      <c r="V6" s="2954"/>
      <c r="W6" s="2954"/>
      <c r="X6" s="2954"/>
      <c r="Y6" s="2954"/>
      <c r="Z6" s="2954"/>
      <c r="AA6" s="375"/>
    </row>
    <row r="7" spans="1:27" ht="12.75" customHeight="1" x14ac:dyDescent="0.2">
      <c r="A7" s="6360"/>
      <c r="B7" s="251" t="str">
        <f>E7&amp;F7</f>
        <v>Luz2</v>
      </c>
      <c r="D7" s="272" t="s">
        <v>240</v>
      </c>
      <c r="E7" s="2957" t="s">
        <v>1699</v>
      </c>
      <c r="F7" s="2957">
        <v>2</v>
      </c>
      <c r="G7" s="2958" t="s">
        <v>2088</v>
      </c>
      <c r="H7" s="2958" t="s">
        <v>1234</v>
      </c>
      <c r="I7" s="372" t="s">
        <v>1304</v>
      </c>
      <c r="J7" s="2957">
        <v>5</v>
      </c>
      <c r="K7" s="2957">
        <v>8</v>
      </c>
      <c r="L7" s="2957">
        <v>10</v>
      </c>
      <c r="M7" s="373">
        <v>12</v>
      </c>
      <c r="N7" s="2957">
        <v>20</v>
      </c>
      <c r="O7" s="2957">
        <v>50</v>
      </c>
      <c r="P7" s="2957">
        <v>100</v>
      </c>
      <c r="Q7" s="373">
        <v>200</v>
      </c>
      <c r="R7" s="2957">
        <v>5</v>
      </c>
      <c r="S7" s="2957">
        <v>5</v>
      </c>
      <c r="T7" s="2959">
        <v>10</v>
      </c>
      <c r="U7" s="377">
        <v>15</v>
      </c>
      <c r="V7" s="2954" t="s">
        <v>3200</v>
      </c>
      <c r="W7" s="2954" t="s">
        <v>3201</v>
      </c>
      <c r="X7" s="2954" t="s">
        <v>3202</v>
      </c>
      <c r="Y7" s="2954" t="s">
        <v>3203</v>
      </c>
      <c r="Z7" s="2954" t="s">
        <v>3204</v>
      </c>
      <c r="AA7" s="375"/>
    </row>
    <row r="8" spans="1:27" ht="12.75" customHeight="1" x14ac:dyDescent="0.2">
      <c r="A8" s="6360"/>
      <c r="B8" s="251" t="str">
        <f t="shared" ref="B8:B71" si="0">E8&amp;F8</f>
        <v>Luz6</v>
      </c>
      <c r="D8" s="272" t="s">
        <v>255</v>
      </c>
      <c r="E8" s="2957" t="s">
        <v>1699</v>
      </c>
      <c r="F8" s="2957">
        <v>6</v>
      </c>
      <c r="G8" s="2958" t="s">
        <v>1381</v>
      </c>
      <c r="H8" s="2958" t="s">
        <v>1233</v>
      </c>
      <c r="I8" s="372" t="s">
        <v>1304</v>
      </c>
      <c r="J8" s="2957">
        <v>5</v>
      </c>
      <c r="K8" s="2957">
        <v>8</v>
      </c>
      <c r="L8" s="2957">
        <v>11</v>
      </c>
      <c r="M8" s="373">
        <v>14</v>
      </c>
      <c r="N8" s="2957">
        <v>40</v>
      </c>
      <c r="O8" s="2957">
        <v>80</v>
      </c>
      <c r="P8" s="2957">
        <v>120</v>
      </c>
      <c r="Q8" s="373">
        <v>160</v>
      </c>
      <c r="R8" s="2957" t="s">
        <v>1381</v>
      </c>
      <c r="S8" s="2957" t="s">
        <v>1381</v>
      </c>
      <c r="T8" s="2959" t="s">
        <v>1381</v>
      </c>
      <c r="U8" s="377" t="s">
        <v>1381</v>
      </c>
      <c r="V8" s="2954" t="s">
        <v>3205</v>
      </c>
      <c r="W8" s="2954" t="s">
        <v>3206</v>
      </c>
      <c r="X8" s="2954" t="s">
        <v>3207</v>
      </c>
      <c r="Y8" s="2954" t="s">
        <v>3208</v>
      </c>
      <c r="Z8" s="2954" t="s">
        <v>3209</v>
      </c>
      <c r="AA8" s="375"/>
    </row>
    <row r="9" spans="1:27" ht="12.75" customHeight="1" x14ac:dyDescent="0.2">
      <c r="A9" s="6360"/>
      <c r="B9" s="251" t="str">
        <f t="shared" si="0"/>
        <v>Luz8</v>
      </c>
      <c r="D9" s="272" t="s">
        <v>256</v>
      </c>
      <c r="E9" s="2957" t="s">
        <v>1699</v>
      </c>
      <c r="F9" s="2957">
        <v>8</v>
      </c>
      <c r="G9" s="2958" t="s">
        <v>1381</v>
      </c>
      <c r="H9" s="2958" t="s">
        <v>3210</v>
      </c>
      <c r="I9" s="372" t="s">
        <v>1304</v>
      </c>
      <c r="J9" s="2957">
        <v>6</v>
      </c>
      <c r="K9" s="2957">
        <v>9</v>
      </c>
      <c r="L9" s="2957">
        <v>11</v>
      </c>
      <c r="M9" s="373">
        <v>14</v>
      </c>
      <c r="N9" s="2957">
        <v>50</v>
      </c>
      <c r="O9" s="2957">
        <v>100</v>
      </c>
      <c r="P9" s="2957">
        <v>150</v>
      </c>
      <c r="Q9" s="373">
        <v>200</v>
      </c>
      <c r="R9" s="2957" t="s">
        <v>1381</v>
      </c>
      <c r="S9" s="2957" t="s">
        <v>1381</v>
      </c>
      <c r="T9" s="2959" t="s">
        <v>1381</v>
      </c>
      <c r="U9" s="377" t="s">
        <v>1381</v>
      </c>
      <c r="V9" s="2954" t="s">
        <v>3211</v>
      </c>
      <c r="W9" s="2954" t="s">
        <v>3212</v>
      </c>
      <c r="X9" s="2954" t="s">
        <v>3213</v>
      </c>
      <c r="Y9" s="2954" t="s">
        <v>3214</v>
      </c>
      <c r="Z9" s="2954" t="s">
        <v>3215</v>
      </c>
      <c r="AA9" s="375"/>
    </row>
    <row r="10" spans="1:27" ht="12.75" customHeight="1" x14ac:dyDescent="0.2">
      <c r="A10" s="6360"/>
      <c r="B10" s="251" t="str">
        <f t="shared" si="0"/>
        <v>Luz10</v>
      </c>
      <c r="D10" s="272" t="s">
        <v>257</v>
      </c>
      <c r="E10" s="2957" t="s">
        <v>1699</v>
      </c>
      <c r="F10" s="2957">
        <v>10</v>
      </c>
      <c r="G10" s="2958" t="s">
        <v>1381</v>
      </c>
      <c r="H10" s="2958" t="s">
        <v>1565</v>
      </c>
      <c r="I10" s="372" t="s">
        <v>1305</v>
      </c>
      <c r="J10" s="2957">
        <v>6</v>
      </c>
      <c r="K10" s="2957">
        <v>8</v>
      </c>
      <c r="L10" s="2957">
        <v>10</v>
      </c>
      <c r="M10" s="373">
        <v>14</v>
      </c>
      <c r="N10" s="2957">
        <v>50</v>
      </c>
      <c r="O10" s="2957">
        <v>120</v>
      </c>
      <c r="P10" s="2957">
        <v>180</v>
      </c>
      <c r="Q10" s="373">
        <v>250</v>
      </c>
      <c r="R10" s="2957">
        <v>5</v>
      </c>
      <c r="S10" s="2957">
        <v>15</v>
      </c>
      <c r="T10" s="2959">
        <v>20</v>
      </c>
      <c r="U10" s="377">
        <v>25</v>
      </c>
      <c r="V10" s="2954" t="s">
        <v>3216</v>
      </c>
      <c r="W10" s="2954" t="s">
        <v>3217</v>
      </c>
      <c r="X10" s="2954" t="s">
        <v>3218</v>
      </c>
      <c r="Y10" s="2954" t="s">
        <v>3219</v>
      </c>
      <c r="Z10" s="2954" t="s">
        <v>3220</v>
      </c>
      <c r="AA10" s="375"/>
    </row>
    <row r="11" spans="1:27" ht="12.75" customHeight="1" x14ac:dyDescent="0.2">
      <c r="A11" s="6360"/>
      <c r="B11" s="251" t="str">
        <f t="shared" si="0"/>
        <v>Luz12</v>
      </c>
      <c r="D11" s="272" t="s">
        <v>258</v>
      </c>
      <c r="E11" s="2957" t="s">
        <v>1699</v>
      </c>
      <c r="F11" s="2957">
        <v>12</v>
      </c>
      <c r="G11" s="2958" t="s">
        <v>1381</v>
      </c>
      <c r="H11" s="2958" t="s">
        <v>1234</v>
      </c>
      <c r="I11" s="372" t="s">
        <v>1304</v>
      </c>
      <c r="J11" s="2957">
        <v>6</v>
      </c>
      <c r="K11" s="2957">
        <v>9</v>
      </c>
      <c r="L11" s="2957">
        <v>12</v>
      </c>
      <c r="M11" s="373">
        <v>14</v>
      </c>
      <c r="N11" s="2957">
        <v>50</v>
      </c>
      <c r="O11" s="2957">
        <v>150</v>
      </c>
      <c r="P11" s="2957">
        <v>200</v>
      </c>
      <c r="Q11" s="373">
        <v>250</v>
      </c>
      <c r="R11" s="2957">
        <v>5</v>
      </c>
      <c r="S11" s="2957">
        <v>15</v>
      </c>
      <c r="T11" s="2959">
        <v>20</v>
      </c>
      <c r="U11" s="377">
        <v>25</v>
      </c>
      <c r="V11" s="2954" t="s">
        <v>3221</v>
      </c>
      <c r="W11" s="2954" t="s">
        <v>3222</v>
      </c>
      <c r="X11" s="2954" t="s">
        <v>3223</v>
      </c>
      <c r="Y11" s="2954" t="s">
        <v>3224</v>
      </c>
      <c r="Z11" s="2954" t="s">
        <v>3225</v>
      </c>
      <c r="AA11" s="375"/>
    </row>
    <row r="12" spans="1:27" ht="12.75" customHeight="1" x14ac:dyDescent="0.2">
      <c r="A12" s="6360"/>
      <c r="B12" s="251" t="str">
        <f t="shared" si="0"/>
        <v>Luz16</v>
      </c>
      <c r="D12" s="272" t="s">
        <v>259</v>
      </c>
      <c r="E12" s="2957" t="s">
        <v>1699</v>
      </c>
      <c r="F12" s="2957">
        <v>16</v>
      </c>
      <c r="G12" s="2958" t="s">
        <v>1381</v>
      </c>
      <c r="H12" s="2958" t="s">
        <v>1234</v>
      </c>
      <c r="I12" s="372" t="s">
        <v>1304</v>
      </c>
      <c r="J12" s="2957">
        <v>6</v>
      </c>
      <c r="K12" s="2957">
        <v>9</v>
      </c>
      <c r="L12" s="2957">
        <v>12</v>
      </c>
      <c r="M12" s="373">
        <v>15</v>
      </c>
      <c r="N12" s="2957">
        <v>60</v>
      </c>
      <c r="O12" s="2957">
        <v>90</v>
      </c>
      <c r="P12" s="2957">
        <v>120</v>
      </c>
      <c r="Q12" s="373">
        <v>150</v>
      </c>
      <c r="R12" s="2957">
        <v>5</v>
      </c>
      <c r="S12" s="2957">
        <v>10</v>
      </c>
      <c r="T12" s="2959">
        <v>15</v>
      </c>
      <c r="U12" s="377">
        <v>20</v>
      </c>
      <c r="V12" s="2954" t="s">
        <v>3226</v>
      </c>
      <c r="W12" s="2954" t="s">
        <v>3227</v>
      </c>
      <c r="X12" s="2954" t="s">
        <v>3228</v>
      </c>
      <c r="Y12" s="2954" t="s">
        <v>3229</v>
      </c>
      <c r="Z12" s="2954" t="s">
        <v>3230</v>
      </c>
      <c r="AA12" s="375"/>
    </row>
    <row r="13" spans="1:27" ht="12.75" customHeight="1" x14ac:dyDescent="0.2">
      <c r="A13" s="6360"/>
      <c r="B13" s="251" t="str">
        <f t="shared" si="0"/>
        <v>Luz18</v>
      </c>
      <c r="D13" s="272" t="s">
        <v>260</v>
      </c>
      <c r="E13" s="2957" t="s">
        <v>1699</v>
      </c>
      <c r="F13" s="2957">
        <v>18</v>
      </c>
      <c r="G13" s="2958" t="s">
        <v>1381</v>
      </c>
      <c r="H13" s="2958" t="s">
        <v>1234</v>
      </c>
      <c r="I13" s="372" t="s">
        <v>1304</v>
      </c>
      <c r="J13" s="2957">
        <v>6</v>
      </c>
      <c r="K13" s="2957">
        <v>9</v>
      </c>
      <c r="L13" s="2957">
        <v>12</v>
      </c>
      <c r="M13" s="373">
        <v>15</v>
      </c>
      <c r="N13" s="2957">
        <v>60</v>
      </c>
      <c r="O13" s="2957">
        <v>100</v>
      </c>
      <c r="P13" s="2957">
        <v>150</v>
      </c>
      <c r="Q13" s="373">
        <v>250</v>
      </c>
      <c r="R13" s="2957">
        <v>10</v>
      </c>
      <c r="S13" s="2957">
        <v>10</v>
      </c>
      <c r="T13" s="2959">
        <v>15</v>
      </c>
      <c r="U13" s="377">
        <v>25</v>
      </c>
      <c r="V13" s="2954" t="s">
        <v>3231</v>
      </c>
      <c r="W13" s="2954" t="s">
        <v>3232</v>
      </c>
      <c r="X13" s="2954" t="s">
        <v>3233</v>
      </c>
      <c r="Y13" s="2954" t="s">
        <v>3234</v>
      </c>
      <c r="Z13" s="2954" t="s">
        <v>3235</v>
      </c>
      <c r="AA13" s="375"/>
    </row>
    <row r="14" spans="1:27" ht="12.75" customHeight="1" x14ac:dyDescent="0.2">
      <c r="A14" s="6360"/>
      <c r="B14" s="251" t="str">
        <f t="shared" si="0"/>
        <v>Luz20</v>
      </c>
      <c r="D14" s="272" t="s">
        <v>261</v>
      </c>
      <c r="E14" s="2957" t="s">
        <v>1699</v>
      </c>
      <c r="F14" s="2957">
        <v>20</v>
      </c>
      <c r="G14" s="2958" t="s">
        <v>1381</v>
      </c>
      <c r="H14" s="2958" t="s">
        <v>1236</v>
      </c>
      <c r="I14" s="372" t="s">
        <v>1304</v>
      </c>
      <c r="J14" s="2957">
        <v>6</v>
      </c>
      <c r="K14" s="2957">
        <v>9</v>
      </c>
      <c r="L14" s="2957">
        <v>12</v>
      </c>
      <c r="M14" s="373">
        <v>15</v>
      </c>
      <c r="N14" s="2957">
        <v>50</v>
      </c>
      <c r="O14" s="2957">
        <v>100</v>
      </c>
      <c r="P14" s="2957">
        <v>160</v>
      </c>
      <c r="Q14" s="373">
        <v>280</v>
      </c>
      <c r="R14" s="2957">
        <v>5</v>
      </c>
      <c r="S14" s="2957">
        <v>10</v>
      </c>
      <c r="T14" s="2959">
        <v>20</v>
      </c>
      <c r="U14" s="377">
        <v>30</v>
      </c>
      <c r="V14" s="2954" t="s">
        <v>3236</v>
      </c>
      <c r="W14" s="2954" t="s">
        <v>3237</v>
      </c>
      <c r="X14" s="2954" t="s">
        <v>3238</v>
      </c>
      <c r="Y14" s="2954" t="s">
        <v>3239</v>
      </c>
      <c r="Z14" s="2954" t="s">
        <v>3240</v>
      </c>
      <c r="AA14" s="375"/>
    </row>
    <row r="15" spans="1:27" ht="12.75" customHeight="1" x14ac:dyDescent="0.2">
      <c r="A15" s="6360"/>
      <c r="B15" s="251" t="str">
        <f t="shared" si="0"/>
        <v>Luz22</v>
      </c>
      <c r="D15" s="272" t="s">
        <v>262</v>
      </c>
      <c r="E15" s="2957" t="s">
        <v>1699</v>
      </c>
      <c r="F15" s="2957">
        <v>22</v>
      </c>
      <c r="G15" s="2958" t="s">
        <v>1381</v>
      </c>
      <c r="H15" s="2958" t="s">
        <v>1232</v>
      </c>
      <c r="I15" s="372" t="s">
        <v>1304</v>
      </c>
      <c r="J15" s="2957">
        <v>6</v>
      </c>
      <c r="K15" s="2957">
        <v>9</v>
      </c>
      <c r="L15" s="2957">
        <v>12</v>
      </c>
      <c r="M15" s="373">
        <v>15</v>
      </c>
      <c r="N15" s="2957">
        <v>50</v>
      </c>
      <c r="O15" s="2957">
        <v>90</v>
      </c>
      <c r="P15" s="2957">
        <v>120</v>
      </c>
      <c r="Q15" s="373">
        <v>150</v>
      </c>
      <c r="R15" s="2957" t="s">
        <v>1381</v>
      </c>
      <c r="S15" s="2957" t="s">
        <v>1381</v>
      </c>
      <c r="T15" s="2959" t="s">
        <v>1381</v>
      </c>
      <c r="U15" s="377" t="s">
        <v>1381</v>
      </c>
      <c r="V15" s="2954" t="s">
        <v>3241</v>
      </c>
      <c r="W15" s="2954" t="s">
        <v>3242</v>
      </c>
      <c r="X15" s="2954" t="s">
        <v>3243</v>
      </c>
      <c r="Y15" s="2954" t="s">
        <v>3244</v>
      </c>
      <c r="Z15" s="2954" t="s">
        <v>3245</v>
      </c>
      <c r="AA15" s="375"/>
    </row>
    <row r="16" spans="1:27" ht="12.75" customHeight="1" x14ac:dyDescent="0.2">
      <c r="A16" s="6360"/>
      <c r="B16" s="251" t="str">
        <f t="shared" si="0"/>
        <v>Luz26</v>
      </c>
      <c r="D16" s="272" t="s">
        <v>243</v>
      </c>
      <c r="E16" s="2957" t="s">
        <v>1699</v>
      </c>
      <c r="F16" s="2957">
        <v>26</v>
      </c>
      <c r="G16" s="2958" t="s">
        <v>1381</v>
      </c>
      <c r="H16" s="2958" t="s">
        <v>1234</v>
      </c>
      <c r="I16" s="372" t="s">
        <v>1304</v>
      </c>
      <c r="J16" s="2957">
        <v>6</v>
      </c>
      <c r="K16" s="2957">
        <v>9</v>
      </c>
      <c r="L16" s="2957">
        <v>12</v>
      </c>
      <c r="M16" s="373">
        <v>15</v>
      </c>
      <c r="N16" s="2957">
        <v>40</v>
      </c>
      <c r="O16" s="2957">
        <v>150</v>
      </c>
      <c r="P16" s="2957">
        <v>250</v>
      </c>
      <c r="Q16" s="373">
        <v>350</v>
      </c>
      <c r="R16" s="2957">
        <v>5</v>
      </c>
      <c r="S16" s="2957">
        <v>20</v>
      </c>
      <c r="T16" s="2959">
        <v>25</v>
      </c>
      <c r="U16" s="377">
        <v>30</v>
      </c>
      <c r="V16" s="2954" t="s">
        <v>3246</v>
      </c>
      <c r="W16" s="2954" t="s">
        <v>3247</v>
      </c>
      <c r="X16" s="2954" t="s">
        <v>3248</v>
      </c>
      <c r="Y16" s="2954" t="s">
        <v>3249</v>
      </c>
      <c r="Z16" s="2954" t="s">
        <v>3250</v>
      </c>
      <c r="AA16" s="375"/>
    </row>
    <row r="17" spans="1:27" ht="12.75" customHeight="1" x14ac:dyDescent="0.2">
      <c r="A17" s="6360"/>
      <c r="B17" s="251" t="str">
        <f t="shared" si="0"/>
        <v>Luz28</v>
      </c>
      <c r="D17" s="272" t="s">
        <v>263</v>
      </c>
      <c r="E17" s="2957" t="s">
        <v>1699</v>
      </c>
      <c r="F17" s="2957">
        <v>28</v>
      </c>
      <c r="G17" s="2958" t="s">
        <v>1381</v>
      </c>
      <c r="H17" s="2958" t="s">
        <v>1232</v>
      </c>
      <c r="I17" s="372" t="s">
        <v>1304</v>
      </c>
      <c r="J17" s="2957">
        <v>6</v>
      </c>
      <c r="K17" s="2957">
        <v>9</v>
      </c>
      <c r="L17" s="2957">
        <v>12</v>
      </c>
      <c r="M17" s="373">
        <v>15</v>
      </c>
      <c r="N17" s="2957">
        <v>60</v>
      </c>
      <c r="O17" s="2957">
        <v>100</v>
      </c>
      <c r="P17" s="2957">
        <v>140</v>
      </c>
      <c r="Q17" s="373">
        <v>180</v>
      </c>
      <c r="R17" s="2957">
        <v>10</v>
      </c>
      <c r="S17" s="2957">
        <v>10</v>
      </c>
      <c r="T17" s="2959">
        <v>15</v>
      </c>
      <c r="U17" s="377">
        <v>15</v>
      </c>
      <c r="V17" s="2954" t="s">
        <v>3251</v>
      </c>
      <c r="W17" s="2954" t="s">
        <v>3252</v>
      </c>
      <c r="X17" s="2954" t="s">
        <v>3253</v>
      </c>
      <c r="Y17" s="2954" t="s">
        <v>3254</v>
      </c>
      <c r="Z17" s="2954" t="s">
        <v>3255</v>
      </c>
      <c r="AA17" s="375"/>
    </row>
    <row r="18" spans="1:27" ht="12.75" customHeight="1" x14ac:dyDescent="0.2">
      <c r="A18" s="6360"/>
      <c r="B18" s="251" t="str">
        <f t="shared" si="0"/>
        <v>Luz30</v>
      </c>
      <c r="D18" s="272" t="s">
        <v>264</v>
      </c>
      <c r="E18" s="2957" t="s">
        <v>1699</v>
      </c>
      <c r="F18" s="2957">
        <v>30</v>
      </c>
      <c r="G18" s="2958" t="s">
        <v>1381</v>
      </c>
      <c r="H18" s="2958" t="s">
        <v>1234</v>
      </c>
      <c r="I18" s="372" t="s">
        <v>1304</v>
      </c>
      <c r="J18" s="2957">
        <v>6</v>
      </c>
      <c r="K18" s="2957">
        <v>9</v>
      </c>
      <c r="L18" s="2957">
        <v>12</v>
      </c>
      <c r="M18" s="373">
        <v>15</v>
      </c>
      <c r="N18" s="2957">
        <v>50</v>
      </c>
      <c r="O18" s="2957">
        <v>150</v>
      </c>
      <c r="P18" s="2957">
        <v>250</v>
      </c>
      <c r="Q18" s="373">
        <v>250</v>
      </c>
      <c r="R18" s="2957">
        <v>5</v>
      </c>
      <c r="S18" s="2957">
        <v>20</v>
      </c>
      <c r="T18" s="2959">
        <v>25</v>
      </c>
      <c r="U18" s="377">
        <v>30</v>
      </c>
      <c r="V18" s="2954" t="s">
        <v>3256</v>
      </c>
      <c r="W18" s="2954" t="s">
        <v>3257</v>
      </c>
      <c r="X18" s="2954" t="s">
        <v>3258</v>
      </c>
      <c r="Y18" s="2954" t="s">
        <v>3259</v>
      </c>
      <c r="Z18" s="2954" t="s">
        <v>3260</v>
      </c>
      <c r="AA18" s="375"/>
    </row>
    <row r="19" spans="1:27" ht="12.75" customHeight="1" x14ac:dyDescent="0.2">
      <c r="A19" s="6360"/>
      <c r="B19" s="251" t="str">
        <f t="shared" si="0"/>
        <v>Luz32</v>
      </c>
      <c r="D19" s="272" t="s">
        <v>265</v>
      </c>
      <c r="E19" s="2957" t="s">
        <v>1699</v>
      </c>
      <c r="F19" s="2957">
        <v>32</v>
      </c>
      <c r="G19" s="2958" t="s">
        <v>1381</v>
      </c>
      <c r="H19" s="2958" t="s">
        <v>1236</v>
      </c>
      <c r="I19" s="372" t="s">
        <v>1304</v>
      </c>
      <c r="J19" s="2957">
        <v>6</v>
      </c>
      <c r="K19" s="2957">
        <v>9</v>
      </c>
      <c r="L19" s="2957">
        <v>12</v>
      </c>
      <c r="M19" s="373">
        <v>15</v>
      </c>
      <c r="N19" s="2957">
        <v>60</v>
      </c>
      <c r="O19" s="2957">
        <v>100</v>
      </c>
      <c r="P19" s="2957">
        <v>150</v>
      </c>
      <c r="Q19" s="373">
        <v>300</v>
      </c>
      <c r="R19" s="2957">
        <v>5</v>
      </c>
      <c r="S19" s="2957">
        <v>10</v>
      </c>
      <c r="T19" s="2959">
        <v>15</v>
      </c>
      <c r="U19" s="377">
        <v>30</v>
      </c>
      <c r="V19" s="2954" t="s">
        <v>3261</v>
      </c>
      <c r="W19" s="2954" t="s">
        <v>3262</v>
      </c>
      <c r="X19" s="2954" t="s">
        <v>3263</v>
      </c>
      <c r="Y19" s="2954" t="s">
        <v>3264</v>
      </c>
      <c r="Z19" s="2954" t="s">
        <v>3265</v>
      </c>
      <c r="AA19" s="375"/>
    </row>
    <row r="20" spans="1:27" ht="12.75" customHeight="1" x14ac:dyDescent="0.2">
      <c r="A20" s="6360"/>
      <c r="B20" s="251" t="str">
        <f t="shared" si="0"/>
        <v>Luz36</v>
      </c>
      <c r="D20" s="272" t="s">
        <v>266</v>
      </c>
      <c r="E20" s="2957" t="s">
        <v>1699</v>
      </c>
      <c r="F20" s="2957">
        <v>36</v>
      </c>
      <c r="G20" s="2958" t="s">
        <v>2088</v>
      </c>
      <c r="H20" s="2958" t="s">
        <v>1234</v>
      </c>
      <c r="I20" s="372" t="s">
        <v>1304</v>
      </c>
      <c r="J20" s="2957">
        <v>6</v>
      </c>
      <c r="K20" s="2957">
        <v>9</v>
      </c>
      <c r="L20" s="2957">
        <v>12</v>
      </c>
      <c r="M20" s="373">
        <v>15</v>
      </c>
      <c r="N20" s="2957">
        <v>100</v>
      </c>
      <c r="O20" s="2957">
        <v>200</v>
      </c>
      <c r="P20" s="2957">
        <v>300</v>
      </c>
      <c r="Q20" s="373">
        <v>400</v>
      </c>
      <c r="R20" s="2957">
        <v>20</v>
      </c>
      <c r="S20" s="2957">
        <v>40</v>
      </c>
      <c r="T20" s="2959">
        <v>60</v>
      </c>
      <c r="U20" s="377">
        <v>80</v>
      </c>
      <c r="V20" s="2954" t="s">
        <v>3266</v>
      </c>
      <c r="W20" s="2954" t="s">
        <v>3267</v>
      </c>
      <c r="X20" s="2954" t="s">
        <v>3268</v>
      </c>
      <c r="Y20" s="2954" t="s">
        <v>3269</v>
      </c>
      <c r="Z20" s="2954" t="s">
        <v>3270</v>
      </c>
      <c r="AA20" s="375"/>
    </row>
    <row r="21" spans="1:27" ht="12.75" customHeight="1" x14ac:dyDescent="0.2">
      <c r="A21" s="6360"/>
      <c r="B21" s="251" t="str">
        <f t="shared" si="0"/>
        <v>Luz38</v>
      </c>
      <c r="D21" s="272" t="s">
        <v>267</v>
      </c>
      <c r="E21" s="2957" t="s">
        <v>1699</v>
      </c>
      <c r="F21" s="2957">
        <v>38</v>
      </c>
      <c r="G21" s="2958" t="s">
        <v>1381</v>
      </c>
      <c r="H21" s="2958" t="s">
        <v>1233</v>
      </c>
      <c r="I21" s="372" t="s">
        <v>1304</v>
      </c>
      <c r="J21" s="2957">
        <v>6</v>
      </c>
      <c r="K21" s="2957">
        <v>9</v>
      </c>
      <c r="L21" s="2957">
        <v>12</v>
      </c>
      <c r="M21" s="373">
        <v>15</v>
      </c>
      <c r="N21" s="2957">
        <v>60</v>
      </c>
      <c r="O21" s="2957">
        <v>90</v>
      </c>
      <c r="P21" s="2957">
        <v>120</v>
      </c>
      <c r="Q21" s="373">
        <v>150</v>
      </c>
      <c r="R21" s="2957">
        <v>10</v>
      </c>
      <c r="S21" s="2957">
        <v>10</v>
      </c>
      <c r="T21" s="2959">
        <v>15</v>
      </c>
      <c r="U21" s="377">
        <v>15</v>
      </c>
      <c r="V21" s="2954" t="s">
        <v>3271</v>
      </c>
      <c r="W21" s="2954" t="s">
        <v>3272</v>
      </c>
      <c r="X21" s="2954" t="s">
        <v>3273</v>
      </c>
      <c r="Y21" s="2954" t="s">
        <v>3274</v>
      </c>
      <c r="Z21" s="2954" t="s">
        <v>3275</v>
      </c>
      <c r="AA21" s="375"/>
    </row>
    <row r="22" spans="1:27" ht="12.75" customHeight="1" x14ac:dyDescent="0.2">
      <c r="A22" s="6360"/>
      <c r="B22" s="251" t="str">
        <f t="shared" si="0"/>
        <v>Luz40</v>
      </c>
      <c r="D22" s="272" t="s">
        <v>268</v>
      </c>
      <c r="E22" s="2957" t="s">
        <v>1699</v>
      </c>
      <c r="F22" s="2957">
        <v>40</v>
      </c>
      <c r="G22" s="2958" t="s">
        <v>1381</v>
      </c>
      <c r="H22" s="2958" t="s">
        <v>1233</v>
      </c>
      <c r="I22" s="372" t="s">
        <v>1304</v>
      </c>
      <c r="J22" s="2957">
        <v>6</v>
      </c>
      <c r="K22" s="2957">
        <v>9</v>
      </c>
      <c r="L22" s="2957">
        <v>12</v>
      </c>
      <c r="M22" s="373">
        <v>15</v>
      </c>
      <c r="N22" s="2957">
        <v>80</v>
      </c>
      <c r="O22" s="2957">
        <v>180</v>
      </c>
      <c r="P22" s="2957">
        <v>240</v>
      </c>
      <c r="Q22" s="373">
        <v>350</v>
      </c>
      <c r="R22" s="2957" t="s">
        <v>1381</v>
      </c>
      <c r="S22" s="2957" t="s">
        <v>1381</v>
      </c>
      <c r="T22" s="2959" t="s">
        <v>1381</v>
      </c>
      <c r="U22" s="377" t="s">
        <v>1381</v>
      </c>
      <c r="V22" s="2954" t="s">
        <v>3276</v>
      </c>
      <c r="W22" s="2954" t="s">
        <v>3277</v>
      </c>
      <c r="X22" s="2954" t="s">
        <v>3278</v>
      </c>
      <c r="Y22" s="2954" t="s">
        <v>3279</v>
      </c>
      <c r="Z22" s="2954" t="s">
        <v>3280</v>
      </c>
      <c r="AA22" s="375"/>
    </row>
    <row r="23" spans="1:27" ht="12.75" customHeight="1" x14ac:dyDescent="0.2">
      <c r="A23" s="6360"/>
      <c r="B23" s="251" t="str">
        <f t="shared" si="0"/>
        <v>Luz42</v>
      </c>
      <c r="D23" s="272" t="s">
        <v>269</v>
      </c>
      <c r="E23" s="2957" t="s">
        <v>1699</v>
      </c>
      <c r="F23" s="2957">
        <v>42</v>
      </c>
      <c r="G23" s="2958" t="s">
        <v>1381</v>
      </c>
      <c r="H23" s="2958" t="s">
        <v>1234</v>
      </c>
      <c r="I23" s="372" t="s">
        <v>1304</v>
      </c>
      <c r="J23" s="2957">
        <v>7</v>
      </c>
      <c r="K23" s="2957">
        <v>10</v>
      </c>
      <c r="L23" s="2957">
        <v>13</v>
      </c>
      <c r="M23" s="373">
        <v>15</v>
      </c>
      <c r="N23" s="2957">
        <v>70</v>
      </c>
      <c r="O23" s="2957">
        <v>100</v>
      </c>
      <c r="P23" s="2957">
        <v>150</v>
      </c>
      <c r="Q23" s="373">
        <v>200</v>
      </c>
      <c r="R23" s="2957" t="s">
        <v>1381</v>
      </c>
      <c r="S23" s="2957" t="s">
        <v>1381</v>
      </c>
      <c r="T23" s="2959" t="s">
        <v>1381</v>
      </c>
      <c r="U23" s="377" t="s">
        <v>1381</v>
      </c>
      <c r="V23" s="2954" t="s">
        <v>3281</v>
      </c>
      <c r="W23" s="2954" t="s">
        <v>3282</v>
      </c>
      <c r="X23" s="2954" t="s">
        <v>3283</v>
      </c>
      <c r="Y23" s="2954" t="s">
        <v>3284</v>
      </c>
      <c r="Z23" s="2954" t="s">
        <v>3285</v>
      </c>
      <c r="AA23" s="375"/>
    </row>
    <row r="24" spans="1:27" ht="12.75" customHeight="1" x14ac:dyDescent="0.2">
      <c r="A24" s="6360"/>
      <c r="B24" s="251" t="str">
        <f t="shared" si="0"/>
        <v>Luz46</v>
      </c>
      <c r="D24" s="272" t="s">
        <v>270</v>
      </c>
      <c r="E24" s="2957" t="s">
        <v>1699</v>
      </c>
      <c r="F24" s="2957">
        <v>46</v>
      </c>
      <c r="G24" s="2958" t="s">
        <v>1381</v>
      </c>
      <c r="H24" s="2958" t="s">
        <v>1232</v>
      </c>
      <c r="I24" s="372" t="s">
        <v>1304</v>
      </c>
      <c r="J24" s="2957">
        <v>6</v>
      </c>
      <c r="K24" s="2957">
        <v>9</v>
      </c>
      <c r="L24" s="2957">
        <v>12</v>
      </c>
      <c r="M24" s="373">
        <v>15</v>
      </c>
      <c r="N24" s="2957">
        <v>120</v>
      </c>
      <c r="O24" s="2957">
        <v>180</v>
      </c>
      <c r="P24" s="2957">
        <v>240</v>
      </c>
      <c r="Q24" s="373">
        <v>300</v>
      </c>
      <c r="R24" s="2957">
        <v>15</v>
      </c>
      <c r="S24" s="2957">
        <v>20</v>
      </c>
      <c r="T24" s="2959">
        <v>25</v>
      </c>
      <c r="U24" s="377">
        <v>30</v>
      </c>
      <c r="V24" s="2954" t="s">
        <v>3286</v>
      </c>
      <c r="W24" s="2954" t="s">
        <v>3287</v>
      </c>
      <c r="X24" s="2954" t="s">
        <v>3288</v>
      </c>
      <c r="Y24" s="2954" t="s">
        <v>3289</v>
      </c>
      <c r="Z24" s="2954" t="s">
        <v>3290</v>
      </c>
      <c r="AA24" s="375"/>
    </row>
    <row r="25" spans="1:27" ht="12.75" customHeight="1" x14ac:dyDescent="0.2">
      <c r="A25" s="6360"/>
      <c r="B25" s="251" t="str">
        <f t="shared" si="0"/>
        <v>Luz48</v>
      </c>
      <c r="D25" s="272" t="s">
        <v>271</v>
      </c>
      <c r="E25" s="2957" t="s">
        <v>1699</v>
      </c>
      <c r="F25" s="2957">
        <v>48</v>
      </c>
      <c r="G25" s="2958" t="s">
        <v>2088</v>
      </c>
      <c r="H25" s="2958" t="s">
        <v>1236</v>
      </c>
      <c r="I25" s="372" t="s">
        <v>1304</v>
      </c>
      <c r="J25" s="2957">
        <v>7</v>
      </c>
      <c r="K25" s="2957">
        <v>10</v>
      </c>
      <c r="L25" s="2957">
        <v>12</v>
      </c>
      <c r="M25" s="373">
        <v>15</v>
      </c>
      <c r="N25" s="2957">
        <v>140</v>
      </c>
      <c r="O25" s="2957">
        <v>200</v>
      </c>
      <c r="P25" s="2957">
        <v>280</v>
      </c>
      <c r="Q25" s="373">
        <v>360</v>
      </c>
      <c r="R25" s="2957">
        <v>10</v>
      </c>
      <c r="S25" s="2957">
        <v>10</v>
      </c>
      <c r="T25" s="2959">
        <v>15</v>
      </c>
      <c r="U25" s="377">
        <v>15</v>
      </c>
      <c r="V25" s="2954" t="s">
        <v>3291</v>
      </c>
      <c r="W25" s="2954" t="s">
        <v>3292</v>
      </c>
      <c r="X25" s="2954" t="s">
        <v>3293</v>
      </c>
      <c r="Y25" s="2954" t="s">
        <v>3294</v>
      </c>
      <c r="Z25" s="2954" t="s">
        <v>3295</v>
      </c>
      <c r="AA25" s="375"/>
    </row>
    <row r="26" spans="1:27" ht="12.75" customHeight="1" x14ac:dyDescent="0.2">
      <c r="A26" s="6360"/>
      <c r="B26" s="251" t="str">
        <f t="shared" si="0"/>
        <v>Luz50</v>
      </c>
      <c r="D26" s="272" t="s">
        <v>272</v>
      </c>
      <c r="E26" s="2957" t="s">
        <v>1699</v>
      </c>
      <c r="F26" s="2957">
        <v>50</v>
      </c>
      <c r="G26" s="2958" t="s">
        <v>2088</v>
      </c>
      <c r="H26" s="2958" t="s">
        <v>1233</v>
      </c>
      <c r="I26" s="372" t="s">
        <v>1304</v>
      </c>
      <c r="J26" s="2957">
        <v>6</v>
      </c>
      <c r="K26" s="2957">
        <v>9</v>
      </c>
      <c r="L26" s="2957">
        <v>12</v>
      </c>
      <c r="M26" s="373">
        <v>15</v>
      </c>
      <c r="N26" s="2957">
        <v>120</v>
      </c>
      <c r="O26" s="2957">
        <v>180</v>
      </c>
      <c r="P26" s="2957">
        <v>240</v>
      </c>
      <c r="Q26" s="373">
        <v>300</v>
      </c>
      <c r="R26" s="2957">
        <v>10</v>
      </c>
      <c r="S26" s="2957">
        <v>10</v>
      </c>
      <c r="T26" s="2959">
        <v>15</v>
      </c>
      <c r="U26" s="377">
        <v>15</v>
      </c>
      <c r="V26" s="2954" t="s">
        <v>3296</v>
      </c>
      <c r="W26" s="2954" t="s">
        <v>3297</v>
      </c>
      <c r="X26" s="2954" t="s">
        <v>3298</v>
      </c>
      <c r="Y26" s="2954" t="s">
        <v>3299</v>
      </c>
      <c r="Z26" s="2954" t="s">
        <v>9683</v>
      </c>
      <c r="AA26" s="375"/>
    </row>
    <row r="27" spans="1:27" ht="12.75" customHeight="1" x14ac:dyDescent="0.2">
      <c r="A27" s="6360"/>
      <c r="B27" s="251" t="str">
        <f t="shared" si="0"/>
        <v>Luz52</v>
      </c>
      <c r="D27" s="272" t="s">
        <v>273</v>
      </c>
      <c r="E27" s="2957" t="s">
        <v>1699</v>
      </c>
      <c r="F27" s="2957">
        <v>52</v>
      </c>
      <c r="G27" s="2958" t="s">
        <v>1381</v>
      </c>
      <c r="H27" s="2958" t="s">
        <v>1234</v>
      </c>
      <c r="I27" s="372" t="s">
        <v>1304</v>
      </c>
      <c r="J27" s="2957">
        <v>8</v>
      </c>
      <c r="K27" s="2957">
        <v>11</v>
      </c>
      <c r="L27" s="2957">
        <v>13</v>
      </c>
      <c r="M27" s="373">
        <v>16</v>
      </c>
      <c r="N27" s="2957">
        <v>100</v>
      </c>
      <c r="O27" s="2957">
        <v>120</v>
      </c>
      <c r="P27" s="2957">
        <v>140</v>
      </c>
      <c r="Q27" s="373">
        <v>160</v>
      </c>
      <c r="R27" s="2957">
        <v>10</v>
      </c>
      <c r="S27" s="2957">
        <v>15</v>
      </c>
      <c r="T27" s="2959">
        <v>15</v>
      </c>
      <c r="U27" s="377">
        <v>20</v>
      </c>
      <c r="V27" s="2954" t="s">
        <v>3300</v>
      </c>
      <c r="W27" s="2954" t="s">
        <v>3301</v>
      </c>
      <c r="X27" s="2954" t="s">
        <v>3302</v>
      </c>
      <c r="Y27" s="2954" t="s">
        <v>3303</v>
      </c>
      <c r="Z27" s="2954" t="s">
        <v>3304</v>
      </c>
      <c r="AA27" s="375"/>
    </row>
    <row r="28" spans="1:27" ht="12.75" customHeight="1" x14ac:dyDescent="0.2">
      <c r="A28" s="6360"/>
      <c r="B28" s="251" t="str">
        <f t="shared" si="0"/>
        <v>Luz56</v>
      </c>
      <c r="D28" s="272" t="s">
        <v>274</v>
      </c>
      <c r="E28" s="2957" t="s">
        <v>1699</v>
      </c>
      <c r="F28" s="2957">
        <v>56</v>
      </c>
      <c r="G28" s="2958" t="s">
        <v>1381</v>
      </c>
      <c r="H28" s="2958" t="s">
        <v>1234</v>
      </c>
      <c r="I28" s="372" t="s">
        <v>1304</v>
      </c>
      <c r="J28" s="2957">
        <v>8</v>
      </c>
      <c r="K28" s="2957">
        <v>10</v>
      </c>
      <c r="L28" s="2957">
        <v>12</v>
      </c>
      <c r="M28" s="373">
        <v>15</v>
      </c>
      <c r="N28" s="2957">
        <v>100</v>
      </c>
      <c r="O28" s="2957">
        <v>180</v>
      </c>
      <c r="P28" s="2957">
        <v>240</v>
      </c>
      <c r="Q28" s="373">
        <v>300</v>
      </c>
      <c r="R28" s="2957">
        <v>5</v>
      </c>
      <c r="S28" s="2957">
        <v>10</v>
      </c>
      <c r="T28" s="2959">
        <v>15</v>
      </c>
      <c r="U28" s="377">
        <v>15</v>
      </c>
      <c r="V28" s="2954" t="s">
        <v>3305</v>
      </c>
      <c r="W28" s="2954" t="s">
        <v>3306</v>
      </c>
      <c r="X28" s="2954" t="s">
        <v>3307</v>
      </c>
      <c r="Y28" s="2954" t="s">
        <v>3308</v>
      </c>
      <c r="Z28" s="2954" t="s">
        <v>3309</v>
      </c>
      <c r="AA28" s="375"/>
    </row>
    <row r="29" spans="1:27" ht="12.75" customHeight="1" x14ac:dyDescent="0.2">
      <c r="A29" s="6360"/>
      <c r="B29" s="251" t="str">
        <f t="shared" si="0"/>
        <v>Luz58</v>
      </c>
      <c r="D29" s="272" t="s">
        <v>275</v>
      </c>
      <c r="E29" s="2957" t="s">
        <v>1699</v>
      </c>
      <c r="F29" s="2957">
        <v>58</v>
      </c>
      <c r="G29" s="2958" t="s">
        <v>2088</v>
      </c>
      <c r="H29" s="2958" t="s">
        <v>1233</v>
      </c>
      <c r="I29" s="372" t="s">
        <v>1304</v>
      </c>
      <c r="J29" s="2957">
        <v>8</v>
      </c>
      <c r="K29" s="2957">
        <v>10</v>
      </c>
      <c r="L29" s="2957">
        <v>12</v>
      </c>
      <c r="M29" s="373">
        <v>15</v>
      </c>
      <c r="N29" s="2957">
        <v>100</v>
      </c>
      <c r="O29" s="2957">
        <v>180</v>
      </c>
      <c r="P29" s="2957">
        <v>240</v>
      </c>
      <c r="Q29" s="373">
        <v>300</v>
      </c>
      <c r="R29" s="2957">
        <v>10</v>
      </c>
      <c r="S29" s="2957">
        <v>20</v>
      </c>
      <c r="T29" s="2959">
        <v>25</v>
      </c>
      <c r="U29" s="377">
        <v>30</v>
      </c>
      <c r="V29" s="2954" t="s">
        <v>3310</v>
      </c>
      <c r="W29" s="2954" t="s">
        <v>3311</v>
      </c>
      <c r="X29" s="2954" t="s">
        <v>3312</v>
      </c>
      <c r="Y29" s="2954" t="s">
        <v>3313</v>
      </c>
      <c r="Z29" s="2954" t="s">
        <v>3314</v>
      </c>
      <c r="AA29" s="375"/>
    </row>
    <row r="30" spans="1:27" ht="12.75" customHeight="1" x14ac:dyDescent="0.2">
      <c r="A30" s="6360"/>
      <c r="B30" s="251" t="str">
        <f t="shared" si="0"/>
        <v>Luz60</v>
      </c>
      <c r="D30" s="272" t="s">
        <v>276</v>
      </c>
      <c r="E30" s="2957" t="s">
        <v>1699</v>
      </c>
      <c r="F30" s="2957">
        <v>60</v>
      </c>
      <c r="G30" s="2958" t="s">
        <v>2088</v>
      </c>
      <c r="H30" s="2958" t="s">
        <v>1234</v>
      </c>
      <c r="I30" s="372" t="s">
        <v>1304</v>
      </c>
      <c r="J30" s="2957">
        <v>8</v>
      </c>
      <c r="K30" s="2957">
        <v>12</v>
      </c>
      <c r="L30" s="2957">
        <v>14</v>
      </c>
      <c r="M30" s="373">
        <v>16</v>
      </c>
      <c r="N30" s="2957">
        <v>100</v>
      </c>
      <c r="O30" s="2957">
        <v>120</v>
      </c>
      <c r="P30" s="2957">
        <v>180</v>
      </c>
      <c r="Q30" s="373">
        <v>250</v>
      </c>
      <c r="R30" s="2957">
        <v>10</v>
      </c>
      <c r="S30" s="2957">
        <v>15</v>
      </c>
      <c r="T30" s="2959">
        <v>15</v>
      </c>
      <c r="U30" s="377">
        <v>25</v>
      </c>
      <c r="V30" s="2954" t="s">
        <v>7048</v>
      </c>
      <c r="W30" s="2954" t="s">
        <v>3315</v>
      </c>
      <c r="X30" s="2954" t="s">
        <v>7049</v>
      </c>
      <c r="Y30" s="2954" t="s">
        <v>7050</v>
      </c>
      <c r="Z30" s="2954" t="s">
        <v>7051</v>
      </c>
      <c r="AA30" s="375"/>
    </row>
    <row r="31" spans="1:27" ht="12.75" customHeight="1" x14ac:dyDescent="0.2">
      <c r="A31" s="6360"/>
      <c r="B31" s="251" t="str">
        <f t="shared" si="0"/>
        <v>Luz62</v>
      </c>
      <c r="D31" s="272" t="s">
        <v>277</v>
      </c>
      <c r="E31" s="2957" t="s">
        <v>1699</v>
      </c>
      <c r="F31" s="2957">
        <v>62</v>
      </c>
      <c r="G31" s="2958" t="s">
        <v>2088</v>
      </c>
      <c r="H31" s="2958" t="s">
        <v>3210</v>
      </c>
      <c r="I31" s="372" t="s">
        <v>1304</v>
      </c>
      <c r="J31" s="2957">
        <v>7</v>
      </c>
      <c r="K31" s="2957">
        <v>9</v>
      </c>
      <c r="L31" s="2957">
        <v>12</v>
      </c>
      <c r="M31" s="373">
        <v>15</v>
      </c>
      <c r="N31" s="2957">
        <v>140</v>
      </c>
      <c r="O31" s="2957">
        <v>180</v>
      </c>
      <c r="P31" s="2957">
        <v>240</v>
      </c>
      <c r="Q31" s="373">
        <v>300</v>
      </c>
      <c r="R31" s="2957">
        <v>15</v>
      </c>
      <c r="S31" s="2957">
        <v>20</v>
      </c>
      <c r="T31" s="2959">
        <v>25</v>
      </c>
      <c r="U31" s="377">
        <v>30</v>
      </c>
      <c r="V31" s="2954" t="s">
        <v>3316</v>
      </c>
      <c r="W31" s="2954" t="s">
        <v>3317</v>
      </c>
      <c r="X31" s="2954" t="s">
        <v>3318</v>
      </c>
      <c r="Y31" s="2954" t="s">
        <v>3319</v>
      </c>
      <c r="Z31" s="2954" t="s">
        <v>3320</v>
      </c>
      <c r="AA31" s="375"/>
    </row>
    <row r="32" spans="1:27" ht="12.75" customHeight="1" x14ac:dyDescent="0.2">
      <c r="A32" s="6360"/>
      <c r="B32" s="251" t="str">
        <f t="shared" si="0"/>
        <v>Luz66</v>
      </c>
      <c r="D32" s="272" t="s">
        <v>278</v>
      </c>
      <c r="E32" s="2957" t="s">
        <v>1699</v>
      </c>
      <c r="F32" s="2957">
        <v>66</v>
      </c>
      <c r="G32" s="2958" t="s">
        <v>1381</v>
      </c>
      <c r="H32" s="2958" t="s">
        <v>1236</v>
      </c>
      <c r="I32" s="372" t="s">
        <v>1304</v>
      </c>
      <c r="J32" s="2957">
        <v>8</v>
      </c>
      <c r="K32" s="2957">
        <v>10</v>
      </c>
      <c r="L32" s="2957">
        <v>13</v>
      </c>
      <c r="M32" s="373">
        <v>16</v>
      </c>
      <c r="N32" s="2957">
        <v>160</v>
      </c>
      <c r="O32" s="2957">
        <v>200</v>
      </c>
      <c r="P32" s="2957">
        <v>260</v>
      </c>
      <c r="Q32" s="373">
        <v>320</v>
      </c>
      <c r="R32" s="2957" t="s">
        <v>1381</v>
      </c>
      <c r="S32" s="2957" t="s">
        <v>1381</v>
      </c>
      <c r="T32" s="2959" t="s">
        <v>1381</v>
      </c>
      <c r="U32" s="377" t="s">
        <v>1381</v>
      </c>
      <c r="V32" s="2954" t="s">
        <v>3321</v>
      </c>
      <c r="W32" s="2954" t="s">
        <v>3322</v>
      </c>
      <c r="X32" s="2954" t="s">
        <v>3323</v>
      </c>
      <c r="Y32" s="2954" t="s">
        <v>3324</v>
      </c>
      <c r="Z32" s="2954" t="s">
        <v>3325</v>
      </c>
      <c r="AA32" s="375"/>
    </row>
    <row r="33" spans="1:27" ht="12.75" customHeight="1" x14ac:dyDescent="0.2">
      <c r="A33" s="6360"/>
      <c r="B33" s="251" t="str">
        <f t="shared" si="0"/>
        <v>Luz68</v>
      </c>
      <c r="D33" s="272" t="s">
        <v>279</v>
      </c>
      <c r="E33" s="2957" t="s">
        <v>1699</v>
      </c>
      <c r="F33" s="2957">
        <v>68</v>
      </c>
      <c r="G33" s="2958" t="s">
        <v>1381</v>
      </c>
      <c r="H33" s="2958" t="s">
        <v>1234</v>
      </c>
      <c r="I33" s="372" t="s">
        <v>1304</v>
      </c>
      <c r="J33" s="2957">
        <v>8</v>
      </c>
      <c r="K33" s="2957">
        <v>10</v>
      </c>
      <c r="L33" s="2957">
        <v>12</v>
      </c>
      <c r="M33" s="373">
        <v>15</v>
      </c>
      <c r="N33" s="2957">
        <v>150</v>
      </c>
      <c r="O33" s="2957">
        <v>200</v>
      </c>
      <c r="P33" s="2957">
        <v>250</v>
      </c>
      <c r="Q33" s="373">
        <v>300</v>
      </c>
      <c r="R33" s="2957" t="s">
        <v>1381</v>
      </c>
      <c r="S33" s="2957" t="s">
        <v>1381</v>
      </c>
      <c r="T33" s="2959" t="s">
        <v>1381</v>
      </c>
      <c r="U33" s="377" t="s">
        <v>1381</v>
      </c>
      <c r="V33" s="2954" t="s">
        <v>3326</v>
      </c>
      <c r="W33" s="2954" t="s">
        <v>3327</v>
      </c>
      <c r="X33" s="2954" t="s">
        <v>3328</v>
      </c>
      <c r="Y33" s="2954" t="s">
        <v>3329</v>
      </c>
      <c r="Z33" s="2954" t="s">
        <v>3330</v>
      </c>
      <c r="AA33" s="375"/>
    </row>
    <row r="34" spans="1:27" ht="12.75" customHeight="1" x14ac:dyDescent="0.2">
      <c r="A34" s="6360"/>
      <c r="B34" s="251" t="str">
        <f t="shared" si="0"/>
        <v>Luz70</v>
      </c>
      <c r="D34" s="272" t="s">
        <v>280</v>
      </c>
      <c r="E34" s="2957" t="s">
        <v>1699</v>
      </c>
      <c r="F34" s="2957">
        <v>70</v>
      </c>
      <c r="G34" s="2958" t="s">
        <v>1381</v>
      </c>
      <c r="H34" s="2958" t="s">
        <v>3210</v>
      </c>
      <c r="I34" s="372" t="s">
        <v>1304</v>
      </c>
      <c r="J34" s="2957">
        <v>10</v>
      </c>
      <c r="K34" s="2957">
        <v>12</v>
      </c>
      <c r="L34" s="2957">
        <v>14</v>
      </c>
      <c r="M34" s="373">
        <v>16</v>
      </c>
      <c r="N34" s="2957">
        <v>140</v>
      </c>
      <c r="O34" s="2957">
        <v>200</v>
      </c>
      <c r="P34" s="2957">
        <v>280</v>
      </c>
      <c r="Q34" s="373">
        <v>360</v>
      </c>
      <c r="R34" s="2957">
        <v>5</v>
      </c>
      <c r="S34" s="2957">
        <v>10</v>
      </c>
      <c r="T34" s="2959">
        <v>10</v>
      </c>
      <c r="U34" s="377">
        <v>15</v>
      </c>
      <c r="V34" s="2954" t="s">
        <v>3331</v>
      </c>
      <c r="W34" s="2954" t="s">
        <v>3332</v>
      </c>
      <c r="X34" s="2954" t="s">
        <v>3333</v>
      </c>
      <c r="Y34" s="2954" t="s">
        <v>3334</v>
      </c>
      <c r="Z34" s="2954" t="s">
        <v>3335</v>
      </c>
      <c r="AA34" s="375"/>
    </row>
    <row r="35" spans="1:27" ht="12.75" customHeight="1" x14ac:dyDescent="0.2">
      <c r="A35" s="6360"/>
      <c r="B35" s="251" t="str">
        <f t="shared" si="0"/>
        <v>Luz72</v>
      </c>
      <c r="D35" s="272" t="s">
        <v>281</v>
      </c>
      <c r="E35" s="2957" t="s">
        <v>1699</v>
      </c>
      <c r="F35" s="2957">
        <v>72</v>
      </c>
      <c r="G35" s="2958" t="s">
        <v>1381</v>
      </c>
      <c r="H35" s="2958" t="s">
        <v>1232</v>
      </c>
      <c r="I35" s="372" t="s">
        <v>1304</v>
      </c>
      <c r="J35" s="2957">
        <v>10</v>
      </c>
      <c r="K35" s="2957">
        <v>12</v>
      </c>
      <c r="L35" s="2957">
        <v>14</v>
      </c>
      <c r="M35" s="373">
        <v>16</v>
      </c>
      <c r="N35" s="2957">
        <v>140</v>
      </c>
      <c r="O35" s="2957">
        <v>180</v>
      </c>
      <c r="P35" s="2957">
        <v>240</v>
      </c>
      <c r="Q35" s="373">
        <v>350</v>
      </c>
      <c r="R35" s="2957" t="s">
        <v>1381</v>
      </c>
      <c r="S35" s="2957" t="s">
        <v>1381</v>
      </c>
      <c r="T35" s="2959" t="s">
        <v>1381</v>
      </c>
      <c r="U35" s="377" t="s">
        <v>1381</v>
      </c>
      <c r="V35" s="2954" t="s">
        <v>3336</v>
      </c>
      <c r="W35" s="2954" t="s">
        <v>3337</v>
      </c>
      <c r="X35" s="2954" t="s">
        <v>3338</v>
      </c>
      <c r="Y35" s="2954" t="s">
        <v>3339</v>
      </c>
      <c r="Z35" s="2954" t="s">
        <v>3340</v>
      </c>
      <c r="AA35" s="375"/>
    </row>
    <row r="36" spans="1:27" ht="12.75" customHeight="1" x14ac:dyDescent="0.2">
      <c r="A36" s="6360"/>
      <c r="B36" s="251" t="str">
        <f t="shared" si="0"/>
        <v>Luz76</v>
      </c>
      <c r="D36" s="272" t="s">
        <v>282</v>
      </c>
      <c r="E36" s="2957" t="s">
        <v>1699</v>
      </c>
      <c r="F36" s="2957">
        <v>76</v>
      </c>
      <c r="G36" s="2958" t="s">
        <v>1381</v>
      </c>
      <c r="H36" s="2958" t="s">
        <v>1234</v>
      </c>
      <c r="I36" s="372" t="s">
        <v>1304</v>
      </c>
      <c r="J36" s="2957">
        <v>10</v>
      </c>
      <c r="K36" s="2957">
        <v>12</v>
      </c>
      <c r="L36" s="2957">
        <v>14</v>
      </c>
      <c r="M36" s="373">
        <v>16</v>
      </c>
      <c r="N36" s="2957">
        <v>150</v>
      </c>
      <c r="O36" s="2957">
        <v>200</v>
      </c>
      <c r="P36" s="2957">
        <v>240</v>
      </c>
      <c r="Q36" s="373">
        <v>300</v>
      </c>
      <c r="R36" s="2957">
        <v>15</v>
      </c>
      <c r="S36" s="2957">
        <v>20</v>
      </c>
      <c r="T36" s="2959">
        <v>25</v>
      </c>
      <c r="U36" s="377">
        <v>30</v>
      </c>
      <c r="V36" s="2954" t="s">
        <v>3341</v>
      </c>
      <c r="W36" s="2954" t="s">
        <v>3342</v>
      </c>
      <c r="X36" s="2954" t="s">
        <v>3343</v>
      </c>
      <c r="Y36" s="2954" t="s">
        <v>3344</v>
      </c>
      <c r="Z36" s="2954" t="s">
        <v>3345</v>
      </c>
      <c r="AA36" s="375"/>
    </row>
    <row r="37" spans="1:27" ht="12.75" customHeight="1" x14ac:dyDescent="0.2">
      <c r="A37" s="6360"/>
      <c r="B37" s="251" t="str">
        <f t="shared" si="0"/>
        <v>Luz78</v>
      </c>
      <c r="D37" s="272" t="s">
        <v>283</v>
      </c>
      <c r="E37" s="2957" t="s">
        <v>1699</v>
      </c>
      <c r="F37" s="2957">
        <v>78</v>
      </c>
      <c r="G37" s="2958" t="s">
        <v>1381</v>
      </c>
      <c r="H37" s="2958" t="s">
        <v>1234</v>
      </c>
      <c r="I37" s="372" t="s">
        <v>1304</v>
      </c>
      <c r="J37" s="2957">
        <v>10</v>
      </c>
      <c r="K37" s="2957">
        <v>12</v>
      </c>
      <c r="L37" s="2957">
        <v>14</v>
      </c>
      <c r="M37" s="373">
        <v>16</v>
      </c>
      <c r="N37" s="2957">
        <v>250</v>
      </c>
      <c r="O37" s="2957">
        <v>360</v>
      </c>
      <c r="P37" s="2957">
        <v>450</v>
      </c>
      <c r="Q37" s="373">
        <v>600</v>
      </c>
      <c r="R37" s="2957" t="s">
        <v>1381</v>
      </c>
      <c r="S37" s="2957" t="s">
        <v>1381</v>
      </c>
      <c r="T37" s="2959" t="s">
        <v>1381</v>
      </c>
      <c r="U37" s="377" t="s">
        <v>1381</v>
      </c>
      <c r="V37" s="2954" t="s">
        <v>3346</v>
      </c>
      <c r="W37" s="2954" t="s">
        <v>3347</v>
      </c>
      <c r="X37" s="2954" t="s">
        <v>3348</v>
      </c>
      <c r="Y37" s="2954" t="s">
        <v>3349</v>
      </c>
      <c r="Z37" s="2954" t="s">
        <v>3350</v>
      </c>
      <c r="AA37" s="375"/>
    </row>
    <row r="38" spans="1:27" ht="12.75" customHeight="1" x14ac:dyDescent="0.2">
      <c r="A38" s="6360"/>
      <c r="B38" s="251" t="str">
        <f t="shared" si="0"/>
        <v>Luz80</v>
      </c>
      <c r="D38" s="272" t="s">
        <v>284</v>
      </c>
      <c r="E38" s="2957" t="s">
        <v>1699</v>
      </c>
      <c r="F38" s="2957">
        <v>80</v>
      </c>
      <c r="G38" s="2958" t="s">
        <v>1381</v>
      </c>
      <c r="H38" s="2958" t="s">
        <v>3351</v>
      </c>
      <c r="I38" s="372" t="s">
        <v>1304</v>
      </c>
      <c r="J38" s="2957">
        <v>12</v>
      </c>
      <c r="K38" s="2957">
        <v>14</v>
      </c>
      <c r="L38" s="2957">
        <v>16</v>
      </c>
      <c r="M38" s="373">
        <v>18</v>
      </c>
      <c r="N38" s="2957">
        <v>300</v>
      </c>
      <c r="O38" s="2957">
        <v>400</v>
      </c>
      <c r="P38" s="2957">
        <v>500</v>
      </c>
      <c r="Q38" s="373">
        <v>750</v>
      </c>
      <c r="R38" s="2957">
        <v>60</v>
      </c>
      <c r="S38" s="2957">
        <v>65</v>
      </c>
      <c r="T38" s="2959">
        <v>70</v>
      </c>
      <c r="U38" s="377">
        <v>80</v>
      </c>
      <c r="V38" s="2954" t="s">
        <v>3321</v>
      </c>
      <c r="W38" s="2954" t="s">
        <v>3352</v>
      </c>
      <c r="X38" s="2954" t="s">
        <v>3353</v>
      </c>
      <c r="Y38" s="2954" t="s">
        <v>3354</v>
      </c>
      <c r="Z38" s="2954" t="s">
        <v>7059</v>
      </c>
      <c r="AA38" s="375"/>
    </row>
    <row r="39" spans="1:27" ht="12.75" customHeight="1" x14ac:dyDescent="0.2">
      <c r="A39" s="6360"/>
      <c r="B39" s="251" t="str">
        <f t="shared" si="0"/>
        <v>Luz82</v>
      </c>
      <c r="D39" s="272" t="s">
        <v>285</v>
      </c>
      <c r="E39" s="2957" t="s">
        <v>1699</v>
      </c>
      <c r="F39" s="2957">
        <v>82</v>
      </c>
      <c r="G39" s="2958" t="s">
        <v>2088</v>
      </c>
      <c r="H39" s="2958" t="s">
        <v>1234</v>
      </c>
      <c r="I39" s="372" t="s">
        <v>1304</v>
      </c>
      <c r="J39" s="2957">
        <v>10</v>
      </c>
      <c r="K39" s="2957">
        <v>12</v>
      </c>
      <c r="L39" s="2957">
        <v>14</v>
      </c>
      <c r="M39" s="373">
        <v>16</v>
      </c>
      <c r="N39" s="2957">
        <v>250</v>
      </c>
      <c r="O39" s="2957">
        <v>350</v>
      </c>
      <c r="P39" s="2957">
        <v>500</v>
      </c>
      <c r="Q39" s="373">
        <v>700</v>
      </c>
      <c r="R39" s="2957">
        <v>50</v>
      </c>
      <c r="S39" s="2957">
        <v>70</v>
      </c>
      <c r="T39" s="2959">
        <v>100</v>
      </c>
      <c r="U39" s="377">
        <v>140</v>
      </c>
      <c r="V39" s="2954" t="s">
        <v>3355</v>
      </c>
      <c r="W39" s="2954" t="s">
        <v>3356</v>
      </c>
      <c r="X39" s="2954" t="s">
        <v>3357</v>
      </c>
      <c r="Y39" s="2954" t="s">
        <v>3358</v>
      </c>
      <c r="Z39" s="2954" t="s">
        <v>3359</v>
      </c>
      <c r="AA39" s="375"/>
    </row>
    <row r="40" spans="1:27" ht="12.75" customHeight="1" x14ac:dyDescent="0.2">
      <c r="A40" s="6360"/>
      <c r="B40" s="251" t="str">
        <f t="shared" si="0"/>
        <v>Luz86</v>
      </c>
      <c r="D40" s="272" t="s">
        <v>286</v>
      </c>
      <c r="E40" s="2957" t="s">
        <v>1699</v>
      </c>
      <c r="F40" s="2957">
        <v>86</v>
      </c>
      <c r="G40" s="2958" t="s">
        <v>2088</v>
      </c>
      <c r="H40" s="2958" t="s">
        <v>1565</v>
      </c>
      <c r="I40" s="372" t="s">
        <v>1305</v>
      </c>
      <c r="J40" s="2957">
        <v>10</v>
      </c>
      <c r="K40" s="2957">
        <v>13</v>
      </c>
      <c r="L40" s="2957">
        <v>15</v>
      </c>
      <c r="M40" s="373">
        <v>17</v>
      </c>
      <c r="N40" s="2957">
        <v>160</v>
      </c>
      <c r="O40" s="2957">
        <v>250</v>
      </c>
      <c r="P40" s="2957">
        <v>300</v>
      </c>
      <c r="Q40" s="373">
        <v>400</v>
      </c>
      <c r="R40" s="2957">
        <v>20</v>
      </c>
      <c r="S40" s="2957">
        <v>25</v>
      </c>
      <c r="T40" s="2959">
        <v>30</v>
      </c>
      <c r="U40" s="377">
        <v>40</v>
      </c>
      <c r="V40" s="2954" t="s">
        <v>3360</v>
      </c>
      <c r="W40" s="2954" t="s">
        <v>3361</v>
      </c>
      <c r="X40" s="2954" t="s">
        <v>3362</v>
      </c>
      <c r="Y40" s="2954" t="s">
        <v>3363</v>
      </c>
      <c r="Z40" s="2954" t="s">
        <v>3364</v>
      </c>
      <c r="AA40" s="375"/>
    </row>
    <row r="41" spans="1:27" ht="12.75" customHeight="1" x14ac:dyDescent="0.2">
      <c r="A41" s="6360"/>
      <c r="B41" s="251" t="str">
        <f t="shared" si="0"/>
        <v>Luz88</v>
      </c>
      <c r="D41" s="272" t="s">
        <v>287</v>
      </c>
      <c r="E41" s="2957" t="s">
        <v>1699</v>
      </c>
      <c r="F41" s="2957">
        <v>88</v>
      </c>
      <c r="G41" s="2958" t="s">
        <v>1381</v>
      </c>
      <c r="H41" s="2958" t="s">
        <v>1234</v>
      </c>
      <c r="I41" s="372" t="s">
        <v>1304</v>
      </c>
      <c r="J41" s="2957">
        <v>10</v>
      </c>
      <c r="K41" s="2957">
        <v>12</v>
      </c>
      <c r="L41" s="2957">
        <v>15</v>
      </c>
      <c r="M41" s="373">
        <v>18</v>
      </c>
      <c r="N41" s="2957">
        <v>200</v>
      </c>
      <c r="O41" s="2957">
        <v>250</v>
      </c>
      <c r="P41" s="2957">
        <v>400</v>
      </c>
      <c r="Q41" s="373">
        <v>800</v>
      </c>
      <c r="R41" s="2957">
        <v>40</v>
      </c>
      <c r="S41" s="2957">
        <v>50</v>
      </c>
      <c r="T41" s="2959">
        <v>60</v>
      </c>
      <c r="U41" s="377">
        <v>65</v>
      </c>
      <c r="V41" s="2954" t="s">
        <v>3365</v>
      </c>
      <c r="W41" s="2954" t="s">
        <v>3366</v>
      </c>
      <c r="X41" s="2954" t="s">
        <v>3367</v>
      </c>
      <c r="Y41" s="2954" t="s">
        <v>3368</v>
      </c>
      <c r="Z41" s="2954" t="s">
        <v>3369</v>
      </c>
      <c r="AA41" s="375"/>
    </row>
    <row r="42" spans="1:27" ht="12.75" customHeight="1" x14ac:dyDescent="0.2">
      <c r="A42" s="6360"/>
      <c r="B42" s="251" t="str">
        <f t="shared" si="0"/>
        <v>Luz90</v>
      </c>
      <c r="D42" s="272" t="s">
        <v>288</v>
      </c>
      <c r="E42" s="2957" t="s">
        <v>1699</v>
      </c>
      <c r="F42" s="2957">
        <v>90</v>
      </c>
      <c r="G42" s="2958" t="s">
        <v>1381</v>
      </c>
      <c r="H42" s="2958" t="s">
        <v>1233</v>
      </c>
      <c r="I42" s="372" t="s">
        <v>1304</v>
      </c>
      <c r="J42" s="2957">
        <v>10</v>
      </c>
      <c r="K42" s="2957">
        <v>12</v>
      </c>
      <c r="L42" s="2957">
        <v>14</v>
      </c>
      <c r="M42" s="373">
        <v>16</v>
      </c>
      <c r="N42" s="2957">
        <v>200</v>
      </c>
      <c r="O42" s="2957">
        <v>300</v>
      </c>
      <c r="P42" s="2957">
        <v>450</v>
      </c>
      <c r="Q42" s="373">
        <v>600</v>
      </c>
      <c r="R42" s="2957" t="s">
        <v>1381</v>
      </c>
      <c r="S42" s="2957" t="s">
        <v>1381</v>
      </c>
      <c r="T42" s="2959" t="s">
        <v>1381</v>
      </c>
      <c r="U42" s="377" t="s">
        <v>1381</v>
      </c>
      <c r="V42" s="2954" t="s">
        <v>3370</v>
      </c>
      <c r="W42" s="2954" t="s">
        <v>3371</v>
      </c>
      <c r="X42" s="2954" t="s">
        <v>3372</v>
      </c>
      <c r="Y42" s="2954" t="s">
        <v>3373</v>
      </c>
      <c r="Z42" s="2954" t="s">
        <v>3374</v>
      </c>
      <c r="AA42" s="375"/>
    </row>
    <row r="43" spans="1:27" ht="12.75" customHeight="1" x14ac:dyDescent="0.2">
      <c r="A43" s="6360"/>
      <c r="B43" s="251" t="str">
        <f t="shared" si="0"/>
        <v>Luz92</v>
      </c>
      <c r="D43" s="272" t="s">
        <v>289</v>
      </c>
      <c r="E43" s="2957" t="s">
        <v>1699</v>
      </c>
      <c r="F43" s="2957">
        <v>92</v>
      </c>
      <c r="G43" s="2958" t="s">
        <v>2088</v>
      </c>
      <c r="H43" s="2958" t="s">
        <v>1233</v>
      </c>
      <c r="I43" s="372" t="s">
        <v>1304</v>
      </c>
      <c r="J43" s="2957">
        <v>14</v>
      </c>
      <c r="K43" s="2957">
        <v>16</v>
      </c>
      <c r="L43" s="2957">
        <v>18</v>
      </c>
      <c r="M43" s="373">
        <v>20</v>
      </c>
      <c r="N43" s="2957">
        <v>200</v>
      </c>
      <c r="O43" s="2957">
        <v>350</v>
      </c>
      <c r="P43" s="2957">
        <v>500</v>
      </c>
      <c r="Q43" s="373">
        <v>800</v>
      </c>
      <c r="R43" s="2957">
        <v>40</v>
      </c>
      <c r="S43" s="2957">
        <v>70</v>
      </c>
      <c r="T43" s="2959">
        <v>100</v>
      </c>
      <c r="U43" s="377">
        <v>160</v>
      </c>
      <c r="V43" s="2954" t="s">
        <v>3375</v>
      </c>
      <c r="W43" s="2954" t="s">
        <v>3376</v>
      </c>
      <c r="X43" s="2954" t="s">
        <v>3377</v>
      </c>
      <c r="Y43" s="2954" t="s">
        <v>3378</v>
      </c>
      <c r="Z43" s="2954" t="s">
        <v>3379</v>
      </c>
      <c r="AA43" s="375"/>
    </row>
    <row r="44" spans="1:27" ht="12.75" customHeight="1" x14ac:dyDescent="0.2">
      <c r="A44" s="6360"/>
      <c r="B44" s="251" t="str">
        <f t="shared" si="0"/>
        <v>Luz96</v>
      </c>
      <c r="D44" s="272" t="s">
        <v>290</v>
      </c>
      <c r="E44" s="2957" t="s">
        <v>1699</v>
      </c>
      <c r="F44" s="2957">
        <v>96</v>
      </c>
      <c r="G44" s="2958" t="s">
        <v>1381</v>
      </c>
      <c r="H44" s="2958" t="s">
        <v>1234</v>
      </c>
      <c r="I44" s="372" t="s">
        <v>1304</v>
      </c>
      <c r="J44" s="2957">
        <v>12</v>
      </c>
      <c r="K44" s="2957">
        <v>14</v>
      </c>
      <c r="L44" s="2957">
        <v>16</v>
      </c>
      <c r="M44" s="373">
        <v>18</v>
      </c>
      <c r="N44" s="2957">
        <v>200</v>
      </c>
      <c r="O44" s="2957">
        <v>400</v>
      </c>
      <c r="P44" s="2957">
        <v>600</v>
      </c>
      <c r="Q44" s="373">
        <v>800</v>
      </c>
      <c r="R44" s="2957" t="s">
        <v>1381</v>
      </c>
      <c r="S44" s="2957" t="s">
        <v>1381</v>
      </c>
      <c r="T44" s="2959" t="s">
        <v>1381</v>
      </c>
      <c r="U44" s="377" t="s">
        <v>1381</v>
      </c>
      <c r="V44" s="2954" t="s">
        <v>3380</v>
      </c>
      <c r="W44" s="2954" t="s">
        <v>3381</v>
      </c>
      <c r="X44" s="2954" t="s">
        <v>3382</v>
      </c>
      <c r="Y44" s="2954" t="s">
        <v>3370</v>
      </c>
      <c r="Z44" s="2955" t="s">
        <v>3383</v>
      </c>
      <c r="AA44" s="375"/>
    </row>
    <row r="45" spans="1:27" ht="12.75" customHeight="1" x14ac:dyDescent="0.2">
      <c r="A45" s="6360"/>
      <c r="B45" s="251" t="str">
        <f t="shared" si="0"/>
        <v>Luz98</v>
      </c>
      <c r="D45" s="272" t="s">
        <v>291</v>
      </c>
      <c r="E45" s="2957" t="s">
        <v>1699</v>
      </c>
      <c r="F45" s="2957">
        <v>98</v>
      </c>
      <c r="G45" s="2958" t="s">
        <v>1381</v>
      </c>
      <c r="H45" s="2958" t="s">
        <v>1234</v>
      </c>
      <c r="I45" s="372" t="s">
        <v>1304</v>
      </c>
      <c r="J45" s="2957">
        <v>14</v>
      </c>
      <c r="K45" s="2957">
        <v>16</v>
      </c>
      <c r="L45" s="2957">
        <v>18</v>
      </c>
      <c r="M45" s="373">
        <v>20</v>
      </c>
      <c r="N45" s="2957">
        <v>500</v>
      </c>
      <c r="O45" s="2957">
        <v>1000</v>
      </c>
      <c r="P45" s="2957">
        <v>2000</v>
      </c>
      <c r="Q45" s="373">
        <v>5000</v>
      </c>
      <c r="R45" s="2957">
        <v>30</v>
      </c>
      <c r="S45" s="2957">
        <v>40</v>
      </c>
      <c r="T45" s="2959">
        <v>45</v>
      </c>
      <c r="U45" s="377">
        <v>50</v>
      </c>
      <c r="V45" s="2954" t="s">
        <v>3384</v>
      </c>
      <c r="W45" s="2954" t="s">
        <v>3385</v>
      </c>
      <c r="X45" s="2954" t="s">
        <v>3386</v>
      </c>
      <c r="Y45" s="2954" t="s">
        <v>3387</v>
      </c>
      <c r="Z45" s="2954" t="s">
        <v>3388</v>
      </c>
      <c r="AA45" s="375"/>
    </row>
    <row r="46" spans="1:27" ht="12.75" customHeight="1" x14ac:dyDescent="0.2">
      <c r="A46" s="6360"/>
      <c r="B46" s="251" t="str">
        <f t="shared" si="0"/>
        <v>Luz100</v>
      </c>
      <c r="D46" s="272" t="s">
        <v>292</v>
      </c>
      <c r="E46" s="2957" t="s">
        <v>1699</v>
      </c>
      <c r="F46" s="2957">
        <v>100</v>
      </c>
      <c r="G46" s="2958" t="s">
        <v>1381</v>
      </c>
      <c r="H46" s="2958" t="s">
        <v>1232</v>
      </c>
      <c r="I46" s="372" t="s">
        <v>1304</v>
      </c>
      <c r="J46" s="2957">
        <v>14</v>
      </c>
      <c r="K46" s="2957">
        <v>16</v>
      </c>
      <c r="L46" s="2957">
        <v>18</v>
      </c>
      <c r="M46" s="373">
        <v>20</v>
      </c>
      <c r="N46" s="2957">
        <v>600</v>
      </c>
      <c r="O46" s="2957">
        <v>1000</v>
      </c>
      <c r="P46" s="2957">
        <v>2500</v>
      </c>
      <c r="Q46" s="373">
        <v>10000</v>
      </c>
      <c r="R46" s="2957" t="s">
        <v>1381</v>
      </c>
      <c r="S46" s="2957" t="s">
        <v>1381</v>
      </c>
      <c r="T46" s="2959" t="s">
        <v>1381</v>
      </c>
      <c r="U46" s="377" t="s">
        <v>1381</v>
      </c>
      <c r="V46" s="2954" t="s">
        <v>3389</v>
      </c>
      <c r="W46" s="2954" t="s">
        <v>3390</v>
      </c>
      <c r="X46" s="2954" t="s">
        <v>3391</v>
      </c>
      <c r="Y46" s="2954" t="s">
        <v>3392</v>
      </c>
      <c r="Z46" s="2954" t="s">
        <v>3393</v>
      </c>
      <c r="AA46" s="375"/>
    </row>
    <row r="47" spans="1:27" ht="12.75" customHeight="1" x14ac:dyDescent="0.2">
      <c r="A47" s="6360"/>
      <c r="B47" s="251" t="str">
        <f t="shared" si="0"/>
        <v/>
      </c>
      <c r="D47" s="272" t="s">
        <v>293</v>
      </c>
      <c r="E47" s="2957"/>
      <c r="F47" s="2957"/>
      <c r="G47" s="2958"/>
      <c r="H47" s="2958"/>
      <c r="I47" s="372"/>
      <c r="J47" s="2957"/>
      <c r="K47" s="2957"/>
      <c r="L47" s="2957"/>
      <c r="M47" s="373"/>
      <c r="N47" s="2957"/>
      <c r="O47" s="2957"/>
      <c r="P47" s="2957"/>
      <c r="Q47" s="373"/>
      <c r="R47" s="2957"/>
      <c r="S47" s="2957"/>
      <c r="T47" s="2959"/>
      <c r="U47" s="377"/>
      <c r="V47" s="2954"/>
      <c r="W47" s="2954"/>
      <c r="X47" s="2954"/>
      <c r="Y47" s="2954"/>
      <c r="Z47" s="2954"/>
      <c r="AA47" s="375"/>
    </row>
    <row r="48" spans="1:27" ht="12.75" customHeight="1" x14ac:dyDescent="0.2">
      <c r="A48" s="6360"/>
      <c r="B48" s="251" t="str">
        <f t="shared" si="0"/>
        <v>Oscuridad2</v>
      </c>
      <c r="D48" s="272" t="s">
        <v>294</v>
      </c>
      <c r="E48" s="2957" t="s">
        <v>1700</v>
      </c>
      <c r="F48" s="2957">
        <v>2</v>
      </c>
      <c r="G48" s="2958" t="s">
        <v>2088</v>
      </c>
      <c r="H48" s="2958" t="s">
        <v>1234</v>
      </c>
      <c r="I48" s="372" t="s">
        <v>1304</v>
      </c>
      <c r="J48" s="2957">
        <v>5</v>
      </c>
      <c r="K48" s="2957">
        <v>8</v>
      </c>
      <c r="L48" s="2957">
        <v>10</v>
      </c>
      <c r="M48" s="373">
        <v>12</v>
      </c>
      <c r="N48" s="2957">
        <v>20</v>
      </c>
      <c r="O48" s="2957">
        <v>50</v>
      </c>
      <c r="P48" s="2957">
        <v>100</v>
      </c>
      <c r="Q48" s="373">
        <v>200</v>
      </c>
      <c r="R48" s="2957">
        <v>5</v>
      </c>
      <c r="S48" s="2957">
        <v>5</v>
      </c>
      <c r="T48" s="2959">
        <v>10</v>
      </c>
      <c r="U48" s="377">
        <v>15</v>
      </c>
      <c r="V48" s="2954" t="s">
        <v>3394</v>
      </c>
      <c r="W48" s="2954" t="s">
        <v>3395</v>
      </c>
      <c r="X48" s="2954" t="s">
        <v>3396</v>
      </c>
      <c r="Y48" s="2954" t="s">
        <v>3397</v>
      </c>
      <c r="Z48" s="2954" t="s">
        <v>3398</v>
      </c>
      <c r="AA48" s="375"/>
    </row>
    <row r="49" spans="1:27" ht="12.75" customHeight="1" x14ac:dyDescent="0.2">
      <c r="A49" s="6360"/>
      <c r="B49" s="251" t="str">
        <f t="shared" si="0"/>
        <v>Oscuridad6</v>
      </c>
      <c r="D49" s="272" t="s">
        <v>9708</v>
      </c>
      <c r="E49" s="2957" t="s">
        <v>1700</v>
      </c>
      <c r="F49" s="2957">
        <v>6</v>
      </c>
      <c r="G49" s="2958" t="s">
        <v>1381</v>
      </c>
      <c r="H49" s="2958" t="s">
        <v>1233</v>
      </c>
      <c r="I49" s="372" t="s">
        <v>1304</v>
      </c>
      <c r="J49" s="2957">
        <v>5</v>
      </c>
      <c r="K49" s="2957">
        <v>8</v>
      </c>
      <c r="L49" s="2957">
        <v>10</v>
      </c>
      <c r="M49" s="373">
        <v>12</v>
      </c>
      <c r="N49" s="2957">
        <v>40</v>
      </c>
      <c r="O49" s="2957">
        <v>80</v>
      </c>
      <c r="P49" s="2957">
        <v>140</v>
      </c>
      <c r="Q49" s="373">
        <v>180</v>
      </c>
      <c r="R49" s="2957" t="s">
        <v>1381</v>
      </c>
      <c r="S49" s="2957" t="s">
        <v>1381</v>
      </c>
      <c r="T49" s="2959" t="s">
        <v>1381</v>
      </c>
      <c r="U49" s="377" t="s">
        <v>1381</v>
      </c>
      <c r="V49" s="2954" t="s">
        <v>3399</v>
      </c>
      <c r="W49" s="2954" t="s">
        <v>3400</v>
      </c>
      <c r="X49" s="2954" t="s">
        <v>3401</v>
      </c>
      <c r="Y49" s="2954" t="s">
        <v>3402</v>
      </c>
      <c r="Z49" s="2954" t="s">
        <v>3403</v>
      </c>
      <c r="AA49" s="375"/>
    </row>
    <row r="50" spans="1:27" ht="12.75" customHeight="1" x14ac:dyDescent="0.2">
      <c r="A50" s="6360"/>
      <c r="B50" s="251" t="str">
        <f t="shared" si="0"/>
        <v>Oscuridad8</v>
      </c>
      <c r="D50" s="272" t="s">
        <v>9709</v>
      </c>
      <c r="E50" s="2957" t="s">
        <v>1700</v>
      </c>
      <c r="F50" s="2957">
        <v>8</v>
      </c>
      <c r="G50" s="2958" t="s">
        <v>2088</v>
      </c>
      <c r="H50" s="2958" t="s">
        <v>1233</v>
      </c>
      <c r="I50" s="372" t="s">
        <v>1304</v>
      </c>
      <c r="J50" s="2957">
        <v>5</v>
      </c>
      <c r="K50" s="2957">
        <v>8</v>
      </c>
      <c r="L50" s="2957">
        <v>10</v>
      </c>
      <c r="M50" s="373">
        <v>12</v>
      </c>
      <c r="N50" s="2957">
        <v>40</v>
      </c>
      <c r="O50" s="2957">
        <v>80</v>
      </c>
      <c r="P50" s="2957">
        <v>100</v>
      </c>
      <c r="Q50" s="373">
        <v>120</v>
      </c>
      <c r="R50" s="2957">
        <v>5</v>
      </c>
      <c r="S50" s="2957">
        <v>10</v>
      </c>
      <c r="T50" s="2959">
        <v>10</v>
      </c>
      <c r="U50" s="377">
        <v>15</v>
      </c>
      <c r="V50" s="2954" t="s">
        <v>3404</v>
      </c>
      <c r="W50" s="2954" t="s">
        <v>3405</v>
      </c>
      <c r="X50" s="2954" t="s">
        <v>3406</v>
      </c>
      <c r="Y50" s="2954" t="s">
        <v>3407</v>
      </c>
      <c r="Z50" s="2954" t="s">
        <v>3408</v>
      </c>
      <c r="AA50" s="375"/>
    </row>
    <row r="51" spans="1:27" ht="12.75" customHeight="1" x14ac:dyDescent="0.2">
      <c r="A51" s="6360"/>
      <c r="B51" s="251" t="str">
        <f t="shared" si="0"/>
        <v>Oscuridad10</v>
      </c>
      <c r="D51" s="272" t="s">
        <v>9710</v>
      </c>
      <c r="E51" s="2957" t="s">
        <v>1700</v>
      </c>
      <c r="F51" s="2957">
        <v>10</v>
      </c>
      <c r="G51" s="2958" t="s">
        <v>1381</v>
      </c>
      <c r="H51" s="2958" t="s">
        <v>1565</v>
      </c>
      <c r="I51" s="372" t="s">
        <v>1305</v>
      </c>
      <c r="J51" s="2957">
        <v>6</v>
      </c>
      <c r="K51" s="2957">
        <v>8</v>
      </c>
      <c r="L51" s="2957">
        <v>10</v>
      </c>
      <c r="M51" s="373">
        <v>14</v>
      </c>
      <c r="N51" s="2957">
        <v>50</v>
      </c>
      <c r="O51" s="2957">
        <v>120</v>
      </c>
      <c r="P51" s="2957">
        <v>180</v>
      </c>
      <c r="Q51" s="373">
        <v>250</v>
      </c>
      <c r="R51" s="2957">
        <v>5</v>
      </c>
      <c r="S51" s="2957">
        <v>15</v>
      </c>
      <c r="T51" s="2959">
        <v>20</v>
      </c>
      <c r="U51" s="377">
        <v>25</v>
      </c>
      <c r="V51" s="2954" t="s">
        <v>3216</v>
      </c>
      <c r="W51" s="2954" t="s">
        <v>3217</v>
      </c>
      <c r="X51" s="2954" t="s">
        <v>3218</v>
      </c>
      <c r="Y51" s="2954" t="s">
        <v>3219</v>
      </c>
      <c r="Z51" s="2954" t="s">
        <v>3409</v>
      </c>
      <c r="AA51" s="375"/>
    </row>
    <row r="52" spans="1:27" ht="12.75" customHeight="1" x14ac:dyDescent="0.2">
      <c r="A52" s="6360"/>
      <c r="B52" s="251" t="str">
        <f t="shared" si="0"/>
        <v>Oscuridad12</v>
      </c>
      <c r="D52" s="272" t="s">
        <v>2060</v>
      </c>
      <c r="E52" s="2957" t="s">
        <v>1700</v>
      </c>
      <c r="F52" s="2957">
        <v>12</v>
      </c>
      <c r="G52" s="2958" t="s">
        <v>1381</v>
      </c>
      <c r="H52" s="2958" t="s">
        <v>1234</v>
      </c>
      <c r="I52" s="372" t="s">
        <v>1305</v>
      </c>
      <c r="J52" s="2957">
        <v>5</v>
      </c>
      <c r="K52" s="2957">
        <v>9</v>
      </c>
      <c r="L52" s="2957">
        <v>12</v>
      </c>
      <c r="M52" s="373">
        <v>14</v>
      </c>
      <c r="N52" s="2957">
        <v>50</v>
      </c>
      <c r="O52" s="2957">
        <v>150</v>
      </c>
      <c r="P52" s="2957">
        <v>200</v>
      </c>
      <c r="Q52" s="373">
        <v>240</v>
      </c>
      <c r="R52" s="2957">
        <v>5</v>
      </c>
      <c r="S52" s="2957">
        <v>15</v>
      </c>
      <c r="T52" s="2959">
        <v>20</v>
      </c>
      <c r="U52" s="377">
        <v>25</v>
      </c>
      <c r="V52" s="2954" t="s">
        <v>3410</v>
      </c>
      <c r="W52" s="2954" t="s">
        <v>3411</v>
      </c>
      <c r="X52" s="2954" t="s">
        <v>3412</v>
      </c>
      <c r="Y52" s="2954" t="s">
        <v>3413</v>
      </c>
      <c r="Z52" s="2954" t="s">
        <v>3414</v>
      </c>
      <c r="AA52" s="375"/>
    </row>
    <row r="53" spans="1:27" ht="12.75" customHeight="1" x14ac:dyDescent="0.2">
      <c r="A53" s="6360"/>
      <c r="B53" s="251" t="str">
        <f t="shared" si="0"/>
        <v>Oscuridad16</v>
      </c>
      <c r="D53" s="272" t="s">
        <v>9711</v>
      </c>
      <c r="E53" s="2957" t="s">
        <v>1700</v>
      </c>
      <c r="F53" s="2957">
        <v>16</v>
      </c>
      <c r="G53" s="2958" t="s">
        <v>1381</v>
      </c>
      <c r="H53" s="2958" t="s">
        <v>1234</v>
      </c>
      <c r="I53" s="372" t="s">
        <v>1304</v>
      </c>
      <c r="J53" s="2957">
        <v>6</v>
      </c>
      <c r="K53" s="2957">
        <v>9</v>
      </c>
      <c r="L53" s="2957">
        <v>12</v>
      </c>
      <c r="M53" s="373">
        <v>15</v>
      </c>
      <c r="N53" s="2957">
        <v>60</v>
      </c>
      <c r="O53" s="2957">
        <v>90</v>
      </c>
      <c r="P53" s="2957">
        <v>120</v>
      </c>
      <c r="Q53" s="373">
        <v>150</v>
      </c>
      <c r="R53" s="2957">
        <v>5</v>
      </c>
      <c r="S53" s="2957">
        <v>10</v>
      </c>
      <c r="T53" s="2959">
        <v>15</v>
      </c>
      <c r="U53" s="377">
        <v>20</v>
      </c>
      <c r="V53" s="2954" t="s">
        <v>3226</v>
      </c>
      <c r="W53" s="2954" t="s">
        <v>3227</v>
      </c>
      <c r="X53" s="2954" t="s">
        <v>3415</v>
      </c>
      <c r="Y53" s="2954" t="s">
        <v>3416</v>
      </c>
      <c r="Z53" s="2954" t="s">
        <v>3417</v>
      </c>
      <c r="AA53" s="375"/>
    </row>
    <row r="54" spans="1:27" ht="12.75" customHeight="1" x14ac:dyDescent="0.2">
      <c r="A54" s="6360"/>
      <c r="B54" s="251" t="str">
        <f t="shared" si="0"/>
        <v>Oscuridad18</v>
      </c>
      <c r="D54" s="272" t="s">
        <v>9712</v>
      </c>
      <c r="E54" s="2957" t="s">
        <v>1700</v>
      </c>
      <c r="F54" s="2957">
        <v>18</v>
      </c>
      <c r="G54" s="2958" t="s">
        <v>1381</v>
      </c>
      <c r="H54" s="2958" t="s">
        <v>3418</v>
      </c>
      <c r="I54" s="372" t="s">
        <v>1304</v>
      </c>
      <c r="J54" s="2957">
        <v>6</v>
      </c>
      <c r="K54" s="2957">
        <v>9</v>
      </c>
      <c r="L54" s="2957">
        <v>12</v>
      </c>
      <c r="M54" s="373">
        <v>15</v>
      </c>
      <c r="N54" s="2957">
        <v>60</v>
      </c>
      <c r="O54" s="2957">
        <v>100</v>
      </c>
      <c r="P54" s="2957">
        <v>150</v>
      </c>
      <c r="Q54" s="373">
        <v>250</v>
      </c>
      <c r="R54" s="2957">
        <v>10</v>
      </c>
      <c r="S54" s="2957">
        <v>10</v>
      </c>
      <c r="T54" s="2959">
        <v>15</v>
      </c>
      <c r="U54" s="377">
        <v>15</v>
      </c>
      <c r="V54" s="2954" t="s">
        <v>3231</v>
      </c>
      <c r="W54" s="2954" t="s">
        <v>3419</v>
      </c>
      <c r="X54" s="2954" t="s">
        <v>3420</v>
      </c>
      <c r="Y54" s="2954" t="s">
        <v>3234</v>
      </c>
      <c r="Z54" s="2954" t="s">
        <v>3421</v>
      </c>
      <c r="AA54" s="375"/>
    </row>
    <row r="55" spans="1:27" ht="12.75" customHeight="1" x14ac:dyDescent="0.2">
      <c r="A55" s="6360"/>
      <c r="B55" s="251" t="str">
        <f t="shared" si="0"/>
        <v>Oscuridad20</v>
      </c>
      <c r="D55" s="272" t="s">
        <v>9713</v>
      </c>
      <c r="E55" s="2957" t="s">
        <v>1700</v>
      </c>
      <c r="F55" s="2957">
        <v>20</v>
      </c>
      <c r="G55" s="2958" t="s">
        <v>2088</v>
      </c>
      <c r="H55" s="2958" t="s">
        <v>1234</v>
      </c>
      <c r="I55" s="372" t="s">
        <v>1305</v>
      </c>
      <c r="J55" s="2957">
        <v>6</v>
      </c>
      <c r="K55" s="2957">
        <v>9</v>
      </c>
      <c r="L55" s="2957">
        <v>12</v>
      </c>
      <c r="M55" s="373">
        <v>15</v>
      </c>
      <c r="N55" s="2957">
        <v>50</v>
      </c>
      <c r="O55" s="2957">
        <v>180</v>
      </c>
      <c r="P55" s="2957">
        <v>240</v>
      </c>
      <c r="Q55" s="373">
        <v>300</v>
      </c>
      <c r="R55" s="2957">
        <v>5</v>
      </c>
      <c r="S55" s="2957">
        <v>20</v>
      </c>
      <c r="T55" s="2959">
        <v>25</v>
      </c>
      <c r="U55" s="377">
        <v>30</v>
      </c>
      <c r="V55" s="2954" t="s">
        <v>3422</v>
      </c>
      <c r="W55" s="2954" t="s">
        <v>3423</v>
      </c>
      <c r="X55" s="2954" t="s">
        <v>3424</v>
      </c>
      <c r="Y55" s="2954" t="s">
        <v>3425</v>
      </c>
      <c r="Z55" s="2954" t="s">
        <v>3426</v>
      </c>
      <c r="AA55" s="375"/>
    </row>
    <row r="56" spans="1:27" ht="12.75" customHeight="1" x14ac:dyDescent="0.2">
      <c r="A56" s="6360"/>
      <c r="B56" s="251" t="str">
        <f t="shared" si="0"/>
        <v>Oscuridad22</v>
      </c>
      <c r="D56" s="272" t="s">
        <v>9714</v>
      </c>
      <c r="E56" s="2957" t="s">
        <v>1700</v>
      </c>
      <c r="F56" s="2957">
        <v>22</v>
      </c>
      <c r="G56" s="2958" t="s">
        <v>1381</v>
      </c>
      <c r="H56" s="2958" t="s">
        <v>1232</v>
      </c>
      <c r="I56" s="372" t="s">
        <v>1304</v>
      </c>
      <c r="J56" s="2957">
        <v>6</v>
      </c>
      <c r="K56" s="2957">
        <v>9</v>
      </c>
      <c r="L56" s="2957">
        <v>12</v>
      </c>
      <c r="M56" s="373">
        <v>15</v>
      </c>
      <c r="N56" s="2957">
        <v>50</v>
      </c>
      <c r="O56" s="2957">
        <v>90</v>
      </c>
      <c r="P56" s="2957">
        <v>120</v>
      </c>
      <c r="Q56" s="373">
        <v>150</v>
      </c>
      <c r="R56" s="2957" t="s">
        <v>1381</v>
      </c>
      <c r="S56" s="2957" t="s">
        <v>1381</v>
      </c>
      <c r="T56" s="2959" t="s">
        <v>1381</v>
      </c>
      <c r="U56" s="377" t="s">
        <v>1381</v>
      </c>
      <c r="V56" s="2954" t="s">
        <v>3241</v>
      </c>
      <c r="W56" s="2954" t="s">
        <v>3242</v>
      </c>
      <c r="X56" s="2954" t="s">
        <v>3427</v>
      </c>
      <c r="Y56" s="2954" t="s">
        <v>3428</v>
      </c>
      <c r="Z56" s="2954" t="s">
        <v>3429</v>
      </c>
      <c r="AA56" s="375"/>
    </row>
    <row r="57" spans="1:27" ht="12.75" customHeight="1" x14ac:dyDescent="0.2">
      <c r="A57" s="6360"/>
      <c r="B57" s="251" t="str">
        <f t="shared" si="0"/>
        <v>Oscuridad26</v>
      </c>
      <c r="D57" s="272" t="s">
        <v>9715</v>
      </c>
      <c r="E57" s="2957" t="s">
        <v>1700</v>
      </c>
      <c r="F57" s="2957">
        <v>26</v>
      </c>
      <c r="G57" s="2958" t="s">
        <v>1381</v>
      </c>
      <c r="H57" s="2958" t="s">
        <v>1234</v>
      </c>
      <c r="I57" s="372" t="s">
        <v>1304</v>
      </c>
      <c r="J57" s="2957">
        <v>6</v>
      </c>
      <c r="K57" s="2957">
        <v>9</v>
      </c>
      <c r="L57" s="2957">
        <v>12</v>
      </c>
      <c r="M57" s="373">
        <v>15</v>
      </c>
      <c r="N57" s="2957">
        <v>60</v>
      </c>
      <c r="O57" s="2957">
        <v>180</v>
      </c>
      <c r="P57" s="2957">
        <v>240</v>
      </c>
      <c r="Q57" s="373">
        <v>300</v>
      </c>
      <c r="R57" s="2957">
        <v>5</v>
      </c>
      <c r="S57" s="2957">
        <v>10</v>
      </c>
      <c r="T57" s="2959">
        <v>15</v>
      </c>
      <c r="U57" s="377">
        <v>15</v>
      </c>
      <c r="V57" s="2954" t="s">
        <v>3430</v>
      </c>
      <c r="W57" s="2954" t="s">
        <v>3431</v>
      </c>
      <c r="X57" s="2954" t="s">
        <v>3432</v>
      </c>
      <c r="Y57" s="2954" t="s">
        <v>3433</v>
      </c>
      <c r="Z57" s="2954" t="s">
        <v>3434</v>
      </c>
      <c r="AA57" s="375"/>
    </row>
    <row r="58" spans="1:27" ht="12.75" customHeight="1" x14ac:dyDescent="0.2">
      <c r="A58" s="6360"/>
      <c r="B58" s="251" t="str">
        <f t="shared" si="0"/>
        <v>Oscuridad28</v>
      </c>
      <c r="D58" s="272" t="s">
        <v>9716</v>
      </c>
      <c r="E58" s="2957" t="s">
        <v>1700</v>
      </c>
      <c r="F58" s="2957">
        <v>28</v>
      </c>
      <c r="G58" s="2958" t="s">
        <v>1381</v>
      </c>
      <c r="H58" s="2958" t="s">
        <v>1232</v>
      </c>
      <c r="I58" s="372" t="s">
        <v>1304</v>
      </c>
      <c r="J58" s="2957">
        <v>6</v>
      </c>
      <c r="K58" s="2957">
        <v>9</v>
      </c>
      <c r="L58" s="2957">
        <v>12</v>
      </c>
      <c r="M58" s="373">
        <v>15</v>
      </c>
      <c r="N58" s="2957">
        <v>60</v>
      </c>
      <c r="O58" s="2957">
        <v>100</v>
      </c>
      <c r="P58" s="2957">
        <v>140</v>
      </c>
      <c r="Q58" s="373">
        <v>180</v>
      </c>
      <c r="R58" s="2957">
        <v>10</v>
      </c>
      <c r="S58" s="2957">
        <v>10</v>
      </c>
      <c r="T58" s="2959">
        <v>15</v>
      </c>
      <c r="U58" s="377">
        <v>15</v>
      </c>
      <c r="V58" s="2954" t="s">
        <v>3251</v>
      </c>
      <c r="W58" s="2954" t="s">
        <v>3252</v>
      </c>
      <c r="X58" s="2954" t="s">
        <v>3253</v>
      </c>
      <c r="Y58" s="2954" t="s">
        <v>3254</v>
      </c>
      <c r="Z58" s="2954" t="s">
        <v>10248</v>
      </c>
      <c r="AA58" s="375"/>
    </row>
    <row r="59" spans="1:27" ht="12.75" customHeight="1" x14ac:dyDescent="0.2">
      <c r="A59" s="6360"/>
      <c r="B59" s="251" t="str">
        <f t="shared" si="0"/>
        <v>Oscuridad30</v>
      </c>
      <c r="D59" s="272" t="s">
        <v>9717</v>
      </c>
      <c r="E59" s="2957" t="s">
        <v>1700</v>
      </c>
      <c r="F59" s="2957">
        <v>30</v>
      </c>
      <c r="G59" s="2958" t="s">
        <v>1381</v>
      </c>
      <c r="H59" s="2958" t="s">
        <v>3418</v>
      </c>
      <c r="I59" s="372" t="s">
        <v>1304</v>
      </c>
      <c r="J59" s="2957">
        <v>6</v>
      </c>
      <c r="K59" s="2957">
        <v>9</v>
      </c>
      <c r="L59" s="2957">
        <v>12</v>
      </c>
      <c r="M59" s="373">
        <v>16</v>
      </c>
      <c r="N59" s="2957">
        <v>50</v>
      </c>
      <c r="O59" s="2957">
        <v>150</v>
      </c>
      <c r="P59" s="2957">
        <v>250</v>
      </c>
      <c r="Q59" s="373">
        <v>350</v>
      </c>
      <c r="R59" s="2957">
        <v>5</v>
      </c>
      <c r="S59" s="2957">
        <v>20</v>
      </c>
      <c r="T59" s="2959">
        <v>25</v>
      </c>
      <c r="U59" s="377">
        <v>30</v>
      </c>
      <c r="V59" s="2954" t="s">
        <v>3256</v>
      </c>
      <c r="W59" s="2954" t="s">
        <v>3257</v>
      </c>
      <c r="X59" s="2954" t="s">
        <v>3435</v>
      </c>
      <c r="Y59" s="2954" t="s">
        <v>3259</v>
      </c>
      <c r="Z59" s="2954" t="s">
        <v>3436</v>
      </c>
      <c r="AA59" s="375"/>
    </row>
    <row r="60" spans="1:27" ht="12.75" customHeight="1" x14ac:dyDescent="0.2">
      <c r="A60" s="6360"/>
      <c r="B60" s="251" t="str">
        <f t="shared" si="0"/>
        <v>Oscuridad32</v>
      </c>
      <c r="D60" s="272" t="s">
        <v>9718</v>
      </c>
      <c r="E60" s="2957" t="s">
        <v>1700</v>
      </c>
      <c r="F60" s="2957">
        <v>32</v>
      </c>
      <c r="G60" s="2958" t="s">
        <v>2088</v>
      </c>
      <c r="H60" s="2958" t="s">
        <v>1234</v>
      </c>
      <c r="I60" s="372" t="s">
        <v>1305</v>
      </c>
      <c r="J60" s="2957">
        <v>6</v>
      </c>
      <c r="K60" s="2957">
        <v>9</v>
      </c>
      <c r="L60" s="2957">
        <v>12</v>
      </c>
      <c r="M60" s="373">
        <v>15</v>
      </c>
      <c r="N60" s="2957">
        <v>60</v>
      </c>
      <c r="O60" s="2957">
        <v>180</v>
      </c>
      <c r="P60" s="2957">
        <v>240</v>
      </c>
      <c r="Q60" s="373">
        <v>300</v>
      </c>
      <c r="R60" s="2957">
        <v>10</v>
      </c>
      <c r="S60" s="2957">
        <v>20</v>
      </c>
      <c r="T60" s="2959">
        <v>25</v>
      </c>
      <c r="U60" s="377">
        <v>30</v>
      </c>
      <c r="V60" s="2954" t="s">
        <v>3437</v>
      </c>
      <c r="W60" s="2954" t="s">
        <v>3438</v>
      </c>
      <c r="X60" s="2954" t="s">
        <v>3439</v>
      </c>
      <c r="Y60" s="2954" t="s">
        <v>3440</v>
      </c>
      <c r="Z60" s="2954" t="s">
        <v>3441</v>
      </c>
      <c r="AA60" s="375"/>
    </row>
    <row r="61" spans="1:27" ht="12.75" customHeight="1" x14ac:dyDescent="0.2">
      <c r="A61" s="6360"/>
      <c r="B61" s="251" t="str">
        <f t="shared" si="0"/>
        <v>Oscuridad36</v>
      </c>
      <c r="D61" s="272" t="s">
        <v>295</v>
      </c>
      <c r="E61" s="2957" t="s">
        <v>1700</v>
      </c>
      <c r="F61" s="2957">
        <v>36</v>
      </c>
      <c r="G61" s="2958" t="s">
        <v>2088</v>
      </c>
      <c r="H61" s="2958" t="s">
        <v>1234</v>
      </c>
      <c r="I61" s="372" t="s">
        <v>1304</v>
      </c>
      <c r="J61" s="2957">
        <v>6</v>
      </c>
      <c r="K61" s="2957">
        <v>9</v>
      </c>
      <c r="L61" s="2957">
        <v>12</v>
      </c>
      <c r="M61" s="373">
        <v>15</v>
      </c>
      <c r="N61" s="2957">
        <v>100</v>
      </c>
      <c r="O61" s="2957">
        <v>180</v>
      </c>
      <c r="P61" s="2957">
        <v>240</v>
      </c>
      <c r="Q61" s="373">
        <v>300</v>
      </c>
      <c r="R61" s="2957">
        <v>20</v>
      </c>
      <c r="S61" s="2957">
        <v>40</v>
      </c>
      <c r="T61" s="2959">
        <v>50</v>
      </c>
      <c r="U61" s="377">
        <v>60</v>
      </c>
      <c r="V61" s="2954" t="s">
        <v>3442</v>
      </c>
      <c r="W61" s="2954" t="s">
        <v>3443</v>
      </c>
      <c r="X61" s="2954" t="s">
        <v>3444</v>
      </c>
      <c r="Y61" s="2954" t="s">
        <v>3445</v>
      </c>
      <c r="Z61" s="2954" t="s">
        <v>3446</v>
      </c>
      <c r="AA61" s="375"/>
    </row>
    <row r="62" spans="1:27" ht="12.75" customHeight="1" x14ac:dyDescent="0.2">
      <c r="A62" s="6360"/>
      <c r="B62" s="251" t="str">
        <f t="shared" si="0"/>
        <v>Oscuridad38</v>
      </c>
      <c r="D62" s="272" t="s">
        <v>9719</v>
      </c>
      <c r="E62" s="2957" t="s">
        <v>1700</v>
      </c>
      <c r="F62" s="2957">
        <v>38</v>
      </c>
      <c r="G62" s="2958" t="s">
        <v>1381</v>
      </c>
      <c r="H62" s="2958" t="s">
        <v>1233</v>
      </c>
      <c r="I62" s="372" t="s">
        <v>1304</v>
      </c>
      <c r="J62" s="2957">
        <v>6</v>
      </c>
      <c r="K62" s="2957">
        <v>9</v>
      </c>
      <c r="L62" s="2957">
        <v>12</v>
      </c>
      <c r="M62" s="373">
        <v>15</v>
      </c>
      <c r="N62" s="2957">
        <v>60</v>
      </c>
      <c r="O62" s="2957">
        <v>90</v>
      </c>
      <c r="P62" s="2957">
        <v>150</v>
      </c>
      <c r="Q62" s="373">
        <v>200</v>
      </c>
      <c r="R62" s="2957">
        <v>10</v>
      </c>
      <c r="S62" s="2957">
        <v>10</v>
      </c>
      <c r="T62" s="2959">
        <v>15</v>
      </c>
      <c r="U62" s="377">
        <v>15</v>
      </c>
      <c r="V62" s="2954" t="s">
        <v>3447</v>
      </c>
      <c r="W62" s="2954" t="s">
        <v>3448</v>
      </c>
      <c r="X62" s="2954" t="s">
        <v>3449</v>
      </c>
      <c r="Y62" s="2954" t="s">
        <v>3450</v>
      </c>
      <c r="Z62" s="2954" t="s">
        <v>3451</v>
      </c>
      <c r="AA62" s="375"/>
    </row>
    <row r="63" spans="1:27" ht="12.75" customHeight="1" x14ac:dyDescent="0.2">
      <c r="A63" s="6360"/>
      <c r="B63" s="251" t="str">
        <f t="shared" si="0"/>
        <v>Oscuridad40</v>
      </c>
      <c r="D63" s="272" t="s">
        <v>9720</v>
      </c>
      <c r="E63" s="2957" t="s">
        <v>1700</v>
      </c>
      <c r="F63" s="2957">
        <v>40</v>
      </c>
      <c r="G63" s="2958" t="s">
        <v>1381</v>
      </c>
      <c r="H63" s="2958" t="s">
        <v>1233</v>
      </c>
      <c r="I63" s="372" t="s">
        <v>1304</v>
      </c>
      <c r="J63" s="2957">
        <v>6</v>
      </c>
      <c r="K63" s="2957">
        <v>9</v>
      </c>
      <c r="L63" s="2957">
        <v>12</v>
      </c>
      <c r="M63" s="373">
        <v>15</v>
      </c>
      <c r="N63" s="2957">
        <v>80</v>
      </c>
      <c r="O63" s="2957">
        <v>180</v>
      </c>
      <c r="P63" s="2957">
        <v>240</v>
      </c>
      <c r="Q63" s="373">
        <v>350</v>
      </c>
      <c r="R63" s="2957" t="s">
        <v>1381</v>
      </c>
      <c r="S63" s="2957" t="s">
        <v>1381</v>
      </c>
      <c r="T63" s="2959" t="s">
        <v>1381</v>
      </c>
      <c r="U63" s="377" t="s">
        <v>1381</v>
      </c>
      <c r="V63" s="2954" t="s">
        <v>3276</v>
      </c>
      <c r="W63" s="2954" t="s">
        <v>3277</v>
      </c>
      <c r="X63" s="2954" t="s">
        <v>3278</v>
      </c>
      <c r="Y63" s="2954" t="s">
        <v>3279</v>
      </c>
      <c r="Z63" s="2954" t="s">
        <v>3452</v>
      </c>
      <c r="AA63" s="375"/>
    </row>
    <row r="64" spans="1:27" ht="12.75" customHeight="1" x14ac:dyDescent="0.2">
      <c r="A64" s="6360"/>
      <c r="B64" s="251" t="str">
        <f t="shared" si="0"/>
        <v>Oscuridad42</v>
      </c>
      <c r="D64" s="272" t="s">
        <v>9721</v>
      </c>
      <c r="E64" s="2957" t="s">
        <v>1700</v>
      </c>
      <c r="F64" s="2957">
        <v>42</v>
      </c>
      <c r="G64" s="2958" t="s">
        <v>1381</v>
      </c>
      <c r="H64" s="2958" t="s">
        <v>1234</v>
      </c>
      <c r="I64" s="372" t="s">
        <v>1304</v>
      </c>
      <c r="J64" s="2957">
        <v>6</v>
      </c>
      <c r="K64" s="2957">
        <v>9</v>
      </c>
      <c r="L64" s="2957">
        <v>12</v>
      </c>
      <c r="M64" s="373">
        <v>15</v>
      </c>
      <c r="N64" s="2957">
        <v>80</v>
      </c>
      <c r="O64" s="2957">
        <v>180</v>
      </c>
      <c r="P64" s="2957">
        <v>240</v>
      </c>
      <c r="Q64" s="373">
        <v>300</v>
      </c>
      <c r="R64" s="2957">
        <v>10</v>
      </c>
      <c r="S64" s="2957">
        <v>20</v>
      </c>
      <c r="T64" s="2959">
        <v>25</v>
      </c>
      <c r="U64" s="377">
        <v>30</v>
      </c>
      <c r="V64" s="2954" t="s">
        <v>3453</v>
      </c>
      <c r="W64" s="2954" t="s">
        <v>3454</v>
      </c>
      <c r="X64" s="2954" t="s">
        <v>3455</v>
      </c>
      <c r="Y64" s="2954" t="s">
        <v>3456</v>
      </c>
      <c r="Z64" s="2954" t="s">
        <v>3457</v>
      </c>
      <c r="AA64" s="375"/>
    </row>
    <row r="65" spans="1:27" ht="12.75" customHeight="1" x14ac:dyDescent="0.2">
      <c r="A65" s="6360"/>
      <c r="B65" s="251" t="str">
        <f t="shared" si="0"/>
        <v>Oscuridad46</v>
      </c>
      <c r="D65" s="272" t="s">
        <v>9722</v>
      </c>
      <c r="E65" s="2957" t="s">
        <v>1700</v>
      </c>
      <c r="F65" s="2957">
        <v>46</v>
      </c>
      <c r="G65" s="2958" t="s">
        <v>1381</v>
      </c>
      <c r="H65" s="2958" t="s">
        <v>1232</v>
      </c>
      <c r="I65" s="372" t="s">
        <v>1304</v>
      </c>
      <c r="J65" s="2957">
        <v>6</v>
      </c>
      <c r="K65" s="2957">
        <v>9</v>
      </c>
      <c r="L65" s="2957">
        <v>12</v>
      </c>
      <c r="M65" s="373">
        <v>15</v>
      </c>
      <c r="N65" s="2957">
        <v>120</v>
      </c>
      <c r="O65" s="2957">
        <v>180</v>
      </c>
      <c r="P65" s="2957">
        <v>240</v>
      </c>
      <c r="Q65" s="373">
        <v>300</v>
      </c>
      <c r="R65" s="2957">
        <v>15</v>
      </c>
      <c r="S65" s="2957">
        <v>20</v>
      </c>
      <c r="T65" s="2959">
        <v>25</v>
      </c>
      <c r="U65" s="377">
        <v>30</v>
      </c>
      <c r="V65" s="2954" t="s">
        <v>3458</v>
      </c>
      <c r="W65" s="2954" t="s">
        <v>3287</v>
      </c>
      <c r="X65" s="2954" t="s">
        <v>3288</v>
      </c>
      <c r="Y65" s="2954" t="s">
        <v>3289</v>
      </c>
      <c r="Z65" s="2954" t="s">
        <v>3459</v>
      </c>
      <c r="AA65" s="375"/>
    </row>
    <row r="66" spans="1:27" ht="12.75" customHeight="1" x14ac:dyDescent="0.2">
      <c r="A66" s="6360"/>
      <c r="B66" s="251" t="str">
        <f t="shared" si="0"/>
        <v>Oscuridad48</v>
      </c>
      <c r="D66" s="272" t="s">
        <v>9724</v>
      </c>
      <c r="E66" s="2957" t="s">
        <v>1700</v>
      </c>
      <c r="F66" s="2957">
        <v>48</v>
      </c>
      <c r="G66" s="2958" t="s">
        <v>2088</v>
      </c>
      <c r="H66" s="2958" t="s">
        <v>1236</v>
      </c>
      <c r="I66" s="372" t="s">
        <v>1304</v>
      </c>
      <c r="J66" s="2957">
        <v>6</v>
      </c>
      <c r="K66" s="2957">
        <v>9</v>
      </c>
      <c r="L66" s="2957">
        <v>12</v>
      </c>
      <c r="M66" s="373">
        <v>15</v>
      </c>
      <c r="N66" s="2957">
        <v>140</v>
      </c>
      <c r="O66" s="2957">
        <v>180</v>
      </c>
      <c r="P66" s="2957">
        <v>240</v>
      </c>
      <c r="Q66" s="373">
        <v>300</v>
      </c>
      <c r="R66" s="2957">
        <v>10</v>
      </c>
      <c r="S66" s="2957">
        <v>10</v>
      </c>
      <c r="T66" s="2959">
        <v>15</v>
      </c>
      <c r="U66" s="377">
        <v>15</v>
      </c>
      <c r="V66" s="2954" t="s">
        <v>3460</v>
      </c>
      <c r="W66" s="2954" t="s">
        <v>10053</v>
      </c>
      <c r="X66" s="2954" t="s">
        <v>3461</v>
      </c>
      <c r="Y66" s="2954" t="s">
        <v>3462</v>
      </c>
      <c r="Z66" s="2954" t="s">
        <v>3463</v>
      </c>
      <c r="AA66" s="375"/>
    </row>
    <row r="67" spans="1:27" ht="12.75" customHeight="1" x14ac:dyDescent="0.2">
      <c r="A67" s="6360"/>
      <c r="B67" s="251" t="str">
        <f t="shared" si="0"/>
        <v>Oscuridad50</v>
      </c>
      <c r="D67" s="272" t="s">
        <v>9723</v>
      </c>
      <c r="E67" s="2957" t="s">
        <v>1700</v>
      </c>
      <c r="F67" s="2957">
        <v>50</v>
      </c>
      <c r="G67" s="2958" t="s">
        <v>2088</v>
      </c>
      <c r="H67" s="2958" t="s">
        <v>1233</v>
      </c>
      <c r="I67" s="372" t="s">
        <v>1304</v>
      </c>
      <c r="J67" s="2957">
        <v>6</v>
      </c>
      <c r="K67" s="2957">
        <v>9</v>
      </c>
      <c r="L67" s="2957">
        <v>12</v>
      </c>
      <c r="M67" s="373">
        <v>15</v>
      </c>
      <c r="N67" s="2957">
        <v>120</v>
      </c>
      <c r="O67" s="2957">
        <v>180</v>
      </c>
      <c r="P67" s="2957">
        <v>240</v>
      </c>
      <c r="Q67" s="373">
        <v>300</v>
      </c>
      <c r="R67" s="2957">
        <v>10</v>
      </c>
      <c r="S67" s="2957">
        <v>10</v>
      </c>
      <c r="T67" s="2959">
        <v>15</v>
      </c>
      <c r="U67" s="377">
        <v>15</v>
      </c>
      <c r="V67" s="2954" t="s">
        <v>3296</v>
      </c>
      <c r="W67" s="2954" t="s">
        <v>3297</v>
      </c>
      <c r="X67" s="2954" t="s">
        <v>3298</v>
      </c>
      <c r="Y67" s="2954" t="s">
        <v>3299</v>
      </c>
      <c r="Z67" s="2954" t="s">
        <v>7060</v>
      </c>
      <c r="AA67" s="375"/>
    </row>
    <row r="68" spans="1:27" ht="12.75" customHeight="1" x14ac:dyDescent="0.2">
      <c r="A68" s="6360"/>
      <c r="B68" s="251" t="str">
        <f t="shared" si="0"/>
        <v>Oscuridad52</v>
      </c>
      <c r="D68" s="272" t="s">
        <v>9725</v>
      </c>
      <c r="E68" s="2957" t="s">
        <v>1700</v>
      </c>
      <c r="F68" s="2957">
        <v>52</v>
      </c>
      <c r="G68" s="2958" t="s">
        <v>1381</v>
      </c>
      <c r="H68" s="2958" t="s">
        <v>1234</v>
      </c>
      <c r="I68" s="372" t="s">
        <v>1304</v>
      </c>
      <c r="J68" s="2957">
        <v>8</v>
      </c>
      <c r="K68" s="2957">
        <v>11</v>
      </c>
      <c r="L68" s="2957">
        <v>13</v>
      </c>
      <c r="M68" s="373">
        <v>16</v>
      </c>
      <c r="N68" s="2957">
        <v>100</v>
      </c>
      <c r="O68" s="2957">
        <v>120</v>
      </c>
      <c r="P68" s="2957">
        <v>140</v>
      </c>
      <c r="Q68" s="373">
        <v>160</v>
      </c>
      <c r="R68" s="2957">
        <v>10</v>
      </c>
      <c r="S68" s="2957">
        <v>15</v>
      </c>
      <c r="T68" s="2959">
        <v>15</v>
      </c>
      <c r="U68" s="377">
        <v>20</v>
      </c>
      <c r="V68" s="2960" t="s">
        <v>10325</v>
      </c>
      <c r="W68" s="2960" t="s">
        <v>10326</v>
      </c>
      <c r="X68" s="2954" t="s">
        <v>3464</v>
      </c>
      <c r="Y68" s="2954" t="s">
        <v>3465</v>
      </c>
      <c r="Z68" s="2954" t="s">
        <v>3466</v>
      </c>
      <c r="AA68" s="375"/>
    </row>
    <row r="69" spans="1:27" ht="12.75" customHeight="1" x14ac:dyDescent="0.2">
      <c r="A69" s="6360"/>
      <c r="B69" s="251" t="str">
        <f t="shared" si="0"/>
        <v>Oscuridad56</v>
      </c>
      <c r="D69" s="272" t="s">
        <v>9726</v>
      </c>
      <c r="E69" s="2957" t="s">
        <v>1700</v>
      </c>
      <c r="F69" s="2957">
        <v>56</v>
      </c>
      <c r="G69" s="2958" t="s">
        <v>1381</v>
      </c>
      <c r="H69" s="2958" t="s">
        <v>1235</v>
      </c>
      <c r="I69" s="372" t="s">
        <v>1304</v>
      </c>
      <c r="J69" s="2957">
        <v>6</v>
      </c>
      <c r="K69" s="2957">
        <v>9</v>
      </c>
      <c r="L69" s="2957">
        <v>12</v>
      </c>
      <c r="M69" s="373">
        <v>15</v>
      </c>
      <c r="N69" s="2957">
        <v>100</v>
      </c>
      <c r="O69" s="2957">
        <v>180</v>
      </c>
      <c r="P69" s="2957">
        <v>240</v>
      </c>
      <c r="Q69" s="373">
        <v>300</v>
      </c>
      <c r="R69" s="2957">
        <v>5</v>
      </c>
      <c r="S69" s="2957">
        <v>10</v>
      </c>
      <c r="T69" s="2959">
        <v>15</v>
      </c>
      <c r="U69" s="377">
        <v>15</v>
      </c>
      <c r="V69" s="2954" t="s">
        <v>3467</v>
      </c>
      <c r="W69" s="2954" t="s">
        <v>3468</v>
      </c>
      <c r="X69" s="2954" t="s">
        <v>3469</v>
      </c>
      <c r="Y69" s="2954" t="s">
        <v>3470</v>
      </c>
      <c r="Z69" s="2954" t="s">
        <v>3471</v>
      </c>
      <c r="AA69" s="375"/>
    </row>
    <row r="70" spans="1:27" ht="12.75" customHeight="1" x14ac:dyDescent="0.2">
      <c r="A70" s="6360"/>
      <c r="B70" s="251" t="str">
        <f t="shared" si="0"/>
        <v>Oscuridad58</v>
      </c>
      <c r="D70" s="272" t="s">
        <v>9727</v>
      </c>
      <c r="E70" s="2957" t="s">
        <v>1700</v>
      </c>
      <c r="F70" s="2957">
        <v>58</v>
      </c>
      <c r="G70" s="2958" t="s">
        <v>2088</v>
      </c>
      <c r="H70" s="2958" t="s">
        <v>1233</v>
      </c>
      <c r="I70" s="372" t="s">
        <v>1304</v>
      </c>
      <c r="J70" s="2957">
        <v>6</v>
      </c>
      <c r="K70" s="2957">
        <v>9</v>
      </c>
      <c r="L70" s="2957">
        <v>12</v>
      </c>
      <c r="M70" s="373">
        <v>15</v>
      </c>
      <c r="N70" s="2957">
        <v>100</v>
      </c>
      <c r="O70" s="2957">
        <v>180</v>
      </c>
      <c r="P70" s="2957">
        <v>240</v>
      </c>
      <c r="Q70" s="373">
        <v>300</v>
      </c>
      <c r="R70" s="2957">
        <v>10</v>
      </c>
      <c r="S70" s="2957">
        <v>20</v>
      </c>
      <c r="T70" s="2959">
        <v>25</v>
      </c>
      <c r="U70" s="377">
        <v>30</v>
      </c>
      <c r="V70" s="2954" t="s">
        <v>3472</v>
      </c>
      <c r="W70" s="2954" t="s">
        <v>3311</v>
      </c>
      <c r="X70" s="2954" t="s">
        <v>3473</v>
      </c>
      <c r="Y70" s="2954" t="s">
        <v>3313</v>
      </c>
      <c r="Z70" s="2954" t="s">
        <v>3474</v>
      </c>
      <c r="AA70" s="375"/>
    </row>
    <row r="71" spans="1:27" ht="12.75" customHeight="1" x14ac:dyDescent="0.2">
      <c r="A71" s="6360"/>
      <c r="B71" s="251" t="str">
        <f t="shared" si="0"/>
        <v>Oscuridad60</v>
      </c>
      <c r="D71" s="272" t="s">
        <v>9728</v>
      </c>
      <c r="E71" s="2957" t="s">
        <v>1700</v>
      </c>
      <c r="F71" s="2957">
        <v>60</v>
      </c>
      <c r="G71" s="2958" t="s">
        <v>1381</v>
      </c>
      <c r="H71" s="2958" t="s">
        <v>1234</v>
      </c>
      <c r="I71" s="372" t="s">
        <v>1304</v>
      </c>
      <c r="J71" s="2957">
        <v>8</v>
      </c>
      <c r="K71" s="2957">
        <v>10</v>
      </c>
      <c r="L71" s="2957">
        <v>13</v>
      </c>
      <c r="M71" s="373">
        <v>16</v>
      </c>
      <c r="N71" s="2957">
        <v>100</v>
      </c>
      <c r="O71" s="2957">
        <v>200</v>
      </c>
      <c r="P71" s="2957">
        <v>300</v>
      </c>
      <c r="Q71" s="373">
        <v>400</v>
      </c>
      <c r="R71" s="2957" t="s">
        <v>1381</v>
      </c>
      <c r="S71" s="2957" t="s">
        <v>1381</v>
      </c>
      <c r="T71" s="2959" t="s">
        <v>1381</v>
      </c>
      <c r="U71" s="377" t="s">
        <v>1381</v>
      </c>
      <c r="V71" s="2954" t="s">
        <v>3475</v>
      </c>
      <c r="W71" s="2954" t="s">
        <v>3476</v>
      </c>
      <c r="X71" s="2954" t="s">
        <v>3477</v>
      </c>
      <c r="Y71" s="2954" t="s">
        <v>3478</v>
      </c>
      <c r="Z71" s="2954" t="s">
        <v>3479</v>
      </c>
      <c r="AA71" s="375"/>
    </row>
    <row r="72" spans="1:27" ht="12.75" customHeight="1" x14ac:dyDescent="0.2">
      <c r="A72" s="6360"/>
      <c r="B72" s="251" t="str">
        <f t="shared" ref="B72:B135" si="1">E72&amp;F72</f>
        <v>Oscuridad62</v>
      </c>
      <c r="D72" s="272" t="s">
        <v>9729</v>
      </c>
      <c r="E72" s="2957" t="s">
        <v>1700</v>
      </c>
      <c r="F72" s="2957">
        <v>62</v>
      </c>
      <c r="G72" s="2958" t="s">
        <v>2088</v>
      </c>
      <c r="H72" s="2958" t="s">
        <v>1235</v>
      </c>
      <c r="I72" s="372" t="s">
        <v>1304</v>
      </c>
      <c r="J72" s="2957">
        <v>7</v>
      </c>
      <c r="K72" s="2957">
        <v>9</v>
      </c>
      <c r="L72" s="2957">
        <v>12</v>
      </c>
      <c r="M72" s="373">
        <v>15</v>
      </c>
      <c r="N72" s="2957">
        <v>140</v>
      </c>
      <c r="O72" s="2957">
        <v>180</v>
      </c>
      <c r="P72" s="2957">
        <v>240</v>
      </c>
      <c r="Q72" s="373">
        <v>300</v>
      </c>
      <c r="R72" s="2957">
        <v>15</v>
      </c>
      <c r="S72" s="2957">
        <v>20</v>
      </c>
      <c r="T72" s="2959">
        <v>25</v>
      </c>
      <c r="U72" s="377">
        <v>30</v>
      </c>
      <c r="V72" s="2954" t="s">
        <v>3316</v>
      </c>
      <c r="W72" s="2954" t="s">
        <v>3317</v>
      </c>
      <c r="X72" s="2954" t="s">
        <v>3318</v>
      </c>
      <c r="Y72" s="2954" t="s">
        <v>3319</v>
      </c>
      <c r="Z72" s="2954" t="s">
        <v>3480</v>
      </c>
      <c r="AA72" s="375"/>
    </row>
    <row r="73" spans="1:27" ht="12.75" customHeight="1" x14ac:dyDescent="0.2">
      <c r="A73" s="6360"/>
      <c r="B73" s="251" t="str">
        <f t="shared" si="1"/>
        <v>Oscuridad66</v>
      </c>
      <c r="D73" s="272" t="s">
        <v>9730</v>
      </c>
      <c r="E73" s="2957" t="s">
        <v>1700</v>
      </c>
      <c r="F73" s="2957">
        <v>66</v>
      </c>
      <c r="G73" s="2958" t="s">
        <v>1381</v>
      </c>
      <c r="H73" s="2958" t="s">
        <v>1565</v>
      </c>
      <c r="I73" s="372" t="s">
        <v>1305</v>
      </c>
      <c r="J73" s="2957">
        <v>6</v>
      </c>
      <c r="K73" s="2957">
        <v>9</v>
      </c>
      <c r="L73" s="2957">
        <v>12</v>
      </c>
      <c r="M73" s="373">
        <v>15</v>
      </c>
      <c r="N73" s="2957">
        <v>120</v>
      </c>
      <c r="O73" s="2957">
        <v>180</v>
      </c>
      <c r="P73" s="2957">
        <v>240</v>
      </c>
      <c r="Q73" s="373">
        <v>300</v>
      </c>
      <c r="R73" s="2957">
        <v>10</v>
      </c>
      <c r="S73" s="2957">
        <v>10</v>
      </c>
      <c r="T73" s="2959">
        <v>15</v>
      </c>
      <c r="U73" s="377">
        <v>15</v>
      </c>
      <c r="V73" s="2954" t="s">
        <v>3481</v>
      </c>
      <c r="W73" s="2954" t="s">
        <v>3482</v>
      </c>
      <c r="X73" s="2954" t="s">
        <v>3483</v>
      </c>
      <c r="Y73" s="2954" t="s">
        <v>3484</v>
      </c>
      <c r="Z73" s="2954" t="s">
        <v>3485</v>
      </c>
      <c r="AA73" s="375"/>
    </row>
    <row r="74" spans="1:27" ht="12.75" customHeight="1" x14ac:dyDescent="0.2">
      <c r="A74" s="6360"/>
      <c r="B74" s="251" t="str">
        <f t="shared" si="1"/>
        <v>Oscuridad68</v>
      </c>
      <c r="D74" s="272" t="s">
        <v>144</v>
      </c>
      <c r="E74" s="2957" t="s">
        <v>1700</v>
      </c>
      <c r="F74" s="2957">
        <v>68</v>
      </c>
      <c r="G74" s="2958" t="s">
        <v>1381</v>
      </c>
      <c r="H74" s="2958" t="s">
        <v>1233</v>
      </c>
      <c r="I74" s="372" t="s">
        <v>1304</v>
      </c>
      <c r="J74" s="2957">
        <v>6</v>
      </c>
      <c r="K74" s="2957">
        <v>9</v>
      </c>
      <c r="L74" s="2957">
        <v>12</v>
      </c>
      <c r="M74" s="373">
        <v>15</v>
      </c>
      <c r="N74" s="2957">
        <v>100</v>
      </c>
      <c r="O74" s="2957">
        <v>180</v>
      </c>
      <c r="P74" s="2957">
        <v>240</v>
      </c>
      <c r="Q74" s="373">
        <v>300</v>
      </c>
      <c r="R74" s="2957">
        <v>10</v>
      </c>
      <c r="S74" s="2957">
        <v>20</v>
      </c>
      <c r="T74" s="2959">
        <v>25</v>
      </c>
      <c r="U74" s="377">
        <v>30</v>
      </c>
      <c r="V74" s="2954" t="s">
        <v>3486</v>
      </c>
      <c r="W74" s="2954" t="s">
        <v>3487</v>
      </c>
      <c r="X74" s="2954" t="s">
        <v>3488</v>
      </c>
      <c r="Y74" s="2954" t="s">
        <v>3489</v>
      </c>
      <c r="Z74" s="2954" t="s">
        <v>3490</v>
      </c>
      <c r="AA74" s="375"/>
    </row>
    <row r="75" spans="1:27" ht="12.75" customHeight="1" x14ac:dyDescent="0.2">
      <c r="A75" s="6360"/>
      <c r="B75" s="251" t="str">
        <f t="shared" si="1"/>
        <v>Oscuridad70</v>
      </c>
      <c r="D75" s="272" t="s">
        <v>9731</v>
      </c>
      <c r="E75" s="2957" t="s">
        <v>1700</v>
      </c>
      <c r="F75" s="2957">
        <v>70</v>
      </c>
      <c r="G75" s="2958" t="s">
        <v>1381</v>
      </c>
      <c r="H75" s="2958" t="s">
        <v>1235</v>
      </c>
      <c r="I75" s="372" t="s">
        <v>1304</v>
      </c>
      <c r="J75" s="2957">
        <v>10</v>
      </c>
      <c r="K75" s="2957">
        <v>12</v>
      </c>
      <c r="L75" s="2957">
        <v>14</v>
      </c>
      <c r="M75" s="373">
        <v>16</v>
      </c>
      <c r="N75" s="2957">
        <v>140</v>
      </c>
      <c r="O75" s="2957">
        <v>200</v>
      </c>
      <c r="P75" s="2957">
        <v>280</v>
      </c>
      <c r="Q75" s="373">
        <v>360</v>
      </c>
      <c r="R75" s="2957">
        <v>5</v>
      </c>
      <c r="S75" s="2957">
        <v>10</v>
      </c>
      <c r="T75" s="2959">
        <v>10</v>
      </c>
      <c r="U75" s="377">
        <v>15</v>
      </c>
      <c r="V75" s="2954" t="s">
        <v>3331</v>
      </c>
      <c r="W75" s="2954" t="s">
        <v>3332</v>
      </c>
      <c r="X75" s="2954" t="s">
        <v>3491</v>
      </c>
      <c r="Y75" s="2954" t="s">
        <v>3334</v>
      </c>
      <c r="Z75" s="2954" t="s">
        <v>3492</v>
      </c>
      <c r="AA75" s="375"/>
    </row>
    <row r="76" spans="1:27" ht="12.75" customHeight="1" x14ac:dyDescent="0.2">
      <c r="A76" s="6360"/>
      <c r="B76" s="251" t="str">
        <f t="shared" si="1"/>
        <v>Oscuridad72</v>
      </c>
      <c r="D76" s="272" t="s">
        <v>9732</v>
      </c>
      <c r="E76" s="2957" t="s">
        <v>1700</v>
      </c>
      <c r="F76" s="2957">
        <v>72</v>
      </c>
      <c r="G76" s="2958" t="s">
        <v>1381</v>
      </c>
      <c r="H76" s="2958" t="s">
        <v>1232</v>
      </c>
      <c r="I76" s="372" t="s">
        <v>1304</v>
      </c>
      <c r="J76" s="2957">
        <v>10</v>
      </c>
      <c r="K76" s="2957">
        <v>12</v>
      </c>
      <c r="L76" s="2957">
        <v>14</v>
      </c>
      <c r="M76" s="373">
        <v>16</v>
      </c>
      <c r="N76" s="2957">
        <v>140</v>
      </c>
      <c r="O76" s="2957">
        <v>180</v>
      </c>
      <c r="P76" s="2957">
        <v>240</v>
      </c>
      <c r="Q76" s="373">
        <v>350</v>
      </c>
      <c r="R76" s="2957" t="s">
        <v>1381</v>
      </c>
      <c r="S76" s="2957" t="s">
        <v>1381</v>
      </c>
      <c r="T76" s="2959" t="s">
        <v>1381</v>
      </c>
      <c r="U76" s="377" t="s">
        <v>1381</v>
      </c>
      <c r="V76" s="2954" t="s">
        <v>3336</v>
      </c>
      <c r="W76" s="2954" t="s">
        <v>3337</v>
      </c>
      <c r="X76" s="2954" t="s">
        <v>3338</v>
      </c>
      <c r="Y76" s="2954" t="s">
        <v>3493</v>
      </c>
      <c r="Z76" s="2954" t="s">
        <v>3494</v>
      </c>
      <c r="AA76" s="375"/>
    </row>
    <row r="77" spans="1:27" ht="12.75" customHeight="1" x14ac:dyDescent="0.2">
      <c r="A77" s="6360"/>
      <c r="B77" s="251" t="str">
        <f t="shared" si="1"/>
        <v>Oscuridad76</v>
      </c>
      <c r="D77" s="272" t="s">
        <v>9733</v>
      </c>
      <c r="E77" s="2957" t="s">
        <v>1700</v>
      </c>
      <c r="F77" s="2957">
        <v>76</v>
      </c>
      <c r="G77" s="2958" t="s">
        <v>1381</v>
      </c>
      <c r="H77" s="2958" t="s">
        <v>1234</v>
      </c>
      <c r="I77" s="372" t="s">
        <v>1304</v>
      </c>
      <c r="J77" s="2957">
        <v>10</v>
      </c>
      <c r="K77" s="2957">
        <v>12</v>
      </c>
      <c r="L77" s="2957">
        <v>14</v>
      </c>
      <c r="M77" s="373">
        <v>16</v>
      </c>
      <c r="N77" s="2957">
        <v>150</v>
      </c>
      <c r="O77" s="2957">
        <v>200</v>
      </c>
      <c r="P77" s="2957">
        <v>240</v>
      </c>
      <c r="Q77" s="373">
        <v>300</v>
      </c>
      <c r="R77" s="2957">
        <v>15</v>
      </c>
      <c r="S77" s="2957">
        <v>20</v>
      </c>
      <c r="T77" s="2959">
        <v>25</v>
      </c>
      <c r="U77" s="377">
        <v>30</v>
      </c>
      <c r="V77" s="2954" t="s">
        <v>3495</v>
      </c>
      <c r="W77" s="2954" t="s">
        <v>3342</v>
      </c>
      <c r="X77" s="2954" t="s">
        <v>3343</v>
      </c>
      <c r="Y77" s="2954" t="s">
        <v>3344</v>
      </c>
      <c r="Z77" s="2954" t="s">
        <v>3496</v>
      </c>
      <c r="AA77" s="375"/>
    </row>
    <row r="78" spans="1:27" ht="12.75" customHeight="1" x14ac:dyDescent="0.2">
      <c r="A78" s="6360"/>
      <c r="B78" s="251" t="str">
        <f t="shared" si="1"/>
        <v>Oscuridad78</v>
      </c>
      <c r="D78" s="272" t="s">
        <v>9734</v>
      </c>
      <c r="E78" s="2957" t="s">
        <v>1700</v>
      </c>
      <c r="F78" s="2957">
        <v>78</v>
      </c>
      <c r="G78" s="2958" t="s">
        <v>1381</v>
      </c>
      <c r="H78" s="2958" t="s">
        <v>3418</v>
      </c>
      <c r="I78" s="372" t="s">
        <v>1304</v>
      </c>
      <c r="J78" s="2957">
        <v>10</v>
      </c>
      <c r="K78" s="2957">
        <v>12</v>
      </c>
      <c r="L78" s="2957">
        <v>14</v>
      </c>
      <c r="M78" s="373">
        <v>16</v>
      </c>
      <c r="N78" s="2957">
        <v>250</v>
      </c>
      <c r="O78" s="2957">
        <v>360</v>
      </c>
      <c r="P78" s="2957">
        <v>450</v>
      </c>
      <c r="Q78" s="373">
        <v>600</v>
      </c>
      <c r="R78" s="2957" t="s">
        <v>1381</v>
      </c>
      <c r="S78" s="2957" t="s">
        <v>1381</v>
      </c>
      <c r="T78" s="2959" t="s">
        <v>1381</v>
      </c>
      <c r="U78" s="377" t="s">
        <v>1381</v>
      </c>
      <c r="V78" s="2954" t="s">
        <v>3346</v>
      </c>
      <c r="W78" s="2954" t="s">
        <v>3347</v>
      </c>
      <c r="X78" s="2954" t="s">
        <v>3348</v>
      </c>
      <c r="Y78" s="2954" t="s">
        <v>3349</v>
      </c>
      <c r="Z78" s="2954" t="s">
        <v>3497</v>
      </c>
      <c r="AA78" s="375"/>
    </row>
    <row r="79" spans="1:27" ht="12.75" customHeight="1" x14ac:dyDescent="0.2">
      <c r="A79" s="6360"/>
      <c r="B79" s="251" t="str">
        <f t="shared" si="1"/>
        <v>Oscuridad80</v>
      </c>
      <c r="D79" s="272" t="s">
        <v>9735</v>
      </c>
      <c r="E79" s="2957" t="s">
        <v>1700</v>
      </c>
      <c r="F79" s="2957">
        <v>80</v>
      </c>
      <c r="G79" s="2958" t="s">
        <v>1381</v>
      </c>
      <c r="H79" s="2958" t="s">
        <v>3418</v>
      </c>
      <c r="I79" s="372" t="s">
        <v>1304</v>
      </c>
      <c r="J79" s="2957">
        <v>12</v>
      </c>
      <c r="K79" s="2957">
        <v>14</v>
      </c>
      <c r="L79" s="2957">
        <v>16</v>
      </c>
      <c r="M79" s="373">
        <v>18</v>
      </c>
      <c r="N79" s="2957">
        <v>300</v>
      </c>
      <c r="O79" s="2957">
        <v>400</v>
      </c>
      <c r="P79" s="2957">
        <v>500</v>
      </c>
      <c r="Q79" s="373">
        <v>750</v>
      </c>
      <c r="R79" s="2957">
        <v>60</v>
      </c>
      <c r="S79" s="2957">
        <v>65</v>
      </c>
      <c r="T79" s="2959">
        <v>70</v>
      </c>
      <c r="U79" s="377">
        <v>80</v>
      </c>
      <c r="V79" s="2954" t="s">
        <v>3321</v>
      </c>
      <c r="W79" s="2954" t="s">
        <v>3498</v>
      </c>
      <c r="X79" s="2954" t="s">
        <v>3499</v>
      </c>
      <c r="Y79" s="2954" t="s">
        <v>3354</v>
      </c>
      <c r="Z79" s="2954" t="s">
        <v>7061</v>
      </c>
      <c r="AA79" s="375"/>
    </row>
    <row r="80" spans="1:27" ht="12.75" customHeight="1" x14ac:dyDescent="0.2">
      <c r="A80" s="6360"/>
      <c r="B80" s="251" t="str">
        <f t="shared" si="1"/>
        <v>Oscuridad82</v>
      </c>
      <c r="D80" s="272" t="s">
        <v>9736</v>
      </c>
      <c r="E80" s="2957" t="s">
        <v>1700</v>
      </c>
      <c r="F80" s="2957">
        <v>82</v>
      </c>
      <c r="G80" s="2958" t="s">
        <v>2088</v>
      </c>
      <c r="H80" s="2958" t="s">
        <v>1234</v>
      </c>
      <c r="I80" s="372" t="s">
        <v>1304</v>
      </c>
      <c r="J80" s="2957">
        <v>10</v>
      </c>
      <c r="K80" s="2957">
        <v>12</v>
      </c>
      <c r="L80" s="2957">
        <v>14</v>
      </c>
      <c r="M80" s="373">
        <v>16</v>
      </c>
      <c r="N80" s="2957">
        <v>250</v>
      </c>
      <c r="O80" s="2957">
        <v>350</v>
      </c>
      <c r="P80" s="2957">
        <v>500</v>
      </c>
      <c r="Q80" s="373">
        <v>700</v>
      </c>
      <c r="R80" s="2957">
        <v>50</v>
      </c>
      <c r="S80" s="2957">
        <v>70</v>
      </c>
      <c r="T80" s="2959">
        <v>100</v>
      </c>
      <c r="U80" s="377">
        <v>140</v>
      </c>
      <c r="V80" s="2954" t="s">
        <v>3355</v>
      </c>
      <c r="W80" s="2954" t="s">
        <v>3500</v>
      </c>
      <c r="X80" s="2954" t="s">
        <v>3357</v>
      </c>
      <c r="Y80" s="2954" t="s">
        <v>3358</v>
      </c>
      <c r="Z80" s="2954" t="s">
        <v>3501</v>
      </c>
      <c r="AA80" s="375"/>
    </row>
    <row r="81" spans="1:27" ht="12.75" customHeight="1" x14ac:dyDescent="0.2">
      <c r="A81" s="6360"/>
      <c r="B81" s="251" t="str">
        <f t="shared" si="1"/>
        <v>Oscuridad86</v>
      </c>
      <c r="D81" s="272" t="s">
        <v>9737</v>
      </c>
      <c r="E81" s="2957" t="s">
        <v>1700</v>
      </c>
      <c r="F81" s="2957">
        <v>86</v>
      </c>
      <c r="G81" s="2958" t="s">
        <v>2088</v>
      </c>
      <c r="H81" s="2958" t="s">
        <v>1234</v>
      </c>
      <c r="I81" s="372" t="s">
        <v>1305</v>
      </c>
      <c r="J81" s="2957">
        <v>10</v>
      </c>
      <c r="K81" s="2957">
        <v>12</v>
      </c>
      <c r="L81" s="2957">
        <v>14</v>
      </c>
      <c r="M81" s="373">
        <v>16</v>
      </c>
      <c r="N81" s="2957">
        <v>200</v>
      </c>
      <c r="O81" s="2957">
        <v>240</v>
      </c>
      <c r="P81" s="2957">
        <v>280</v>
      </c>
      <c r="Q81" s="373">
        <v>320</v>
      </c>
      <c r="R81" s="2957">
        <v>10</v>
      </c>
      <c r="S81" s="2957">
        <v>15</v>
      </c>
      <c r="T81" s="2959">
        <v>15</v>
      </c>
      <c r="U81" s="377">
        <v>20</v>
      </c>
      <c r="V81" s="2954" t="s">
        <v>3502</v>
      </c>
      <c r="W81" s="2954" t="s">
        <v>3503</v>
      </c>
      <c r="X81" s="2954" t="s">
        <v>3504</v>
      </c>
      <c r="Y81" s="2954" t="s">
        <v>3505</v>
      </c>
      <c r="Z81" s="2954" t="s">
        <v>3506</v>
      </c>
      <c r="AA81" s="375"/>
    </row>
    <row r="82" spans="1:27" ht="12.75" customHeight="1" x14ac:dyDescent="0.2">
      <c r="A82" s="6360"/>
      <c r="B82" s="251" t="str">
        <f t="shared" si="1"/>
        <v>Oscuridad88</v>
      </c>
      <c r="D82" s="272" t="s">
        <v>9738</v>
      </c>
      <c r="E82" s="2957" t="s">
        <v>1700</v>
      </c>
      <c r="F82" s="2957">
        <v>88</v>
      </c>
      <c r="G82" s="2958" t="s">
        <v>1381</v>
      </c>
      <c r="H82" s="2958" t="s">
        <v>1235</v>
      </c>
      <c r="I82" s="372" t="s">
        <v>1304</v>
      </c>
      <c r="J82" s="2957">
        <v>10</v>
      </c>
      <c r="K82" s="2957">
        <v>12</v>
      </c>
      <c r="L82" s="2957">
        <v>14</v>
      </c>
      <c r="M82" s="373">
        <v>16</v>
      </c>
      <c r="N82" s="2957">
        <v>200</v>
      </c>
      <c r="O82" s="2957">
        <v>360</v>
      </c>
      <c r="P82" s="2957">
        <v>430</v>
      </c>
      <c r="Q82" s="373">
        <v>480</v>
      </c>
      <c r="R82" s="2957">
        <v>10</v>
      </c>
      <c r="S82" s="2957">
        <v>20</v>
      </c>
      <c r="T82" s="2959">
        <v>25</v>
      </c>
      <c r="U82" s="377">
        <v>25</v>
      </c>
      <c r="V82" s="2954" t="s">
        <v>3507</v>
      </c>
      <c r="W82" s="2954" t="s">
        <v>3397</v>
      </c>
      <c r="X82" s="2954" t="s">
        <v>3508</v>
      </c>
      <c r="Y82" s="2954" t="s">
        <v>3509</v>
      </c>
      <c r="Z82" s="2954" t="s">
        <v>3510</v>
      </c>
      <c r="AA82" s="375"/>
    </row>
    <row r="83" spans="1:27" ht="12.75" customHeight="1" x14ac:dyDescent="0.2">
      <c r="A83" s="6360"/>
      <c r="B83" s="251" t="str">
        <f t="shared" si="1"/>
        <v>Oscuridad90</v>
      </c>
      <c r="D83" s="272" t="s">
        <v>1680</v>
      </c>
      <c r="E83" s="2957" t="s">
        <v>1700</v>
      </c>
      <c r="F83" s="2957">
        <v>90</v>
      </c>
      <c r="G83" s="2958" t="s">
        <v>2088</v>
      </c>
      <c r="H83" s="2958" t="s">
        <v>1234</v>
      </c>
      <c r="I83" s="372" t="s">
        <v>1304</v>
      </c>
      <c r="J83" s="2957">
        <v>12</v>
      </c>
      <c r="K83" s="2957">
        <v>14</v>
      </c>
      <c r="L83" s="2957">
        <v>16</v>
      </c>
      <c r="M83" s="373">
        <v>18</v>
      </c>
      <c r="N83" s="2957">
        <v>350</v>
      </c>
      <c r="O83" s="2957">
        <v>450</v>
      </c>
      <c r="P83" s="2957">
        <v>600</v>
      </c>
      <c r="Q83" s="373">
        <v>800</v>
      </c>
      <c r="R83" s="2957">
        <v>80</v>
      </c>
      <c r="S83" s="2957">
        <v>90</v>
      </c>
      <c r="T83" s="2959">
        <v>105</v>
      </c>
      <c r="U83" s="377">
        <v>115</v>
      </c>
      <c r="V83" s="2954" t="s">
        <v>3511</v>
      </c>
      <c r="W83" s="2954" t="s">
        <v>3512</v>
      </c>
      <c r="X83" s="2954" t="s">
        <v>3513</v>
      </c>
      <c r="Y83" s="2954" t="s">
        <v>3514</v>
      </c>
      <c r="Z83" s="2954" t="s">
        <v>3515</v>
      </c>
      <c r="AA83" s="375"/>
    </row>
    <row r="84" spans="1:27" ht="12.75" customHeight="1" x14ac:dyDescent="0.2">
      <c r="A84" s="6360"/>
      <c r="B84" s="251" t="str">
        <f t="shared" si="1"/>
        <v>Oscuridad92</v>
      </c>
      <c r="D84" s="272" t="s">
        <v>9739</v>
      </c>
      <c r="E84" s="2957" t="s">
        <v>1700</v>
      </c>
      <c r="F84" s="2957">
        <v>92</v>
      </c>
      <c r="G84" s="2958" t="s">
        <v>2088</v>
      </c>
      <c r="H84" s="2958" t="s">
        <v>1233</v>
      </c>
      <c r="I84" s="372" t="s">
        <v>1304</v>
      </c>
      <c r="J84" s="2957">
        <v>14</v>
      </c>
      <c r="K84" s="2957">
        <v>16</v>
      </c>
      <c r="L84" s="2957">
        <v>18</v>
      </c>
      <c r="M84" s="373">
        <v>20</v>
      </c>
      <c r="N84" s="2957">
        <v>200</v>
      </c>
      <c r="O84" s="2957">
        <v>350</v>
      </c>
      <c r="P84" s="2957">
        <v>500</v>
      </c>
      <c r="Q84" s="373">
        <v>800</v>
      </c>
      <c r="R84" s="2957">
        <v>40</v>
      </c>
      <c r="S84" s="2957">
        <v>70</v>
      </c>
      <c r="T84" s="2959">
        <v>100</v>
      </c>
      <c r="U84" s="377">
        <v>160</v>
      </c>
      <c r="V84" s="2954" t="s">
        <v>3375</v>
      </c>
      <c r="W84" s="2954" t="s">
        <v>3376</v>
      </c>
      <c r="X84" s="2954" t="s">
        <v>3377</v>
      </c>
      <c r="Y84" s="2954" t="s">
        <v>3516</v>
      </c>
      <c r="Z84" s="2954" t="s">
        <v>3517</v>
      </c>
      <c r="AA84" s="375"/>
    </row>
    <row r="85" spans="1:27" ht="12.75" customHeight="1" x14ac:dyDescent="0.2">
      <c r="A85" s="6360"/>
      <c r="B85" s="251" t="str">
        <f t="shared" si="1"/>
        <v>Oscuridad96</v>
      </c>
      <c r="D85" s="272" t="s">
        <v>9740</v>
      </c>
      <c r="E85" s="2957" t="s">
        <v>1700</v>
      </c>
      <c r="F85" s="2957">
        <v>96</v>
      </c>
      <c r="G85" s="2958" t="s">
        <v>1381</v>
      </c>
      <c r="H85" s="2958" t="s">
        <v>1234</v>
      </c>
      <c r="I85" s="372" t="s">
        <v>1304</v>
      </c>
      <c r="J85" s="2957">
        <v>12</v>
      </c>
      <c r="K85" s="2957">
        <v>14</v>
      </c>
      <c r="L85" s="2957">
        <v>16</v>
      </c>
      <c r="M85" s="373">
        <v>18</v>
      </c>
      <c r="N85" s="2957">
        <v>200</v>
      </c>
      <c r="O85" s="2957">
        <v>400</v>
      </c>
      <c r="P85" s="2957">
        <v>600</v>
      </c>
      <c r="Q85" s="373">
        <v>800</v>
      </c>
      <c r="R85" s="2957" t="s">
        <v>1381</v>
      </c>
      <c r="S85" s="2957" t="s">
        <v>1381</v>
      </c>
      <c r="T85" s="2959" t="s">
        <v>1381</v>
      </c>
      <c r="U85" s="377" t="s">
        <v>1381</v>
      </c>
      <c r="V85" s="2954" t="s">
        <v>3380</v>
      </c>
      <c r="W85" s="2954" t="s">
        <v>3381</v>
      </c>
      <c r="X85" s="2954" t="s">
        <v>3382</v>
      </c>
      <c r="Y85" s="2954" t="s">
        <v>3370</v>
      </c>
      <c r="Z85" s="2954" t="s">
        <v>3518</v>
      </c>
      <c r="AA85" s="375"/>
    </row>
    <row r="86" spans="1:27" ht="12.75" customHeight="1" x14ac:dyDescent="0.2">
      <c r="A86" s="6360"/>
      <c r="B86" s="251" t="str">
        <f t="shared" si="1"/>
        <v>Oscuridad98</v>
      </c>
      <c r="D86" s="272" t="s">
        <v>9741</v>
      </c>
      <c r="E86" s="2957" t="s">
        <v>1700</v>
      </c>
      <c r="F86" s="2957">
        <v>98</v>
      </c>
      <c r="G86" s="2958" t="s">
        <v>2088</v>
      </c>
      <c r="H86" s="2958" t="s">
        <v>1234</v>
      </c>
      <c r="I86" s="372" t="s">
        <v>1304</v>
      </c>
      <c r="J86" s="2957">
        <v>14</v>
      </c>
      <c r="K86" s="2957">
        <v>16</v>
      </c>
      <c r="L86" s="2957">
        <v>18</v>
      </c>
      <c r="M86" s="373">
        <v>20</v>
      </c>
      <c r="N86" s="2957">
        <v>500</v>
      </c>
      <c r="O86" s="2957">
        <v>1000</v>
      </c>
      <c r="P86" s="2957">
        <v>2000</v>
      </c>
      <c r="Q86" s="373">
        <v>5000</v>
      </c>
      <c r="R86" s="2957">
        <v>30</v>
      </c>
      <c r="S86" s="2957">
        <v>40</v>
      </c>
      <c r="T86" s="2959">
        <v>45</v>
      </c>
      <c r="U86" s="377">
        <v>50</v>
      </c>
      <c r="V86" s="2954" t="s">
        <v>3384</v>
      </c>
      <c r="W86" s="2954" t="s">
        <v>3385</v>
      </c>
      <c r="X86" s="2954" t="s">
        <v>3386</v>
      </c>
      <c r="Y86" s="2954" t="s">
        <v>3387</v>
      </c>
      <c r="Z86" s="2954" t="s">
        <v>3388</v>
      </c>
      <c r="AA86" s="375"/>
    </row>
    <row r="87" spans="1:27" ht="12.75" customHeight="1" x14ac:dyDescent="0.2">
      <c r="A87" s="6360"/>
      <c r="B87" s="251" t="str">
        <f t="shared" si="1"/>
        <v>Oscuridad100</v>
      </c>
      <c r="D87" s="272" t="s">
        <v>9742</v>
      </c>
      <c r="E87" s="2957" t="s">
        <v>1700</v>
      </c>
      <c r="F87" s="2957">
        <v>100</v>
      </c>
      <c r="G87" s="2958" t="s">
        <v>1381</v>
      </c>
      <c r="H87" s="2958" t="s">
        <v>3519</v>
      </c>
      <c r="I87" s="372" t="s">
        <v>1304</v>
      </c>
      <c r="J87" s="2957">
        <v>14</v>
      </c>
      <c r="K87" s="2957">
        <v>16</v>
      </c>
      <c r="L87" s="2957">
        <v>18</v>
      </c>
      <c r="M87" s="373">
        <v>20</v>
      </c>
      <c r="N87" s="2957">
        <v>600</v>
      </c>
      <c r="O87" s="2957">
        <v>1000</v>
      </c>
      <c r="P87" s="2957">
        <v>2500</v>
      </c>
      <c r="Q87" s="373">
        <v>10000</v>
      </c>
      <c r="R87" s="2957" t="s">
        <v>1381</v>
      </c>
      <c r="S87" s="2957" t="s">
        <v>1381</v>
      </c>
      <c r="T87" s="2959" t="s">
        <v>1381</v>
      </c>
      <c r="U87" s="377" t="s">
        <v>1381</v>
      </c>
      <c r="V87" s="2954" t="s">
        <v>3389</v>
      </c>
      <c r="W87" s="2954" t="s">
        <v>3390</v>
      </c>
      <c r="X87" s="2954" t="s">
        <v>3391</v>
      </c>
      <c r="Y87" s="2954" t="s">
        <v>3392</v>
      </c>
      <c r="Z87" s="2954" t="s">
        <v>3520</v>
      </c>
      <c r="AA87" s="375"/>
    </row>
    <row r="88" spans="1:27" ht="12.75" customHeight="1" x14ac:dyDescent="0.2">
      <c r="A88" s="6360"/>
      <c r="B88" s="251" t="str">
        <f t="shared" si="1"/>
        <v/>
      </c>
      <c r="D88" s="272" t="s">
        <v>296</v>
      </c>
      <c r="E88" s="2957"/>
      <c r="F88" s="2957"/>
      <c r="G88" s="2958"/>
      <c r="H88" s="2958"/>
      <c r="I88" s="372"/>
      <c r="J88" s="2957"/>
      <c r="K88" s="2957"/>
      <c r="L88" s="2957"/>
      <c r="M88" s="373"/>
      <c r="N88" s="2957"/>
      <c r="O88" s="2957"/>
      <c r="P88" s="2957"/>
      <c r="Q88" s="373"/>
      <c r="R88" s="2957"/>
      <c r="S88" s="2957"/>
      <c r="T88" s="2959"/>
      <c r="U88" s="377"/>
      <c r="V88" s="2954"/>
      <c r="W88" s="2954"/>
      <c r="X88" s="2954"/>
      <c r="Y88" s="2954"/>
      <c r="Z88" s="2954"/>
      <c r="AA88" s="375"/>
    </row>
    <row r="89" spans="1:27" ht="12.75" customHeight="1" x14ac:dyDescent="0.2">
      <c r="A89" s="6360"/>
      <c r="B89" s="251" t="str">
        <f t="shared" si="1"/>
        <v>Creación2</v>
      </c>
      <c r="D89" s="272" t="s">
        <v>9743</v>
      </c>
      <c r="E89" s="2957" t="s">
        <v>1706</v>
      </c>
      <c r="F89" s="2957">
        <v>2</v>
      </c>
      <c r="G89" s="2958" t="s">
        <v>1381</v>
      </c>
      <c r="H89" s="2958" t="s">
        <v>1234</v>
      </c>
      <c r="I89" s="372" t="s">
        <v>1304</v>
      </c>
      <c r="J89" s="2957">
        <v>5</v>
      </c>
      <c r="K89" s="2957">
        <v>8</v>
      </c>
      <c r="L89" s="2957">
        <v>10</v>
      </c>
      <c r="M89" s="373">
        <v>12</v>
      </c>
      <c r="N89" s="2957">
        <v>30</v>
      </c>
      <c r="O89" s="2957">
        <v>80</v>
      </c>
      <c r="P89" s="2957">
        <v>100</v>
      </c>
      <c r="Q89" s="373">
        <v>120</v>
      </c>
      <c r="R89" s="2957">
        <v>5</v>
      </c>
      <c r="S89" s="2957">
        <v>10</v>
      </c>
      <c r="T89" s="2959">
        <v>10</v>
      </c>
      <c r="U89" s="377">
        <v>15</v>
      </c>
      <c r="V89" s="2954" t="s">
        <v>3521</v>
      </c>
      <c r="W89" s="2954" t="s">
        <v>3523</v>
      </c>
      <c r="X89" s="2954" t="s">
        <v>3522</v>
      </c>
      <c r="Y89" s="2954" t="s">
        <v>10399</v>
      </c>
      <c r="Z89" s="2954" t="s">
        <v>3524</v>
      </c>
      <c r="AA89" s="375"/>
    </row>
    <row r="90" spans="1:27" ht="12.75" customHeight="1" x14ac:dyDescent="0.2">
      <c r="A90" s="6360"/>
      <c r="B90" s="251" t="str">
        <f t="shared" si="1"/>
        <v>Creación6</v>
      </c>
      <c r="D90" s="272" t="s">
        <v>9744</v>
      </c>
      <c r="E90" s="2957" t="s">
        <v>1706</v>
      </c>
      <c r="F90" s="2957">
        <v>6</v>
      </c>
      <c r="G90" s="2958" t="s">
        <v>1381</v>
      </c>
      <c r="H90" s="2958" t="s">
        <v>1234</v>
      </c>
      <c r="I90" s="372" t="s">
        <v>1304</v>
      </c>
      <c r="J90" s="2957">
        <v>5</v>
      </c>
      <c r="K90" s="2957">
        <v>8</v>
      </c>
      <c r="L90" s="2957">
        <v>10</v>
      </c>
      <c r="M90" s="373">
        <v>12</v>
      </c>
      <c r="N90" s="2957">
        <v>40</v>
      </c>
      <c r="O90" s="2957">
        <v>140</v>
      </c>
      <c r="P90" s="2957">
        <v>200</v>
      </c>
      <c r="Q90" s="373">
        <v>280</v>
      </c>
      <c r="R90" s="2957" t="s">
        <v>1381</v>
      </c>
      <c r="S90" s="2957" t="s">
        <v>1381</v>
      </c>
      <c r="T90" s="2959" t="s">
        <v>1381</v>
      </c>
      <c r="U90" s="377" t="s">
        <v>1381</v>
      </c>
      <c r="V90" s="2954" t="s">
        <v>3525</v>
      </c>
      <c r="W90" s="2954" t="s">
        <v>3526</v>
      </c>
      <c r="X90" s="2954" t="s">
        <v>3527</v>
      </c>
      <c r="Y90" s="2954" t="s">
        <v>3528</v>
      </c>
      <c r="Z90" s="2954" t="s">
        <v>3529</v>
      </c>
      <c r="AA90" s="375"/>
    </row>
    <row r="91" spans="1:27" ht="12.75" customHeight="1" x14ac:dyDescent="0.2">
      <c r="A91" s="6360"/>
      <c r="B91" s="251" t="str">
        <f t="shared" si="1"/>
        <v>Creación8</v>
      </c>
      <c r="D91" s="272" t="s">
        <v>190</v>
      </c>
      <c r="E91" s="2957" t="s">
        <v>1706</v>
      </c>
      <c r="F91" s="2957">
        <v>8</v>
      </c>
      <c r="G91" s="2958" t="s">
        <v>1381</v>
      </c>
      <c r="H91" s="2958" t="s">
        <v>1234</v>
      </c>
      <c r="I91" s="372" t="s">
        <v>1304</v>
      </c>
      <c r="J91" s="2957">
        <v>5</v>
      </c>
      <c r="K91" s="2957">
        <v>8</v>
      </c>
      <c r="L91" s="2957">
        <v>10</v>
      </c>
      <c r="M91" s="373">
        <v>12</v>
      </c>
      <c r="N91" s="2957">
        <v>40</v>
      </c>
      <c r="O91" s="2957">
        <v>150</v>
      </c>
      <c r="P91" s="2957">
        <v>200</v>
      </c>
      <c r="Q91" s="373">
        <v>250</v>
      </c>
      <c r="R91" s="2957">
        <v>5</v>
      </c>
      <c r="S91" s="2957">
        <v>15</v>
      </c>
      <c r="T91" s="2959">
        <v>20</v>
      </c>
      <c r="U91" s="377">
        <v>25</v>
      </c>
      <c r="V91" s="2954" t="s">
        <v>3530</v>
      </c>
      <c r="W91" s="2954" t="s">
        <v>3531</v>
      </c>
      <c r="X91" s="2954" t="s">
        <v>3532</v>
      </c>
      <c r="Y91" s="2954" t="s">
        <v>3533</v>
      </c>
      <c r="Z91" s="2954" t="s">
        <v>3534</v>
      </c>
      <c r="AA91" s="375"/>
    </row>
    <row r="92" spans="1:27" ht="12.75" customHeight="1" x14ac:dyDescent="0.2">
      <c r="A92" s="6360"/>
      <c r="B92" s="251" t="str">
        <f t="shared" si="1"/>
        <v>Creación10</v>
      </c>
      <c r="D92" s="272" t="s">
        <v>1368</v>
      </c>
      <c r="E92" s="2957" t="s">
        <v>1706</v>
      </c>
      <c r="F92" s="2957">
        <v>10</v>
      </c>
      <c r="G92" s="2958" t="s">
        <v>2088</v>
      </c>
      <c r="H92" s="2958" t="s">
        <v>1234</v>
      </c>
      <c r="I92" s="372" t="s">
        <v>1304</v>
      </c>
      <c r="J92" s="2957">
        <v>6</v>
      </c>
      <c r="K92" s="2957">
        <v>8</v>
      </c>
      <c r="L92" s="2957">
        <v>10</v>
      </c>
      <c r="M92" s="373">
        <v>12</v>
      </c>
      <c r="N92" s="2957">
        <v>60</v>
      </c>
      <c r="O92" s="2957">
        <v>100</v>
      </c>
      <c r="P92" s="2957">
        <v>150</v>
      </c>
      <c r="Q92" s="373">
        <v>250</v>
      </c>
      <c r="R92" s="2957">
        <v>10</v>
      </c>
      <c r="S92" s="2957">
        <v>10</v>
      </c>
      <c r="T92" s="2959">
        <v>15</v>
      </c>
      <c r="U92" s="377">
        <v>25</v>
      </c>
      <c r="V92" s="2954" t="s">
        <v>3535</v>
      </c>
      <c r="W92" s="2954" t="s">
        <v>3536</v>
      </c>
      <c r="X92" s="2954" t="s">
        <v>3537</v>
      </c>
      <c r="Y92" s="2954" t="s">
        <v>3538</v>
      </c>
      <c r="Z92" s="2954" t="s">
        <v>3539</v>
      </c>
      <c r="AA92" s="375"/>
    </row>
    <row r="93" spans="1:27" ht="12.75" customHeight="1" x14ac:dyDescent="0.2">
      <c r="A93" s="6360"/>
      <c r="B93" s="251" t="str">
        <f t="shared" si="1"/>
        <v>Creación12</v>
      </c>
      <c r="D93" s="272" t="s">
        <v>9745</v>
      </c>
      <c r="E93" s="2957" t="s">
        <v>1706</v>
      </c>
      <c r="F93" s="2957">
        <v>12</v>
      </c>
      <c r="G93" s="2958" t="s">
        <v>1381</v>
      </c>
      <c r="H93" s="2958" t="s">
        <v>1234</v>
      </c>
      <c r="I93" s="372" t="s">
        <v>1304</v>
      </c>
      <c r="J93" s="2957">
        <v>6</v>
      </c>
      <c r="K93" s="2957">
        <v>8</v>
      </c>
      <c r="L93" s="2957">
        <v>10</v>
      </c>
      <c r="M93" s="373">
        <v>12</v>
      </c>
      <c r="N93" s="2957">
        <v>60</v>
      </c>
      <c r="O93" s="2957">
        <v>90</v>
      </c>
      <c r="P93" s="2957">
        <v>120</v>
      </c>
      <c r="Q93" s="373">
        <v>150</v>
      </c>
      <c r="R93" s="2957">
        <v>5</v>
      </c>
      <c r="S93" s="2957">
        <v>5</v>
      </c>
      <c r="T93" s="2959">
        <v>5</v>
      </c>
      <c r="U93" s="377">
        <v>10</v>
      </c>
      <c r="V93" s="2954" t="s">
        <v>3540</v>
      </c>
      <c r="W93" s="2954" t="s">
        <v>3541</v>
      </c>
      <c r="X93" s="2954" t="s">
        <v>3542</v>
      </c>
      <c r="Y93" s="2954" t="s">
        <v>3543</v>
      </c>
      <c r="Z93" s="2954" t="s">
        <v>3544</v>
      </c>
      <c r="AA93" s="375"/>
    </row>
    <row r="94" spans="1:27" ht="12.75" customHeight="1" x14ac:dyDescent="0.2">
      <c r="A94" s="6360"/>
      <c r="B94" s="251" t="str">
        <f t="shared" si="1"/>
        <v>Creación16</v>
      </c>
      <c r="D94" s="272" t="s">
        <v>9746</v>
      </c>
      <c r="E94" s="2957" t="s">
        <v>1706</v>
      </c>
      <c r="F94" s="2957">
        <v>16</v>
      </c>
      <c r="G94" s="2958" t="s">
        <v>2088</v>
      </c>
      <c r="H94" s="2958" t="s">
        <v>1234</v>
      </c>
      <c r="I94" s="372" t="s">
        <v>1305</v>
      </c>
      <c r="J94" s="2957">
        <v>8</v>
      </c>
      <c r="K94" s="2957">
        <v>10</v>
      </c>
      <c r="L94" s="2957">
        <v>12</v>
      </c>
      <c r="M94" s="373">
        <v>14</v>
      </c>
      <c r="N94" s="2957">
        <v>80</v>
      </c>
      <c r="O94" s="2957">
        <v>120</v>
      </c>
      <c r="P94" s="2957">
        <v>150</v>
      </c>
      <c r="Q94" s="373">
        <v>200</v>
      </c>
      <c r="R94" s="2957">
        <v>15</v>
      </c>
      <c r="S94" s="2957">
        <v>20</v>
      </c>
      <c r="T94" s="2959">
        <v>30</v>
      </c>
      <c r="U94" s="377">
        <v>40</v>
      </c>
      <c r="V94" s="2954" t="s">
        <v>3545</v>
      </c>
      <c r="W94" s="2954" t="s">
        <v>3546</v>
      </c>
      <c r="X94" s="2954" t="s">
        <v>3547</v>
      </c>
      <c r="Y94" s="2954" t="s">
        <v>3548</v>
      </c>
      <c r="Z94" s="2954" t="s">
        <v>3549</v>
      </c>
      <c r="AA94" s="375"/>
    </row>
    <row r="95" spans="1:27" ht="12.75" customHeight="1" x14ac:dyDescent="0.2">
      <c r="A95" s="6360"/>
      <c r="B95" s="251" t="str">
        <f t="shared" si="1"/>
        <v>Creación18</v>
      </c>
      <c r="D95" s="272" t="s">
        <v>9747</v>
      </c>
      <c r="E95" s="2957" t="s">
        <v>1706</v>
      </c>
      <c r="F95" s="2957">
        <v>18</v>
      </c>
      <c r="G95" s="2958" t="s">
        <v>1381</v>
      </c>
      <c r="H95" s="2958" t="s">
        <v>1565</v>
      </c>
      <c r="I95" s="372" t="s">
        <v>1305</v>
      </c>
      <c r="J95" s="2957">
        <v>6</v>
      </c>
      <c r="K95" s="2957">
        <v>8</v>
      </c>
      <c r="L95" s="2957">
        <v>10</v>
      </c>
      <c r="M95" s="373">
        <v>12</v>
      </c>
      <c r="N95" s="2957">
        <v>40</v>
      </c>
      <c r="O95" s="2957">
        <v>150</v>
      </c>
      <c r="P95" s="2957">
        <v>260</v>
      </c>
      <c r="Q95" s="373">
        <v>400</v>
      </c>
      <c r="R95" s="2957">
        <v>5</v>
      </c>
      <c r="S95" s="2957">
        <v>15</v>
      </c>
      <c r="T95" s="2959">
        <v>15</v>
      </c>
      <c r="U95" s="377">
        <v>20</v>
      </c>
      <c r="V95" s="2954" t="s">
        <v>3550</v>
      </c>
      <c r="W95" s="2954" t="s">
        <v>3551</v>
      </c>
      <c r="X95" s="2954" t="s">
        <v>3552</v>
      </c>
      <c r="Y95" s="2954" t="s">
        <v>3553</v>
      </c>
      <c r="Z95" s="2954" t="s">
        <v>3554</v>
      </c>
      <c r="AA95" s="375"/>
    </row>
    <row r="96" spans="1:27" ht="12.75" customHeight="1" x14ac:dyDescent="0.2">
      <c r="A96" s="6360"/>
      <c r="B96" s="251" t="str">
        <f t="shared" si="1"/>
        <v>Creación20</v>
      </c>
      <c r="D96" s="272" t="s">
        <v>6487</v>
      </c>
      <c r="E96" s="2957" t="s">
        <v>1706</v>
      </c>
      <c r="F96" s="2957">
        <v>20</v>
      </c>
      <c r="G96" s="2958" t="s">
        <v>1381</v>
      </c>
      <c r="H96" s="2958" t="s">
        <v>1234</v>
      </c>
      <c r="I96" s="372" t="s">
        <v>1304</v>
      </c>
      <c r="J96" s="2957">
        <v>8</v>
      </c>
      <c r="K96" s="2957">
        <v>10</v>
      </c>
      <c r="L96" s="2957">
        <v>12</v>
      </c>
      <c r="M96" s="373">
        <v>14</v>
      </c>
      <c r="N96" s="2957">
        <v>80</v>
      </c>
      <c r="O96" s="2957">
        <v>120</v>
      </c>
      <c r="P96" s="2957">
        <v>150</v>
      </c>
      <c r="Q96" s="373">
        <v>200</v>
      </c>
      <c r="R96" s="2957" t="s">
        <v>1381</v>
      </c>
      <c r="S96" s="2957" t="s">
        <v>1381</v>
      </c>
      <c r="T96" s="2959" t="s">
        <v>1381</v>
      </c>
      <c r="U96" s="377" t="s">
        <v>1381</v>
      </c>
      <c r="V96" s="2954" t="s">
        <v>3555</v>
      </c>
      <c r="W96" s="2954" t="s">
        <v>3556</v>
      </c>
      <c r="X96" s="2954" t="s">
        <v>3557</v>
      </c>
      <c r="Y96" s="2954" t="s">
        <v>3558</v>
      </c>
      <c r="Z96" s="2954" t="s">
        <v>3559</v>
      </c>
      <c r="AA96" s="375"/>
    </row>
    <row r="97" spans="1:27" ht="12.75" customHeight="1" x14ac:dyDescent="0.2">
      <c r="A97" s="6360"/>
      <c r="B97" s="251" t="str">
        <f t="shared" si="1"/>
        <v>Creación22</v>
      </c>
      <c r="D97" s="272" t="s">
        <v>7342</v>
      </c>
      <c r="E97" s="2957" t="s">
        <v>1706</v>
      </c>
      <c r="F97" s="2957">
        <v>22</v>
      </c>
      <c r="G97" s="2958" t="s">
        <v>2088</v>
      </c>
      <c r="H97" s="2958" t="s">
        <v>1234</v>
      </c>
      <c r="I97" s="372" t="s">
        <v>1304</v>
      </c>
      <c r="J97" s="2957">
        <v>6</v>
      </c>
      <c r="K97" s="2957">
        <v>9</v>
      </c>
      <c r="L97" s="2957">
        <v>12</v>
      </c>
      <c r="M97" s="373">
        <v>15</v>
      </c>
      <c r="N97" s="2957">
        <v>60</v>
      </c>
      <c r="O97" s="2957">
        <v>90</v>
      </c>
      <c r="P97" s="2957">
        <v>120</v>
      </c>
      <c r="Q97" s="373">
        <v>150</v>
      </c>
      <c r="R97" s="2957">
        <v>10</v>
      </c>
      <c r="S97" s="2957">
        <v>10</v>
      </c>
      <c r="T97" s="2959">
        <v>15</v>
      </c>
      <c r="U97" s="377">
        <v>15</v>
      </c>
      <c r="V97" s="2954" t="s">
        <v>3560</v>
      </c>
      <c r="W97" s="2954" t="s">
        <v>3561</v>
      </c>
      <c r="X97" s="2954" t="s">
        <v>3562</v>
      </c>
      <c r="Y97" s="2954" t="s">
        <v>3563</v>
      </c>
      <c r="Z97" s="2954" t="s">
        <v>3564</v>
      </c>
      <c r="AA97" s="375"/>
    </row>
    <row r="98" spans="1:27" ht="12.75" customHeight="1" x14ac:dyDescent="0.2">
      <c r="A98" s="6360"/>
      <c r="B98" s="251" t="str">
        <f t="shared" si="1"/>
        <v>Creación26</v>
      </c>
      <c r="D98" s="272" t="s">
        <v>9748</v>
      </c>
      <c r="E98" s="2957" t="s">
        <v>1706</v>
      </c>
      <c r="F98" s="2957">
        <v>26</v>
      </c>
      <c r="G98" s="2958" t="s">
        <v>2088</v>
      </c>
      <c r="H98" s="2958" t="s">
        <v>1234</v>
      </c>
      <c r="I98" s="372" t="s">
        <v>1304</v>
      </c>
      <c r="J98" s="2957">
        <v>6</v>
      </c>
      <c r="K98" s="2957">
        <v>9</v>
      </c>
      <c r="L98" s="2957">
        <v>12</v>
      </c>
      <c r="M98" s="373">
        <v>15</v>
      </c>
      <c r="N98" s="2957">
        <v>60</v>
      </c>
      <c r="O98" s="2957">
        <v>180</v>
      </c>
      <c r="P98" s="2957">
        <v>250</v>
      </c>
      <c r="Q98" s="373">
        <v>350</v>
      </c>
      <c r="R98" s="2957">
        <v>10</v>
      </c>
      <c r="S98" s="2957">
        <v>20</v>
      </c>
      <c r="T98" s="2959">
        <v>25</v>
      </c>
      <c r="U98" s="377">
        <v>35</v>
      </c>
      <c r="V98" s="2954" t="s">
        <v>3565</v>
      </c>
      <c r="W98" s="2954" t="s">
        <v>3566</v>
      </c>
      <c r="X98" s="2954" t="s">
        <v>3567</v>
      </c>
      <c r="Y98" s="2954" t="s">
        <v>3568</v>
      </c>
      <c r="Z98" s="2954" t="s">
        <v>3569</v>
      </c>
      <c r="AA98" s="375"/>
    </row>
    <row r="99" spans="1:27" ht="12.75" customHeight="1" x14ac:dyDescent="0.2">
      <c r="A99" s="6360"/>
      <c r="B99" s="251" t="str">
        <f t="shared" si="1"/>
        <v>Creación28</v>
      </c>
      <c r="D99" s="272" t="s">
        <v>9749</v>
      </c>
      <c r="E99" s="2957" t="s">
        <v>1706</v>
      </c>
      <c r="F99" s="2957">
        <v>28</v>
      </c>
      <c r="G99" s="2958" t="s">
        <v>2088</v>
      </c>
      <c r="H99" s="2958" t="s">
        <v>1233</v>
      </c>
      <c r="I99" s="372" t="s">
        <v>1304</v>
      </c>
      <c r="J99" s="2957">
        <v>6</v>
      </c>
      <c r="K99" s="2957">
        <v>9</v>
      </c>
      <c r="L99" s="2957">
        <v>12</v>
      </c>
      <c r="M99" s="373">
        <v>15</v>
      </c>
      <c r="N99" s="2957">
        <v>60</v>
      </c>
      <c r="O99" s="2957">
        <v>90</v>
      </c>
      <c r="P99" s="2957">
        <v>150</v>
      </c>
      <c r="Q99" s="373">
        <v>250</v>
      </c>
      <c r="R99" s="2957">
        <v>10</v>
      </c>
      <c r="S99" s="2957">
        <v>10</v>
      </c>
      <c r="T99" s="2959">
        <v>15</v>
      </c>
      <c r="U99" s="377">
        <v>25</v>
      </c>
      <c r="V99" s="2954" t="s">
        <v>3570</v>
      </c>
      <c r="W99" s="2954" t="s">
        <v>3571</v>
      </c>
      <c r="X99" s="2954" t="s">
        <v>3572</v>
      </c>
      <c r="Y99" s="2954" t="s">
        <v>3573</v>
      </c>
      <c r="Z99" s="2954" t="s">
        <v>3574</v>
      </c>
      <c r="AA99" s="375"/>
    </row>
    <row r="100" spans="1:27" ht="12.75" customHeight="1" x14ac:dyDescent="0.2">
      <c r="A100" s="6360"/>
      <c r="B100" s="251" t="str">
        <f t="shared" si="1"/>
        <v>Creación30</v>
      </c>
      <c r="D100" s="272" t="s">
        <v>9750</v>
      </c>
      <c r="E100" s="2957" t="s">
        <v>1706</v>
      </c>
      <c r="F100" s="2957">
        <v>30</v>
      </c>
      <c r="G100" s="2958" t="s">
        <v>2088</v>
      </c>
      <c r="H100" s="2958" t="s">
        <v>1234</v>
      </c>
      <c r="I100" s="372" t="s">
        <v>1304</v>
      </c>
      <c r="J100" s="2957">
        <v>6</v>
      </c>
      <c r="K100" s="2957">
        <v>9</v>
      </c>
      <c r="L100" s="2957">
        <v>12</v>
      </c>
      <c r="M100" s="373">
        <v>15</v>
      </c>
      <c r="N100" s="2957">
        <v>100</v>
      </c>
      <c r="O100" s="2957">
        <v>200</v>
      </c>
      <c r="P100" s="2957">
        <v>300</v>
      </c>
      <c r="Q100" s="373">
        <v>400</v>
      </c>
      <c r="R100" s="2957">
        <v>5</v>
      </c>
      <c r="S100" s="2957">
        <v>10</v>
      </c>
      <c r="T100" s="2959">
        <v>15</v>
      </c>
      <c r="U100" s="377">
        <v>20</v>
      </c>
      <c r="V100" s="2954" t="s">
        <v>3541</v>
      </c>
      <c r="W100" s="2954" t="s">
        <v>3404</v>
      </c>
      <c r="X100" s="2954" t="s">
        <v>3575</v>
      </c>
      <c r="Y100" s="2954" t="s">
        <v>3576</v>
      </c>
      <c r="Z100" s="2954" t="s">
        <v>3577</v>
      </c>
      <c r="AA100" s="375"/>
    </row>
    <row r="101" spans="1:27" ht="12.75" customHeight="1" x14ac:dyDescent="0.2">
      <c r="A101" s="6360"/>
      <c r="B101" s="251" t="str">
        <f t="shared" si="1"/>
        <v>Creación32</v>
      </c>
      <c r="D101" s="272" t="s">
        <v>195</v>
      </c>
      <c r="E101" s="2957" t="s">
        <v>1706</v>
      </c>
      <c r="F101" s="2957">
        <v>32</v>
      </c>
      <c r="G101" s="2958" t="s">
        <v>2088</v>
      </c>
      <c r="H101" s="2958" t="s">
        <v>1234</v>
      </c>
      <c r="I101" s="372" t="s">
        <v>1304</v>
      </c>
      <c r="J101" s="2957">
        <v>6</v>
      </c>
      <c r="K101" s="2957">
        <v>9</v>
      </c>
      <c r="L101" s="2957">
        <v>12</v>
      </c>
      <c r="M101" s="373">
        <v>15</v>
      </c>
      <c r="N101" s="2957">
        <v>80</v>
      </c>
      <c r="O101" s="2957">
        <v>180</v>
      </c>
      <c r="P101" s="2957">
        <v>240</v>
      </c>
      <c r="Q101" s="373">
        <v>300</v>
      </c>
      <c r="R101" s="2957">
        <v>10</v>
      </c>
      <c r="S101" s="2957">
        <v>20</v>
      </c>
      <c r="T101" s="2959">
        <v>25</v>
      </c>
      <c r="U101" s="377">
        <v>30</v>
      </c>
      <c r="V101" s="2954" t="s">
        <v>3578</v>
      </c>
      <c r="W101" s="2954" t="s">
        <v>3579</v>
      </c>
      <c r="X101" s="2954" t="s">
        <v>3580</v>
      </c>
      <c r="Y101" s="2954" t="s">
        <v>3581</v>
      </c>
      <c r="Z101" s="2954" t="s">
        <v>3582</v>
      </c>
      <c r="AA101" s="375"/>
    </row>
    <row r="102" spans="1:27" ht="12.75" customHeight="1" x14ac:dyDescent="0.2">
      <c r="A102" s="6360"/>
      <c r="B102" s="251" t="str">
        <f t="shared" si="1"/>
        <v>Creación36</v>
      </c>
      <c r="D102" s="272" t="s">
        <v>7351</v>
      </c>
      <c r="E102" s="2957" t="s">
        <v>1706</v>
      </c>
      <c r="F102" s="2957">
        <v>36</v>
      </c>
      <c r="G102" s="2958" t="s">
        <v>1381</v>
      </c>
      <c r="H102" s="2958" t="s">
        <v>3210</v>
      </c>
      <c r="I102" s="372" t="s">
        <v>1305</v>
      </c>
      <c r="J102" s="2957">
        <v>8</v>
      </c>
      <c r="K102" s="2957">
        <v>10</v>
      </c>
      <c r="L102" s="2957">
        <v>12</v>
      </c>
      <c r="M102" s="373">
        <v>14</v>
      </c>
      <c r="N102" s="2957">
        <v>80</v>
      </c>
      <c r="O102" s="2957">
        <v>120</v>
      </c>
      <c r="P102" s="2957">
        <v>160</v>
      </c>
      <c r="Q102" s="373">
        <v>240</v>
      </c>
      <c r="R102" s="2957" t="s">
        <v>1381</v>
      </c>
      <c r="S102" s="2957" t="s">
        <v>1381</v>
      </c>
      <c r="T102" s="2959" t="s">
        <v>1381</v>
      </c>
      <c r="U102" s="377" t="s">
        <v>1381</v>
      </c>
      <c r="V102" s="2954" t="s">
        <v>3584</v>
      </c>
      <c r="W102" s="2954" t="s">
        <v>3585</v>
      </c>
      <c r="X102" s="2954" t="s">
        <v>3586</v>
      </c>
      <c r="Y102" s="2954" t="s">
        <v>3587</v>
      </c>
      <c r="Z102" s="2954" t="s">
        <v>3588</v>
      </c>
      <c r="AA102" s="375"/>
    </row>
    <row r="103" spans="1:27" ht="12.75" customHeight="1" x14ac:dyDescent="0.2">
      <c r="A103" s="6360"/>
      <c r="B103" s="251" t="str">
        <f t="shared" si="1"/>
        <v>Creación38</v>
      </c>
      <c r="D103" s="272" t="s">
        <v>297</v>
      </c>
      <c r="E103" s="2957" t="s">
        <v>1706</v>
      </c>
      <c r="F103" s="2957">
        <v>38</v>
      </c>
      <c r="G103" s="2958" t="s">
        <v>2088</v>
      </c>
      <c r="H103" s="2958" t="s">
        <v>1233</v>
      </c>
      <c r="I103" s="372" t="s">
        <v>1304</v>
      </c>
      <c r="J103" s="2957">
        <v>6</v>
      </c>
      <c r="K103" s="2957">
        <v>9</v>
      </c>
      <c r="L103" s="2957">
        <v>12</v>
      </c>
      <c r="M103" s="373">
        <v>15</v>
      </c>
      <c r="N103" s="2957">
        <v>120</v>
      </c>
      <c r="O103" s="2957">
        <v>180</v>
      </c>
      <c r="P103" s="2957">
        <v>240</v>
      </c>
      <c r="Q103" s="373">
        <v>300</v>
      </c>
      <c r="R103" s="2957">
        <v>24</v>
      </c>
      <c r="S103" s="2957">
        <v>40</v>
      </c>
      <c r="T103" s="2959">
        <v>50</v>
      </c>
      <c r="U103" s="377">
        <v>60</v>
      </c>
      <c r="V103" s="2954" t="s">
        <v>3589</v>
      </c>
      <c r="W103" s="2954" t="s">
        <v>3590</v>
      </c>
      <c r="X103" s="2954" t="s">
        <v>3591</v>
      </c>
      <c r="Y103" s="2954" t="s">
        <v>3322</v>
      </c>
      <c r="Z103" s="2954" t="s">
        <v>3592</v>
      </c>
      <c r="AA103" s="375"/>
    </row>
    <row r="104" spans="1:27" ht="12.75" customHeight="1" x14ac:dyDescent="0.2">
      <c r="A104" s="6360"/>
      <c r="B104" s="251" t="str">
        <f t="shared" si="1"/>
        <v>Creación40</v>
      </c>
      <c r="D104" s="272" t="s">
        <v>298</v>
      </c>
      <c r="E104" s="2957" t="s">
        <v>1706</v>
      </c>
      <c r="F104" s="2957">
        <v>40</v>
      </c>
      <c r="G104" s="2958" t="s">
        <v>1381</v>
      </c>
      <c r="H104" s="2958" t="s">
        <v>1234</v>
      </c>
      <c r="I104" s="372" t="s">
        <v>1304</v>
      </c>
      <c r="J104" s="2957">
        <v>6</v>
      </c>
      <c r="K104" s="2957">
        <v>9</v>
      </c>
      <c r="L104" s="2957">
        <v>12</v>
      </c>
      <c r="M104" s="373">
        <v>15</v>
      </c>
      <c r="N104" s="2957">
        <v>80</v>
      </c>
      <c r="O104" s="2957">
        <v>180</v>
      </c>
      <c r="P104" s="2957">
        <v>280</v>
      </c>
      <c r="Q104" s="373">
        <v>350</v>
      </c>
      <c r="R104" s="2957">
        <v>5</v>
      </c>
      <c r="S104" s="2957">
        <v>10</v>
      </c>
      <c r="T104" s="2959">
        <v>15</v>
      </c>
      <c r="U104" s="377">
        <v>20</v>
      </c>
      <c r="V104" s="2954" t="s">
        <v>3593</v>
      </c>
      <c r="W104" s="2954" t="s">
        <v>3594</v>
      </c>
      <c r="X104" s="2954" t="s">
        <v>3595</v>
      </c>
      <c r="Y104" s="2954" t="s">
        <v>3596</v>
      </c>
      <c r="Z104" s="2954" t="s">
        <v>3597</v>
      </c>
      <c r="AA104" s="375"/>
    </row>
    <row r="105" spans="1:27" ht="12.75" customHeight="1" x14ac:dyDescent="0.2">
      <c r="A105" s="6360"/>
      <c r="B105" s="251" t="str">
        <f t="shared" si="1"/>
        <v>Creación42</v>
      </c>
      <c r="D105" s="272" t="s">
        <v>299</v>
      </c>
      <c r="E105" s="2957" t="s">
        <v>1706</v>
      </c>
      <c r="F105" s="2957">
        <v>42</v>
      </c>
      <c r="G105" s="2958" t="s">
        <v>1381</v>
      </c>
      <c r="H105" s="2958" t="s">
        <v>1234</v>
      </c>
      <c r="I105" s="372" t="s">
        <v>1304</v>
      </c>
      <c r="J105" s="2957">
        <v>7</v>
      </c>
      <c r="K105" s="2957">
        <v>9</v>
      </c>
      <c r="L105" s="2957">
        <v>12</v>
      </c>
      <c r="M105" s="373">
        <v>15</v>
      </c>
      <c r="N105" s="2957">
        <v>140</v>
      </c>
      <c r="O105" s="2957">
        <v>180</v>
      </c>
      <c r="P105" s="2957">
        <v>240</v>
      </c>
      <c r="Q105" s="373">
        <v>350</v>
      </c>
      <c r="R105" s="2957">
        <v>15</v>
      </c>
      <c r="S105" s="2957">
        <v>20</v>
      </c>
      <c r="T105" s="2959">
        <v>25</v>
      </c>
      <c r="U105" s="377">
        <v>30</v>
      </c>
      <c r="V105" s="2954" t="s">
        <v>3598</v>
      </c>
      <c r="W105" s="2954" t="s">
        <v>3599</v>
      </c>
      <c r="X105" s="2954" t="s">
        <v>3600</v>
      </c>
      <c r="Y105" s="2954" t="s">
        <v>3601</v>
      </c>
      <c r="Z105" s="2954" t="s">
        <v>3602</v>
      </c>
      <c r="AA105" s="375"/>
    </row>
    <row r="106" spans="1:27" ht="12.75" customHeight="1" x14ac:dyDescent="0.2">
      <c r="A106" s="6360"/>
      <c r="B106" s="251" t="str">
        <f t="shared" si="1"/>
        <v>Creación46</v>
      </c>
      <c r="D106" s="272" t="s">
        <v>9751</v>
      </c>
      <c r="E106" s="2957" t="s">
        <v>1706</v>
      </c>
      <c r="F106" s="2957">
        <v>46</v>
      </c>
      <c r="G106" s="2958" t="s">
        <v>1381</v>
      </c>
      <c r="H106" s="2958" t="s">
        <v>1233</v>
      </c>
      <c r="I106" s="372" t="s">
        <v>1304</v>
      </c>
      <c r="J106" s="2957">
        <v>7</v>
      </c>
      <c r="K106" s="2957">
        <v>9</v>
      </c>
      <c r="L106" s="2957">
        <v>12</v>
      </c>
      <c r="M106" s="373">
        <v>15</v>
      </c>
      <c r="N106" s="2957">
        <v>140</v>
      </c>
      <c r="O106" s="2957">
        <v>180</v>
      </c>
      <c r="P106" s="2957">
        <v>240</v>
      </c>
      <c r="Q106" s="373">
        <v>350</v>
      </c>
      <c r="R106" s="2957" t="s">
        <v>1381</v>
      </c>
      <c r="S106" s="2957" t="s">
        <v>1381</v>
      </c>
      <c r="T106" s="2959" t="s">
        <v>1381</v>
      </c>
      <c r="U106" s="377" t="s">
        <v>1381</v>
      </c>
      <c r="V106" s="2954" t="s">
        <v>3603</v>
      </c>
      <c r="W106" s="2954" t="s">
        <v>3604</v>
      </c>
      <c r="X106" s="2954" t="s">
        <v>3605</v>
      </c>
      <c r="Y106" s="2954" t="s">
        <v>3606</v>
      </c>
      <c r="Z106" s="2954" t="s">
        <v>3607</v>
      </c>
      <c r="AA106" s="375"/>
    </row>
    <row r="107" spans="1:27" ht="12.75" customHeight="1" x14ac:dyDescent="0.2">
      <c r="A107" s="6360"/>
      <c r="B107" s="251" t="str">
        <f t="shared" si="1"/>
        <v>Creación48</v>
      </c>
      <c r="D107" s="272" t="s">
        <v>9752</v>
      </c>
      <c r="E107" s="2957" t="s">
        <v>1706</v>
      </c>
      <c r="F107" s="2957">
        <v>48</v>
      </c>
      <c r="G107" s="2958" t="s">
        <v>1381</v>
      </c>
      <c r="H107" s="2958" t="s">
        <v>1234</v>
      </c>
      <c r="I107" s="372" t="s">
        <v>1304</v>
      </c>
      <c r="J107" s="2957">
        <v>8</v>
      </c>
      <c r="K107" s="2957">
        <v>10</v>
      </c>
      <c r="L107" s="2957">
        <v>12</v>
      </c>
      <c r="M107" s="373">
        <v>14</v>
      </c>
      <c r="N107" s="2957">
        <v>250</v>
      </c>
      <c r="O107" s="2957">
        <v>300</v>
      </c>
      <c r="P107" s="2957">
        <v>350</v>
      </c>
      <c r="Q107" s="373">
        <v>400</v>
      </c>
      <c r="R107" s="2957" t="s">
        <v>1381</v>
      </c>
      <c r="S107" s="2957" t="s">
        <v>1381</v>
      </c>
      <c r="T107" s="2959" t="s">
        <v>1381</v>
      </c>
      <c r="U107" s="377" t="s">
        <v>1381</v>
      </c>
      <c r="V107" s="2954" t="s">
        <v>3608</v>
      </c>
      <c r="W107" s="2954" t="s">
        <v>3609</v>
      </c>
      <c r="X107" s="2954" t="s">
        <v>3610</v>
      </c>
      <c r="Y107" s="2954" t="s">
        <v>3611</v>
      </c>
      <c r="Z107" s="2954" t="s">
        <v>3612</v>
      </c>
      <c r="AA107" s="375"/>
    </row>
    <row r="108" spans="1:27" ht="12.75" customHeight="1" x14ac:dyDescent="0.2">
      <c r="A108" s="6360"/>
      <c r="B108" s="251" t="str">
        <f t="shared" si="1"/>
        <v>Creación50</v>
      </c>
      <c r="D108" s="272" t="s">
        <v>9753</v>
      </c>
      <c r="E108" s="2957" t="s">
        <v>1706</v>
      </c>
      <c r="F108" s="2957">
        <v>50</v>
      </c>
      <c r="G108" s="2958" t="s">
        <v>1381</v>
      </c>
      <c r="H108" s="2958" t="s">
        <v>1234</v>
      </c>
      <c r="I108" s="372" t="s">
        <v>1304</v>
      </c>
      <c r="J108" s="2957">
        <v>7</v>
      </c>
      <c r="K108" s="2957">
        <v>10</v>
      </c>
      <c r="L108" s="2957">
        <v>13</v>
      </c>
      <c r="M108" s="373">
        <v>16</v>
      </c>
      <c r="N108" s="2957">
        <v>100</v>
      </c>
      <c r="O108" s="2957">
        <v>200</v>
      </c>
      <c r="P108" s="2957">
        <v>300</v>
      </c>
      <c r="Q108" s="373">
        <v>400</v>
      </c>
      <c r="R108" s="2957">
        <v>20</v>
      </c>
      <c r="S108" s="2957">
        <v>40</v>
      </c>
      <c r="T108" s="2959">
        <v>50</v>
      </c>
      <c r="U108" s="377">
        <v>60</v>
      </c>
      <c r="V108" s="2954" t="s">
        <v>3613</v>
      </c>
      <c r="W108" s="2954" t="s">
        <v>3614</v>
      </c>
      <c r="X108" s="2954" t="s">
        <v>3615</v>
      </c>
      <c r="Y108" s="2954" t="s">
        <v>3616</v>
      </c>
      <c r="Z108" s="2954" t="s">
        <v>3617</v>
      </c>
      <c r="AA108" s="375"/>
    </row>
    <row r="109" spans="1:27" ht="12.75" customHeight="1" x14ac:dyDescent="0.2">
      <c r="A109" s="6360"/>
      <c r="B109" s="251" t="str">
        <f t="shared" si="1"/>
        <v>Creación52</v>
      </c>
      <c r="D109" s="272" t="s">
        <v>9754</v>
      </c>
      <c r="E109" s="2957" t="s">
        <v>1706</v>
      </c>
      <c r="F109" s="2957">
        <v>52</v>
      </c>
      <c r="G109" s="2958" t="s">
        <v>1381</v>
      </c>
      <c r="H109" s="2958" t="s">
        <v>1234</v>
      </c>
      <c r="I109" s="372" t="s">
        <v>1304</v>
      </c>
      <c r="J109" s="2957">
        <v>8</v>
      </c>
      <c r="K109" s="2957">
        <v>10</v>
      </c>
      <c r="L109" s="2957">
        <v>12</v>
      </c>
      <c r="M109" s="373">
        <v>15</v>
      </c>
      <c r="N109" s="2957">
        <v>80</v>
      </c>
      <c r="O109" s="2957">
        <v>120</v>
      </c>
      <c r="P109" s="2957">
        <v>250</v>
      </c>
      <c r="Q109" s="373">
        <v>500</v>
      </c>
      <c r="R109" s="2957">
        <v>10</v>
      </c>
      <c r="S109" s="2957">
        <v>15</v>
      </c>
      <c r="T109" s="2959">
        <v>25</v>
      </c>
      <c r="U109" s="377">
        <v>50</v>
      </c>
      <c r="V109" s="2954" t="s">
        <v>3618</v>
      </c>
      <c r="W109" s="2954" t="s">
        <v>3619</v>
      </c>
      <c r="X109" s="2954" t="s">
        <v>3620</v>
      </c>
      <c r="Y109" s="2954" t="s">
        <v>3621</v>
      </c>
      <c r="Z109" s="2954" t="s">
        <v>3622</v>
      </c>
      <c r="AA109" s="375"/>
    </row>
    <row r="110" spans="1:27" ht="12.75" customHeight="1" x14ac:dyDescent="0.2">
      <c r="A110" s="6360"/>
      <c r="B110" s="251" t="str">
        <f t="shared" si="1"/>
        <v>Creación56</v>
      </c>
      <c r="D110" s="272" t="s">
        <v>9755</v>
      </c>
      <c r="E110" s="2957" t="s">
        <v>1706</v>
      </c>
      <c r="F110" s="2957">
        <v>56</v>
      </c>
      <c r="G110" s="2958" t="s">
        <v>1381</v>
      </c>
      <c r="H110" s="2958" t="s">
        <v>1234</v>
      </c>
      <c r="I110" s="372" t="s">
        <v>1305</v>
      </c>
      <c r="J110" s="2957">
        <v>6</v>
      </c>
      <c r="K110" s="2957">
        <v>9</v>
      </c>
      <c r="L110" s="2957">
        <v>12</v>
      </c>
      <c r="M110" s="373">
        <v>15</v>
      </c>
      <c r="N110" s="2957">
        <v>120</v>
      </c>
      <c r="O110" s="2957">
        <v>180</v>
      </c>
      <c r="P110" s="2957">
        <v>240</v>
      </c>
      <c r="Q110" s="373">
        <v>350</v>
      </c>
      <c r="R110" s="2957">
        <v>10</v>
      </c>
      <c r="S110" s="2957">
        <v>15</v>
      </c>
      <c r="T110" s="2959">
        <v>25</v>
      </c>
      <c r="U110" s="377">
        <v>35</v>
      </c>
      <c r="V110" s="2954" t="s">
        <v>3623</v>
      </c>
      <c r="W110" s="2954" t="s">
        <v>3624</v>
      </c>
      <c r="X110" s="2954" t="s">
        <v>3625</v>
      </c>
      <c r="Y110" s="2954" t="s">
        <v>3626</v>
      </c>
      <c r="Z110" s="2954" t="s">
        <v>3627</v>
      </c>
      <c r="AA110" s="375"/>
    </row>
    <row r="111" spans="1:27" ht="12.75" customHeight="1" x14ac:dyDescent="0.2">
      <c r="A111" s="6360"/>
      <c r="B111" s="251" t="str">
        <f t="shared" si="1"/>
        <v>Creación58</v>
      </c>
      <c r="D111" s="272" t="s">
        <v>9756</v>
      </c>
      <c r="E111" s="2957" t="s">
        <v>1706</v>
      </c>
      <c r="F111" s="2957">
        <v>58</v>
      </c>
      <c r="G111" s="2958" t="s">
        <v>1381</v>
      </c>
      <c r="H111" s="2958" t="s">
        <v>1233</v>
      </c>
      <c r="I111" s="372" t="s">
        <v>1304</v>
      </c>
      <c r="J111" s="2957">
        <v>8</v>
      </c>
      <c r="K111" s="2957">
        <v>10</v>
      </c>
      <c r="L111" s="2957">
        <v>12</v>
      </c>
      <c r="M111" s="373">
        <v>15</v>
      </c>
      <c r="N111" s="2957">
        <v>150</v>
      </c>
      <c r="O111" s="2957">
        <v>200</v>
      </c>
      <c r="P111" s="2957">
        <v>250</v>
      </c>
      <c r="Q111" s="373">
        <v>300</v>
      </c>
      <c r="R111" s="2957">
        <v>15</v>
      </c>
      <c r="S111" s="2957">
        <v>20</v>
      </c>
      <c r="T111" s="2959">
        <v>25</v>
      </c>
      <c r="U111" s="377">
        <v>30</v>
      </c>
      <c r="V111" s="2954" t="s">
        <v>3628</v>
      </c>
      <c r="W111" s="2954" t="s">
        <v>3590</v>
      </c>
      <c r="X111" s="2954" t="s">
        <v>3591</v>
      </c>
      <c r="Y111" s="2954" t="s">
        <v>3322</v>
      </c>
      <c r="Z111" s="2954" t="s">
        <v>3629</v>
      </c>
      <c r="AA111" s="375"/>
    </row>
    <row r="112" spans="1:27" ht="12.75" customHeight="1" x14ac:dyDescent="0.2">
      <c r="A112" s="6360"/>
      <c r="B112" s="251" t="str">
        <f t="shared" si="1"/>
        <v>Creación60</v>
      </c>
      <c r="D112" s="272" t="s">
        <v>9757</v>
      </c>
      <c r="E112" s="2957" t="s">
        <v>1706</v>
      </c>
      <c r="F112" s="2957">
        <v>60</v>
      </c>
      <c r="G112" s="2958" t="s">
        <v>2088</v>
      </c>
      <c r="H112" s="2958" t="s">
        <v>1565</v>
      </c>
      <c r="I112" s="372" t="s">
        <v>1304</v>
      </c>
      <c r="J112" s="2957">
        <v>8</v>
      </c>
      <c r="K112" s="2957">
        <v>10</v>
      </c>
      <c r="L112" s="2957">
        <v>13</v>
      </c>
      <c r="M112" s="373">
        <v>16</v>
      </c>
      <c r="N112" s="2957">
        <v>150</v>
      </c>
      <c r="O112" s="2957">
        <v>200</v>
      </c>
      <c r="P112" s="2957">
        <v>300</v>
      </c>
      <c r="Q112" s="373">
        <v>400</v>
      </c>
      <c r="R112" s="2957">
        <v>15</v>
      </c>
      <c r="S112" s="2957">
        <v>20</v>
      </c>
      <c r="T112" s="2959">
        <v>30</v>
      </c>
      <c r="U112" s="377">
        <v>40</v>
      </c>
      <c r="V112" s="2954" t="s">
        <v>3630</v>
      </c>
      <c r="W112" s="2954" t="s">
        <v>3631</v>
      </c>
      <c r="X112" s="2954" t="s">
        <v>3632</v>
      </c>
      <c r="Y112" s="2954" t="s">
        <v>3633</v>
      </c>
      <c r="Z112" s="2954" t="s">
        <v>3634</v>
      </c>
      <c r="AA112" s="375"/>
    </row>
    <row r="113" spans="1:27" ht="12.75" customHeight="1" x14ac:dyDescent="0.2">
      <c r="A113" s="6360"/>
      <c r="B113" s="251" t="str">
        <f t="shared" si="1"/>
        <v>Creación62</v>
      </c>
      <c r="D113" s="272" t="s">
        <v>9758</v>
      </c>
      <c r="E113" s="2957" t="s">
        <v>1706</v>
      </c>
      <c r="F113" s="2957">
        <v>62</v>
      </c>
      <c r="G113" s="2958" t="s">
        <v>2088</v>
      </c>
      <c r="H113" s="2958" t="s">
        <v>1234</v>
      </c>
      <c r="I113" s="372" t="s">
        <v>1304</v>
      </c>
      <c r="J113" s="2957">
        <v>8</v>
      </c>
      <c r="K113" s="2957">
        <v>10</v>
      </c>
      <c r="L113" s="2957">
        <v>13</v>
      </c>
      <c r="M113" s="373">
        <v>16</v>
      </c>
      <c r="N113" s="2957">
        <v>150</v>
      </c>
      <c r="O113" s="2957">
        <v>200</v>
      </c>
      <c r="P113" s="2957">
        <v>250</v>
      </c>
      <c r="Q113" s="373">
        <v>350</v>
      </c>
      <c r="R113" s="2957">
        <v>15</v>
      </c>
      <c r="S113" s="2957">
        <v>20</v>
      </c>
      <c r="T113" s="2959">
        <v>25</v>
      </c>
      <c r="U113" s="377">
        <v>35</v>
      </c>
      <c r="V113" s="2954" t="s">
        <v>3635</v>
      </c>
      <c r="W113" s="2954" t="s">
        <v>3636</v>
      </c>
      <c r="X113" s="2954" t="s">
        <v>3637</v>
      </c>
      <c r="Y113" s="2954" t="s">
        <v>3638</v>
      </c>
      <c r="Z113" s="2954" t="s">
        <v>3639</v>
      </c>
      <c r="AA113" s="375"/>
    </row>
    <row r="114" spans="1:27" ht="12.75" customHeight="1" x14ac:dyDescent="0.2">
      <c r="A114" s="6360"/>
      <c r="B114" s="251" t="str">
        <f t="shared" si="1"/>
        <v>Creación66</v>
      </c>
      <c r="D114" s="272" t="s">
        <v>9759</v>
      </c>
      <c r="E114" s="2957" t="s">
        <v>1706</v>
      </c>
      <c r="F114" s="2957">
        <v>66</v>
      </c>
      <c r="G114" s="2958" t="s">
        <v>2088</v>
      </c>
      <c r="H114" s="2958" t="s">
        <v>1234</v>
      </c>
      <c r="I114" s="372" t="s">
        <v>1304</v>
      </c>
      <c r="J114" s="2957">
        <v>8</v>
      </c>
      <c r="K114" s="2957">
        <v>10</v>
      </c>
      <c r="L114" s="2957">
        <v>12</v>
      </c>
      <c r="M114" s="373">
        <v>14</v>
      </c>
      <c r="N114" s="2957">
        <v>150</v>
      </c>
      <c r="O114" s="2957">
        <v>200</v>
      </c>
      <c r="P114" s="2957">
        <v>300</v>
      </c>
      <c r="Q114" s="373">
        <v>400</v>
      </c>
      <c r="R114" s="2957">
        <v>15</v>
      </c>
      <c r="S114" s="2957">
        <v>20</v>
      </c>
      <c r="T114" s="2959">
        <v>30</v>
      </c>
      <c r="U114" s="377">
        <v>40</v>
      </c>
      <c r="V114" s="2954" t="s">
        <v>3543</v>
      </c>
      <c r="W114" s="2954" t="s">
        <v>3404</v>
      </c>
      <c r="X114" s="2954" t="s">
        <v>3575</v>
      </c>
      <c r="Y114" s="2954" t="s">
        <v>3640</v>
      </c>
      <c r="Z114" s="2954" t="s">
        <v>3641</v>
      </c>
      <c r="AA114" s="375"/>
    </row>
    <row r="115" spans="1:27" ht="12.75" customHeight="1" x14ac:dyDescent="0.2">
      <c r="A115" s="6360"/>
      <c r="B115" s="251" t="str">
        <f t="shared" si="1"/>
        <v>Creación68</v>
      </c>
      <c r="D115" s="272" t="s">
        <v>9760</v>
      </c>
      <c r="E115" s="2957" t="s">
        <v>1706</v>
      </c>
      <c r="F115" s="2957">
        <v>68</v>
      </c>
      <c r="G115" s="2958" t="s">
        <v>1381</v>
      </c>
      <c r="H115" s="2958" t="s">
        <v>1234</v>
      </c>
      <c r="I115" s="372" t="s">
        <v>1305</v>
      </c>
      <c r="J115" s="2957">
        <v>8</v>
      </c>
      <c r="K115" s="2957">
        <v>12</v>
      </c>
      <c r="L115" s="2957">
        <v>15</v>
      </c>
      <c r="M115" s="373">
        <v>18</v>
      </c>
      <c r="N115" s="2957">
        <v>100</v>
      </c>
      <c r="O115" s="2957">
        <v>200</v>
      </c>
      <c r="P115" s="2957">
        <v>300</v>
      </c>
      <c r="Q115" s="373">
        <v>400</v>
      </c>
      <c r="R115" s="2957">
        <v>10</v>
      </c>
      <c r="S115" s="2957">
        <v>20</v>
      </c>
      <c r="T115" s="2959">
        <v>30</v>
      </c>
      <c r="U115" s="377">
        <v>40</v>
      </c>
      <c r="V115" s="2954" t="s">
        <v>3642</v>
      </c>
      <c r="W115" s="2954" t="s">
        <v>3643</v>
      </c>
      <c r="X115" s="2954" t="s">
        <v>3644</v>
      </c>
      <c r="Y115" s="2954" t="s">
        <v>3645</v>
      </c>
      <c r="Z115" s="2955" t="s">
        <v>3646</v>
      </c>
      <c r="AA115" s="375"/>
    </row>
    <row r="116" spans="1:27" ht="12.75" customHeight="1" x14ac:dyDescent="0.2">
      <c r="A116" s="6360"/>
      <c r="B116" s="251" t="str">
        <f t="shared" si="1"/>
        <v>Creación70</v>
      </c>
      <c r="D116" s="272" t="s">
        <v>9761</v>
      </c>
      <c r="E116" s="2957" t="s">
        <v>1706</v>
      </c>
      <c r="F116" s="2957">
        <v>70</v>
      </c>
      <c r="G116" s="2958" t="s">
        <v>1381</v>
      </c>
      <c r="H116" s="2958" t="s">
        <v>1233</v>
      </c>
      <c r="I116" s="372" t="s">
        <v>1304</v>
      </c>
      <c r="J116" s="2957">
        <v>9</v>
      </c>
      <c r="K116" s="2957">
        <v>12</v>
      </c>
      <c r="L116" s="2957">
        <v>15</v>
      </c>
      <c r="M116" s="373">
        <v>18</v>
      </c>
      <c r="N116" s="2957">
        <v>250</v>
      </c>
      <c r="O116" s="2957">
        <v>350</v>
      </c>
      <c r="P116" s="2957">
        <v>500</v>
      </c>
      <c r="Q116" s="373">
        <v>800</v>
      </c>
      <c r="R116" s="2957" t="s">
        <v>1381</v>
      </c>
      <c r="S116" s="2957" t="s">
        <v>1381</v>
      </c>
      <c r="T116" s="2959" t="s">
        <v>1381</v>
      </c>
      <c r="U116" s="377" t="s">
        <v>1381</v>
      </c>
      <c r="V116" s="2954" t="s">
        <v>3647</v>
      </c>
      <c r="W116" s="2954" t="s">
        <v>3648</v>
      </c>
      <c r="X116" s="2954" t="s">
        <v>3649</v>
      </c>
      <c r="Y116" s="2954" t="s">
        <v>3650</v>
      </c>
      <c r="Z116" s="2954" t="s">
        <v>3651</v>
      </c>
      <c r="AA116" s="375"/>
    </row>
    <row r="117" spans="1:27" ht="12.75" customHeight="1" x14ac:dyDescent="0.2">
      <c r="A117" s="6360"/>
      <c r="B117" s="251" t="str">
        <f t="shared" si="1"/>
        <v>Creación72</v>
      </c>
      <c r="D117" s="272" t="s">
        <v>1</v>
      </c>
      <c r="E117" s="2957" t="s">
        <v>1706</v>
      </c>
      <c r="F117" s="2957">
        <v>72</v>
      </c>
      <c r="G117" s="2958" t="s">
        <v>2088</v>
      </c>
      <c r="H117" s="2958" t="s">
        <v>1233</v>
      </c>
      <c r="I117" s="372" t="s">
        <v>1304</v>
      </c>
      <c r="J117" s="2957">
        <v>8</v>
      </c>
      <c r="K117" s="2957">
        <v>10</v>
      </c>
      <c r="L117" s="2957">
        <v>12</v>
      </c>
      <c r="M117" s="373">
        <v>14</v>
      </c>
      <c r="N117" s="2957">
        <v>150</v>
      </c>
      <c r="O117" s="2957">
        <v>200</v>
      </c>
      <c r="P117" s="2957">
        <v>250</v>
      </c>
      <c r="Q117" s="373">
        <v>350</v>
      </c>
      <c r="R117" s="2957">
        <v>10</v>
      </c>
      <c r="S117" s="2957">
        <v>10</v>
      </c>
      <c r="T117" s="2959">
        <v>15</v>
      </c>
      <c r="U117" s="377">
        <v>20</v>
      </c>
      <c r="V117" s="2954" t="s">
        <v>3628</v>
      </c>
      <c r="W117" s="2954" t="s">
        <v>3590</v>
      </c>
      <c r="X117" s="2954" t="s">
        <v>3487</v>
      </c>
      <c r="Y117" s="2954" t="s">
        <v>3488</v>
      </c>
      <c r="Z117" s="2954" t="s">
        <v>3652</v>
      </c>
      <c r="AA117" s="375"/>
    </row>
    <row r="118" spans="1:27" ht="12.75" customHeight="1" x14ac:dyDescent="0.2">
      <c r="A118" s="6360"/>
      <c r="B118" s="251" t="str">
        <f t="shared" si="1"/>
        <v>Creación76</v>
      </c>
      <c r="D118" s="272" t="s">
        <v>9762</v>
      </c>
      <c r="E118" s="2957" t="s">
        <v>1706</v>
      </c>
      <c r="F118" s="2957">
        <v>76</v>
      </c>
      <c r="G118" s="2958" t="s">
        <v>1381</v>
      </c>
      <c r="H118" s="2958" t="s">
        <v>1234</v>
      </c>
      <c r="I118" s="372" t="s">
        <v>1304</v>
      </c>
      <c r="J118" s="2957">
        <v>8</v>
      </c>
      <c r="K118" s="2957">
        <v>12</v>
      </c>
      <c r="L118" s="2957">
        <v>15</v>
      </c>
      <c r="M118" s="373">
        <v>18</v>
      </c>
      <c r="N118" s="2957">
        <v>300</v>
      </c>
      <c r="O118" s="2957">
        <v>500</v>
      </c>
      <c r="P118" s="2957">
        <v>750</v>
      </c>
      <c r="Q118" s="373">
        <v>1500</v>
      </c>
      <c r="R118" s="2957" t="s">
        <v>1381</v>
      </c>
      <c r="S118" s="2957" t="s">
        <v>1381</v>
      </c>
      <c r="T118" s="2959" t="s">
        <v>1381</v>
      </c>
      <c r="U118" s="377" t="s">
        <v>1381</v>
      </c>
      <c r="V118" s="2954" t="s">
        <v>3653</v>
      </c>
      <c r="W118" s="2954" t="s">
        <v>3575</v>
      </c>
      <c r="X118" s="2954" t="s">
        <v>3654</v>
      </c>
      <c r="Y118" s="2954" t="s">
        <v>3655</v>
      </c>
      <c r="Z118" s="2954" t="s">
        <v>3656</v>
      </c>
      <c r="AA118" s="375"/>
    </row>
    <row r="119" spans="1:27" ht="12.75" customHeight="1" x14ac:dyDescent="0.2">
      <c r="A119" s="6360"/>
      <c r="B119" s="251" t="str">
        <f t="shared" si="1"/>
        <v>Creación78</v>
      </c>
      <c r="D119" s="272" t="s">
        <v>300</v>
      </c>
      <c r="E119" s="2957" t="s">
        <v>1706</v>
      </c>
      <c r="F119" s="2957">
        <v>78</v>
      </c>
      <c r="G119" s="2958" t="s">
        <v>2088</v>
      </c>
      <c r="H119" s="2958" t="s">
        <v>1234</v>
      </c>
      <c r="I119" s="372" t="s">
        <v>1304</v>
      </c>
      <c r="J119" s="2957">
        <v>9</v>
      </c>
      <c r="K119" s="2957">
        <v>12</v>
      </c>
      <c r="L119" s="2957">
        <v>15</v>
      </c>
      <c r="M119" s="373">
        <v>17</v>
      </c>
      <c r="N119" s="2957">
        <v>250</v>
      </c>
      <c r="O119" s="2957">
        <v>400</v>
      </c>
      <c r="P119" s="2961">
        <v>600</v>
      </c>
      <c r="Q119" s="379">
        <v>1000</v>
      </c>
      <c r="R119" s="2961">
        <v>50</v>
      </c>
      <c r="S119" s="2961">
        <v>80</v>
      </c>
      <c r="T119" s="2959">
        <v>120</v>
      </c>
      <c r="U119" s="377">
        <v>200</v>
      </c>
      <c r="V119" s="2954" t="s">
        <v>3657</v>
      </c>
      <c r="W119" s="2954" t="s">
        <v>3658</v>
      </c>
      <c r="X119" s="2954" t="s">
        <v>3659</v>
      </c>
      <c r="Y119" s="2954" t="s">
        <v>3621</v>
      </c>
      <c r="Z119" s="2954" t="s">
        <v>3660</v>
      </c>
      <c r="AA119" s="375"/>
    </row>
    <row r="120" spans="1:27" ht="12.75" customHeight="1" x14ac:dyDescent="0.2">
      <c r="A120" s="6360"/>
      <c r="B120" s="251" t="str">
        <f t="shared" si="1"/>
        <v>Creación80</v>
      </c>
      <c r="D120" s="272" t="s">
        <v>9763</v>
      </c>
      <c r="E120" s="2957" t="s">
        <v>1706</v>
      </c>
      <c r="F120" s="2957">
        <v>80</v>
      </c>
      <c r="G120" s="2958" t="s">
        <v>1381</v>
      </c>
      <c r="H120" s="2958" t="s">
        <v>1234</v>
      </c>
      <c r="I120" s="372" t="s">
        <v>1304</v>
      </c>
      <c r="J120" s="2957">
        <v>10</v>
      </c>
      <c r="K120" s="2957">
        <v>13</v>
      </c>
      <c r="L120" s="2957">
        <v>15</v>
      </c>
      <c r="M120" s="373">
        <v>17</v>
      </c>
      <c r="N120" s="2957">
        <v>250</v>
      </c>
      <c r="O120" s="2957">
        <v>500</v>
      </c>
      <c r="P120" s="2961">
        <v>1000</v>
      </c>
      <c r="Q120" s="379">
        <v>2500</v>
      </c>
      <c r="R120" s="2957" t="s">
        <v>1381</v>
      </c>
      <c r="S120" s="2957" t="s">
        <v>1381</v>
      </c>
      <c r="T120" s="2959" t="s">
        <v>1381</v>
      </c>
      <c r="U120" s="377" t="s">
        <v>1381</v>
      </c>
      <c r="V120" s="2954" t="s">
        <v>10221</v>
      </c>
      <c r="W120" s="2954" t="s">
        <v>10222</v>
      </c>
      <c r="X120" s="2954" t="s">
        <v>10223</v>
      </c>
      <c r="Y120" s="2954" t="s">
        <v>10224</v>
      </c>
      <c r="Z120" s="2954" t="s">
        <v>3661</v>
      </c>
      <c r="AA120" s="375"/>
    </row>
    <row r="121" spans="1:27" ht="12.75" customHeight="1" x14ac:dyDescent="0.2">
      <c r="A121" s="6360"/>
      <c r="B121" s="251" t="str">
        <f t="shared" si="1"/>
        <v>Creación82</v>
      </c>
      <c r="D121" s="272" t="s">
        <v>9764</v>
      </c>
      <c r="E121" s="2957" t="s">
        <v>1706</v>
      </c>
      <c r="F121" s="2957">
        <v>82</v>
      </c>
      <c r="G121" s="2958" t="s">
        <v>2088</v>
      </c>
      <c r="H121" s="2958" t="s">
        <v>3210</v>
      </c>
      <c r="I121" s="372" t="s">
        <v>1304</v>
      </c>
      <c r="J121" s="2957">
        <v>12</v>
      </c>
      <c r="K121" s="2957">
        <v>15</v>
      </c>
      <c r="L121" s="2957">
        <v>17</v>
      </c>
      <c r="M121" s="373">
        <v>18</v>
      </c>
      <c r="N121" s="2957">
        <v>350</v>
      </c>
      <c r="O121" s="2957">
        <v>500</v>
      </c>
      <c r="P121" s="2957">
        <v>800</v>
      </c>
      <c r="Q121" s="373">
        <v>1500</v>
      </c>
      <c r="R121" s="2957">
        <v>35</v>
      </c>
      <c r="S121" s="2957">
        <v>50</v>
      </c>
      <c r="T121" s="2959">
        <v>80</v>
      </c>
      <c r="U121" s="377">
        <v>150</v>
      </c>
      <c r="V121" s="2954" t="s">
        <v>3317</v>
      </c>
      <c r="W121" s="2954" t="s">
        <v>3319</v>
      </c>
      <c r="X121" s="2954" t="s">
        <v>10055</v>
      </c>
      <c r="Y121" s="2954" t="s">
        <v>10056</v>
      </c>
      <c r="Z121" s="2954" t="s">
        <v>3662</v>
      </c>
      <c r="AA121" s="375"/>
    </row>
    <row r="122" spans="1:27" ht="12.75" customHeight="1" x14ac:dyDescent="0.2">
      <c r="A122" s="6360"/>
      <c r="B122" s="251" t="str">
        <f t="shared" si="1"/>
        <v>Creación86</v>
      </c>
      <c r="D122" s="272" t="s">
        <v>2802</v>
      </c>
      <c r="E122" s="2957" t="s">
        <v>1706</v>
      </c>
      <c r="F122" s="2957">
        <v>86</v>
      </c>
      <c r="G122" s="2958" t="s">
        <v>1381</v>
      </c>
      <c r="H122" s="2958" t="s">
        <v>1234</v>
      </c>
      <c r="I122" s="372" t="s">
        <v>1304</v>
      </c>
      <c r="J122" s="2957">
        <v>10</v>
      </c>
      <c r="K122" s="2957">
        <v>12</v>
      </c>
      <c r="L122" s="2957">
        <v>14</v>
      </c>
      <c r="M122" s="373">
        <v>16</v>
      </c>
      <c r="N122" s="2957">
        <v>250</v>
      </c>
      <c r="O122" s="2957">
        <v>500</v>
      </c>
      <c r="P122" s="2957">
        <v>900</v>
      </c>
      <c r="Q122" s="373">
        <v>1600</v>
      </c>
      <c r="R122" s="2957" t="s">
        <v>1381</v>
      </c>
      <c r="S122" s="2957" t="s">
        <v>1381</v>
      </c>
      <c r="T122" s="2959" t="s">
        <v>1381</v>
      </c>
      <c r="U122" s="377" t="s">
        <v>1381</v>
      </c>
      <c r="V122" s="2954" t="s">
        <v>3663</v>
      </c>
      <c r="W122" s="2954" t="s">
        <v>3664</v>
      </c>
      <c r="X122" s="2954" t="s">
        <v>3665</v>
      </c>
      <c r="Y122" s="2954" t="s">
        <v>3666</v>
      </c>
      <c r="Z122" s="2954" t="s">
        <v>3667</v>
      </c>
      <c r="AA122" s="375"/>
    </row>
    <row r="123" spans="1:27" ht="12.75" customHeight="1" x14ac:dyDescent="0.2">
      <c r="A123" s="6360"/>
      <c r="B123" s="251" t="str">
        <f t="shared" si="1"/>
        <v>Creación88</v>
      </c>
      <c r="D123" s="272" t="s">
        <v>9765</v>
      </c>
      <c r="E123" s="2957" t="s">
        <v>1706</v>
      </c>
      <c r="F123" s="2957">
        <v>88</v>
      </c>
      <c r="G123" s="2958" t="s">
        <v>1381</v>
      </c>
      <c r="H123" s="2958" t="s">
        <v>1234</v>
      </c>
      <c r="I123" s="372" t="s">
        <v>1304</v>
      </c>
      <c r="J123" s="2957">
        <v>13</v>
      </c>
      <c r="K123" s="2957">
        <v>14</v>
      </c>
      <c r="L123" s="2957">
        <v>15</v>
      </c>
      <c r="M123" s="373">
        <v>16</v>
      </c>
      <c r="N123" s="2957">
        <v>500</v>
      </c>
      <c r="O123" s="2957">
        <v>800</v>
      </c>
      <c r="P123" s="2957">
        <v>1200</v>
      </c>
      <c r="Q123" s="373">
        <v>2000</v>
      </c>
      <c r="R123" s="2957" t="s">
        <v>1381</v>
      </c>
      <c r="S123" s="2957" t="s">
        <v>1381</v>
      </c>
      <c r="T123" s="2959" t="s">
        <v>1381</v>
      </c>
      <c r="U123" s="377" t="s">
        <v>1381</v>
      </c>
      <c r="V123" s="2954" t="s">
        <v>3541</v>
      </c>
      <c r="W123" s="2954" t="s">
        <v>3543</v>
      </c>
      <c r="X123" s="2954" t="s">
        <v>3404</v>
      </c>
      <c r="Y123" s="2954" t="s">
        <v>3405</v>
      </c>
      <c r="Z123" s="2954" t="s">
        <v>3668</v>
      </c>
      <c r="AA123" s="375"/>
    </row>
    <row r="124" spans="1:27" ht="12.75" customHeight="1" x14ac:dyDescent="0.2">
      <c r="A124" s="6360"/>
      <c r="B124" s="251" t="str">
        <f t="shared" si="1"/>
        <v>Creación90</v>
      </c>
      <c r="D124" s="272" t="s">
        <v>9766</v>
      </c>
      <c r="E124" s="2957" t="s">
        <v>1706</v>
      </c>
      <c r="F124" s="2957">
        <v>90</v>
      </c>
      <c r="G124" s="2958" t="s">
        <v>2088</v>
      </c>
      <c r="H124" s="2958" t="s">
        <v>1234</v>
      </c>
      <c r="I124" s="372" t="s">
        <v>1304</v>
      </c>
      <c r="J124" s="2957">
        <v>10</v>
      </c>
      <c r="K124" s="2957">
        <v>12</v>
      </c>
      <c r="L124" s="2957">
        <v>14</v>
      </c>
      <c r="M124" s="373">
        <v>16</v>
      </c>
      <c r="N124" s="2957">
        <v>400</v>
      </c>
      <c r="O124" s="2957">
        <v>800</v>
      </c>
      <c r="P124" s="2957">
        <v>1200</v>
      </c>
      <c r="Q124" s="373">
        <v>2000</v>
      </c>
      <c r="R124" s="2957">
        <v>20</v>
      </c>
      <c r="S124" s="2957">
        <v>25</v>
      </c>
      <c r="T124" s="2959">
        <v>25</v>
      </c>
      <c r="U124" s="377">
        <v>30</v>
      </c>
      <c r="V124" s="2954" t="s">
        <v>3669</v>
      </c>
      <c r="W124" s="2954" t="s">
        <v>3670</v>
      </c>
      <c r="X124" s="2954" t="s">
        <v>3671</v>
      </c>
      <c r="Y124" s="2954" t="s">
        <v>3672</v>
      </c>
      <c r="Z124" s="2954" t="s">
        <v>7046</v>
      </c>
      <c r="AA124" s="375"/>
    </row>
    <row r="125" spans="1:27" ht="12.75" customHeight="1" x14ac:dyDescent="0.2">
      <c r="A125" s="6360"/>
      <c r="B125" s="251" t="str">
        <f t="shared" si="1"/>
        <v>Creación92</v>
      </c>
      <c r="D125" s="272" t="s">
        <v>9767</v>
      </c>
      <c r="E125" s="2957" t="s">
        <v>1706</v>
      </c>
      <c r="F125" s="2957">
        <v>92</v>
      </c>
      <c r="G125" s="2958" t="s">
        <v>1381</v>
      </c>
      <c r="H125" s="2958" t="s">
        <v>1234</v>
      </c>
      <c r="I125" s="372" t="s">
        <v>1304</v>
      </c>
      <c r="J125" s="2957">
        <v>12</v>
      </c>
      <c r="K125" s="2957">
        <v>14</v>
      </c>
      <c r="L125" s="2957">
        <v>16</v>
      </c>
      <c r="M125" s="373">
        <v>18</v>
      </c>
      <c r="N125" s="2957">
        <v>600</v>
      </c>
      <c r="O125" s="2957">
        <v>1000</v>
      </c>
      <c r="P125" s="2957">
        <v>2500</v>
      </c>
      <c r="Q125" s="373">
        <v>5000</v>
      </c>
      <c r="R125" s="2957" t="s">
        <v>1381</v>
      </c>
      <c r="S125" s="2957" t="s">
        <v>1381</v>
      </c>
      <c r="T125" s="2959" t="s">
        <v>1381</v>
      </c>
      <c r="U125" s="377" t="s">
        <v>1381</v>
      </c>
      <c r="V125" s="2954" t="s">
        <v>3673</v>
      </c>
      <c r="W125" s="2954" t="s">
        <v>3674</v>
      </c>
      <c r="X125" s="2954" t="s">
        <v>3675</v>
      </c>
      <c r="Y125" s="2954" t="s">
        <v>3676</v>
      </c>
      <c r="Z125" s="2954" t="s">
        <v>3677</v>
      </c>
      <c r="AA125" s="375"/>
    </row>
    <row r="126" spans="1:27" ht="12.75" customHeight="1" x14ac:dyDescent="0.2">
      <c r="A126" s="6360"/>
      <c r="B126" s="251" t="str">
        <f t="shared" si="1"/>
        <v>Creación96</v>
      </c>
      <c r="D126" s="272" t="s">
        <v>9768</v>
      </c>
      <c r="E126" s="2957" t="s">
        <v>1706</v>
      </c>
      <c r="F126" s="2957">
        <v>96</v>
      </c>
      <c r="G126" s="2958" t="s">
        <v>2088</v>
      </c>
      <c r="H126" s="2958" t="s">
        <v>1234</v>
      </c>
      <c r="I126" s="372" t="s">
        <v>1304</v>
      </c>
      <c r="J126" s="2957">
        <v>15</v>
      </c>
      <c r="K126" s="2957">
        <v>16</v>
      </c>
      <c r="L126" s="2957">
        <v>17</v>
      </c>
      <c r="M126" s="373">
        <v>19</v>
      </c>
      <c r="N126" s="2957">
        <v>800</v>
      </c>
      <c r="O126" s="2957">
        <v>2500</v>
      </c>
      <c r="P126" s="2957">
        <v>5000</v>
      </c>
      <c r="Q126" s="373">
        <v>10000</v>
      </c>
      <c r="R126" s="2957">
        <v>40</v>
      </c>
      <c r="S126" s="2957">
        <v>45</v>
      </c>
      <c r="T126" s="2959">
        <v>45</v>
      </c>
      <c r="U126" s="377">
        <v>50</v>
      </c>
      <c r="V126" s="2954" t="s">
        <v>3678</v>
      </c>
      <c r="W126" s="2954" t="s">
        <v>3679</v>
      </c>
      <c r="X126" s="2954" t="s">
        <v>3680</v>
      </c>
      <c r="Y126" s="2954" t="s">
        <v>3681</v>
      </c>
      <c r="Z126" s="2954" t="s">
        <v>3682</v>
      </c>
      <c r="AA126" s="375"/>
    </row>
    <row r="127" spans="1:27" ht="12.75" customHeight="1" x14ac:dyDescent="0.2">
      <c r="A127" s="6360"/>
      <c r="B127" s="251" t="str">
        <f t="shared" si="1"/>
        <v>Creación98</v>
      </c>
      <c r="D127" s="272" t="s">
        <v>9769</v>
      </c>
      <c r="E127" s="2957" t="s">
        <v>1706</v>
      </c>
      <c r="F127" s="2957">
        <v>98</v>
      </c>
      <c r="G127" s="2958" t="s">
        <v>1381</v>
      </c>
      <c r="H127" s="2958" t="s">
        <v>1234</v>
      </c>
      <c r="I127" s="372" t="s">
        <v>1304</v>
      </c>
      <c r="J127" s="2957">
        <v>16</v>
      </c>
      <c r="K127" s="2957">
        <v>17</v>
      </c>
      <c r="L127" s="2957">
        <v>18</v>
      </c>
      <c r="M127" s="373">
        <v>19</v>
      </c>
      <c r="N127" s="2957">
        <v>800</v>
      </c>
      <c r="O127" s="2957">
        <v>2000</v>
      </c>
      <c r="P127" s="2957">
        <v>4000</v>
      </c>
      <c r="Q127" s="373">
        <v>8000</v>
      </c>
      <c r="R127" s="2957" t="s">
        <v>1381</v>
      </c>
      <c r="S127" s="2957" t="s">
        <v>1381</v>
      </c>
      <c r="T127" s="2959" t="s">
        <v>1381</v>
      </c>
      <c r="U127" s="377" t="s">
        <v>1381</v>
      </c>
      <c r="V127" s="2954" t="s">
        <v>3683</v>
      </c>
      <c r="W127" s="2954" t="s">
        <v>3684</v>
      </c>
      <c r="X127" s="2954" t="s">
        <v>3685</v>
      </c>
      <c r="Y127" s="2954" t="s">
        <v>3686</v>
      </c>
      <c r="Z127" s="2954" t="s">
        <v>3687</v>
      </c>
      <c r="AA127" s="375"/>
    </row>
    <row r="128" spans="1:27" ht="12.75" customHeight="1" x14ac:dyDescent="0.2">
      <c r="A128" s="6360"/>
      <c r="B128" s="251" t="str">
        <f t="shared" si="1"/>
        <v>Creación100</v>
      </c>
      <c r="D128" s="272" t="s">
        <v>9770</v>
      </c>
      <c r="E128" s="2957" t="s">
        <v>1706</v>
      </c>
      <c r="F128" s="2957">
        <v>100</v>
      </c>
      <c r="G128" s="2958" t="s">
        <v>1381</v>
      </c>
      <c r="H128" s="2958" t="s">
        <v>1234</v>
      </c>
      <c r="I128" s="372" t="s">
        <v>1304</v>
      </c>
      <c r="J128" s="2957">
        <v>17</v>
      </c>
      <c r="K128" s="2957">
        <v>18</v>
      </c>
      <c r="L128" s="2957">
        <v>19</v>
      </c>
      <c r="M128" s="373">
        <v>20</v>
      </c>
      <c r="N128" s="2957">
        <v>1000</v>
      </c>
      <c r="O128" s="2957">
        <v>3000</v>
      </c>
      <c r="P128" s="2957">
        <v>6000</v>
      </c>
      <c r="Q128" s="373">
        <v>12000</v>
      </c>
      <c r="R128" s="2957" t="s">
        <v>1381</v>
      </c>
      <c r="S128" s="2957" t="s">
        <v>1381</v>
      </c>
      <c r="T128" s="2959" t="s">
        <v>1381</v>
      </c>
      <c r="U128" s="377" t="s">
        <v>1381</v>
      </c>
      <c r="V128" s="2954" t="s">
        <v>3688</v>
      </c>
      <c r="W128" s="2954" t="s">
        <v>3689</v>
      </c>
      <c r="X128" s="2954" t="s">
        <v>3690</v>
      </c>
      <c r="Y128" s="2954" t="s">
        <v>3691</v>
      </c>
      <c r="Z128" s="2954" t="s">
        <v>3692</v>
      </c>
      <c r="AA128" s="375"/>
    </row>
    <row r="129" spans="1:27" ht="12.75" customHeight="1" x14ac:dyDescent="0.2">
      <c r="A129" s="6360"/>
      <c r="B129" s="251" t="str">
        <f t="shared" si="1"/>
        <v/>
      </c>
      <c r="D129" s="272" t="s">
        <v>301</v>
      </c>
      <c r="E129" s="2957"/>
      <c r="F129" s="2957"/>
      <c r="G129" s="2958"/>
      <c r="H129" s="2958"/>
      <c r="I129" s="372"/>
      <c r="J129" s="2957"/>
      <c r="K129" s="2957"/>
      <c r="L129" s="2957"/>
      <c r="M129" s="373"/>
      <c r="N129" s="2957"/>
      <c r="O129" s="2957"/>
      <c r="P129" s="2957"/>
      <c r="Q129" s="373"/>
      <c r="R129" s="2957"/>
      <c r="S129" s="2957"/>
      <c r="T129" s="2959"/>
      <c r="U129" s="377"/>
      <c r="V129" s="2954"/>
      <c r="W129" s="2954"/>
      <c r="X129" s="2954"/>
      <c r="Y129" s="2954"/>
      <c r="Z129" s="2954"/>
      <c r="AA129" s="375"/>
    </row>
    <row r="130" spans="1:27" ht="12.75" customHeight="1" x14ac:dyDescent="0.2">
      <c r="A130" s="6360"/>
      <c r="B130" s="251" t="str">
        <f t="shared" si="1"/>
        <v>Destrucción2</v>
      </c>
      <c r="D130" s="272" t="s">
        <v>9771</v>
      </c>
      <c r="E130" s="2957" t="s">
        <v>1707</v>
      </c>
      <c r="F130" s="2957">
        <v>2</v>
      </c>
      <c r="G130" s="2958" t="s">
        <v>1381</v>
      </c>
      <c r="H130" s="2958" t="s">
        <v>1234</v>
      </c>
      <c r="I130" s="372" t="s">
        <v>1304</v>
      </c>
      <c r="J130" s="2957">
        <v>5</v>
      </c>
      <c r="K130" s="2957">
        <v>8</v>
      </c>
      <c r="L130" s="2957">
        <v>10</v>
      </c>
      <c r="M130" s="373">
        <v>12</v>
      </c>
      <c r="N130" s="2957">
        <v>30</v>
      </c>
      <c r="O130" s="2957">
        <v>60</v>
      </c>
      <c r="P130" s="2957">
        <v>120</v>
      </c>
      <c r="Q130" s="373">
        <v>150</v>
      </c>
      <c r="R130" s="2957">
        <v>5</v>
      </c>
      <c r="S130" s="2957">
        <v>10</v>
      </c>
      <c r="T130" s="2959">
        <v>15</v>
      </c>
      <c r="U130" s="377">
        <v>15</v>
      </c>
      <c r="V130" s="2954" t="s">
        <v>3693</v>
      </c>
      <c r="W130" s="2954" t="s">
        <v>3694</v>
      </c>
      <c r="X130" s="2954" t="s">
        <v>3695</v>
      </c>
      <c r="Y130" s="2954" t="s">
        <v>3696</v>
      </c>
      <c r="Z130" s="2954" t="s">
        <v>3697</v>
      </c>
      <c r="AA130" s="375"/>
    </row>
    <row r="131" spans="1:27" ht="12.75" customHeight="1" x14ac:dyDescent="0.2">
      <c r="A131" s="6360"/>
      <c r="B131" s="251" t="str">
        <f t="shared" si="1"/>
        <v>Destrucción6</v>
      </c>
      <c r="D131" s="272" t="s">
        <v>9772</v>
      </c>
      <c r="E131" s="2957" t="s">
        <v>1707</v>
      </c>
      <c r="F131" s="2957">
        <v>6</v>
      </c>
      <c r="G131" s="2958" t="s">
        <v>1381</v>
      </c>
      <c r="H131" s="2958" t="s">
        <v>1234</v>
      </c>
      <c r="I131" s="372" t="s">
        <v>1304</v>
      </c>
      <c r="J131" s="2957">
        <v>5</v>
      </c>
      <c r="K131" s="2957">
        <v>8</v>
      </c>
      <c r="L131" s="2957">
        <v>10</v>
      </c>
      <c r="M131" s="373">
        <v>12</v>
      </c>
      <c r="N131" s="2957">
        <v>40</v>
      </c>
      <c r="O131" s="2957">
        <v>80</v>
      </c>
      <c r="P131" s="2957">
        <v>120</v>
      </c>
      <c r="Q131" s="373">
        <v>150</v>
      </c>
      <c r="R131" s="2957" t="s">
        <v>1381</v>
      </c>
      <c r="S131" s="2957" t="s">
        <v>1381</v>
      </c>
      <c r="T131" s="2959" t="s">
        <v>1381</v>
      </c>
      <c r="U131" s="377" t="s">
        <v>1381</v>
      </c>
      <c r="V131" s="2954" t="s">
        <v>3540</v>
      </c>
      <c r="W131" s="2954" t="s">
        <v>3542</v>
      </c>
      <c r="X131" s="2954" t="s">
        <v>3653</v>
      </c>
      <c r="Y131" s="2954" t="s">
        <v>3404</v>
      </c>
      <c r="Z131" s="2954" t="s">
        <v>3698</v>
      </c>
      <c r="AA131" s="375"/>
    </row>
    <row r="132" spans="1:27" ht="12.75" customHeight="1" x14ac:dyDescent="0.2">
      <c r="A132" s="6360"/>
      <c r="B132" s="251" t="str">
        <f t="shared" si="1"/>
        <v>Destrucción8</v>
      </c>
      <c r="D132" s="272" t="s">
        <v>9773</v>
      </c>
      <c r="E132" s="2957" t="s">
        <v>1707</v>
      </c>
      <c r="F132" s="2957">
        <v>8</v>
      </c>
      <c r="G132" s="2958" t="s">
        <v>1381</v>
      </c>
      <c r="H132" s="2958" t="s">
        <v>1234</v>
      </c>
      <c r="I132" s="372" t="s">
        <v>1304</v>
      </c>
      <c r="J132" s="2957">
        <v>5</v>
      </c>
      <c r="K132" s="2957">
        <v>8</v>
      </c>
      <c r="L132" s="2957">
        <v>10</v>
      </c>
      <c r="M132" s="373">
        <v>12</v>
      </c>
      <c r="N132" s="2957">
        <v>40</v>
      </c>
      <c r="O132" s="2957">
        <v>80</v>
      </c>
      <c r="P132" s="2957">
        <v>120</v>
      </c>
      <c r="Q132" s="373">
        <v>150</v>
      </c>
      <c r="R132" s="2957" t="s">
        <v>1381</v>
      </c>
      <c r="S132" s="2957" t="s">
        <v>1381</v>
      </c>
      <c r="T132" s="2959" t="s">
        <v>1381</v>
      </c>
      <c r="U132" s="377" t="s">
        <v>1381</v>
      </c>
      <c r="V132" s="2954" t="s">
        <v>3699</v>
      </c>
      <c r="W132" s="2954" t="s">
        <v>3700</v>
      </c>
      <c r="X132" s="2954" t="s">
        <v>3701</v>
      </c>
      <c r="Y132" s="2954" t="s">
        <v>3702</v>
      </c>
      <c r="Z132" s="2954" t="s">
        <v>3703</v>
      </c>
      <c r="AA132" s="375"/>
    </row>
    <row r="133" spans="1:27" ht="12.75" customHeight="1" x14ac:dyDescent="0.2">
      <c r="A133" s="6360"/>
      <c r="B133" s="251" t="str">
        <f t="shared" si="1"/>
        <v>Destrucción10</v>
      </c>
      <c r="D133" s="272" t="s">
        <v>9774</v>
      </c>
      <c r="E133" s="2957" t="s">
        <v>1707</v>
      </c>
      <c r="F133" s="2957">
        <v>10</v>
      </c>
      <c r="G133" s="2958" t="s">
        <v>1381</v>
      </c>
      <c r="H133" s="2958" t="s">
        <v>1234</v>
      </c>
      <c r="I133" s="372" t="s">
        <v>1304</v>
      </c>
      <c r="J133" s="2957">
        <v>6</v>
      </c>
      <c r="K133" s="2957">
        <v>9</v>
      </c>
      <c r="L133" s="2957">
        <v>11</v>
      </c>
      <c r="M133" s="373">
        <v>13</v>
      </c>
      <c r="N133" s="2957">
        <v>50</v>
      </c>
      <c r="O133" s="2957">
        <v>90</v>
      </c>
      <c r="P133" s="2957">
        <v>140</v>
      </c>
      <c r="Q133" s="373">
        <v>180</v>
      </c>
      <c r="R133" s="2957" t="s">
        <v>1381</v>
      </c>
      <c r="S133" s="2957" t="s">
        <v>1381</v>
      </c>
      <c r="T133" s="2959" t="s">
        <v>1381</v>
      </c>
      <c r="U133" s="377" t="s">
        <v>1381</v>
      </c>
      <c r="V133" s="2954" t="s">
        <v>3540</v>
      </c>
      <c r="W133" s="2954" t="s">
        <v>3542</v>
      </c>
      <c r="X133" s="2954" t="s">
        <v>3653</v>
      </c>
      <c r="Y133" s="2954" t="s">
        <v>3404</v>
      </c>
      <c r="Z133" s="2954" t="s">
        <v>3704</v>
      </c>
      <c r="AA133" s="375"/>
    </row>
    <row r="134" spans="1:27" ht="12.75" customHeight="1" x14ac:dyDescent="0.2">
      <c r="A134" s="6360"/>
      <c r="B134" s="251" t="str">
        <f t="shared" si="1"/>
        <v>Destrucción12</v>
      </c>
      <c r="D134" s="272" t="s">
        <v>9775</v>
      </c>
      <c r="E134" s="2957" t="s">
        <v>1707</v>
      </c>
      <c r="F134" s="2957">
        <v>12</v>
      </c>
      <c r="G134" s="2958" t="s">
        <v>1381</v>
      </c>
      <c r="H134" s="2958" t="s">
        <v>1232</v>
      </c>
      <c r="I134" s="372" t="s">
        <v>1304</v>
      </c>
      <c r="J134" s="2957">
        <v>5</v>
      </c>
      <c r="K134" s="2957">
        <v>8</v>
      </c>
      <c r="L134" s="2957">
        <v>10</v>
      </c>
      <c r="M134" s="373">
        <v>13</v>
      </c>
      <c r="N134" s="2957">
        <v>30</v>
      </c>
      <c r="O134" s="2957">
        <v>60</v>
      </c>
      <c r="P134" s="2957">
        <v>100</v>
      </c>
      <c r="Q134" s="373">
        <v>150</v>
      </c>
      <c r="R134" s="2957" t="s">
        <v>1381</v>
      </c>
      <c r="S134" s="2957" t="s">
        <v>1381</v>
      </c>
      <c r="T134" s="2959" t="s">
        <v>1381</v>
      </c>
      <c r="U134" s="377" t="s">
        <v>1381</v>
      </c>
      <c r="V134" s="2954" t="s">
        <v>3705</v>
      </c>
      <c r="W134" s="2954" t="s">
        <v>3706</v>
      </c>
      <c r="X134" s="2954" t="s">
        <v>3707</v>
      </c>
      <c r="Y134" s="2954" t="s">
        <v>3708</v>
      </c>
      <c r="Z134" s="2954" t="s">
        <v>3709</v>
      </c>
      <c r="AA134" s="375"/>
    </row>
    <row r="135" spans="1:27" ht="12.75" customHeight="1" x14ac:dyDescent="0.2">
      <c r="A135" s="6360"/>
      <c r="B135" s="251" t="str">
        <f t="shared" si="1"/>
        <v>Destrucción16</v>
      </c>
      <c r="D135" s="272" t="s">
        <v>9776</v>
      </c>
      <c r="E135" s="2957" t="s">
        <v>1707</v>
      </c>
      <c r="F135" s="2957">
        <v>16</v>
      </c>
      <c r="G135" s="2958" t="s">
        <v>2088</v>
      </c>
      <c r="H135" s="2958" t="s">
        <v>1233</v>
      </c>
      <c r="I135" s="372" t="s">
        <v>1304</v>
      </c>
      <c r="J135" s="2957">
        <v>6</v>
      </c>
      <c r="K135" s="2957">
        <v>8</v>
      </c>
      <c r="L135" s="2957">
        <v>10</v>
      </c>
      <c r="M135" s="373">
        <v>12</v>
      </c>
      <c r="N135" s="2957">
        <v>50</v>
      </c>
      <c r="O135" s="2957">
        <v>80</v>
      </c>
      <c r="P135" s="2957">
        <v>120</v>
      </c>
      <c r="Q135" s="373">
        <v>150</v>
      </c>
      <c r="R135" s="2957">
        <v>5</v>
      </c>
      <c r="S135" s="2957">
        <v>10</v>
      </c>
      <c r="T135" s="2959">
        <v>15</v>
      </c>
      <c r="U135" s="377">
        <v>15</v>
      </c>
      <c r="V135" s="2954" t="s">
        <v>3710</v>
      </c>
      <c r="W135" s="2954" t="s">
        <v>3711</v>
      </c>
      <c r="X135" s="2954" t="s">
        <v>3712</v>
      </c>
      <c r="Y135" s="2954" t="s">
        <v>3713</v>
      </c>
      <c r="Z135" s="2954" t="s">
        <v>3714</v>
      </c>
      <c r="AA135" s="375"/>
    </row>
    <row r="136" spans="1:27" ht="12.75" customHeight="1" x14ac:dyDescent="0.2">
      <c r="A136" s="6360"/>
      <c r="B136" s="251" t="str">
        <f t="shared" ref="B136:B199" si="2">E136&amp;F136</f>
        <v>Destrucción18</v>
      </c>
      <c r="D136" s="272" t="s">
        <v>9777</v>
      </c>
      <c r="E136" s="2957" t="s">
        <v>1707</v>
      </c>
      <c r="F136" s="2957">
        <v>18</v>
      </c>
      <c r="G136" s="2958" t="s">
        <v>1381</v>
      </c>
      <c r="H136" s="2958" t="s">
        <v>1234</v>
      </c>
      <c r="I136" s="372" t="s">
        <v>1305</v>
      </c>
      <c r="J136" s="2957">
        <v>6</v>
      </c>
      <c r="K136" s="2957">
        <v>9</v>
      </c>
      <c r="L136" s="2957">
        <v>12</v>
      </c>
      <c r="M136" s="373">
        <v>16</v>
      </c>
      <c r="N136" s="2957">
        <v>60</v>
      </c>
      <c r="O136" s="2957">
        <v>150</v>
      </c>
      <c r="P136" s="2957">
        <v>300</v>
      </c>
      <c r="Q136" s="373">
        <v>500</v>
      </c>
      <c r="R136" s="2957" t="s">
        <v>1381</v>
      </c>
      <c r="S136" s="2957" t="s">
        <v>1381</v>
      </c>
      <c r="T136" s="2959" t="s">
        <v>1381</v>
      </c>
      <c r="U136" s="377" t="s">
        <v>1381</v>
      </c>
      <c r="V136" s="2954" t="s">
        <v>3715</v>
      </c>
      <c r="W136" s="2954" t="s">
        <v>3716</v>
      </c>
      <c r="X136" s="2954" t="s">
        <v>3717</v>
      </c>
      <c r="Y136" s="2954" t="s">
        <v>3718</v>
      </c>
      <c r="Z136" s="2954" t="s">
        <v>3719</v>
      </c>
      <c r="AA136" s="375"/>
    </row>
    <row r="137" spans="1:27" ht="12.75" customHeight="1" x14ac:dyDescent="0.2">
      <c r="A137" s="6360"/>
      <c r="B137" s="251" t="str">
        <f t="shared" si="2"/>
        <v>Destrucción20</v>
      </c>
      <c r="D137" s="272" t="s">
        <v>9778</v>
      </c>
      <c r="E137" s="2957" t="s">
        <v>1707</v>
      </c>
      <c r="F137" s="2957">
        <v>20</v>
      </c>
      <c r="G137" s="2958" t="s">
        <v>1381</v>
      </c>
      <c r="H137" s="2958" t="s">
        <v>1234</v>
      </c>
      <c r="I137" s="372" t="s">
        <v>1305</v>
      </c>
      <c r="J137" s="2957">
        <v>6</v>
      </c>
      <c r="K137" s="2957">
        <v>9</v>
      </c>
      <c r="L137" s="2957">
        <v>12</v>
      </c>
      <c r="M137" s="373">
        <v>15</v>
      </c>
      <c r="N137" s="2957">
        <v>60</v>
      </c>
      <c r="O137" s="2957">
        <v>100</v>
      </c>
      <c r="P137" s="2957">
        <v>150</v>
      </c>
      <c r="Q137" s="373">
        <v>220</v>
      </c>
      <c r="R137" s="2957" t="s">
        <v>1381</v>
      </c>
      <c r="S137" s="2957" t="s">
        <v>1381</v>
      </c>
      <c r="T137" s="2959" t="s">
        <v>1381</v>
      </c>
      <c r="U137" s="377" t="s">
        <v>1381</v>
      </c>
      <c r="V137" s="2954" t="s">
        <v>3720</v>
      </c>
      <c r="W137" s="2954" t="s">
        <v>3721</v>
      </c>
      <c r="X137" s="2954" t="s">
        <v>3722</v>
      </c>
      <c r="Y137" s="2954" t="s">
        <v>3723</v>
      </c>
      <c r="Z137" s="2954" t="s">
        <v>3724</v>
      </c>
      <c r="AA137" s="375"/>
    </row>
    <row r="138" spans="1:27" ht="12.75" customHeight="1" x14ac:dyDescent="0.2">
      <c r="A138" s="6360"/>
      <c r="B138" s="251" t="str">
        <f t="shared" si="2"/>
        <v>Destrucción22</v>
      </c>
      <c r="D138" s="272" t="s">
        <v>9779</v>
      </c>
      <c r="E138" s="2957" t="s">
        <v>1707</v>
      </c>
      <c r="F138" s="2957">
        <v>22</v>
      </c>
      <c r="G138" s="2958" t="s">
        <v>1381</v>
      </c>
      <c r="H138" s="2958" t="s">
        <v>1234</v>
      </c>
      <c r="I138" s="372" t="s">
        <v>1305</v>
      </c>
      <c r="J138" s="2957">
        <v>6</v>
      </c>
      <c r="K138" s="2957">
        <v>9</v>
      </c>
      <c r="L138" s="2957">
        <v>12</v>
      </c>
      <c r="M138" s="373">
        <v>16</v>
      </c>
      <c r="N138" s="2957">
        <v>80</v>
      </c>
      <c r="O138" s="2957">
        <v>140</v>
      </c>
      <c r="P138" s="2957">
        <v>240</v>
      </c>
      <c r="Q138" s="373">
        <v>320</v>
      </c>
      <c r="R138" s="2957" t="s">
        <v>3725</v>
      </c>
      <c r="S138" s="2957" t="s">
        <v>1381</v>
      </c>
      <c r="T138" s="2959" t="s">
        <v>1381</v>
      </c>
      <c r="U138" s="377" t="s">
        <v>1381</v>
      </c>
      <c r="V138" s="2954" t="s">
        <v>3726</v>
      </c>
      <c r="W138" s="2954" t="s">
        <v>3727</v>
      </c>
      <c r="X138" s="2954" t="s">
        <v>3728</v>
      </c>
      <c r="Y138" s="2954" t="s">
        <v>3729</v>
      </c>
      <c r="Z138" s="2954" t="s">
        <v>3730</v>
      </c>
      <c r="AA138" s="375"/>
    </row>
    <row r="139" spans="1:27" ht="12.75" customHeight="1" x14ac:dyDescent="0.2">
      <c r="A139" s="6360"/>
      <c r="B139" s="251" t="str">
        <f t="shared" si="2"/>
        <v>Destrucción26</v>
      </c>
      <c r="D139" s="272" t="s">
        <v>9780</v>
      </c>
      <c r="E139" s="2957" t="s">
        <v>1707</v>
      </c>
      <c r="F139" s="2957">
        <v>26</v>
      </c>
      <c r="G139" s="2958" t="s">
        <v>1381</v>
      </c>
      <c r="H139" s="2958" t="s">
        <v>1233</v>
      </c>
      <c r="I139" s="372" t="s">
        <v>1304</v>
      </c>
      <c r="J139" s="2957">
        <v>6</v>
      </c>
      <c r="K139" s="2957">
        <v>9</v>
      </c>
      <c r="L139" s="2957">
        <v>12</v>
      </c>
      <c r="M139" s="373">
        <v>15</v>
      </c>
      <c r="N139" s="2957">
        <v>80</v>
      </c>
      <c r="O139" s="2957">
        <v>120</v>
      </c>
      <c r="P139" s="2957">
        <v>180</v>
      </c>
      <c r="Q139" s="373">
        <v>300</v>
      </c>
      <c r="R139" s="2957" t="s">
        <v>1381</v>
      </c>
      <c r="S139" s="2957" t="s">
        <v>1381</v>
      </c>
      <c r="T139" s="2959" t="s">
        <v>1381</v>
      </c>
      <c r="U139" s="377" t="s">
        <v>1381</v>
      </c>
      <c r="V139" s="2954" t="s">
        <v>3731</v>
      </c>
      <c r="W139" s="2954" t="s">
        <v>3732</v>
      </c>
      <c r="X139" s="2954" t="s">
        <v>3733</v>
      </c>
      <c r="Y139" s="2954" t="s">
        <v>3734</v>
      </c>
      <c r="Z139" s="2954" t="s">
        <v>3735</v>
      </c>
      <c r="AA139" s="375"/>
    </row>
    <row r="140" spans="1:27" ht="12.75" customHeight="1" x14ac:dyDescent="0.2">
      <c r="A140" s="6360"/>
      <c r="B140" s="251" t="str">
        <f t="shared" si="2"/>
        <v>Destrucción28</v>
      </c>
      <c r="D140" s="272" t="s">
        <v>9781</v>
      </c>
      <c r="E140" s="2957" t="s">
        <v>1707</v>
      </c>
      <c r="F140" s="2957">
        <v>28</v>
      </c>
      <c r="G140" s="2958" t="s">
        <v>1381</v>
      </c>
      <c r="H140" s="2958" t="s">
        <v>1233</v>
      </c>
      <c r="I140" s="372" t="s">
        <v>1304</v>
      </c>
      <c r="J140" s="2957">
        <v>6</v>
      </c>
      <c r="K140" s="2957">
        <v>9</v>
      </c>
      <c r="L140" s="2957">
        <v>12</v>
      </c>
      <c r="M140" s="373">
        <v>15</v>
      </c>
      <c r="N140" s="2957">
        <v>80</v>
      </c>
      <c r="O140" s="2957">
        <v>140</v>
      </c>
      <c r="P140" s="2957">
        <v>220</v>
      </c>
      <c r="Q140" s="373">
        <v>300</v>
      </c>
      <c r="R140" s="2957" t="s">
        <v>1381</v>
      </c>
      <c r="S140" s="2957" t="s">
        <v>1381</v>
      </c>
      <c r="T140" s="2959" t="s">
        <v>1381</v>
      </c>
      <c r="U140" s="377" t="s">
        <v>1381</v>
      </c>
      <c r="V140" s="2954" t="s">
        <v>3711</v>
      </c>
      <c r="W140" s="2954" t="s">
        <v>3712</v>
      </c>
      <c r="X140" s="2954" t="s">
        <v>3736</v>
      </c>
      <c r="Y140" s="2954" t="s">
        <v>3737</v>
      </c>
      <c r="Z140" s="2954" t="s">
        <v>3738</v>
      </c>
      <c r="AA140" s="375"/>
    </row>
    <row r="141" spans="1:27" ht="12.75" customHeight="1" x14ac:dyDescent="0.2">
      <c r="A141" s="6360"/>
      <c r="B141" s="251" t="str">
        <f t="shared" si="2"/>
        <v>Destrucción30</v>
      </c>
      <c r="D141" s="272" t="s">
        <v>9782</v>
      </c>
      <c r="E141" s="2957" t="s">
        <v>1707</v>
      </c>
      <c r="F141" s="2957">
        <v>30</v>
      </c>
      <c r="G141" s="2958" t="s">
        <v>1381</v>
      </c>
      <c r="H141" s="2958" t="s">
        <v>1233</v>
      </c>
      <c r="I141" s="372"/>
      <c r="J141" s="2957">
        <v>6</v>
      </c>
      <c r="K141" s="2957">
        <v>9</v>
      </c>
      <c r="L141" s="2957">
        <v>12</v>
      </c>
      <c r="M141" s="373">
        <v>15</v>
      </c>
      <c r="N141" s="2957">
        <v>80</v>
      </c>
      <c r="O141" s="2957">
        <v>120</v>
      </c>
      <c r="P141" s="2957">
        <v>180</v>
      </c>
      <c r="Q141" s="373">
        <v>300</v>
      </c>
      <c r="R141" s="2957" t="s">
        <v>1381</v>
      </c>
      <c r="S141" s="2957" t="s">
        <v>1381</v>
      </c>
      <c r="T141" s="2959" t="s">
        <v>1381</v>
      </c>
      <c r="U141" s="377" t="s">
        <v>1381</v>
      </c>
      <c r="V141" s="2954" t="s">
        <v>3739</v>
      </c>
      <c r="W141" s="2954" t="s">
        <v>3740</v>
      </c>
      <c r="X141" s="2954" t="s">
        <v>3741</v>
      </c>
      <c r="Y141" s="2954" t="s">
        <v>3742</v>
      </c>
      <c r="Z141" s="2954" t="s">
        <v>3743</v>
      </c>
      <c r="AA141" s="375"/>
    </row>
    <row r="142" spans="1:27" ht="12.75" customHeight="1" x14ac:dyDescent="0.2">
      <c r="A142" s="6360"/>
      <c r="B142" s="251" t="str">
        <f t="shared" si="2"/>
        <v>Destrucción32</v>
      </c>
      <c r="D142" s="272" t="s">
        <v>9783</v>
      </c>
      <c r="E142" s="2957" t="s">
        <v>1707</v>
      </c>
      <c r="F142" s="2957">
        <v>32</v>
      </c>
      <c r="G142" s="2958" t="s">
        <v>1381</v>
      </c>
      <c r="H142" s="2958" t="s">
        <v>1233</v>
      </c>
      <c r="I142" s="372" t="s">
        <v>1304</v>
      </c>
      <c r="J142" s="2957">
        <v>8</v>
      </c>
      <c r="K142" s="2957">
        <v>10</v>
      </c>
      <c r="L142" s="2957">
        <v>12</v>
      </c>
      <c r="M142" s="373">
        <v>15</v>
      </c>
      <c r="N142" s="2957">
        <v>100</v>
      </c>
      <c r="O142" s="2957">
        <v>140</v>
      </c>
      <c r="P142" s="2957">
        <v>200</v>
      </c>
      <c r="Q142" s="373">
        <v>280</v>
      </c>
      <c r="R142" s="2957">
        <v>5</v>
      </c>
      <c r="S142" s="2957">
        <v>10</v>
      </c>
      <c r="T142" s="2959">
        <v>15</v>
      </c>
      <c r="U142" s="377">
        <v>15</v>
      </c>
      <c r="V142" s="2954" t="s">
        <v>3744</v>
      </c>
      <c r="W142" s="2954" t="s">
        <v>3710</v>
      </c>
      <c r="X142" s="2954" t="s">
        <v>3711</v>
      </c>
      <c r="Y142" s="2954" t="s">
        <v>3736</v>
      </c>
      <c r="Z142" s="2954" t="s">
        <v>3745</v>
      </c>
      <c r="AA142" s="375"/>
    </row>
    <row r="143" spans="1:27" ht="12.75" customHeight="1" x14ac:dyDescent="0.2">
      <c r="A143" s="6360"/>
      <c r="B143" s="251" t="str">
        <f t="shared" si="2"/>
        <v>Destrucción36</v>
      </c>
      <c r="D143" s="272" t="s">
        <v>9784</v>
      </c>
      <c r="E143" s="2957" t="s">
        <v>1707</v>
      </c>
      <c r="F143" s="2957">
        <v>36</v>
      </c>
      <c r="G143" s="2958" t="s">
        <v>1381</v>
      </c>
      <c r="H143" s="2958" t="s">
        <v>1232</v>
      </c>
      <c r="I143" s="372" t="s">
        <v>1304</v>
      </c>
      <c r="J143" s="2957">
        <v>6</v>
      </c>
      <c r="K143" s="2957">
        <v>9</v>
      </c>
      <c r="L143" s="2957">
        <v>12</v>
      </c>
      <c r="M143" s="373">
        <v>15</v>
      </c>
      <c r="N143" s="2957">
        <v>80</v>
      </c>
      <c r="O143" s="2957">
        <v>140</v>
      </c>
      <c r="P143" s="2957">
        <v>220</v>
      </c>
      <c r="Q143" s="373">
        <v>300</v>
      </c>
      <c r="R143" s="2957" t="s">
        <v>3725</v>
      </c>
      <c r="S143" s="2957" t="s">
        <v>1381</v>
      </c>
      <c r="T143" s="2959" t="s">
        <v>1381</v>
      </c>
      <c r="U143" s="377" t="s">
        <v>1381</v>
      </c>
      <c r="V143" s="2954" t="s">
        <v>3746</v>
      </c>
      <c r="W143" s="2954" t="s">
        <v>3428</v>
      </c>
      <c r="X143" s="2954" t="s">
        <v>3747</v>
      </c>
      <c r="Y143" s="2954" t="s">
        <v>3748</v>
      </c>
      <c r="Z143" s="2954" t="s">
        <v>3749</v>
      </c>
      <c r="AA143" s="375"/>
    </row>
    <row r="144" spans="1:27" ht="12.75" customHeight="1" x14ac:dyDescent="0.2">
      <c r="A144" s="6360"/>
      <c r="B144" s="251" t="str">
        <f t="shared" si="2"/>
        <v>Destrucción38</v>
      </c>
      <c r="D144" s="272" t="s">
        <v>9785</v>
      </c>
      <c r="E144" s="2957" t="s">
        <v>1707</v>
      </c>
      <c r="F144" s="2957">
        <v>38</v>
      </c>
      <c r="G144" s="2958" t="s">
        <v>1381</v>
      </c>
      <c r="H144" s="2958" t="s">
        <v>1233</v>
      </c>
      <c r="I144" s="372" t="s">
        <v>1304</v>
      </c>
      <c r="J144" s="2957">
        <v>8</v>
      </c>
      <c r="K144" s="2957">
        <v>10</v>
      </c>
      <c r="L144" s="2957">
        <v>13</v>
      </c>
      <c r="M144" s="373">
        <v>16</v>
      </c>
      <c r="N144" s="2957">
        <v>100</v>
      </c>
      <c r="O144" s="2957">
        <v>200</v>
      </c>
      <c r="P144" s="2957">
        <v>300</v>
      </c>
      <c r="Q144" s="373">
        <v>500</v>
      </c>
      <c r="R144" s="2957" t="s">
        <v>1381</v>
      </c>
      <c r="S144" s="2957" t="s">
        <v>1381</v>
      </c>
      <c r="T144" s="2959" t="s">
        <v>1381</v>
      </c>
      <c r="U144" s="377" t="s">
        <v>1381</v>
      </c>
      <c r="V144" s="2954" t="s">
        <v>3710</v>
      </c>
      <c r="W144" s="2954" t="s">
        <v>3711</v>
      </c>
      <c r="X144" s="2954" t="s">
        <v>3712</v>
      </c>
      <c r="Y144" s="2954" t="s">
        <v>3713</v>
      </c>
      <c r="Z144" s="2954" t="s">
        <v>3750</v>
      </c>
      <c r="AA144" s="375"/>
    </row>
    <row r="145" spans="1:27" ht="12.75" customHeight="1" x14ac:dyDescent="0.2">
      <c r="A145" s="6360"/>
      <c r="B145" s="251" t="str">
        <f t="shared" si="2"/>
        <v>Destrucción40</v>
      </c>
      <c r="D145" s="272" t="s">
        <v>9786</v>
      </c>
      <c r="E145" s="2959" t="s">
        <v>1707</v>
      </c>
      <c r="F145" s="2959">
        <v>40</v>
      </c>
      <c r="G145" s="2962" t="s">
        <v>1381</v>
      </c>
      <c r="H145" s="2962" t="s">
        <v>1233</v>
      </c>
      <c r="I145" s="380" t="s">
        <v>1304</v>
      </c>
      <c r="J145" s="2959">
        <v>7</v>
      </c>
      <c r="K145" s="2959">
        <v>9</v>
      </c>
      <c r="L145" s="2959">
        <v>12</v>
      </c>
      <c r="M145" s="377">
        <v>15</v>
      </c>
      <c r="N145" s="2959">
        <v>80</v>
      </c>
      <c r="O145" s="2959">
        <v>160</v>
      </c>
      <c r="P145" s="2959">
        <v>240</v>
      </c>
      <c r="Q145" s="377">
        <v>300</v>
      </c>
      <c r="R145" s="2959">
        <v>10</v>
      </c>
      <c r="S145" s="2959">
        <v>20</v>
      </c>
      <c r="T145" s="2959">
        <v>25</v>
      </c>
      <c r="U145" s="377">
        <v>30</v>
      </c>
      <c r="V145" s="2954" t="s">
        <v>3710</v>
      </c>
      <c r="W145" s="2954" t="s">
        <v>3712</v>
      </c>
      <c r="X145" s="2954" t="s">
        <v>3713</v>
      </c>
      <c r="Y145" s="2954" t="s">
        <v>3751</v>
      </c>
      <c r="Z145" s="2954" t="s">
        <v>3752</v>
      </c>
      <c r="AA145" s="375"/>
    </row>
    <row r="146" spans="1:27" ht="12.75" customHeight="1" x14ac:dyDescent="0.2">
      <c r="A146" s="6360"/>
      <c r="B146" s="251" t="str">
        <f t="shared" si="2"/>
        <v>Destrucción42</v>
      </c>
      <c r="D146" s="272" t="s">
        <v>9787</v>
      </c>
      <c r="E146" s="2959" t="s">
        <v>1707</v>
      </c>
      <c r="F146" s="2959">
        <v>42</v>
      </c>
      <c r="G146" s="2962" t="s">
        <v>1381</v>
      </c>
      <c r="H146" s="2962" t="s">
        <v>1234</v>
      </c>
      <c r="I146" s="380" t="s">
        <v>1304</v>
      </c>
      <c r="J146" s="2959">
        <v>7</v>
      </c>
      <c r="K146" s="2959">
        <v>10</v>
      </c>
      <c r="L146" s="2959">
        <v>12</v>
      </c>
      <c r="M146" s="377">
        <v>15</v>
      </c>
      <c r="N146" s="2959">
        <v>120</v>
      </c>
      <c r="O146" s="2959">
        <v>180</v>
      </c>
      <c r="P146" s="2959">
        <v>240</v>
      </c>
      <c r="Q146" s="377">
        <v>300</v>
      </c>
      <c r="R146" s="2959" t="s">
        <v>1381</v>
      </c>
      <c r="S146" s="2959" t="s">
        <v>1381</v>
      </c>
      <c r="T146" s="2959" t="s">
        <v>1381</v>
      </c>
      <c r="U146" s="377" t="s">
        <v>1381</v>
      </c>
      <c r="V146" s="2954" t="s">
        <v>3753</v>
      </c>
      <c r="W146" s="2954" t="s">
        <v>3754</v>
      </c>
      <c r="X146" s="2954" t="s">
        <v>3755</v>
      </c>
      <c r="Y146" s="2954" t="s">
        <v>3756</v>
      </c>
      <c r="Z146" s="2954" t="s">
        <v>3757</v>
      </c>
      <c r="AA146" s="375"/>
    </row>
    <row r="147" spans="1:27" ht="12.75" customHeight="1" x14ac:dyDescent="0.2">
      <c r="A147" s="6360"/>
      <c r="B147" s="251" t="str">
        <f t="shared" si="2"/>
        <v>Destrucción46</v>
      </c>
      <c r="D147" s="272" t="s">
        <v>9788</v>
      </c>
      <c r="E147" s="2959" t="s">
        <v>1707</v>
      </c>
      <c r="F147" s="2959">
        <v>46</v>
      </c>
      <c r="G147" s="2962" t="s">
        <v>1381</v>
      </c>
      <c r="H147" s="2962" t="s">
        <v>1232</v>
      </c>
      <c r="I147" s="380" t="s">
        <v>1304</v>
      </c>
      <c r="J147" s="2959">
        <v>7</v>
      </c>
      <c r="K147" s="2959">
        <v>10</v>
      </c>
      <c r="L147" s="2959">
        <v>12</v>
      </c>
      <c r="M147" s="377">
        <v>15</v>
      </c>
      <c r="N147" s="2959">
        <v>100</v>
      </c>
      <c r="O147" s="2959">
        <v>180</v>
      </c>
      <c r="P147" s="2959">
        <v>240</v>
      </c>
      <c r="Q147" s="377">
        <v>300</v>
      </c>
      <c r="R147" s="2959" t="s">
        <v>1381</v>
      </c>
      <c r="S147" s="2959" t="s">
        <v>1381</v>
      </c>
      <c r="T147" s="2959" t="s">
        <v>1381</v>
      </c>
      <c r="U147" s="377" t="s">
        <v>1381</v>
      </c>
      <c r="V147" s="2954" t="s">
        <v>3758</v>
      </c>
      <c r="W147" s="2954" t="s">
        <v>3759</v>
      </c>
      <c r="X147" s="2954" t="s">
        <v>3760</v>
      </c>
      <c r="Y147" s="2954" t="s">
        <v>3761</v>
      </c>
      <c r="Z147" s="2954" t="s">
        <v>3762</v>
      </c>
      <c r="AA147" s="375"/>
    </row>
    <row r="148" spans="1:27" ht="12.75" customHeight="1" x14ac:dyDescent="0.2">
      <c r="A148" s="6360"/>
      <c r="B148" s="251" t="str">
        <f t="shared" si="2"/>
        <v>Destrucción48</v>
      </c>
      <c r="D148" s="272" t="s">
        <v>9789</v>
      </c>
      <c r="E148" s="2959" t="s">
        <v>1707</v>
      </c>
      <c r="F148" s="2959">
        <v>48</v>
      </c>
      <c r="G148" s="2962" t="s">
        <v>1381</v>
      </c>
      <c r="H148" s="2962" t="s">
        <v>3210</v>
      </c>
      <c r="I148" s="380" t="s">
        <v>1304</v>
      </c>
      <c r="J148" s="2959">
        <v>7</v>
      </c>
      <c r="K148" s="2959">
        <v>9</v>
      </c>
      <c r="L148" s="2959">
        <v>12</v>
      </c>
      <c r="M148" s="377">
        <v>15</v>
      </c>
      <c r="N148" s="2959">
        <v>140</v>
      </c>
      <c r="O148" s="2959">
        <v>180</v>
      </c>
      <c r="P148" s="2959">
        <v>240</v>
      </c>
      <c r="Q148" s="377">
        <v>300</v>
      </c>
      <c r="R148" s="2959">
        <v>15</v>
      </c>
      <c r="S148" s="2959">
        <v>20</v>
      </c>
      <c r="T148" s="2959">
        <v>25</v>
      </c>
      <c r="U148" s="377">
        <v>30</v>
      </c>
      <c r="V148" s="2954" t="s">
        <v>3763</v>
      </c>
      <c r="W148" s="2954" t="s">
        <v>3764</v>
      </c>
      <c r="X148" s="2954" t="s">
        <v>3765</v>
      </c>
      <c r="Y148" s="2954" t="s">
        <v>3766</v>
      </c>
      <c r="Z148" s="2954" t="s">
        <v>3767</v>
      </c>
      <c r="AA148" s="375"/>
    </row>
    <row r="149" spans="1:27" ht="12.75" customHeight="1" x14ac:dyDescent="0.2">
      <c r="A149" s="6360"/>
      <c r="B149" s="251" t="str">
        <f t="shared" si="2"/>
        <v>Destrucción50</v>
      </c>
      <c r="D149" s="272" t="s">
        <v>9790</v>
      </c>
      <c r="E149" s="2959" t="s">
        <v>1707</v>
      </c>
      <c r="F149" s="2959">
        <v>50</v>
      </c>
      <c r="G149" s="2962" t="s">
        <v>2584</v>
      </c>
      <c r="H149" s="2962" t="s">
        <v>1234</v>
      </c>
      <c r="I149" s="380" t="s">
        <v>1304</v>
      </c>
      <c r="J149" s="2959">
        <v>8</v>
      </c>
      <c r="K149" s="2959">
        <v>10</v>
      </c>
      <c r="L149" s="2959">
        <v>12</v>
      </c>
      <c r="M149" s="377">
        <v>15</v>
      </c>
      <c r="N149" s="2959">
        <v>150</v>
      </c>
      <c r="O149" s="2959">
        <v>200</v>
      </c>
      <c r="P149" s="2959">
        <v>250</v>
      </c>
      <c r="Q149" s="377">
        <v>350</v>
      </c>
      <c r="R149" s="2959">
        <v>15</v>
      </c>
      <c r="S149" s="2959">
        <v>20</v>
      </c>
      <c r="T149" s="2959">
        <v>25</v>
      </c>
      <c r="U149" s="377">
        <v>30</v>
      </c>
      <c r="V149" s="2954" t="s">
        <v>3768</v>
      </c>
      <c r="W149" s="2954" t="s">
        <v>3769</v>
      </c>
      <c r="X149" s="2954" t="s">
        <v>3770</v>
      </c>
      <c r="Y149" s="2954" t="s">
        <v>3771</v>
      </c>
      <c r="Z149" s="2954" t="s">
        <v>3772</v>
      </c>
      <c r="AA149" s="375"/>
    </row>
    <row r="150" spans="1:27" ht="12.75" customHeight="1" x14ac:dyDescent="0.2">
      <c r="A150" s="6360"/>
      <c r="B150" s="251" t="str">
        <f t="shared" si="2"/>
        <v>Destrucción52</v>
      </c>
      <c r="D150" s="272" t="s">
        <v>9791</v>
      </c>
      <c r="E150" s="2959" t="s">
        <v>1707</v>
      </c>
      <c r="F150" s="2959">
        <v>52</v>
      </c>
      <c r="G150" s="2962" t="s">
        <v>1381</v>
      </c>
      <c r="H150" s="2962" t="s">
        <v>1233</v>
      </c>
      <c r="I150" s="380" t="s">
        <v>1304</v>
      </c>
      <c r="J150" s="2959">
        <v>7</v>
      </c>
      <c r="K150" s="2959">
        <v>9</v>
      </c>
      <c r="L150" s="2959">
        <v>12</v>
      </c>
      <c r="M150" s="377">
        <v>15</v>
      </c>
      <c r="N150" s="2959">
        <v>140</v>
      </c>
      <c r="O150" s="2959">
        <v>180</v>
      </c>
      <c r="P150" s="2959">
        <v>240</v>
      </c>
      <c r="Q150" s="377">
        <v>300</v>
      </c>
      <c r="R150" s="2959" t="s">
        <v>1381</v>
      </c>
      <c r="S150" s="2959" t="s">
        <v>1381</v>
      </c>
      <c r="T150" s="2959" t="s">
        <v>1381</v>
      </c>
      <c r="U150" s="377" t="s">
        <v>1381</v>
      </c>
      <c r="V150" s="2954" t="s">
        <v>3603</v>
      </c>
      <c r="W150" s="2954" t="s">
        <v>3604</v>
      </c>
      <c r="X150" s="2954" t="s">
        <v>3605</v>
      </c>
      <c r="Y150" s="2954" t="s">
        <v>3606</v>
      </c>
      <c r="Z150" s="2954" t="s">
        <v>3773</v>
      </c>
      <c r="AA150" s="375"/>
    </row>
    <row r="151" spans="1:27" ht="12.75" customHeight="1" x14ac:dyDescent="0.2">
      <c r="A151" s="6360"/>
      <c r="B151" s="251" t="str">
        <f t="shared" si="2"/>
        <v>Destrucción56</v>
      </c>
      <c r="D151" s="272" t="s">
        <v>9792</v>
      </c>
      <c r="E151" s="2959" t="s">
        <v>1707</v>
      </c>
      <c r="F151" s="2959">
        <v>56</v>
      </c>
      <c r="G151" s="2962" t="s">
        <v>2584</v>
      </c>
      <c r="H151" s="2962" t="s">
        <v>1234</v>
      </c>
      <c r="I151" s="380" t="s">
        <v>1304</v>
      </c>
      <c r="J151" s="2959">
        <v>7</v>
      </c>
      <c r="K151" s="2959">
        <v>9</v>
      </c>
      <c r="L151" s="2959">
        <v>12</v>
      </c>
      <c r="M151" s="377">
        <v>15</v>
      </c>
      <c r="N151" s="2959">
        <v>80</v>
      </c>
      <c r="O151" s="2959">
        <v>180</v>
      </c>
      <c r="P151" s="2959">
        <v>300</v>
      </c>
      <c r="Q151" s="377">
        <v>500</v>
      </c>
      <c r="R151" s="2959">
        <v>15</v>
      </c>
      <c r="S151" s="2959">
        <v>20</v>
      </c>
      <c r="T151" s="2959">
        <v>25</v>
      </c>
      <c r="U151" s="377">
        <v>30</v>
      </c>
      <c r="V151" s="2954" t="s">
        <v>3590</v>
      </c>
      <c r="W151" s="2954" t="s">
        <v>3487</v>
      </c>
      <c r="X151" s="2954" t="s">
        <v>3488</v>
      </c>
      <c r="Y151" s="2954" t="s">
        <v>3489</v>
      </c>
      <c r="Z151" s="2954" t="s">
        <v>3774</v>
      </c>
      <c r="AA151" s="375"/>
    </row>
    <row r="152" spans="1:27" ht="12.75" customHeight="1" x14ac:dyDescent="0.2">
      <c r="A152" s="6360"/>
      <c r="B152" s="251" t="str">
        <f t="shared" si="2"/>
        <v>Destrucción58</v>
      </c>
      <c r="D152" s="272" t="s">
        <v>9793</v>
      </c>
      <c r="E152" s="2957" t="s">
        <v>1707</v>
      </c>
      <c r="F152" s="2957">
        <v>58</v>
      </c>
      <c r="G152" s="2962" t="s">
        <v>1381</v>
      </c>
      <c r="H152" s="2962" t="s">
        <v>1233</v>
      </c>
      <c r="I152" s="380" t="s">
        <v>1304</v>
      </c>
      <c r="J152" s="2959">
        <v>7</v>
      </c>
      <c r="K152" s="2959">
        <v>10</v>
      </c>
      <c r="L152" s="2959">
        <v>13</v>
      </c>
      <c r="M152" s="377">
        <v>16</v>
      </c>
      <c r="N152" s="2959">
        <v>100</v>
      </c>
      <c r="O152" s="2959">
        <v>180</v>
      </c>
      <c r="P152" s="2959">
        <v>240</v>
      </c>
      <c r="Q152" s="377">
        <v>300</v>
      </c>
      <c r="R152" s="2959">
        <v>10</v>
      </c>
      <c r="S152" s="2959">
        <v>15</v>
      </c>
      <c r="T152" s="2959">
        <v>25</v>
      </c>
      <c r="U152" s="377">
        <v>30</v>
      </c>
      <c r="V152" s="2954" t="s">
        <v>3590</v>
      </c>
      <c r="W152" s="2954" t="s">
        <v>3487</v>
      </c>
      <c r="X152" s="2954" t="s">
        <v>3488</v>
      </c>
      <c r="Y152" s="2954" t="s">
        <v>3489</v>
      </c>
      <c r="Z152" s="2954" t="s">
        <v>3775</v>
      </c>
      <c r="AA152" s="375"/>
    </row>
    <row r="153" spans="1:27" ht="12.75" customHeight="1" x14ac:dyDescent="0.2">
      <c r="A153" s="6360"/>
      <c r="B153" s="251" t="str">
        <f t="shared" si="2"/>
        <v>Destrucción60</v>
      </c>
      <c r="D153" s="272" t="s">
        <v>9794</v>
      </c>
      <c r="E153" s="2957" t="s">
        <v>1707</v>
      </c>
      <c r="F153" s="2957">
        <v>60</v>
      </c>
      <c r="G153" s="2962" t="s">
        <v>1381</v>
      </c>
      <c r="H153" s="2962" t="s">
        <v>1233</v>
      </c>
      <c r="I153" s="380" t="s">
        <v>1304</v>
      </c>
      <c r="J153" s="2959">
        <v>7</v>
      </c>
      <c r="K153" s="2959">
        <v>9</v>
      </c>
      <c r="L153" s="2959">
        <v>12</v>
      </c>
      <c r="M153" s="377">
        <v>15</v>
      </c>
      <c r="N153" s="2959">
        <v>140</v>
      </c>
      <c r="O153" s="2959">
        <v>180</v>
      </c>
      <c r="P153" s="2959">
        <v>240</v>
      </c>
      <c r="Q153" s="377">
        <v>300</v>
      </c>
      <c r="R153" s="2959">
        <v>15</v>
      </c>
      <c r="S153" s="2959">
        <v>20</v>
      </c>
      <c r="T153" s="2959">
        <v>25</v>
      </c>
      <c r="U153" s="377">
        <v>30</v>
      </c>
      <c r="V153" s="2954" t="s">
        <v>3590</v>
      </c>
      <c r="W153" s="2954" t="s">
        <v>3591</v>
      </c>
      <c r="X153" s="2954" t="s">
        <v>3322</v>
      </c>
      <c r="Y153" s="2954" t="s">
        <v>3776</v>
      </c>
      <c r="Z153" s="2954" t="s">
        <v>3777</v>
      </c>
      <c r="AA153" s="375"/>
    </row>
    <row r="154" spans="1:27" ht="12.75" customHeight="1" x14ac:dyDescent="0.2">
      <c r="A154" s="6360"/>
      <c r="B154" s="251" t="str">
        <f t="shared" si="2"/>
        <v>Destrucción62</v>
      </c>
      <c r="D154" s="272" t="s">
        <v>9795</v>
      </c>
      <c r="E154" s="2957" t="s">
        <v>1707</v>
      </c>
      <c r="F154" s="2957">
        <v>62</v>
      </c>
      <c r="G154" s="2962" t="s">
        <v>1381</v>
      </c>
      <c r="H154" s="2962" t="s">
        <v>1232</v>
      </c>
      <c r="I154" s="380" t="s">
        <v>1304</v>
      </c>
      <c r="J154" s="2959">
        <v>8</v>
      </c>
      <c r="K154" s="2959">
        <v>10</v>
      </c>
      <c r="L154" s="2959">
        <v>13</v>
      </c>
      <c r="M154" s="377">
        <v>16</v>
      </c>
      <c r="N154" s="2959">
        <v>150</v>
      </c>
      <c r="O154" s="2959">
        <v>300</v>
      </c>
      <c r="P154" s="2959">
        <v>450</v>
      </c>
      <c r="Q154" s="377">
        <v>600</v>
      </c>
      <c r="R154" s="2959" t="s">
        <v>1381</v>
      </c>
      <c r="S154" s="2959" t="s">
        <v>1381</v>
      </c>
      <c r="T154" s="2959" t="s">
        <v>1381</v>
      </c>
      <c r="U154" s="377" t="s">
        <v>1381</v>
      </c>
      <c r="V154" s="2954" t="s">
        <v>3428</v>
      </c>
      <c r="W154" s="2954" t="s">
        <v>3778</v>
      </c>
      <c r="X154" s="2954" t="s">
        <v>3779</v>
      </c>
      <c r="Y154" s="2954" t="s">
        <v>3780</v>
      </c>
      <c r="Z154" s="2954" t="s">
        <v>3781</v>
      </c>
      <c r="AA154" s="375"/>
    </row>
    <row r="155" spans="1:27" ht="12.75" customHeight="1" x14ac:dyDescent="0.2">
      <c r="A155" s="6360"/>
      <c r="B155" s="251" t="str">
        <f t="shared" si="2"/>
        <v>Destrucción66</v>
      </c>
      <c r="D155" s="272" t="s">
        <v>9796</v>
      </c>
      <c r="E155" s="2957" t="s">
        <v>1707</v>
      </c>
      <c r="F155" s="2957">
        <v>66</v>
      </c>
      <c r="G155" s="2962" t="s">
        <v>1381</v>
      </c>
      <c r="H155" s="2962" t="s">
        <v>1233</v>
      </c>
      <c r="I155" s="380" t="s">
        <v>1304</v>
      </c>
      <c r="J155" s="2959">
        <v>8</v>
      </c>
      <c r="K155" s="2959">
        <v>10</v>
      </c>
      <c r="L155" s="2959">
        <v>13</v>
      </c>
      <c r="M155" s="377">
        <v>16</v>
      </c>
      <c r="N155" s="2959">
        <v>160</v>
      </c>
      <c r="O155" s="2959">
        <v>200</v>
      </c>
      <c r="P155" s="2959">
        <v>240</v>
      </c>
      <c r="Q155" s="377">
        <v>280</v>
      </c>
      <c r="R155" s="2959">
        <v>20</v>
      </c>
      <c r="S155" s="2959">
        <v>20</v>
      </c>
      <c r="T155" s="2959">
        <v>25</v>
      </c>
      <c r="U155" s="377">
        <v>30</v>
      </c>
      <c r="V155" s="2954" t="s">
        <v>3782</v>
      </c>
      <c r="W155" s="2954" t="s">
        <v>3783</v>
      </c>
      <c r="X155" s="2954" t="s">
        <v>3784</v>
      </c>
      <c r="Y155" s="2954" t="s">
        <v>3785</v>
      </c>
      <c r="Z155" s="2954" t="s">
        <v>3786</v>
      </c>
      <c r="AA155" s="375"/>
    </row>
    <row r="156" spans="1:27" ht="12.75" customHeight="1" x14ac:dyDescent="0.2">
      <c r="A156" s="6360"/>
      <c r="B156" s="251" t="str">
        <f t="shared" si="2"/>
        <v>Destrucción68</v>
      </c>
      <c r="D156" s="272" t="s">
        <v>9797</v>
      </c>
      <c r="E156" s="2957" t="s">
        <v>1707</v>
      </c>
      <c r="F156" s="2957">
        <v>68</v>
      </c>
      <c r="G156" s="2962" t="s">
        <v>2584</v>
      </c>
      <c r="H156" s="2962" t="s">
        <v>3210</v>
      </c>
      <c r="I156" s="380" t="s">
        <v>1304</v>
      </c>
      <c r="J156" s="2959">
        <v>9</v>
      </c>
      <c r="K156" s="2959">
        <v>12</v>
      </c>
      <c r="L156" s="2959">
        <v>14</v>
      </c>
      <c r="M156" s="377">
        <v>16</v>
      </c>
      <c r="N156" s="2959">
        <v>200</v>
      </c>
      <c r="O156" s="2959">
        <v>300</v>
      </c>
      <c r="P156" s="2959">
        <v>400</v>
      </c>
      <c r="Q156" s="377">
        <v>500</v>
      </c>
      <c r="R156" s="2959">
        <v>20</v>
      </c>
      <c r="S156" s="2959">
        <v>30</v>
      </c>
      <c r="T156" s="2959">
        <v>40</v>
      </c>
      <c r="U156" s="377">
        <v>50</v>
      </c>
      <c r="V156" s="2954" t="s">
        <v>3787</v>
      </c>
      <c r="W156" s="2954" t="s">
        <v>3788</v>
      </c>
      <c r="X156" s="2954" t="s">
        <v>3789</v>
      </c>
      <c r="Y156" s="2954" t="s">
        <v>3790</v>
      </c>
      <c r="Z156" s="2954" t="s">
        <v>3791</v>
      </c>
      <c r="AA156" s="375"/>
    </row>
    <row r="157" spans="1:27" ht="12.75" customHeight="1" x14ac:dyDescent="0.2">
      <c r="A157" s="6360"/>
      <c r="B157" s="251" t="str">
        <f t="shared" si="2"/>
        <v>Destrucción70</v>
      </c>
      <c r="D157" s="272" t="s">
        <v>9798</v>
      </c>
      <c r="E157" s="2957" t="s">
        <v>1707</v>
      </c>
      <c r="F157" s="2957">
        <v>70</v>
      </c>
      <c r="G157" s="2962" t="s">
        <v>1381</v>
      </c>
      <c r="H157" s="2962" t="s">
        <v>1234</v>
      </c>
      <c r="I157" s="380" t="s">
        <v>1304</v>
      </c>
      <c r="J157" s="2959">
        <v>9</v>
      </c>
      <c r="K157" s="2959">
        <v>12</v>
      </c>
      <c r="L157" s="2959">
        <v>14</v>
      </c>
      <c r="M157" s="377">
        <v>16</v>
      </c>
      <c r="N157" s="2959">
        <v>150</v>
      </c>
      <c r="O157" s="2959">
        <v>200</v>
      </c>
      <c r="P157" s="2959">
        <v>250</v>
      </c>
      <c r="Q157" s="377">
        <v>300</v>
      </c>
      <c r="R157" s="2959">
        <v>15</v>
      </c>
      <c r="S157" s="2959">
        <v>20</v>
      </c>
      <c r="T157" s="2959">
        <v>25</v>
      </c>
      <c r="U157" s="377">
        <v>30</v>
      </c>
      <c r="V157" s="2954" t="s">
        <v>3792</v>
      </c>
      <c r="W157" s="2954" t="s">
        <v>3793</v>
      </c>
      <c r="X157" s="2954" t="s">
        <v>3794</v>
      </c>
      <c r="Y157" s="2954" t="s">
        <v>3795</v>
      </c>
      <c r="Z157" s="2954" t="s">
        <v>3796</v>
      </c>
      <c r="AA157" s="375"/>
    </row>
    <row r="158" spans="1:27" ht="12.75" customHeight="1" x14ac:dyDescent="0.2">
      <c r="A158" s="6360"/>
      <c r="B158" s="251" t="str">
        <f t="shared" si="2"/>
        <v>Destrucción72</v>
      </c>
      <c r="D158" s="272" t="s">
        <v>84</v>
      </c>
      <c r="E158" s="2957" t="s">
        <v>1707</v>
      </c>
      <c r="F158" s="2957">
        <v>72</v>
      </c>
      <c r="G158" s="2962" t="s">
        <v>1381</v>
      </c>
      <c r="H158" s="2962" t="s">
        <v>1233</v>
      </c>
      <c r="I158" s="380" t="s">
        <v>1304</v>
      </c>
      <c r="J158" s="2959">
        <v>10</v>
      </c>
      <c r="K158" s="2959">
        <v>12</v>
      </c>
      <c r="L158" s="2959">
        <v>14</v>
      </c>
      <c r="M158" s="377">
        <v>16</v>
      </c>
      <c r="N158" s="2959">
        <v>200</v>
      </c>
      <c r="O158" s="2959">
        <v>250</v>
      </c>
      <c r="P158" s="2959">
        <v>300</v>
      </c>
      <c r="Q158" s="377">
        <v>350</v>
      </c>
      <c r="R158" s="2959" t="s">
        <v>1381</v>
      </c>
      <c r="S158" s="2959" t="s">
        <v>1381</v>
      </c>
      <c r="T158" s="2959" t="s">
        <v>1381</v>
      </c>
      <c r="U158" s="377" t="s">
        <v>1381</v>
      </c>
      <c r="V158" s="2954" t="s">
        <v>3797</v>
      </c>
      <c r="W158" s="2954" t="s">
        <v>3798</v>
      </c>
      <c r="X158" s="2954" t="s">
        <v>3799</v>
      </c>
      <c r="Y158" s="2954" t="s">
        <v>3800</v>
      </c>
      <c r="Z158" s="2954" t="s">
        <v>3801</v>
      </c>
      <c r="AA158" s="375"/>
    </row>
    <row r="159" spans="1:27" ht="12.75" customHeight="1" x14ac:dyDescent="0.2">
      <c r="A159" s="6360"/>
      <c r="B159" s="251" t="str">
        <f t="shared" si="2"/>
        <v>Destrucción76</v>
      </c>
      <c r="D159" s="272" t="s">
        <v>9799</v>
      </c>
      <c r="E159" s="2957" t="s">
        <v>1707</v>
      </c>
      <c r="F159" s="2957">
        <v>76</v>
      </c>
      <c r="G159" s="2962" t="s">
        <v>2584</v>
      </c>
      <c r="H159" s="2962" t="s">
        <v>3210</v>
      </c>
      <c r="I159" s="380" t="s">
        <v>1304</v>
      </c>
      <c r="J159" s="2959">
        <v>9</v>
      </c>
      <c r="K159" s="2959">
        <v>12</v>
      </c>
      <c r="L159" s="2959">
        <v>15</v>
      </c>
      <c r="M159" s="377">
        <v>17</v>
      </c>
      <c r="N159" s="2959">
        <v>250</v>
      </c>
      <c r="O159" s="2959">
        <v>360</v>
      </c>
      <c r="P159" s="2959">
        <v>450</v>
      </c>
      <c r="Q159" s="377">
        <v>600</v>
      </c>
      <c r="R159" s="2959">
        <v>25</v>
      </c>
      <c r="S159" s="2959">
        <v>40</v>
      </c>
      <c r="T159" s="2959">
        <v>45</v>
      </c>
      <c r="U159" s="377">
        <v>55</v>
      </c>
      <c r="V159" s="2954" t="s">
        <v>3802</v>
      </c>
      <c r="W159" s="2954" t="s">
        <v>3803</v>
      </c>
      <c r="X159" s="2954" t="s">
        <v>3804</v>
      </c>
      <c r="Y159" s="2954" t="s">
        <v>3805</v>
      </c>
      <c r="Z159" s="2954" t="s">
        <v>3806</v>
      </c>
      <c r="AA159" s="375"/>
    </row>
    <row r="160" spans="1:27" ht="12.75" customHeight="1" x14ac:dyDescent="0.2">
      <c r="A160" s="6360"/>
      <c r="B160" s="251" t="str">
        <f t="shared" si="2"/>
        <v>Destrucción78</v>
      </c>
      <c r="D160" s="272" t="s">
        <v>9800</v>
      </c>
      <c r="E160" s="2957" t="s">
        <v>1707</v>
      </c>
      <c r="F160" s="2957">
        <v>78</v>
      </c>
      <c r="G160" s="2962" t="s">
        <v>1381</v>
      </c>
      <c r="H160" s="2962" t="s">
        <v>1233</v>
      </c>
      <c r="I160" s="380" t="s">
        <v>1304</v>
      </c>
      <c r="J160" s="2959">
        <v>8</v>
      </c>
      <c r="K160" s="2959">
        <v>10</v>
      </c>
      <c r="L160" s="2959">
        <v>12</v>
      </c>
      <c r="M160" s="377">
        <v>15</v>
      </c>
      <c r="N160" s="2959">
        <v>150</v>
      </c>
      <c r="O160" s="2959">
        <v>250</v>
      </c>
      <c r="P160" s="2959">
        <v>350</v>
      </c>
      <c r="Q160" s="377">
        <v>500</v>
      </c>
      <c r="R160" s="2959" t="s">
        <v>1381</v>
      </c>
      <c r="S160" s="2959" t="s">
        <v>1381</v>
      </c>
      <c r="T160" s="2959" t="s">
        <v>1381</v>
      </c>
      <c r="U160" s="377" t="s">
        <v>1381</v>
      </c>
      <c r="V160" s="2954" t="s">
        <v>3807</v>
      </c>
      <c r="W160" s="2954" t="s">
        <v>3808</v>
      </c>
      <c r="X160" s="2954" t="s">
        <v>3809</v>
      </c>
      <c r="Y160" s="2954" t="s">
        <v>3810</v>
      </c>
      <c r="Z160" s="2954" t="s">
        <v>3811</v>
      </c>
      <c r="AA160" s="375"/>
    </row>
    <row r="161" spans="1:27" ht="12.75" customHeight="1" x14ac:dyDescent="0.2">
      <c r="A161" s="6360"/>
      <c r="B161" s="251" t="str">
        <f t="shared" si="2"/>
        <v>Destrucción80</v>
      </c>
      <c r="D161" s="272" t="s">
        <v>9801</v>
      </c>
      <c r="E161" s="2957" t="s">
        <v>1707</v>
      </c>
      <c r="F161" s="2957">
        <v>80</v>
      </c>
      <c r="G161" s="2962" t="s">
        <v>1381</v>
      </c>
      <c r="H161" s="2962" t="s">
        <v>1233</v>
      </c>
      <c r="I161" s="380" t="s">
        <v>1304</v>
      </c>
      <c r="J161" s="2959">
        <v>12</v>
      </c>
      <c r="K161" s="2959">
        <v>14</v>
      </c>
      <c r="L161" s="2959">
        <v>16</v>
      </c>
      <c r="M161" s="377">
        <v>18</v>
      </c>
      <c r="N161" s="2959">
        <v>350</v>
      </c>
      <c r="O161" s="2959">
        <v>500</v>
      </c>
      <c r="P161" s="2959">
        <v>600</v>
      </c>
      <c r="Q161" s="377">
        <v>800</v>
      </c>
      <c r="R161" s="2959" t="s">
        <v>1381</v>
      </c>
      <c r="S161" s="2959" t="s">
        <v>1381</v>
      </c>
      <c r="T161" s="2959" t="s">
        <v>1381</v>
      </c>
      <c r="U161" s="377" t="s">
        <v>1381</v>
      </c>
      <c r="V161" s="2954" t="s">
        <v>3812</v>
      </c>
      <c r="W161" s="2954" t="s">
        <v>3813</v>
      </c>
      <c r="X161" s="2954" t="s">
        <v>3814</v>
      </c>
      <c r="Y161" s="2954" t="s">
        <v>3815</v>
      </c>
      <c r="Z161" s="2954" t="s">
        <v>3816</v>
      </c>
      <c r="AA161" s="375"/>
    </row>
    <row r="162" spans="1:27" ht="12.75" customHeight="1" x14ac:dyDescent="0.2">
      <c r="A162" s="6360"/>
      <c r="B162" s="251" t="str">
        <f t="shared" si="2"/>
        <v>Destrucción82</v>
      </c>
      <c r="D162" s="272" t="s">
        <v>9802</v>
      </c>
      <c r="E162" s="2957" t="s">
        <v>1707</v>
      </c>
      <c r="F162" s="2957">
        <v>82</v>
      </c>
      <c r="G162" s="2962" t="s">
        <v>1381</v>
      </c>
      <c r="H162" s="2962" t="s">
        <v>1232</v>
      </c>
      <c r="I162" s="380" t="s">
        <v>1304</v>
      </c>
      <c r="J162" s="2959">
        <v>10</v>
      </c>
      <c r="K162" s="2959">
        <v>13</v>
      </c>
      <c r="L162" s="2959">
        <v>15</v>
      </c>
      <c r="M162" s="377">
        <v>17</v>
      </c>
      <c r="N162" s="2959">
        <v>250</v>
      </c>
      <c r="O162" s="2959">
        <v>350</v>
      </c>
      <c r="P162" s="2959">
        <v>450</v>
      </c>
      <c r="Q162" s="377">
        <v>600</v>
      </c>
      <c r="R162" s="2959" t="s">
        <v>1381</v>
      </c>
      <c r="S162" s="2959" t="s">
        <v>1381</v>
      </c>
      <c r="T162" s="2959" t="s">
        <v>1381</v>
      </c>
      <c r="U162" s="377" t="s">
        <v>1381</v>
      </c>
      <c r="V162" s="2954" t="s">
        <v>3817</v>
      </c>
      <c r="W162" s="2954" t="s">
        <v>3818</v>
      </c>
      <c r="X162" s="2954" t="s">
        <v>3819</v>
      </c>
      <c r="Y162" s="2954" t="s">
        <v>3820</v>
      </c>
      <c r="Z162" s="2954" t="s">
        <v>3821</v>
      </c>
      <c r="AA162" s="375"/>
    </row>
    <row r="163" spans="1:27" ht="12.75" customHeight="1" x14ac:dyDescent="0.2">
      <c r="A163" s="6360"/>
      <c r="B163" s="251" t="str">
        <f t="shared" si="2"/>
        <v>Destrucción86</v>
      </c>
      <c r="D163" s="272" t="s">
        <v>9803</v>
      </c>
      <c r="E163" s="2957" t="s">
        <v>1707</v>
      </c>
      <c r="F163" s="2957">
        <v>86</v>
      </c>
      <c r="G163" s="2962" t="s">
        <v>1381</v>
      </c>
      <c r="H163" s="2962" t="s">
        <v>1234</v>
      </c>
      <c r="I163" s="380" t="s">
        <v>1304</v>
      </c>
      <c r="J163" s="2959">
        <v>10</v>
      </c>
      <c r="K163" s="2959">
        <v>12</v>
      </c>
      <c r="L163" s="2959">
        <v>14</v>
      </c>
      <c r="M163" s="377">
        <v>16</v>
      </c>
      <c r="N163" s="2959">
        <v>200</v>
      </c>
      <c r="O163" s="2959">
        <v>400</v>
      </c>
      <c r="P163" s="2959">
        <v>600</v>
      </c>
      <c r="Q163" s="377">
        <v>700</v>
      </c>
      <c r="R163" s="2959" t="s">
        <v>1381</v>
      </c>
      <c r="S163" s="2959" t="s">
        <v>1381</v>
      </c>
      <c r="T163" s="2959" t="s">
        <v>1381</v>
      </c>
      <c r="U163" s="377" t="s">
        <v>1381</v>
      </c>
      <c r="V163" s="2954" t="s">
        <v>3822</v>
      </c>
      <c r="W163" s="2954" t="s">
        <v>3823</v>
      </c>
      <c r="X163" s="2954" t="s">
        <v>3824</v>
      </c>
      <c r="Y163" s="2954" t="s">
        <v>3825</v>
      </c>
      <c r="Z163" s="2954" t="s">
        <v>3826</v>
      </c>
      <c r="AA163" s="375"/>
    </row>
    <row r="164" spans="1:27" ht="12.75" customHeight="1" x14ac:dyDescent="0.2">
      <c r="A164" s="6360"/>
      <c r="B164" s="251" t="str">
        <f t="shared" si="2"/>
        <v>Destrucción88</v>
      </c>
      <c r="D164" s="272" t="s">
        <v>9804</v>
      </c>
      <c r="E164" s="2957" t="s">
        <v>1707</v>
      </c>
      <c r="F164" s="2957">
        <v>88</v>
      </c>
      <c r="G164" s="2962" t="s">
        <v>2584</v>
      </c>
      <c r="H164" s="2962" t="s">
        <v>1234</v>
      </c>
      <c r="I164" s="380" t="s">
        <v>1304</v>
      </c>
      <c r="J164" s="2959">
        <v>12</v>
      </c>
      <c r="K164" s="2959">
        <v>14</v>
      </c>
      <c r="L164" s="2959">
        <v>16</v>
      </c>
      <c r="M164" s="377">
        <v>18</v>
      </c>
      <c r="N164" s="2959">
        <v>300</v>
      </c>
      <c r="O164" s="2959">
        <v>600</v>
      </c>
      <c r="P164" s="2959">
        <v>1000</v>
      </c>
      <c r="Q164" s="377">
        <v>2000</v>
      </c>
      <c r="R164" s="2959">
        <v>15</v>
      </c>
      <c r="S164" s="2959">
        <v>30</v>
      </c>
      <c r="T164" s="2959">
        <v>50</v>
      </c>
      <c r="U164" s="377">
        <v>100</v>
      </c>
      <c r="V164" s="2954" t="s">
        <v>3827</v>
      </c>
      <c r="W164" s="2954" t="s">
        <v>3828</v>
      </c>
      <c r="X164" s="2954" t="s">
        <v>3829</v>
      </c>
      <c r="Y164" s="2954" t="s">
        <v>3830</v>
      </c>
      <c r="Z164" s="2954" t="s">
        <v>3831</v>
      </c>
      <c r="AA164" s="375"/>
    </row>
    <row r="165" spans="1:27" ht="12.75" customHeight="1" x14ac:dyDescent="0.2">
      <c r="A165" s="6360"/>
      <c r="B165" s="251" t="str">
        <f t="shared" si="2"/>
        <v>Destrucción90</v>
      </c>
      <c r="D165" s="272" t="s">
        <v>93</v>
      </c>
      <c r="E165" s="2957" t="s">
        <v>1707</v>
      </c>
      <c r="F165" s="2957">
        <v>90</v>
      </c>
      <c r="G165" s="2962" t="s">
        <v>1381</v>
      </c>
      <c r="H165" s="2962" t="s">
        <v>1234</v>
      </c>
      <c r="I165" s="380" t="s">
        <v>1304</v>
      </c>
      <c r="J165" s="2959">
        <v>12</v>
      </c>
      <c r="K165" s="2959">
        <v>14</v>
      </c>
      <c r="L165" s="2959">
        <v>16</v>
      </c>
      <c r="M165" s="377">
        <v>18</v>
      </c>
      <c r="N165" s="2959">
        <v>250</v>
      </c>
      <c r="O165" s="2959">
        <v>350</v>
      </c>
      <c r="P165" s="2959">
        <v>500</v>
      </c>
      <c r="Q165" s="377">
        <v>800</v>
      </c>
      <c r="R165" s="2959">
        <v>25</v>
      </c>
      <c r="S165" s="2959">
        <v>40</v>
      </c>
      <c r="T165" s="2959">
        <v>45</v>
      </c>
      <c r="U165" s="377">
        <v>55</v>
      </c>
      <c r="V165" s="2954" t="s">
        <v>3832</v>
      </c>
      <c r="W165" s="2954" t="s">
        <v>3833</v>
      </c>
      <c r="X165" s="2954" t="s">
        <v>3834</v>
      </c>
      <c r="Y165" s="2954" t="s">
        <v>3835</v>
      </c>
      <c r="Z165" s="2954" t="s">
        <v>3836</v>
      </c>
      <c r="AA165" s="375"/>
    </row>
    <row r="166" spans="1:27" ht="12.75" customHeight="1" x14ac:dyDescent="0.2">
      <c r="A166" s="6360"/>
      <c r="B166" s="251" t="str">
        <f t="shared" si="2"/>
        <v>Destrucción92</v>
      </c>
      <c r="D166" s="272" t="s">
        <v>9805</v>
      </c>
      <c r="E166" s="2957" t="s">
        <v>1707</v>
      </c>
      <c r="F166" s="2957">
        <v>92</v>
      </c>
      <c r="G166" s="2962" t="s">
        <v>1381</v>
      </c>
      <c r="H166" s="2962" t="s">
        <v>1234</v>
      </c>
      <c r="I166" s="380" t="s">
        <v>1304</v>
      </c>
      <c r="J166" s="2959">
        <v>12</v>
      </c>
      <c r="K166" s="2959">
        <v>14</v>
      </c>
      <c r="L166" s="2959">
        <v>16</v>
      </c>
      <c r="M166" s="377">
        <v>18</v>
      </c>
      <c r="N166" s="2959">
        <v>350</v>
      </c>
      <c r="O166" s="2959">
        <v>600</v>
      </c>
      <c r="P166" s="2959">
        <v>900</v>
      </c>
      <c r="Q166" s="377">
        <v>1500</v>
      </c>
      <c r="R166" s="2959" t="s">
        <v>1381</v>
      </c>
      <c r="S166" s="2959" t="s">
        <v>1381</v>
      </c>
      <c r="T166" s="2959" t="s">
        <v>1381</v>
      </c>
      <c r="U166" s="377" t="s">
        <v>1381</v>
      </c>
      <c r="V166" s="2954" t="s">
        <v>3405</v>
      </c>
      <c r="W166" s="2954" t="s">
        <v>3576</v>
      </c>
      <c r="X166" s="2954" t="s">
        <v>3837</v>
      </c>
      <c r="Y166" s="2954" t="s">
        <v>3655</v>
      </c>
      <c r="Z166" s="2954" t="s">
        <v>3838</v>
      </c>
      <c r="AA166" s="375"/>
    </row>
    <row r="167" spans="1:27" ht="12.75" customHeight="1" x14ac:dyDescent="0.2">
      <c r="A167" s="6360"/>
      <c r="B167" s="251" t="str">
        <f t="shared" si="2"/>
        <v>Destrucción96</v>
      </c>
      <c r="D167" s="272" t="s">
        <v>9806</v>
      </c>
      <c r="E167" s="2957" t="s">
        <v>1707</v>
      </c>
      <c r="F167" s="2957">
        <v>96</v>
      </c>
      <c r="G167" s="2962" t="s">
        <v>1381</v>
      </c>
      <c r="H167" s="2962" t="s">
        <v>3210</v>
      </c>
      <c r="I167" s="380" t="s">
        <v>1304</v>
      </c>
      <c r="J167" s="2959">
        <v>13</v>
      </c>
      <c r="K167" s="2959">
        <v>15</v>
      </c>
      <c r="L167" s="2959">
        <v>17</v>
      </c>
      <c r="M167" s="377">
        <v>19</v>
      </c>
      <c r="N167" s="2959">
        <v>500</v>
      </c>
      <c r="O167" s="2959">
        <v>800</v>
      </c>
      <c r="P167" s="2959">
        <v>1500</v>
      </c>
      <c r="Q167" s="377">
        <v>2500</v>
      </c>
      <c r="R167" s="2959" t="s">
        <v>1381</v>
      </c>
      <c r="S167" s="2959" t="s">
        <v>1381</v>
      </c>
      <c r="T167" s="2959" t="s">
        <v>1381</v>
      </c>
      <c r="U167" s="377" t="s">
        <v>1381</v>
      </c>
      <c r="V167" s="2954" t="s">
        <v>3839</v>
      </c>
      <c r="W167" s="2954" t="s">
        <v>3840</v>
      </c>
      <c r="X167" s="2954" t="s">
        <v>3841</v>
      </c>
      <c r="Y167" s="2954" t="s">
        <v>3842</v>
      </c>
      <c r="Z167" s="2954" t="s">
        <v>3843</v>
      </c>
      <c r="AA167" s="375"/>
    </row>
    <row r="168" spans="1:27" ht="12.75" customHeight="1" x14ac:dyDescent="0.2">
      <c r="A168" s="6360"/>
      <c r="B168" s="251" t="str">
        <f t="shared" si="2"/>
        <v>Destrucción98</v>
      </c>
      <c r="D168" s="272" t="s">
        <v>81</v>
      </c>
      <c r="E168" s="2957" t="s">
        <v>1707</v>
      </c>
      <c r="F168" s="2957">
        <v>98</v>
      </c>
      <c r="G168" s="2962" t="s">
        <v>2584</v>
      </c>
      <c r="H168" s="2962" t="s">
        <v>3210</v>
      </c>
      <c r="I168" s="380" t="s">
        <v>1304</v>
      </c>
      <c r="J168" s="2959">
        <v>14</v>
      </c>
      <c r="K168" s="2959">
        <v>16</v>
      </c>
      <c r="L168" s="2959">
        <v>18</v>
      </c>
      <c r="M168" s="377">
        <v>20</v>
      </c>
      <c r="N168" s="2959">
        <v>700</v>
      </c>
      <c r="O168" s="2959">
        <v>1200</v>
      </c>
      <c r="P168" s="2959">
        <v>2000</v>
      </c>
      <c r="Q168" s="377">
        <v>5000</v>
      </c>
      <c r="R168" s="2959">
        <v>70</v>
      </c>
      <c r="S168" s="2959">
        <v>80</v>
      </c>
      <c r="T168" s="2959">
        <v>90</v>
      </c>
      <c r="U168" s="377">
        <v>100</v>
      </c>
      <c r="V168" s="2954" t="s">
        <v>3844</v>
      </c>
      <c r="W168" s="2954" t="s">
        <v>3845</v>
      </c>
      <c r="X168" s="2954" t="s">
        <v>3846</v>
      </c>
      <c r="Y168" s="2954" t="s">
        <v>3847</v>
      </c>
      <c r="Z168" s="2954" t="s">
        <v>3848</v>
      </c>
      <c r="AA168" s="375"/>
    </row>
    <row r="169" spans="1:27" ht="12.75" customHeight="1" x14ac:dyDescent="0.2">
      <c r="A169" s="6360"/>
      <c r="B169" s="251" t="str">
        <f t="shared" si="2"/>
        <v>Destrucción100</v>
      </c>
      <c r="D169" s="272" t="s">
        <v>9807</v>
      </c>
      <c r="E169" s="2957" t="s">
        <v>1707</v>
      </c>
      <c r="F169" s="2957">
        <v>100</v>
      </c>
      <c r="G169" s="2962" t="s">
        <v>1381</v>
      </c>
      <c r="H169" s="2962" t="s">
        <v>3210</v>
      </c>
      <c r="I169" s="380" t="s">
        <v>1304</v>
      </c>
      <c r="J169" s="2959">
        <v>17</v>
      </c>
      <c r="K169" s="2959">
        <v>18</v>
      </c>
      <c r="L169" s="2959">
        <v>19</v>
      </c>
      <c r="M169" s="377">
        <v>20</v>
      </c>
      <c r="N169" s="2959">
        <v>1000</v>
      </c>
      <c r="O169" s="2959">
        <v>2500</v>
      </c>
      <c r="P169" s="2959">
        <v>5000</v>
      </c>
      <c r="Q169" s="377">
        <v>10000</v>
      </c>
      <c r="R169" s="2959" t="s">
        <v>1381</v>
      </c>
      <c r="S169" s="2959" t="s">
        <v>1381</v>
      </c>
      <c r="T169" s="2959" t="s">
        <v>1381</v>
      </c>
      <c r="U169" s="377" t="s">
        <v>1381</v>
      </c>
      <c r="V169" s="2954" t="s">
        <v>3591</v>
      </c>
      <c r="W169" s="2954" t="s">
        <v>3487</v>
      </c>
      <c r="X169" s="2954" t="s">
        <v>3488</v>
      </c>
      <c r="Y169" s="2954" t="s">
        <v>3489</v>
      </c>
      <c r="Z169" s="2954" t="s">
        <v>3849</v>
      </c>
      <c r="AA169" s="375"/>
    </row>
    <row r="170" spans="1:27" ht="12.75" customHeight="1" x14ac:dyDescent="0.2">
      <c r="A170" s="6360"/>
      <c r="B170" s="251" t="str">
        <f t="shared" si="2"/>
        <v/>
      </c>
      <c r="D170" s="272" t="s">
        <v>302</v>
      </c>
      <c r="E170" s="2957"/>
      <c r="F170" s="2957"/>
      <c r="G170" s="2962"/>
      <c r="H170" s="2962"/>
      <c r="I170" s="380"/>
      <c r="J170" s="2959"/>
      <c r="K170" s="2959"/>
      <c r="L170" s="2959"/>
      <c r="M170" s="377"/>
      <c r="N170" s="2959"/>
      <c r="O170" s="2959"/>
      <c r="P170" s="2959"/>
      <c r="Q170" s="377"/>
      <c r="R170" s="2959"/>
      <c r="S170" s="2959"/>
      <c r="T170" s="2959"/>
      <c r="U170" s="377"/>
      <c r="V170" s="2954"/>
      <c r="W170" s="2954"/>
      <c r="X170" s="2954"/>
      <c r="Y170" s="2954"/>
      <c r="Z170" s="2954"/>
      <c r="AA170" s="375"/>
    </row>
    <row r="171" spans="1:27" ht="12.75" customHeight="1" x14ac:dyDescent="0.2">
      <c r="A171" s="6360"/>
      <c r="B171" s="251" t="str">
        <f t="shared" si="2"/>
        <v>Aire2</v>
      </c>
      <c r="D171" s="272" t="s">
        <v>9808</v>
      </c>
      <c r="E171" s="2957" t="s">
        <v>1603</v>
      </c>
      <c r="F171" s="2957">
        <v>2</v>
      </c>
      <c r="G171" s="2962" t="s">
        <v>1381</v>
      </c>
      <c r="H171" s="2962" t="s">
        <v>1234</v>
      </c>
      <c r="I171" s="380" t="s">
        <v>1304</v>
      </c>
      <c r="J171" s="2959">
        <v>5</v>
      </c>
      <c r="K171" s="2959">
        <v>8</v>
      </c>
      <c r="L171" s="2959">
        <v>10</v>
      </c>
      <c r="M171" s="377">
        <v>12</v>
      </c>
      <c r="N171" s="2959">
        <v>30</v>
      </c>
      <c r="O171" s="2959">
        <v>60</v>
      </c>
      <c r="P171" s="2959">
        <v>90</v>
      </c>
      <c r="Q171" s="377">
        <v>120</v>
      </c>
      <c r="R171" s="2959">
        <v>5</v>
      </c>
      <c r="S171" s="2959">
        <v>10</v>
      </c>
      <c r="T171" s="2959">
        <v>10</v>
      </c>
      <c r="U171" s="377">
        <v>15</v>
      </c>
      <c r="V171" s="2954" t="s">
        <v>3850</v>
      </c>
      <c r="W171" s="2954" t="s">
        <v>3851</v>
      </c>
      <c r="X171" s="2954" t="s">
        <v>3852</v>
      </c>
      <c r="Y171" s="2954" t="s">
        <v>3853</v>
      </c>
      <c r="Z171" s="2954" t="s">
        <v>3854</v>
      </c>
      <c r="AA171" s="375"/>
    </row>
    <row r="172" spans="1:27" ht="12.75" customHeight="1" x14ac:dyDescent="0.2">
      <c r="A172" s="6360"/>
      <c r="B172" s="251" t="str">
        <f t="shared" si="2"/>
        <v>Aire6</v>
      </c>
      <c r="D172" s="272" t="s">
        <v>9809</v>
      </c>
      <c r="E172" s="2957" t="s">
        <v>1603</v>
      </c>
      <c r="F172" s="2957">
        <v>6</v>
      </c>
      <c r="G172" s="2962" t="s">
        <v>2088</v>
      </c>
      <c r="H172" s="2962" t="s">
        <v>1234</v>
      </c>
      <c r="I172" s="380" t="s">
        <v>1304</v>
      </c>
      <c r="J172" s="2959">
        <v>5</v>
      </c>
      <c r="K172" s="2959">
        <v>8</v>
      </c>
      <c r="L172" s="2959">
        <v>10</v>
      </c>
      <c r="M172" s="377">
        <v>12</v>
      </c>
      <c r="N172" s="2959">
        <v>30</v>
      </c>
      <c r="O172" s="2959">
        <v>60</v>
      </c>
      <c r="P172" s="2959">
        <v>90</v>
      </c>
      <c r="Q172" s="377">
        <v>120</v>
      </c>
      <c r="R172" s="2959">
        <v>5</v>
      </c>
      <c r="S172" s="2959">
        <v>10</v>
      </c>
      <c r="T172" s="2959">
        <v>10</v>
      </c>
      <c r="U172" s="377">
        <v>15</v>
      </c>
      <c r="V172" s="2954" t="s">
        <v>3855</v>
      </c>
      <c r="W172" s="2954" t="s">
        <v>3856</v>
      </c>
      <c r="X172" s="2954" t="s">
        <v>3857</v>
      </c>
      <c r="Y172" s="2954" t="s">
        <v>3858</v>
      </c>
      <c r="Z172" s="2954" t="s">
        <v>3859</v>
      </c>
      <c r="AA172" s="375"/>
    </row>
    <row r="173" spans="1:27" ht="12.75" customHeight="1" x14ac:dyDescent="0.2">
      <c r="A173" s="6360"/>
      <c r="B173" s="251" t="str">
        <f t="shared" si="2"/>
        <v>Aire10</v>
      </c>
      <c r="D173" s="272" t="s">
        <v>9810</v>
      </c>
      <c r="E173" s="2957" t="s">
        <v>1603</v>
      </c>
      <c r="F173" s="2957">
        <v>10</v>
      </c>
      <c r="G173" s="2962" t="s">
        <v>2088</v>
      </c>
      <c r="H173" s="2962" t="s">
        <v>1234</v>
      </c>
      <c r="I173" s="380" t="s">
        <v>1304</v>
      </c>
      <c r="J173" s="2959">
        <v>5</v>
      </c>
      <c r="K173" s="2959">
        <v>8</v>
      </c>
      <c r="L173" s="2959">
        <v>10</v>
      </c>
      <c r="M173" s="377">
        <v>12</v>
      </c>
      <c r="N173" s="2959">
        <v>40</v>
      </c>
      <c r="O173" s="2959">
        <v>140</v>
      </c>
      <c r="P173" s="2959">
        <v>240</v>
      </c>
      <c r="Q173" s="377">
        <v>350</v>
      </c>
      <c r="R173" s="2959">
        <v>5</v>
      </c>
      <c r="S173" s="2959">
        <v>15</v>
      </c>
      <c r="T173" s="2959">
        <v>25</v>
      </c>
      <c r="U173" s="377">
        <v>35</v>
      </c>
      <c r="V173" s="2954" t="s">
        <v>3860</v>
      </c>
      <c r="W173" s="2954" t="s">
        <v>3861</v>
      </c>
      <c r="X173" s="2954" t="s">
        <v>3862</v>
      </c>
      <c r="Y173" s="2954" t="s">
        <v>3863</v>
      </c>
      <c r="Z173" s="2954" t="s">
        <v>3864</v>
      </c>
      <c r="AA173" s="375"/>
    </row>
    <row r="174" spans="1:27" ht="12.75" customHeight="1" x14ac:dyDescent="0.2">
      <c r="A174" s="6360"/>
      <c r="B174" s="251" t="str">
        <f t="shared" si="2"/>
        <v>Aire12</v>
      </c>
      <c r="D174" s="272" t="s">
        <v>9811</v>
      </c>
      <c r="E174" s="2957" t="s">
        <v>1603</v>
      </c>
      <c r="F174" s="2957">
        <v>12</v>
      </c>
      <c r="G174" s="2962" t="s">
        <v>2088</v>
      </c>
      <c r="H174" s="2962" t="s">
        <v>1234</v>
      </c>
      <c r="I174" s="380" t="s">
        <v>1305</v>
      </c>
      <c r="J174" s="2959">
        <v>6</v>
      </c>
      <c r="K174" s="2959">
        <v>8</v>
      </c>
      <c r="L174" s="2959">
        <v>10</v>
      </c>
      <c r="M174" s="377">
        <v>12</v>
      </c>
      <c r="N174" s="2959">
        <v>40</v>
      </c>
      <c r="O174" s="2959">
        <v>80</v>
      </c>
      <c r="P174" s="2959">
        <v>110</v>
      </c>
      <c r="Q174" s="377">
        <v>150</v>
      </c>
      <c r="R174" s="2959">
        <v>5</v>
      </c>
      <c r="S174" s="2959">
        <v>10</v>
      </c>
      <c r="T174" s="2959">
        <v>10</v>
      </c>
      <c r="U174" s="377">
        <v>15</v>
      </c>
      <c r="V174" s="2954" t="s">
        <v>3865</v>
      </c>
      <c r="W174" s="2954" t="s">
        <v>3866</v>
      </c>
      <c r="X174" s="2954" t="s">
        <v>3867</v>
      </c>
      <c r="Y174" s="2954" t="s">
        <v>3868</v>
      </c>
      <c r="Z174" s="2954" t="s">
        <v>3869</v>
      </c>
      <c r="AA174" s="375"/>
    </row>
    <row r="175" spans="1:27" ht="12.75" customHeight="1" x14ac:dyDescent="0.2">
      <c r="A175" s="6360"/>
      <c r="B175" s="251" t="str">
        <f t="shared" si="2"/>
        <v>Aire16</v>
      </c>
      <c r="D175" s="272" t="s">
        <v>1310</v>
      </c>
      <c r="E175" s="2957" t="s">
        <v>1603</v>
      </c>
      <c r="F175" s="2957">
        <v>16</v>
      </c>
      <c r="G175" s="2962" t="s">
        <v>1381</v>
      </c>
      <c r="H175" s="2962" t="s">
        <v>1234</v>
      </c>
      <c r="I175" s="380" t="s">
        <v>1304</v>
      </c>
      <c r="J175" s="2959">
        <v>6</v>
      </c>
      <c r="K175" s="2959">
        <v>8</v>
      </c>
      <c r="L175" s="2959">
        <v>10</v>
      </c>
      <c r="M175" s="377">
        <v>12</v>
      </c>
      <c r="N175" s="2959">
        <v>50</v>
      </c>
      <c r="O175" s="2959">
        <v>80</v>
      </c>
      <c r="P175" s="2959">
        <v>110</v>
      </c>
      <c r="Q175" s="377">
        <v>150</v>
      </c>
      <c r="R175" s="2959">
        <v>5</v>
      </c>
      <c r="S175" s="2959">
        <v>10</v>
      </c>
      <c r="T175" s="2959">
        <v>10</v>
      </c>
      <c r="U175" s="377">
        <v>15</v>
      </c>
      <c r="V175" s="2954" t="s">
        <v>3865</v>
      </c>
      <c r="W175" s="2954" t="s">
        <v>3870</v>
      </c>
      <c r="X175" s="2954" t="s">
        <v>3871</v>
      </c>
      <c r="Y175" s="2954" t="s">
        <v>3872</v>
      </c>
      <c r="Z175" s="2954" t="s">
        <v>3873</v>
      </c>
      <c r="AA175" s="375"/>
    </row>
    <row r="176" spans="1:27" ht="12.75" customHeight="1" x14ac:dyDescent="0.2">
      <c r="A176" s="6360"/>
      <c r="B176" s="251" t="str">
        <f t="shared" si="2"/>
        <v>Aire20</v>
      </c>
      <c r="D176" s="272" t="s">
        <v>9812</v>
      </c>
      <c r="E176" s="2957" t="s">
        <v>1603</v>
      </c>
      <c r="F176" s="2957">
        <v>20</v>
      </c>
      <c r="G176" s="2962" t="s">
        <v>1381</v>
      </c>
      <c r="H176" s="2962" t="s">
        <v>1232</v>
      </c>
      <c r="I176" s="380" t="s">
        <v>1304</v>
      </c>
      <c r="J176" s="2959">
        <v>6</v>
      </c>
      <c r="K176" s="2959">
        <v>9</v>
      </c>
      <c r="L176" s="2959">
        <v>11</v>
      </c>
      <c r="M176" s="377">
        <v>13</v>
      </c>
      <c r="N176" s="2959">
        <v>40</v>
      </c>
      <c r="O176" s="2959">
        <v>80</v>
      </c>
      <c r="P176" s="2959">
        <v>140</v>
      </c>
      <c r="Q176" s="377">
        <v>200</v>
      </c>
      <c r="R176" s="2959" t="s">
        <v>1381</v>
      </c>
      <c r="S176" s="2959" t="s">
        <v>1381</v>
      </c>
      <c r="T176" s="2959" t="s">
        <v>1381</v>
      </c>
      <c r="U176" s="377" t="s">
        <v>1381</v>
      </c>
      <c r="V176" s="2954" t="s">
        <v>3874</v>
      </c>
      <c r="W176" s="2954" t="s">
        <v>3875</v>
      </c>
      <c r="X176" s="2954" t="s">
        <v>3876</v>
      </c>
      <c r="Y176" s="2954" t="s">
        <v>3877</v>
      </c>
      <c r="Z176" s="2954" t="s">
        <v>3878</v>
      </c>
      <c r="AA176" s="375"/>
    </row>
    <row r="177" spans="1:27" ht="12.75" customHeight="1" x14ac:dyDescent="0.2">
      <c r="A177" s="6360"/>
      <c r="B177" s="251" t="str">
        <f t="shared" si="2"/>
        <v>Aire22</v>
      </c>
      <c r="D177" s="272" t="s">
        <v>9813</v>
      </c>
      <c r="E177" s="2957" t="s">
        <v>1603</v>
      </c>
      <c r="F177" s="2957">
        <v>22</v>
      </c>
      <c r="G177" s="2962" t="s">
        <v>1381</v>
      </c>
      <c r="H177" s="2962" t="s">
        <v>1565</v>
      </c>
      <c r="I177" s="380" t="s">
        <v>1305</v>
      </c>
      <c r="J177" s="2959">
        <v>6</v>
      </c>
      <c r="K177" s="2959">
        <v>8</v>
      </c>
      <c r="L177" s="2959">
        <v>10</v>
      </c>
      <c r="M177" s="377">
        <v>14</v>
      </c>
      <c r="N177" s="2959">
        <v>50</v>
      </c>
      <c r="O177" s="2959">
        <v>160</v>
      </c>
      <c r="P177" s="2959">
        <v>200</v>
      </c>
      <c r="Q177" s="377">
        <v>240</v>
      </c>
      <c r="R177" s="2959">
        <v>5</v>
      </c>
      <c r="S177" s="2959">
        <v>20</v>
      </c>
      <c r="T177" s="2959">
        <v>20</v>
      </c>
      <c r="U177" s="377">
        <v>25</v>
      </c>
      <c r="V177" s="2954" t="s">
        <v>3879</v>
      </c>
      <c r="W177" s="2954" t="s">
        <v>3880</v>
      </c>
      <c r="X177" s="2954" t="s">
        <v>3881</v>
      </c>
      <c r="Y177" s="2954" t="s">
        <v>3882</v>
      </c>
      <c r="Z177" s="2954" t="s">
        <v>3883</v>
      </c>
      <c r="AA177" s="375"/>
    </row>
    <row r="178" spans="1:27" ht="12.75" customHeight="1" x14ac:dyDescent="0.2">
      <c r="A178" s="6360"/>
      <c r="B178" s="251" t="str">
        <f t="shared" si="2"/>
        <v>Aire26</v>
      </c>
      <c r="D178" s="272" t="s">
        <v>7373</v>
      </c>
      <c r="E178" s="2957" t="s">
        <v>1603</v>
      </c>
      <c r="F178" s="2957">
        <v>26</v>
      </c>
      <c r="G178" s="2962" t="s">
        <v>1381</v>
      </c>
      <c r="H178" s="2962" t="s">
        <v>1234</v>
      </c>
      <c r="I178" s="380" t="s">
        <v>1304</v>
      </c>
      <c r="J178" s="2959">
        <v>6</v>
      </c>
      <c r="K178" s="2959">
        <v>8</v>
      </c>
      <c r="L178" s="2959">
        <v>10</v>
      </c>
      <c r="M178" s="377">
        <v>12</v>
      </c>
      <c r="N178" s="2959">
        <v>50</v>
      </c>
      <c r="O178" s="2959">
        <v>80</v>
      </c>
      <c r="P178" s="2959">
        <v>120</v>
      </c>
      <c r="Q178" s="377">
        <v>150</v>
      </c>
      <c r="R178" s="2959" t="s">
        <v>1381</v>
      </c>
      <c r="S178" s="2959" t="s">
        <v>1381</v>
      </c>
      <c r="T178" s="2959" t="s">
        <v>1381</v>
      </c>
      <c r="U178" s="377" t="s">
        <v>1381</v>
      </c>
      <c r="V178" s="2954" t="s">
        <v>3884</v>
      </c>
      <c r="W178" s="2954" t="s">
        <v>3885</v>
      </c>
      <c r="X178" s="2954" t="s">
        <v>3886</v>
      </c>
      <c r="Y178" s="2954" t="s">
        <v>3887</v>
      </c>
      <c r="Z178" s="2954" t="s">
        <v>3888</v>
      </c>
      <c r="AA178" s="375"/>
    </row>
    <row r="179" spans="1:27" ht="12.75" customHeight="1" x14ac:dyDescent="0.2">
      <c r="A179" s="6360"/>
      <c r="B179" s="251" t="str">
        <f t="shared" si="2"/>
        <v>Aire30</v>
      </c>
      <c r="D179" s="272" t="s">
        <v>10106</v>
      </c>
      <c r="E179" s="2957" t="s">
        <v>1603</v>
      </c>
      <c r="F179" s="2957">
        <v>30</v>
      </c>
      <c r="G179" s="2963" t="s">
        <v>1381</v>
      </c>
      <c r="H179" s="2962" t="s">
        <v>1234</v>
      </c>
      <c r="I179" s="380" t="s">
        <v>1304</v>
      </c>
      <c r="J179" s="2959">
        <v>6</v>
      </c>
      <c r="K179" s="2959">
        <v>9</v>
      </c>
      <c r="L179" s="2959">
        <v>12</v>
      </c>
      <c r="M179" s="377">
        <v>15</v>
      </c>
      <c r="N179" s="2959">
        <v>60</v>
      </c>
      <c r="O179" s="2959">
        <v>100</v>
      </c>
      <c r="P179" s="2959">
        <v>150</v>
      </c>
      <c r="Q179" s="377">
        <v>240</v>
      </c>
      <c r="R179" s="2959">
        <v>15</v>
      </c>
      <c r="S179" s="2959">
        <v>20</v>
      </c>
      <c r="T179" s="2959">
        <v>25</v>
      </c>
      <c r="U179" s="377">
        <v>30</v>
      </c>
      <c r="V179" s="2954" t="s">
        <v>3889</v>
      </c>
      <c r="W179" s="2954" t="s">
        <v>3890</v>
      </c>
      <c r="X179" s="2954" t="s">
        <v>3891</v>
      </c>
      <c r="Y179" s="2954" t="s">
        <v>3892</v>
      </c>
      <c r="Z179" s="2954" t="s">
        <v>3893</v>
      </c>
      <c r="AA179" s="375"/>
    </row>
    <row r="180" spans="1:27" ht="12.75" customHeight="1" x14ac:dyDescent="0.2">
      <c r="A180" s="6360"/>
      <c r="B180" s="251" t="str">
        <f t="shared" si="2"/>
        <v>Aire32</v>
      </c>
      <c r="D180" s="272" t="s">
        <v>182</v>
      </c>
      <c r="E180" s="2957" t="s">
        <v>1603</v>
      </c>
      <c r="F180" s="2957">
        <v>32</v>
      </c>
      <c r="G180" s="2962" t="s">
        <v>1381</v>
      </c>
      <c r="H180" s="2962" t="s">
        <v>1234</v>
      </c>
      <c r="I180" s="380" t="s">
        <v>1304</v>
      </c>
      <c r="J180" s="2959">
        <v>6</v>
      </c>
      <c r="K180" s="2959">
        <v>9</v>
      </c>
      <c r="L180" s="2959">
        <v>12</v>
      </c>
      <c r="M180" s="377">
        <v>15</v>
      </c>
      <c r="N180" s="2959">
        <v>60</v>
      </c>
      <c r="O180" s="2959">
        <v>90</v>
      </c>
      <c r="P180" s="2959">
        <v>120</v>
      </c>
      <c r="Q180" s="377">
        <v>150</v>
      </c>
      <c r="R180" s="2959">
        <v>5</v>
      </c>
      <c r="S180" s="2959">
        <v>5</v>
      </c>
      <c r="T180" s="2959">
        <v>10</v>
      </c>
      <c r="U180" s="377">
        <v>15</v>
      </c>
      <c r="V180" s="2954" t="s">
        <v>3894</v>
      </c>
      <c r="W180" s="2954" t="s">
        <v>3895</v>
      </c>
      <c r="X180" s="2954" t="s">
        <v>3896</v>
      </c>
      <c r="Y180" s="2960" t="s">
        <v>9682</v>
      </c>
      <c r="Z180" s="2954" t="s">
        <v>3897</v>
      </c>
      <c r="AA180" s="375"/>
    </row>
    <row r="181" spans="1:27" ht="12.75" customHeight="1" x14ac:dyDescent="0.2">
      <c r="A181" s="6360"/>
      <c r="B181" s="251" t="str">
        <f t="shared" si="2"/>
        <v>Aire36</v>
      </c>
      <c r="D181" s="272" t="s">
        <v>9814</v>
      </c>
      <c r="E181" s="2957" t="s">
        <v>1603</v>
      </c>
      <c r="F181" s="2957">
        <v>36</v>
      </c>
      <c r="G181" s="2962" t="s">
        <v>2088</v>
      </c>
      <c r="H181" s="2962" t="s">
        <v>1234</v>
      </c>
      <c r="I181" s="380" t="s">
        <v>1304</v>
      </c>
      <c r="J181" s="2959">
        <v>7</v>
      </c>
      <c r="K181" s="2959">
        <v>10</v>
      </c>
      <c r="L181" s="2959">
        <v>13</v>
      </c>
      <c r="M181" s="377">
        <v>15</v>
      </c>
      <c r="N181" s="2959">
        <v>80</v>
      </c>
      <c r="O181" s="2959">
        <v>120</v>
      </c>
      <c r="P181" s="2959">
        <v>160</v>
      </c>
      <c r="Q181" s="377">
        <v>240</v>
      </c>
      <c r="R181" s="2959">
        <v>10</v>
      </c>
      <c r="S181" s="2959">
        <v>15</v>
      </c>
      <c r="T181" s="2959">
        <v>20</v>
      </c>
      <c r="U181" s="377">
        <v>25</v>
      </c>
      <c r="V181" s="2954" t="s">
        <v>3898</v>
      </c>
      <c r="W181" s="2954" t="s">
        <v>3899</v>
      </c>
      <c r="X181" s="2954" t="s">
        <v>3900</v>
      </c>
      <c r="Y181" s="2954" t="s">
        <v>3901</v>
      </c>
      <c r="Z181" s="2954" t="s">
        <v>3902</v>
      </c>
      <c r="AA181" s="375"/>
    </row>
    <row r="182" spans="1:27" ht="12.75" customHeight="1" x14ac:dyDescent="0.2">
      <c r="A182" s="6360"/>
      <c r="B182" s="251" t="str">
        <f t="shared" si="2"/>
        <v>Aire40</v>
      </c>
      <c r="D182" s="272" t="s">
        <v>9815</v>
      </c>
      <c r="E182" s="2957" t="s">
        <v>1603</v>
      </c>
      <c r="F182" s="2957">
        <v>40</v>
      </c>
      <c r="G182" s="2962" t="s">
        <v>1381</v>
      </c>
      <c r="H182" s="2962" t="s">
        <v>1232</v>
      </c>
      <c r="I182" s="380" t="s">
        <v>1304</v>
      </c>
      <c r="J182" s="2959">
        <v>6</v>
      </c>
      <c r="K182" s="2959">
        <v>9</v>
      </c>
      <c r="L182" s="2959">
        <v>12</v>
      </c>
      <c r="M182" s="377">
        <v>15</v>
      </c>
      <c r="N182" s="2959">
        <v>60</v>
      </c>
      <c r="O182" s="2959">
        <v>150</v>
      </c>
      <c r="P182" s="2959">
        <v>240</v>
      </c>
      <c r="Q182" s="377">
        <v>350</v>
      </c>
      <c r="R182" s="2959" t="s">
        <v>1381</v>
      </c>
      <c r="S182" s="2959" t="s">
        <v>1381</v>
      </c>
      <c r="T182" s="2959" t="s">
        <v>1381</v>
      </c>
      <c r="U182" s="377" t="s">
        <v>1381</v>
      </c>
      <c r="V182" s="2954" t="s">
        <v>3903</v>
      </c>
      <c r="W182" s="2954" t="s">
        <v>10083</v>
      </c>
      <c r="X182" s="2954" t="s">
        <v>10084</v>
      </c>
      <c r="Y182" s="2954" t="s">
        <v>3904</v>
      </c>
      <c r="Z182" s="2954" t="s">
        <v>3905</v>
      </c>
      <c r="AA182" s="375"/>
    </row>
    <row r="183" spans="1:27" ht="12.75" customHeight="1" x14ac:dyDescent="0.2">
      <c r="A183" s="6360"/>
      <c r="B183" s="251" t="str">
        <f t="shared" si="2"/>
        <v>Aire42</v>
      </c>
      <c r="D183" s="272" t="s">
        <v>9816</v>
      </c>
      <c r="E183" s="2957" t="s">
        <v>1603</v>
      </c>
      <c r="F183" s="2957">
        <v>42</v>
      </c>
      <c r="G183" s="2962" t="s">
        <v>2088</v>
      </c>
      <c r="H183" s="2962" t="s">
        <v>1234</v>
      </c>
      <c r="I183" s="380" t="s">
        <v>1304</v>
      </c>
      <c r="J183" s="2959">
        <v>8</v>
      </c>
      <c r="K183" s="2959">
        <v>10</v>
      </c>
      <c r="L183" s="2959">
        <v>12</v>
      </c>
      <c r="M183" s="377">
        <v>14</v>
      </c>
      <c r="N183" s="2959">
        <v>80</v>
      </c>
      <c r="O183" s="2959">
        <v>100</v>
      </c>
      <c r="P183" s="2959">
        <v>120</v>
      </c>
      <c r="Q183" s="377">
        <v>140</v>
      </c>
      <c r="R183" s="2959">
        <v>10</v>
      </c>
      <c r="S183" s="2959">
        <v>10</v>
      </c>
      <c r="T183" s="2959">
        <v>15</v>
      </c>
      <c r="U183" s="377">
        <v>15</v>
      </c>
      <c r="V183" s="2954" t="s">
        <v>3906</v>
      </c>
      <c r="W183" s="2954" t="s">
        <v>3907</v>
      </c>
      <c r="X183" s="2954" t="s">
        <v>3908</v>
      </c>
      <c r="Y183" s="2954" t="s">
        <v>3871</v>
      </c>
      <c r="Z183" s="2954" t="s">
        <v>3909</v>
      </c>
      <c r="AA183" s="375"/>
    </row>
    <row r="184" spans="1:27" ht="12.75" customHeight="1" x14ac:dyDescent="0.2">
      <c r="A184" s="6360"/>
      <c r="B184" s="251" t="str">
        <f t="shared" si="2"/>
        <v>Aire46</v>
      </c>
      <c r="D184" s="272" t="s">
        <v>9817</v>
      </c>
      <c r="E184" s="2957" t="s">
        <v>1603</v>
      </c>
      <c r="F184" s="2957">
        <v>46</v>
      </c>
      <c r="G184" s="2962" t="s">
        <v>1381</v>
      </c>
      <c r="H184" s="2962" t="s">
        <v>1232</v>
      </c>
      <c r="I184" s="380" t="s">
        <v>1304</v>
      </c>
      <c r="J184" s="2959">
        <v>6</v>
      </c>
      <c r="K184" s="2959">
        <v>9</v>
      </c>
      <c r="L184" s="2959">
        <v>12</v>
      </c>
      <c r="M184" s="377">
        <v>15</v>
      </c>
      <c r="N184" s="2959">
        <v>80</v>
      </c>
      <c r="O184" s="2959">
        <v>180</v>
      </c>
      <c r="P184" s="2959">
        <v>280</v>
      </c>
      <c r="Q184" s="377">
        <v>400</v>
      </c>
      <c r="R184" s="2959" t="s">
        <v>1381</v>
      </c>
      <c r="S184" s="2959" t="s">
        <v>1381</v>
      </c>
      <c r="T184" s="2959" t="s">
        <v>1381</v>
      </c>
      <c r="U184" s="377" t="s">
        <v>1381</v>
      </c>
      <c r="V184" s="2954" t="s">
        <v>3910</v>
      </c>
      <c r="W184" s="2954" t="s">
        <v>3911</v>
      </c>
      <c r="X184" s="2954" t="s">
        <v>3912</v>
      </c>
      <c r="Y184" s="2954" t="s">
        <v>3913</v>
      </c>
      <c r="Z184" s="2954" t="s">
        <v>3914</v>
      </c>
      <c r="AA184" s="375"/>
    </row>
    <row r="185" spans="1:27" ht="12.75" customHeight="1" x14ac:dyDescent="0.2">
      <c r="A185" s="6360"/>
      <c r="B185" s="251" t="str">
        <f t="shared" si="2"/>
        <v>Aire50</v>
      </c>
      <c r="D185" s="272" t="s">
        <v>9818</v>
      </c>
      <c r="E185" s="2957" t="s">
        <v>1603</v>
      </c>
      <c r="F185" s="2957">
        <v>50</v>
      </c>
      <c r="G185" s="2962" t="s">
        <v>1381</v>
      </c>
      <c r="H185" s="2962" t="s">
        <v>1235</v>
      </c>
      <c r="I185" s="380" t="s">
        <v>1304</v>
      </c>
      <c r="J185" s="2959">
        <v>7</v>
      </c>
      <c r="K185" s="2959">
        <v>9</v>
      </c>
      <c r="L185" s="2959">
        <v>12</v>
      </c>
      <c r="M185" s="377">
        <v>15</v>
      </c>
      <c r="N185" s="2959">
        <v>140</v>
      </c>
      <c r="O185" s="2959">
        <v>180</v>
      </c>
      <c r="P185" s="2959">
        <v>240</v>
      </c>
      <c r="Q185" s="377">
        <v>300</v>
      </c>
      <c r="R185" s="2959">
        <v>30</v>
      </c>
      <c r="S185" s="2959">
        <v>40</v>
      </c>
      <c r="T185" s="2959">
        <v>50</v>
      </c>
      <c r="U185" s="377">
        <v>60</v>
      </c>
      <c r="V185" s="2954" t="s">
        <v>3915</v>
      </c>
      <c r="W185" s="2954" t="s">
        <v>3916</v>
      </c>
      <c r="X185" s="2954" t="s">
        <v>3917</v>
      </c>
      <c r="Y185" s="2954" t="s">
        <v>3395</v>
      </c>
      <c r="Z185" s="2954" t="s">
        <v>3918</v>
      </c>
      <c r="AA185" s="375"/>
    </row>
    <row r="186" spans="1:27" ht="12.75" customHeight="1" x14ac:dyDescent="0.2">
      <c r="A186" s="6360"/>
      <c r="B186" s="251" t="str">
        <f t="shared" si="2"/>
        <v>Aire52</v>
      </c>
      <c r="D186" s="272" t="s">
        <v>9819</v>
      </c>
      <c r="E186" s="2957" t="s">
        <v>1603</v>
      </c>
      <c r="F186" s="2957">
        <v>52</v>
      </c>
      <c r="G186" s="2962" t="s">
        <v>1381</v>
      </c>
      <c r="H186" s="2962" t="s">
        <v>1234</v>
      </c>
      <c r="I186" s="380" t="s">
        <v>1304</v>
      </c>
      <c r="J186" s="2959">
        <v>8</v>
      </c>
      <c r="K186" s="2959">
        <v>11</v>
      </c>
      <c r="L186" s="2959">
        <v>13</v>
      </c>
      <c r="M186" s="377">
        <v>16</v>
      </c>
      <c r="N186" s="2959">
        <v>100</v>
      </c>
      <c r="O186" s="2959">
        <v>120</v>
      </c>
      <c r="P186" s="2959">
        <v>140</v>
      </c>
      <c r="Q186" s="377">
        <v>160</v>
      </c>
      <c r="R186" s="2959">
        <v>10</v>
      </c>
      <c r="S186" s="2959">
        <v>15</v>
      </c>
      <c r="T186" s="2959">
        <v>15</v>
      </c>
      <c r="U186" s="377">
        <v>20</v>
      </c>
      <c r="V186" s="2954" t="s">
        <v>3919</v>
      </c>
      <c r="W186" s="2954" t="s">
        <v>3920</v>
      </c>
      <c r="X186" s="2954" t="s">
        <v>3921</v>
      </c>
      <c r="Y186" s="2954" t="s">
        <v>3922</v>
      </c>
      <c r="Z186" s="2954" t="s">
        <v>3923</v>
      </c>
      <c r="AA186" s="375"/>
    </row>
    <row r="187" spans="1:27" ht="12.75" customHeight="1" x14ac:dyDescent="0.2">
      <c r="A187" s="6360"/>
      <c r="B187" s="251" t="str">
        <f t="shared" si="2"/>
        <v>Aire56</v>
      </c>
      <c r="D187" s="272" t="s">
        <v>9820</v>
      </c>
      <c r="E187" s="2959" t="s">
        <v>1603</v>
      </c>
      <c r="F187" s="2959">
        <v>56</v>
      </c>
      <c r="G187" s="2962" t="s">
        <v>1381</v>
      </c>
      <c r="H187" s="2962" t="s">
        <v>3924</v>
      </c>
      <c r="I187" s="380" t="s">
        <v>1304</v>
      </c>
      <c r="J187" s="2959">
        <v>8</v>
      </c>
      <c r="K187" s="2959">
        <v>10</v>
      </c>
      <c r="L187" s="2959">
        <v>13</v>
      </c>
      <c r="M187" s="377">
        <v>15</v>
      </c>
      <c r="N187" s="2959">
        <v>80</v>
      </c>
      <c r="O187" s="2959">
        <v>150</v>
      </c>
      <c r="P187" s="2959">
        <v>240</v>
      </c>
      <c r="Q187" s="377">
        <v>350</v>
      </c>
      <c r="R187" s="2959">
        <v>10</v>
      </c>
      <c r="S187" s="2959">
        <v>20</v>
      </c>
      <c r="T187" s="2959">
        <v>25</v>
      </c>
      <c r="U187" s="377">
        <v>35</v>
      </c>
      <c r="V187" s="2954" t="s">
        <v>3925</v>
      </c>
      <c r="W187" s="2954" t="s">
        <v>3926</v>
      </c>
      <c r="X187" s="2954" t="s">
        <v>3927</v>
      </c>
      <c r="Y187" s="2954" t="s">
        <v>3928</v>
      </c>
      <c r="Z187" s="2954" t="s">
        <v>3929</v>
      </c>
      <c r="AA187" s="375"/>
    </row>
    <row r="188" spans="1:27" ht="12.75" customHeight="1" x14ac:dyDescent="0.2">
      <c r="A188" s="6360"/>
      <c r="B188" s="251" t="str">
        <f t="shared" si="2"/>
        <v>Aire60</v>
      </c>
      <c r="D188" s="272" t="s">
        <v>9821</v>
      </c>
      <c r="E188" s="2959" t="s">
        <v>1603</v>
      </c>
      <c r="F188" s="2959">
        <v>60</v>
      </c>
      <c r="G188" s="2962" t="s">
        <v>1381</v>
      </c>
      <c r="H188" s="2962" t="s">
        <v>3924</v>
      </c>
      <c r="I188" s="380" t="s">
        <v>1304</v>
      </c>
      <c r="J188" s="2959">
        <v>8</v>
      </c>
      <c r="K188" s="2959">
        <v>10</v>
      </c>
      <c r="L188" s="2959">
        <v>13</v>
      </c>
      <c r="M188" s="377">
        <v>15</v>
      </c>
      <c r="N188" s="2959">
        <v>80</v>
      </c>
      <c r="O188" s="2959">
        <v>150</v>
      </c>
      <c r="P188" s="2959">
        <v>240</v>
      </c>
      <c r="Q188" s="377">
        <v>350</v>
      </c>
      <c r="R188" s="2959">
        <v>10</v>
      </c>
      <c r="S188" s="2959">
        <v>20</v>
      </c>
      <c r="T188" s="2959">
        <v>25</v>
      </c>
      <c r="U188" s="377">
        <v>35</v>
      </c>
      <c r="V188" s="2954" t="s">
        <v>3930</v>
      </c>
      <c r="W188" s="2954" t="s">
        <v>3931</v>
      </c>
      <c r="X188" s="2954" t="s">
        <v>3932</v>
      </c>
      <c r="Y188" s="2954" t="s">
        <v>3933</v>
      </c>
      <c r="Z188" s="2954" t="s">
        <v>3934</v>
      </c>
      <c r="AA188" s="375"/>
    </row>
    <row r="189" spans="1:27" ht="12.75" customHeight="1" x14ac:dyDescent="0.2">
      <c r="A189" s="6360"/>
      <c r="B189" s="251" t="str">
        <f t="shared" si="2"/>
        <v>Aire62</v>
      </c>
      <c r="D189" s="272" t="s">
        <v>9822</v>
      </c>
      <c r="E189" s="2959" t="s">
        <v>1603</v>
      </c>
      <c r="F189" s="2959">
        <v>62</v>
      </c>
      <c r="G189" s="2962" t="s">
        <v>1381</v>
      </c>
      <c r="H189" s="2962" t="s">
        <v>1565</v>
      </c>
      <c r="I189" s="380" t="s">
        <v>1305</v>
      </c>
      <c r="J189" s="2959">
        <v>7</v>
      </c>
      <c r="K189" s="2959">
        <v>10</v>
      </c>
      <c r="L189" s="2959">
        <v>12</v>
      </c>
      <c r="M189" s="377">
        <v>15</v>
      </c>
      <c r="N189" s="2959">
        <v>120</v>
      </c>
      <c r="O189" s="2959">
        <v>180</v>
      </c>
      <c r="P189" s="2959">
        <v>240</v>
      </c>
      <c r="Q189" s="377">
        <v>300</v>
      </c>
      <c r="R189" s="2959">
        <v>15</v>
      </c>
      <c r="S189" s="2959">
        <v>20</v>
      </c>
      <c r="T189" s="2959">
        <v>25</v>
      </c>
      <c r="U189" s="377">
        <v>30</v>
      </c>
      <c r="V189" s="2954" t="s">
        <v>3935</v>
      </c>
      <c r="W189" s="2954" t="s">
        <v>3936</v>
      </c>
      <c r="X189" s="2954" t="s">
        <v>3937</v>
      </c>
      <c r="Y189" s="2954" t="s">
        <v>3938</v>
      </c>
      <c r="Z189" s="2954" t="s">
        <v>3939</v>
      </c>
      <c r="AA189" s="375"/>
    </row>
    <row r="190" spans="1:27" ht="12.75" customHeight="1" x14ac:dyDescent="0.2">
      <c r="A190" s="6360"/>
      <c r="B190" s="251" t="str">
        <f t="shared" si="2"/>
        <v>Aire66</v>
      </c>
      <c r="D190" s="272" t="s">
        <v>9823</v>
      </c>
      <c r="E190" s="2959" t="s">
        <v>1603</v>
      </c>
      <c r="F190" s="2959">
        <v>66</v>
      </c>
      <c r="G190" s="2962" t="s">
        <v>1381</v>
      </c>
      <c r="H190" s="2962" t="s">
        <v>1234</v>
      </c>
      <c r="I190" s="380" t="s">
        <v>1304</v>
      </c>
      <c r="J190" s="2959">
        <v>8</v>
      </c>
      <c r="K190" s="2959">
        <v>11</v>
      </c>
      <c r="L190" s="2959">
        <v>13</v>
      </c>
      <c r="M190" s="377">
        <v>16</v>
      </c>
      <c r="N190" s="2959">
        <v>180</v>
      </c>
      <c r="O190" s="2959">
        <v>300</v>
      </c>
      <c r="P190" s="2959">
        <v>450</v>
      </c>
      <c r="Q190" s="377">
        <v>600</v>
      </c>
      <c r="R190" s="2959" t="s">
        <v>1381</v>
      </c>
      <c r="S190" s="2959" t="s">
        <v>1381</v>
      </c>
      <c r="T190" s="2959" t="s">
        <v>1381</v>
      </c>
      <c r="U190" s="377" t="s">
        <v>1381</v>
      </c>
      <c r="V190" s="2954" t="s">
        <v>3940</v>
      </c>
      <c r="W190" s="2954" t="s">
        <v>3941</v>
      </c>
      <c r="X190" s="2954" t="s">
        <v>3942</v>
      </c>
      <c r="Y190" s="2954" t="s">
        <v>3943</v>
      </c>
      <c r="Z190" s="2954" t="s">
        <v>3944</v>
      </c>
      <c r="AA190" s="375"/>
    </row>
    <row r="191" spans="1:27" ht="12.75" customHeight="1" x14ac:dyDescent="0.2">
      <c r="A191" s="6360"/>
      <c r="B191" s="251" t="str">
        <f t="shared" si="2"/>
        <v>Aire70</v>
      </c>
      <c r="D191" s="272" t="s">
        <v>9824</v>
      </c>
      <c r="E191" s="2959" t="s">
        <v>1603</v>
      </c>
      <c r="F191" s="2959">
        <v>70</v>
      </c>
      <c r="G191" s="2962" t="s">
        <v>2088</v>
      </c>
      <c r="H191" s="2962" t="s">
        <v>3924</v>
      </c>
      <c r="I191" s="380" t="s">
        <v>1304</v>
      </c>
      <c r="J191" s="2959">
        <v>6</v>
      </c>
      <c r="K191" s="2959">
        <v>9</v>
      </c>
      <c r="L191" s="2959">
        <v>12</v>
      </c>
      <c r="M191" s="377">
        <v>15</v>
      </c>
      <c r="N191" s="2959">
        <v>120</v>
      </c>
      <c r="O191" s="2959">
        <v>180</v>
      </c>
      <c r="P191" s="2959">
        <v>240</v>
      </c>
      <c r="Q191" s="377">
        <v>350</v>
      </c>
      <c r="R191" s="2959">
        <v>15</v>
      </c>
      <c r="S191" s="2959">
        <v>20</v>
      </c>
      <c r="T191" s="2959">
        <v>25</v>
      </c>
      <c r="U191" s="377">
        <v>30</v>
      </c>
      <c r="V191" s="2954" t="s">
        <v>3945</v>
      </c>
      <c r="W191" s="2954" t="s">
        <v>3946</v>
      </c>
      <c r="X191" s="2954" t="s">
        <v>3947</v>
      </c>
      <c r="Y191" s="2954" t="s">
        <v>3948</v>
      </c>
      <c r="Z191" s="2954" t="s">
        <v>3949</v>
      </c>
      <c r="AA191" s="375"/>
    </row>
    <row r="192" spans="1:27" ht="12.75" customHeight="1" x14ac:dyDescent="0.2">
      <c r="A192" s="6360"/>
      <c r="B192" s="251" t="str">
        <f t="shared" si="2"/>
        <v>Aire72</v>
      </c>
      <c r="D192" s="272" t="s">
        <v>9825</v>
      </c>
      <c r="E192" s="2959" t="s">
        <v>1603</v>
      </c>
      <c r="F192" s="2959">
        <v>72</v>
      </c>
      <c r="G192" s="2962" t="s">
        <v>1381</v>
      </c>
      <c r="H192" s="2962" t="s">
        <v>3950</v>
      </c>
      <c r="I192" s="380" t="s">
        <v>1304</v>
      </c>
      <c r="J192" s="2959">
        <v>9</v>
      </c>
      <c r="K192" s="2959">
        <v>12</v>
      </c>
      <c r="L192" s="2959">
        <v>14</v>
      </c>
      <c r="M192" s="377">
        <v>16</v>
      </c>
      <c r="N192" s="2959">
        <v>200</v>
      </c>
      <c r="O192" s="2959">
        <v>300</v>
      </c>
      <c r="P192" s="2959">
        <v>450</v>
      </c>
      <c r="Q192" s="377">
        <v>600</v>
      </c>
      <c r="R192" s="2959">
        <v>10</v>
      </c>
      <c r="S192" s="2959">
        <v>15</v>
      </c>
      <c r="T192" s="2959">
        <v>20</v>
      </c>
      <c r="U192" s="377">
        <v>25</v>
      </c>
      <c r="V192" s="2954" t="s">
        <v>3951</v>
      </c>
      <c r="W192" s="2954" t="s">
        <v>3952</v>
      </c>
      <c r="X192" s="2954" t="s">
        <v>3953</v>
      </c>
      <c r="Y192" s="2954" t="s">
        <v>3954</v>
      </c>
      <c r="Z192" s="2954" t="s">
        <v>3955</v>
      </c>
      <c r="AA192" s="375"/>
    </row>
    <row r="193" spans="1:27" ht="12.75" customHeight="1" x14ac:dyDescent="0.2">
      <c r="A193" s="6360"/>
      <c r="B193" s="251" t="str">
        <f t="shared" si="2"/>
        <v>Aire76</v>
      </c>
      <c r="D193" s="272" t="s">
        <v>9826</v>
      </c>
      <c r="E193" s="2959" t="s">
        <v>1603</v>
      </c>
      <c r="F193" s="2959">
        <v>76</v>
      </c>
      <c r="G193" s="2962" t="s">
        <v>1381</v>
      </c>
      <c r="H193" s="2962" t="s">
        <v>3956</v>
      </c>
      <c r="I193" s="380" t="s">
        <v>1304</v>
      </c>
      <c r="J193" s="2959">
        <v>9</v>
      </c>
      <c r="K193" s="2959">
        <v>11</v>
      </c>
      <c r="L193" s="2959">
        <v>13</v>
      </c>
      <c r="M193" s="377">
        <v>16</v>
      </c>
      <c r="N193" s="2959">
        <v>140</v>
      </c>
      <c r="O193" s="2959">
        <v>200</v>
      </c>
      <c r="P193" s="2959">
        <v>260</v>
      </c>
      <c r="Q193" s="377">
        <v>350</v>
      </c>
      <c r="R193" s="2959">
        <v>10</v>
      </c>
      <c r="S193" s="2959">
        <v>10</v>
      </c>
      <c r="T193" s="2959">
        <v>15</v>
      </c>
      <c r="U193" s="377">
        <v>25</v>
      </c>
      <c r="V193" s="2954" t="s">
        <v>3957</v>
      </c>
      <c r="W193" s="2954" t="s">
        <v>3958</v>
      </c>
      <c r="X193" s="2954" t="s">
        <v>3959</v>
      </c>
      <c r="Y193" s="2954" t="s">
        <v>3960</v>
      </c>
      <c r="Z193" s="2954" t="s">
        <v>3961</v>
      </c>
      <c r="AA193" s="375"/>
    </row>
    <row r="194" spans="1:27" ht="12.75" customHeight="1" x14ac:dyDescent="0.2">
      <c r="A194" s="6360"/>
      <c r="B194" s="251" t="str">
        <f t="shared" si="2"/>
        <v>Aire80</v>
      </c>
      <c r="D194" s="272" t="s">
        <v>9827</v>
      </c>
      <c r="E194" s="2959" t="s">
        <v>1603</v>
      </c>
      <c r="F194" s="2959">
        <v>80</v>
      </c>
      <c r="G194" s="2962" t="s">
        <v>2088</v>
      </c>
      <c r="H194" s="2962" t="s">
        <v>1234</v>
      </c>
      <c r="I194" s="380" t="s">
        <v>1304</v>
      </c>
      <c r="J194" s="2959">
        <v>9</v>
      </c>
      <c r="K194" s="2959">
        <v>12</v>
      </c>
      <c r="L194" s="2959">
        <v>14</v>
      </c>
      <c r="M194" s="377">
        <v>16</v>
      </c>
      <c r="N194" s="2959">
        <v>250</v>
      </c>
      <c r="O194" s="2959">
        <v>300</v>
      </c>
      <c r="P194" s="2959">
        <v>380</v>
      </c>
      <c r="Q194" s="377">
        <v>500</v>
      </c>
      <c r="R194" s="2959">
        <v>50</v>
      </c>
      <c r="S194" s="2959">
        <v>60</v>
      </c>
      <c r="T194" s="2959">
        <v>80</v>
      </c>
      <c r="U194" s="377">
        <v>100</v>
      </c>
      <c r="V194" s="2954" t="s">
        <v>3962</v>
      </c>
      <c r="W194" s="2954" t="s">
        <v>3963</v>
      </c>
      <c r="X194" s="2954" t="s">
        <v>3964</v>
      </c>
      <c r="Y194" s="2954" t="s">
        <v>3965</v>
      </c>
      <c r="Z194" s="2954" t="s">
        <v>3966</v>
      </c>
      <c r="AA194" s="375"/>
    </row>
    <row r="195" spans="1:27" ht="12.75" customHeight="1" x14ac:dyDescent="0.2">
      <c r="A195" s="6360"/>
      <c r="B195" s="251" t="str">
        <f t="shared" si="2"/>
        <v>Aire82</v>
      </c>
      <c r="D195" s="272" t="s">
        <v>9828</v>
      </c>
      <c r="E195" s="2959" t="s">
        <v>1603</v>
      </c>
      <c r="F195" s="2959">
        <v>82</v>
      </c>
      <c r="G195" s="2962" t="s">
        <v>2088</v>
      </c>
      <c r="H195" s="2962" t="s">
        <v>1234</v>
      </c>
      <c r="I195" s="380" t="s">
        <v>1304</v>
      </c>
      <c r="J195" s="2959">
        <v>10</v>
      </c>
      <c r="K195" s="2959">
        <v>12</v>
      </c>
      <c r="L195" s="2959">
        <v>14</v>
      </c>
      <c r="M195" s="377">
        <v>16</v>
      </c>
      <c r="N195" s="2959">
        <v>250</v>
      </c>
      <c r="O195" s="2959">
        <v>350</v>
      </c>
      <c r="P195" s="2959">
        <v>500</v>
      </c>
      <c r="Q195" s="377">
        <v>700</v>
      </c>
      <c r="R195" s="2959">
        <v>50</v>
      </c>
      <c r="S195" s="2959">
        <v>70</v>
      </c>
      <c r="T195" s="2959">
        <v>100</v>
      </c>
      <c r="U195" s="377">
        <v>140</v>
      </c>
      <c r="V195" s="2954" t="s">
        <v>3355</v>
      </c>
      <c r="W195" s="2954" t="s">
        <v>3356</v>
      </c>
      <c r="X195" s="2954" t="s">
        <v>3357</v>
      </c>
      <c r="Y195" s="2954" t="s">
        <v>3358</v>
      </c>
      <c r="Z195" s="2954" t="s">
        <v>3967</v>
      </c>
      <c r="AA195" s="375"/>
    </row>
    <row r="196" spans="1:27" ht="12.75" customHeight="1" x14ac:dyDescent="0.2">
      <c r="A196" s="6360"/>
      <c r="B196" s="251" t="str">
        <f t="shared" si="2"/>
        <v>Aire86</v>
      </c>
      <c r="D196" s="272" t="s">
        <v>9829</v>
      </c>
      <c r="E196" s="2959" t="s">
        <v>1603</v>
      </c>
      <c r="F196" s="2959">
        <v>86</v>
      </c>
      <c r="G196" s="2962" t="s">
        <v>2088</v>
      </c>
      <c r="H196" s="2962" t="s">
        <v>1234</v>
      </c>
      <c r="I196" s="380" t="s">
        <v>1304</v>
      </c>
      <c r="J196" s="2959">
        <v>10</v>
      </c>
      <c r="K196" s="2959">
        <v>12</v>
      </c>
      <c r="L196" s="2959">
        <v>14</v>
      </c>
      <c r="M196" s="377">
        <v>16</v>
      </c>
      <c r="N196" s="2959">
        <v>160</v>
      </c>
      <c r="O196" s="2959">
        <v>280</v>
      </c>
      <c r="P196" s="2959">
        <v>400</v>
      </c>
      <c r="Q196" s="377">
        <v>550</v>
      </c>
      <c r="R196" s="2959">
        <v>35</v>
      </c>
      <c r="S196" s="2959">
        <v>40</v>
      </c>
      <c r="T196" s="2959">
        <v>50</v>
      </c>
      <c r="U196" s="377">
        <v>60</v>
      </c>
      <c r="V196" s="2954" t="s">
        <v>3968</v>
      </c>
      <c r="W196" s="2954" t="s">
        <v>3969</v>
      </c>
      <c r="X196" s="2954" t="s">
        <v>3970</v>
      </c>
      <c r="Y196" s="2954" t="s">
        <v>3971</v>
      </c>
      <c r="Z196" s="2954" t="s">
        <v>3972</v>
      </c>
      <c r="AA196" s="375"/>
    </row>
    <row r="197" spans="1:27" ht="12.75" customHeight="1" x14ac:dyDescent="0.2">
      <c r="A197" s="6360"/>
      <c r="B197" s="251" t="str">
        <f t="shared" si="2"/>
        <v>Aire90</v>
      </c>
      <c r="D197" s="272" t="s">
        <v>9830</v>
      </c>
      <c r="E197" s="2959" t="s">
        <v>1603</v>
      </c>
      <c r="F197" s="2959">
        <v>90</v>
      </c>
      <c r="G197" s="2962" t="s">
        <v>2088</v>
      </c>
      <c r="H197" s="2962" t="s">
        <v>1234</v>
      </c>
      <c r="I197" s="380" t="s">
        <v>1304</v>
      </c>
      <c r="J197" s="2959">
        <v>9</v>
      </c>
      <c r="K197" s="2959">
        <v>11</v>
      </c>
      <c r="L197" s="2959">
        <v>13</v>
      </c>
      <c r="M197" s="377">
        <v>16</v>
      </c>
      <c r="N197" s="2959">
        <v>180</v>
      </c>
      <c r="O197" s="2959">
        <v>270</v>
      </c>
      <c r="P197" s="2959">
        <v>360</v>
      </c>
      <c r="Q197" s="377">
        <v>450</v>
      </c>
      <c r="R197" s="2959">
        <v>20</v>
      </c>
      <c r="S197" s="2959">
        <v>30</v>
      </c>
      <c r="T197" s="2959">
        <v>40</v>
      </c>
      <c r="U197" s="377">
        <v>45</v>
      </c>
      <c r="V197" s="2954" t="s">
        <v>3973</v>
      </c>
      <c r="W197" s="2954" t="s">
        <v>3974</v>
      </c>
      <c r="X197" s="2954" t="s">
        <v>3975</v>
      </c>
      <c r="Y197" s="2954" t="s">
        <v>3976</v>
      </c>
      <c r="Z197" s="2954" t="s">
        <v>3977</v>
      </c>
      <c r="AA197" s="375"/>
    </row>
    <row r="198" spans="1:27" ht="12.75" customHeight="1" x14ac:dyDescent="0.2">
      <c r="A198" s="6360"/>
      <c r="B198" s="251" t="str">
        <f t="shared" si="2"/>
        <v>Aire92</v>
      </c>
      <c r="D198" s="272" t="s">
        <v>9702</v>
      </c>
      <c r="E198" s="2959" t="s">
        <v>1603</v>
      </c>
      <c r="F198" s="2959">
        <v>92</v>
      </c>
      <c r="G198" s="2962" t="s">
        <v>1381</v>
      </c>
      <c r="H198" s="2962" t="s">
        <v>1234</v>
      </c>
      <c r="I198" s="380" t="s">
        <v>1304</v>
      </c>
      <c r="J198" s="2959">
        <v>12</v>
      </c>
      <c r="K198" s="2959">
        <v>12</v>
      </c>
      <c r="L198" s="2959">
        <v>14</v>
      </c>
      <c r="M198" s="377">
        <v>16</v>
      </c>
      <c r="N198" s="2959">
        <v>300</v>
      </c>
      <c r="O198" s="2959">
        <v>400</v>
      </c>
      <c r="P198" s="2959">
        <v>550</v>
      </c>
      <c r="Q198" s="377">
        <v>800</v>
      </c>
      <c r="R198" s="2959">
        <v>30</v>
      </c>
      <c r="S198" s="2959">
        <v>40</v>
      </c>
      <c r="T198" s="2959">
        <v>55</v>
      </c>
      <c r="U198" s="377">
        <v>80</v>
      </c>
      <c r="V198" s="2954" t="s">
        <v>3978</v>
      </c>
      <c r="W198" s="2954" t="s">
        <v>3503</v>
      </c>
      <c r="X198" s="2954" t="s">
        <v>3504</v>
      </c>
      <c r="Y198" s="2954" t="s">
        <v>3505</v>
      </c>
      <c r="Z198" s="2954" t="s">
        <v>3979</v>
      </c>
      <c r="AA198" s="375"/>
    </row>
    <row r="199" spans="1:27" ht="12.75" customHeight="1" x14ac:dyDescent="0.2">
      <c r="A199" s="6360"/>
      <c r="B199" s="251" t="str">
        <f t="shared" si="2"/>
        <v>Aire96</v>
      </c>
      <c r="D199" s="272" t="s">
        <v>9703</v>
      </c>
      <c r="E199" s="2959" t="s">
        <v>1603</v>
      </c>
      <c r="F199" s="2959">
        <v>96</v>
      </c>
      <c r="G199" s="2962" t="s">
        <v>2088</v>
      </c>
      <c r="H199" s="2962" t="s">
        <v>1235</v>
      </c>
      <c r="I199" s="380" t="s">
        <v>1304</v>
      </c>
      <c r="J199" s="2959">
        <v>10</v>
      </c>
      <c r="K199" s="2959">
        <v>12</v>
      </c>
      <c r="L199" s="2959">
        <v>14</v>
      </c>
      <c r="M199" s="377">
        <v>16</v>
      </c>
      <c r="N199" s="2959">
        <v>300</v>
      </c>
      <c r="O199" s="2959">
        <v>450</v>
      </c>
      <c r="P199" s="2959">
        <v>600</v>
      </c>
      <c r="Q199" s="377">
        <v>1000</v>
      </c>
      <c r="R199" s="2959">
        <v>30</v>
      </c>
      <c r="S199" s="2959">
        <v>45</v>
      </c>
      <c r="T199" s="2959">
        <v>60</v>
      </c>
      <c r="U199" s="377">
        <v>100</v>
      </c>
      <c r="V199" s="2954" t="s">
        <v>3980</v>
      </c>
      <c r="W199" s="2954" t="s">
        <v>3981</v>
      </c>
      <c r="X199" s="2954" t="s">
        <v>3982</v>
      </c>
      <c r="Y199" s="2954" t="s">
        <v>3983</v>
      </c>
      <c r="Z199" s="2954" t="s">
        <v>3984</v>
      </c>
      <c r="AA199" s="375"/>
    </row>
    <row r="200" spans="1:27" ht="12.75" customHeight="1" x14ac:dyDescent="0.2">
      <c r="A200" s="6360"/>
      <c r="B200" s="251" t="str">
        <f t="shared" ref="B200:B263" si="3">E200&amp;F200</f>
        <v>Aire100</v>
      </c>
      <c r="D200" s="272" t="s">
        <v>9704</v>
      </c>
      <c r="E200" s="2959" t="s">
        <v>1603</v>
      </c>
      <c r="F200" s="2959">
        <v>100</v>
      </c>
      <c r="G200" s="2962" t="s">
        <v>1381</v>
      </c>
      <c r="H200" s="2962" t="s">
        <v>1235</v>
      </c>
      <c r="I200" s="380" t="s">
        <v>1304</v>
      </c>
      <c r="J200" s="2959">
        <v>12</v>
      </c>
      <c r="K200" s="2959">
        <v>14</v>
      </c>
      <c r="L200" s="2959">
        <v>16</v>
      </c>
      <c r="M200" s="377">
        <v>18</v>
      </c>
      <c r="N200" s="2959">
        <v>450</v>
      </c>
      <c r="O200" s="2959">
        <v>800</v>
      </c>
      <c r="P200" s="2959">
        <v>1200</v>
      </c>
      <c r="Q200" s="377">
        <v>1600</v>
      </c>
      <c r="R200" s="2959">
        <v>45</v>
      </c>
      <c r="S200" s="2959">
        <v>80</v>
      </c>
      <c r="T200" s="2959">
        <v>120</v>
      </c>
      <c r="U200" s="377">
        <v>200</v>
      </c>
      <c r="V200" s="2954" t="s">
        <v>3985</v>
      </c>
      <c r="W200" s="2954" t="s">
        <v>3986</v>
      </c>
      <c r="X200" s="2954" t="s">
        <v>3987</v>
      </c>
      <c r="Y200" s="2954" t="s">
        <v>3988</v>
      </c>
      <c r="Z200" s="2954" t="s">
        <v>3989</v>
      </c>
      <c r="AA200" s="375"/>
    </row>
    <row r="201" spans="1:27" ht="12.75" customHeight="1" x14ac:dyDescent="0.2">
      <c r="A201" s="6360"/>
      <c r="B201" s="251" t="str">
        <f t="shared" si="3"/>
        <v/>
      </c>
      <c r="D201" s="272" t="s">
        <v>303</v>
      </c>
      <c r="E201" s="2959"/>
      <c r="F201" s="2959"/>
      <c r="G201" s="2962"/>
      <c r="H201" s="2962"/>
      <c r="I201" s="380"/>
      <c r="J201" s="2959"/>
      <c r="K201" s="2959"/>
      <c r="L201" s="2959"/>
      <c r="M201" s="377"/>
      <c r="N201" s="2959"/>
      <c r="O201" s="2959"/>
      <c r="P201" s="2959"/>
      <c r="Q201" s="377"/>
      <c r="R201" s="2959"/>
      <c r="S201" s="2959"/>
      <c r="T201" s="2959"/>
      <c r="U201" s="377"/>
      <c r="V201" s="2954"/>
      <c r="W201" s="2954"/>
      <c r="X201" s="2954"/>
      <c r="Y201" s="2954"/>
      <c r="Z201" s="2954"/>
      <c r="AA201" s="375"/>
    </row>
    <row r="202" spans="1:27" ht="12.75" customHeight="1" x14ac:dyDescent="0.2">
      <c r="A202" s="6360"/>
      <c r="B202" s="251" t="str">
        <f t="shared" si="3"/>
        <v>Agua2</v>
      </c>
      <c r="D202" s="272" t="s">
        <v>9701</v>
      </c>
      <c r="E202" s="2959" t="s">
        <v>1606</v>
      </c>
      <c r="F202" s="2959">
        <v>2</v>
      </c>
      <c r="G202" s="2962" t="s">
        <v>2088</v>
      </c>
      <c r="H202" s="2962" t="s">
        <v>1234</v>
      </c>
      <c r="I202" s="380" t="s">
        <v>1304</v>
      </c>
      <c r="J202" s="2959">
        <v>5</v>
      </c>
      <c r="K202" s="2959">
        <v>7</v>
      </c>
      <c r="L202" s="2959">
        <v>10</v>
      </c>
      <c r="M202" s="377">
        <v>12</v>
      </c>
      <c r="N202" s="2959">
        <v>30</v>
      </c>
      <c r="O202" s="2959">
        <v>80</v>
      </c>
      <c r="P202" s="2959">
        <v>120</v>
      </c>
      <c r="Q202" s="377">
        <v>180</v>
      </c>
      <c r="R202" s="2959">
        <v>5</v>
      </c>
      <c r="S202" s="2959">
        <v>10</v>
      </c>
      <c r="T202" s="2959">
        <v>15</v>
      </c>
      <c r="U202" s="377">
        <v>20</v>
      </c>
      <c r="V202" s="2954" t="s">
        <v>3990</v>
      </c>
      <c r="W202" s="2954" t="s">
        <v>3991</v>
      </c>
      <c r="X202" s="2954" t="s">
        <v>3992</v>
      </c>
      <c r="Y202" s="2954" t="s">
        <v>3993</v>
      </c>
      <c r="Z202" s="2954" t="s">
        <v>3994</v>
      </c>
      <c r="AA202" s="375"/>
    </row>
    <row r="203" spans="1:27" ht="12.75" customHeight="1" x14ac:dyDescent="0.2">
      <c r="A203" s="6360"/>
      <c r="B203" s="251" t="str">
        <f t="shared" si="3"/>
        <v>Agua6</v>
      </c>
      <c r="D203" s="272" t="s">
        <v>163</v>
      </c>
      <c r="E203" s="2959" t="s">
        <v>1606</v>
      </c>
      <c r="F203" s="2959">
        <v>6</v>
      </c>
      <c r="G203" s="2962" t="s">
        <v>2088</v>
      </c>
      <c r="H203" s="2962" t="s">
        <v>1234</v>
      </c>
      <c r="I203" s="380" t="s">
        <v>1304</v>
      </c>
      <c r="J203" s="2959">
        <v>5</v>
      </c>
      <c r="K203" s="2959">
        <v>7</v>
      </c>
      <c r="L203" s="2959">
        <v>10</v>
      </c>
      <c r="M203" s="377">
        <v>12</v>
      </c>
      <c r="N203" s="2959">
        <v>30</v>
      </c>
      <c r="O203" s="2959">
        <v>50</v>
      </c>
      <c r="P203" s="2959">
        <v>90</v>
      </c>
      <c r="Q203" s="377">
        <v>140</v>
      </c>
      <c r="R203" s="2959">
        <v>5</v>
      </c>
      <c r="S203" s="2959">
        <v>5</v>
      </c>
      <c r="T203" s="2959">
        <v>10</v>
      </c>
      <c r="U203" s="377">
        <v>15</v>
      </c>
      <c r="V203" s="2954" t="s">
        <v>3995</v>
      </c>
      <c r="W203" s="2954" t="s">
        <v>3996</v>
      </c>
      <c r="X203" s="2954" t="s">
        <v>3997</v>
      </c>
      <c r="Y203" s="2954" t="s">
        <v>3998</v>
      </c>
      <c r="Z203" s="2954" t="s">
        <v>3999</v>
      </c>
      <c r="AA203" s="375"/>
    </row>
    <row r="204" spans="1:27" ht="12.75" customHeight="1" x14ac:dyDescent="0.2">
      <c r="A204" s="6360"/>
      <c r="B204" s="251" t="str">
        <f t="shared" si="3"/>
        <v>Agua10</v>
      </c>
      <c r="D204" s="272" t="s">
        <v>9705</v>
      </c>
      <c r="E204" s="2959" t="s">
        <v>1606</v>
      </c>
      <c r="F204" s="2959">
        <v>10</v>
      </c>
      <c r="G204" s="2962" t="s">
        <v>2088</v>
      </c>
      <c r="H204" s="2962" t="s">
        <v>1234</v>
      </c>
      <c r="I204" s="380" t="s">
        <v>1304</v>
      </c>
      <c r="J204" s="2959">
        <v>5</v>
      </c>
      <c r="K204" s="2959">
        <v>8</v>
      </c>
      <c r="L204" s="2959">
        <v>10</v>
      </c>
      <c r="M204" s="377">
        <v>12</v>
      </c>
      <c r="N204" s="2959">
        <v>50</v>
      </c>
      <c r="O204" s="2959">
        <v>70</v>
      </c>
      <c r="P204" s="2959">
        <v>100</v>
      </c>
      <c r="Q204" s="377">
        <v>140</v>
      </c>
      <c r="R204" s="2959">
        <v>10</v>
      </c>
      <c r="S204" s="2959">
        <v>20</v>
      </c>
      <c r="T204" s="2959">
        <v>20</v>
      </c>
      <c r="U204" s="377">
        <v>25</v>
      </c>
      <c r="V204" s="2954" t="s">
        <v>4000</v>
      </c>
      <c r="W204" s="2954" t="s">
        <v>4001</v>
      </c>
      <c r="X204" s="2954" t="s">
        <v>4002</v>
      </c>
      <c r="Y204" s="2954" t="s">
        <v>4003</v>
      </c>
      <c r="Z204" s="2954" t="s">
        <v>4004</v>
      </c>
      <c r="AA204" s="375"/>
    </row>
    <row r="205" spans="1:27" ht="12.75" customHeight="1" x14ac:dyDescent="0.2">
      <c r="A205" s="6360"/>
      <c r="B205" s="251" t="str">
        <f t="shared" si="3"/>
        <v>Agua12</v>
      </c>
      <c r="D205" s="272" t="s">
        <v>172</v>
      </c>
      <c r="E205" s="2959" t="s">
        <v>1606</v>
      </c>
      <c r="F205" s="2959">
        <v>12</v>
      </c>
      <c r="G205" s="2962" t="s">
        <v>2088</v>
      </c>
      <c r="H205" s="2962" t="s">
        <v>1234</v>
      </c>
      <c r="I205" s="380" t="s">
        <v>1304</v>
      </c>
      <c r="J205" s="2959">
        <v>6</v>
      </c>
      <c r="K205" s="2959">
        <v>8</v>
      </c>
      <c r="L205" s="2959">
        <v>10</v>
      </c>
      <c r="M205" s="377">
        <v>13</v>
      </c>
      <c r="N205" s="2959">
        <v>50</v>
      </c>
      <c r="O205" s="2959">
        <v>140</v>
      </c>
      <c r="P205" s="2959">
        <v>200</v>
      </c>
      <c r="Q205" s="377">
        <v>300</v>
      </c>
      <c r="R205" s="2959">
        <v>5</v>
      </c>
      <c r="S205" s="2959">
        <v>10</v>
      </c>
      <c r="T205" s="2959">
        <v>10</v>
      </c>
      <c r="U205" s="377">
        <v>15</v>
      </c>
      <c r="V205" s="2954" t="s">
        <v>4005</v>
      </c>
      <c r="W205" s="2954" t="s">
        <v>4006</v>
      </c>
      <c r="X205" s="2954" t="s">
        <v>4007</v>
      </c>
      <c r="Y205" s="2954" t="s">
        <v>4008</v>
      </c>
      <c r="Z205" s="2954" t="s">
        <v>4009</v>
      </c>
      <c r="AA205" s="375"/>
    </row>
    <row r="206" spans="1:27" ht="12.75" customHeight="1" x14ac:dyDescent="0.2">
      <c r="A206" s="6360"/>
      <c r="B206" s="251" t="str">
        <f t="shared" si="3"/>
        <v>Agua16</v>
      </c>
      <c r="D206" s="272" t="s">
        <v>9706</v>
      </c>
      <c r="E206" s="2959" t="s">
        <v>1606</v>
      </c>
      <c r="F206" s="2959">
        <v>16</v>
      </c>
      <c r="G206" s="2962" t="s">
        <v>1381</v>
      </c>
      <c r="H206" s="2962" t="s">
        <v>1565</v>
      </c>
      <c r="I206" s="380" t="s">
        <v>1305</v>
      </c>
      <c r="J206" s="2959">
        <v>6</v>
      </c>
      <c r="K206" s="2959">
        <v>9</v>
      </c>
      <c r="L206" s="2959">
        <v>12</v>
      </c>
      <c r="M206" s="377">
        <v>15</v>
      </c>
      <c r="N206" s="2959">
        <v>40</v>
      </c>
      <c r="O206" s="2959">
        <v>90</v>
      </c>
      <c r="P206" s="2959">
        <v>140</v>
      </c>
      <c r="Q206" s="377">
        <v>220</v>
      </c>
      <c r="R206" s="2959">
        <v>5</v>
      </c>
      <c r="S206" s="2959">
        <v>5</v>
      </c>
      <c r="T206" s="2959">
        <v>10</v>
      </c>
      <c r="U206" s="377">
        <v>10</v>
      </c>
      <c r="V206" s="2954" t="s">
        <v>4010</v>
      </c>
      <c r="W206" s="2954" t="s">
        <v>4011</v>
      </c>
      <c r="X206" s="2954" t="s">
        <v>4012</v>
      </c>
      <c r="Y206" s="2954" t="s">
        <v>4013</v>
      </c>
      <c r="Z206" s="2954" t="s">
        <v>4014</v>
      </c>
      <c r="AA206" s="375"/>
    </row>
    <row r="207" spans="1:27" ht="12.75" customHeight="1" x14ac:dyDescent="0.2">
      <c r="A207" s="6360"/>
      <c r="B207" s="251" t="str">
        <f t="shared" si="3"/>
        <v>Agua20</v>
      </c>
      <c r="D207" s="272" t="s">
        <v>9707</v>
      </c>
      <c r="E207" s="2959" t="s">
        <v>1606</v>
      </c>
      <c r="F207" s="2959">
        <v>20</v>
      </c>
      <c r="G207" s="2962" t="s">
        <v>1381</v>
      </c>
      <c r="H207" s="2962" t="s">
        <v>1232</v>
      </c>
      <c r="I207" s="380" t="s">
        <v>1304</v>
      </c>
      <c r="J207" s="2959">
        <v>5</v>
      </c>
      <c r="K207" s="2959">
        <v>8</v>
      </c>
      <c r="L207" s="2959">
        <v>10</v>
      </c>
      <c r="M207" s="377">
        <v>12</v>
      </c>
      <c r="N207" s="2959">
        <v>50</v>
      </c>
      <c r="O207" s="2959">
        <v>90</v>
      </c>
      <c r="P207" s="2959">
        <v>140</v>
      </c>
      <c r="Q207" s="377">
        <v>200</v>
      </c>
      <c r="R207" s="2959" t="s">
        <v>1381</v>
      </c>
      <c r="S207" s="2959" t="s">
        <v>1381</v>
      </c>
      <c r="T207" s="2959" t="s">
        <v>1381</v>
      </c>
      <c r="U207" s="377" t="s">
        <v>1381</v>
      </c>
      <c r="V207" s="2954" t="s">
        <v>4015</v>
      </c>
      <c r="W207" s="2954" t="s">
        <v>4016</v>
      </c>
      <c r="X207" s="2954" t="s">
        <v>4017</v>
      </c>
      <c r="Y207" s="2954" t="s">
        <v>4018</v>
      </c>
      <c r="Z207" s="2954" t="s">
        <v>4019</v>
      </c>
      <c r="AA207" s="375"/>
    </row>
    <row r="208" spans="1:27" ht="12.75" customHeight="1" x14ac:dyDescent="0.2">
      <c r="A208" s="6360"/>
      <c r="B208" s="251" t="str">
        <f t="shared" si="3"/>
        <v>Agua22</v>
      </c>
      <c r="D208" s="272" t="s">
        <v>9700</v>
      </c>
      <c r="E208" s="2959" t="s">
        <v>1606</v>
      </c>
      <c r="F208" s="2959">
        <v>22</v>
      </c>
      <c r="G208" s="2962" t="s">
        <v>2088</v>
      </c>
      <c r="H208" s="2962" t="s">
        <v>4020</v>
      </c>
      <c r="I208" s="380" t="s">
        <v>1304</v>
      </c>
      <c r="J208" s="2959">
        <v>6</v>
      </c>
      <c r="K208" s="2959">
        <v>9</v>
      </c>
      <c r="L208" s="2959">
        <v>12</v>
      </c>
      <c r="M208" s="377">
        <v>15</v>
      </c>
      <c r="N208" s="2959">
        <v>60</v>
      </c>
      <c r="O208" s="2959">
        <v>100</v>
      </c>
      <c r="P208" s="2959">
        <v>150</v>
      </c>
      <c r="Q208" s="377">
        <v>220</v>
      </c>
      <c r="R208" s="2959">
        <v>10</v>
      </c>
      <c r="S208" s="2959">
        <v>10</v>
      </c>
      <c r="T208" s="2959">
        <v>15</v>
      </c>
      <c r="U208" s="377">
        <v>15</v>
      </c>
      <c r="V208" s="2954" t="s">
        <v>4021</v>
      </c>
      <c r="W208" s="2954" t="s">
        <v>4022</v>
      </c>
      <c r="X208" s="2954" t="s">
        <v>4023</v>
      </c>
      <c r="Y208" s="2954" t="s">
        <v>4024</v>
      </c>
      <c r="Z208" s="2954" t="s">
        <v>4025</v>
      </c>
      <c r="AA208" s="375"/>
    </row>
    <row r="209" spans="1:27" ht="12.75" customHeight="1" x14ac:dyDescent="0.2">
      <c r="A209" s="6360"/>
      <c r="B209" s="251" t="str">
        <f t="shared" si="3"/>
        <v>Agua26</v>
      </c>
      <c r="D209" s="272" t="s">
        <v>9699</v>
      </c>
      <c r="E209" s="2959" t="s">
        <v>1606</v>
      </c>
      <c r="F209" s="2959">
        <v>26</v>
      </c>
      <c r="G209" s="2962" t="s">
        <v>1381</v>
      </c>
      <c r="H209" s="2962" t="s">
        <v>1234</v>
      </c>
      <c r="I209" s="380" t="s">
        <v>1304</v>
      </c>
      <c r="J209" s="2959">
        <v>6</v>
      </c>
      <c r="K209" s="2959">
        <v>9</v>
      </c>
      <c r="L209" s="2959">
        <v>12</v>
      </c>
      <c r="M209" s="377">
        <v>15</v>
      </c>
      <c r="N209" s="2959">
        <v>60</v>
      </c>
      <c r="O209" s="2959">
        <v>90</v>
      </c>
      <c r="P209" s="2959">
        <v>120</v>
      </c>
      <c r="Q209" s="377">
        <v>150</v>
      </c>
      <c r="R209" s="2959">
        <v>5</v>
      </c>
      <c r="S209" s="2959">
        <v>5</v>
      </c>
      <c r="T209" s="2959">
        <v>10</v>
      </c>
      <c r="U209" s="377">
        <v>10</v>
      </c>
      <c r="V209" s="2954" t="s">
        <v>4026</v>
      </c>
      <c r="W209" s="2954" t="s">
        <v>4027</v>
      </c>
      <c r="X209" s="2954" t="s">
        <v>9698</v>
      </c>
      <c r="Y209" s="2954" t="s">
        <v>9931</v>
      </c>
      <c r="Z209" s="2954" t="s">
        <v>4028</v>
      </c>
      <c r="AA209" s="375"/>
    </row>
    <row r="210" spans="1:27" ht="12.75" customHeight="1" x14ac:dyDescent="0.2">
      <c r="A210" s="6360"/>
      <c r="B210" s="251" t="str">
        <f t="shared" si="3"/>
        <v>Agua30</v>
      </c>
      <c r="D210" s="272" t="s">
        <v>9831</v>
      </c>
      <c r="E210" s="2959" t="s">
        <v>1606</v>
      </c>
      <c r="F210" s="2959">
        <v>30</v>
      </c>
      <c r="G210" s="2962" t="s">
        <v>2088</v>
      </c>
      <c r="H210" s="2962" t="s">
        <v>4020</v>
      </c>
      <c r="I210" s="380" t="s">
        <v>1304</v>
      </c>
      <c r="J210" s="2959">
        <v>6</v>
      </c>
      <c r="K210" s="2959">
        <v>9</v>
      </c>
      <c r="L210" s="2959">
        <v>12</v>
      </c>
      <c r="M210" s="377">
        <v>15</v>
      </c>
      <c r="N210" s="2959">
        <v>50</v>
      </c>
      <c r="O210" s="2959">
        <v>80</v>
      </c>
      <c r="P210" s="2959">
        <v>120</v>
      </c>
      <c r="Q210" s="377">
        <v>180</v>
      </c>
      <c r="R210" s="2959">
        <v>5</v>
      </c>
      <c r="S210" s="2959">
        <v>10</v>
      </c>
      <c r="T210" s="2959">
        <v>15</v>
      </c>
      <c r="U210" s="377">
        <v>20</v>
      </c>
      <c r="V210" s="2954" t="s">
        <v>4029</v>
      </c>
      <c r="W210" s="2954" t="s">
        <v>4030</v>
      </c>
      <c r="X210" s="2954" t="s">
        <v>4031</v>
      </c>
      <c r="Y210" s="2954" t="s">
        <v>4032</v>
      </c>
      <c r="Z210" s="2954" t="s">
        <v>4033</v>
      </c>
      <c r="AA210" s="375"/>
    </row>
    <row r="211" spans="1:27" ht="12.75" customHeight="1" x14ac:dyDescent="0.2">
      <c r="A211" s="6360"/>
      <c r="B211" s="251" t="str">
        <f t="shared" si="3"/>
        <v>Agua32</v>
      </c>
      <c r="D211" s="272" t="s">
        <v>167</v>
      </c>
      <c r="E211" s="2959" t="s">
        <v>1606</v>
      </c>
      <c r="F211" s="2959">
        <v>32</v>
      </c>
      <c r="G211" s="2962" t="s">
        <v>2088</v>
      </c>
      <c r="H211" s="2962" t="s">
        <v>4020</v>
      </c>
      <c r="I211" s="380" t="s">
        <v>1304</v>
      </c>
      <c r="J211" s="2959">
        <v>6</v>
      </c>
      <c r="K211" s="2959">
        <v>9</v>
      </c>
      <c r="L211" s="2959">
        <v>12</v>
      </c>
      <c r="M211" s="377">
        <v>15</v>
      </c>
      <c r="N211" s="2959">
        <v>60</v>
      </c>
      <c r="O211" s="2959">
        <v>100</v>
      </c>
      <c r="P211" s="2959">
        <v>140</v>
      </c>
      <c r="Q211" s="377">
        <v>220</v>
      </c>
      <c r="R211" s="2959">
        <v>10</v>
      </c>
      <c r="S211" s="2959">
        <v>10</v>
      </c>
      <c r="T211" s="2959">
        <v>15</v>
      </c>
      <c r="U211" s="377">
        <v>15</v>
      </c>
      <c r="V211" s="2954" t="s">
        <v>4034</v>
      </c>
      <c r="W211" s="2954" t="s">
        <v>4035</v>
      </c>
      <c r="X211" s="2954" t="s">
        <v>4036</v>
      </c>
      <c r="Y211" s="2954" t="s">
        <v>4037</v>
      </c>
      <c r="Z211" s="2954" t="s">
        <v>4038</v>
      </c>
      <c r="AA211" s="375"/>
    </row>
    <row r="212" spans="1:27" ht="12.75" customHeight="1" x14ac:dyDescent="0.2">
      <c r="A212" s="6360"/>
      <c r="B212" s="251" t="str">
        <f t="shared" si="3"/>
        <v>Agua36</v>
      </c>
      <c r="D212" s="272" t="s">
        <v>9832</v>
      </c>
      <c r="E212" s="2959" t="s">
        <v>1606</v>
      </c>
      <c r="F212" s="2959">
        <v>36</v>
      </c>
      <c r="G212" s="2962" t="s">
        <v>1381</v>
      </c>
      <c r="H212" s="2962" t="s">
        <v>1565</v>
      </c>
      <c r="I212" s="380" t="s">
        <v>1305</v>
      </c>
      <c r="J212" s="2959">
        <v>6</v>
      </c>
      <c r="K212" s="2959">
        <v>9</v>
      </c>
      <c r="L212" s="2959">
        <v>12</v>
      </c>
      <c r="M212" s="377">
        <v>15</v>
      </c>
      <c r="N212" s="2959">
        <v>60</v>
      </c>
      <c r="O212" s="2959">
        <v>180</v>
      </c>
      <c r="P212" s="2959">
        <v>240</v>
      </c>
      <c r="Q212" s="377">
        <v>300</v>
      </c>
      <c r="R212" s="2959">
        <v>10</v>
      </c>
      <c r="S212" s="2959">
        <v>10</v>
      </c>
      <c r="T212" s="2959">
        <v>15</v>
      </c>
      <c r="U212" s="377">
        <v>15</v>
      </c>
      <c r="V212" s="2954" t="s">
        <v>4039</v>
      </c>
      <c r="W212" s="2954" t="s">
        <v>4040</v>
      </c>
      <c r="X212" s="2954" t="s">
        <v>4041</v>
      </c>
      <c r="Y212" s="2954" t="s">
        <v>4042</v>
      </c>
      <c r="Z212" s="2955" t="s">
        <v>10142</v>
      </c>
      <c r="AA212" s="375"/>
    </row>
    <row r="213" spans="1:27" ht="12.75" customHeight="1" x14ac:dyDescent="0.2">
      <c r="A213" s="6360"/>
      <c r="B213" s="251" t="str">
        <f t="shared" si="3"/>
        <v>Agua40</v>
      </c>
      <c r="D213" s="272" t="s">
        <v>9833</v>
      </c>
      <c r="E213" s="2959" t="s">
        <v>1606</v>
      </c>
      <c r="F213" s="2959">
        <v>40</v>
      </c>
      <c r="G213" s="2962" t="s">
        <v>2088</v>
      </c>
      <c r="H213" s="2962" t="s">
        <v>1234</v>
      </c>
      <c r="I213" s="380" t="s">
        <v>1304</v>
      </c>
      <c r="J213" s="2959">
        <v>6</v>
      </c>
      <c r="K213" s="2959">
        <v>9</v>
      </c>
      <c r="L213" s="2959">
        <v>12</v>
      </c>
      <c r="M213" s="377">
        <v>16</v>
      </c>
      <c r="N213" s="2959">
        <v>80</v>
      </c>
      <c r="O213" s="2959">
        <v>140</v>
      </c>
      <c r="P213" s="2959">
        <v>240</v>
      </c>
      <c r="Q213" s="377">
        <v>350</v>
      </c>
      <c r="R213" s="2959">
        <v>10</v>
      </c>
      <c r="S213" s="2959">
        <v>20</v>
      </c>
      <c r="T213" s="2959">
        <v>25</v>
      </c>
      <c r="U213" s="377">
        <v>30</v>
      </c>
      <c r="V213" s="2954" t="s">
        <v>4043</v>
      </c>
      <c r="W213" s="2954" t="s">
        <v>4044</v>
      </c>
      <c r="X213" s="2954" t="s">
        <v>4045</v>
      </c>
      <c r="Y213" s="2954" t="s">
        <v>4046</v>
      </c>
      <c r="Z213" s="2954" t="s">
        <v>4047</v>
      </c>
      <c r="AA213" s="375"/>
    </row>
    <row r="214" spans="1:27" ht="12.75" customHeight="1" x14ac:dyDescent="0.2">
      <c r="A214" s="6360"/>
      <c r="B214" s="251" t="str">
        <f t="shared" si="3"/>
        <v>Agua42</v>
      </c>
      <c r="D214" s="272" t="s">
        <v>9834</v>
      </c>
      <c r="E214" s="2959" t="s">
        <v>1606</v>
      </c>
      <c r="F214" s="2959">
        <v>42</v>
      </c>
      <c r="G214" s="2962" t="s">
        <v>1381</v>
      </c>
      <c r="H214" s="2962" t="s">
        <v>1232</v>
      </c>
      <c r="I214" s="380" t="s">
        <v>1304</v>
      </c>
      <c r="J214" s="2959">
        <v>6</v>
      </c>
      <c r="K214" s="2959">
        <v>9</v>
      </c>
      <c r="L214" s="2959">
        <v>12</v>
      </c>
      <c r="M214" s="377">
        <v>15</v>
      </c>
      <c r="N214" s="2959">
        <v>80</v>
      </c>
      <c r="O214" s="2959">
        <v>160</v>
      </c>
      <c r="P214" s="2959">
        <v>240</v>
      </c>
      <c r="Q214" s="377">
        <v>300</v>
      </c>
      <c r="R214" s="2959" t="s">
        <v>1381</v>
      </c>
      <c r="S214" s="2959" t="s">
        <v>1381</v>
      </c>
      <c r="T214" s="2959" t="s">
        <v>1381</v>
      </c>
      <c r="U214" s="377" t="s">
        <v>1381</v>
      </c>
      <c r="V214" s="2954" t="s">
        <v>4048</v>
      </c>
      <c r="W214" s="2954" t="s">
        <v>3244</v>
      </c>
      <c r="X214" s="2954" t="s">
        <v>4049</v>
      </c>
      <c r="Y214" s="2954" t="s">
        <v>4050</v>
      </c>
      <c r="Z214" s="2954" t="s">
        <v>4051</v>
      </c>
      <c r="AA214" s="375"/>
    </row>
    <row r="215" spans="1:27" ht="12.75" customHeight="1" x14ac:dyDescent="0.2">
      <c r="A215" s="6360"/>
      <c r="B215" s="251" t="str">
        <f t="shared" si="3"/>
        <v>Agua46</v>
      </c>
      <c r="D215" s="272" t="s">
        <v>9835</v>
      </c>
      <c r="E215" s="2959" t="s">
        <v>1606</v>
      </c>
      <c r="F215" s="2959">
        <v>46</v>
      </c>
      <c r="G215" s="2962" t="s">
        <v>1381</v>
      </c>
      <c r="H215" s="2962" t="s">
        <v>4020</v>
      </c>
      <c r="I215" s="380" t="s">
        <v>1304</v>
      </c>
      <c r="J215" s="2959">
        <v>8</v>
      </c>
      <c r="K215" s="2959">
        <v>10</v>
      </c>
      <c r="L215" s="2959">
        <v>12</v>
      </c>
      <c r="M215" s="377">
        <v>14</v>
      </c>
      <c r="N215" s="2959">
        <v>80</v>
      </c>
      <c r="O215" s="2959">
        <v>120</v>
      </c>
      <c r="P215" s="2959">
        <v>150</v>
      </c>
      <c r="Q215" s="377">
        <v>200</v>
      </c>
      <c r="R215" s="2959">
        <v>5</v>
      </c>
      <c r="S215" s="2959">
        <v>10</v>
      </c>
      <c r="T215" s="2959">
        <v>15</v>
      </c>
      <c r="U215" s="377">
        <v>20</v>
      </c>
      <c r="V215" s="2954" t="s">
        <v>4052</v>
      </c>
      <c r="W215" s="2954" t="s">
        <v>4053</v>
      </c>
      <c r="X215" s="2954" t="s">
        <v>4054</v>
      </c>
      <c r="Y215" s="2954" t="s">
        <v>4055</v>
      </c>
      <c r="Z215" s="2954" t="s">
        <v>4056</v>
      </c>
      <c r="AA215" s="375"/>
    </row>
    <row r="216" spans="1:27" ht="12.75" customHeight="1" x14ac:dyDescent="0.2">
      <c r="A216" s="6360"/>
      <c r="B216" s="251" t="str">
        <f t="shared" si="3"/>
        <v>Agua50</v>
      </c>
      <c r="D216" s="272" t="s">
        <v>9836</v>
      </c>
      <c r="E216" s="2959" t="s">
        <v>1606</v>
      </c>
      <c r="F216" s="2959">
        <v>50</v>
      </c>
      <c r="G216" s="2962" t="s">
        <v>1381</v>
      </c>
      <c r="H216" s="2962" t="s">
        <v>4020</v>
      </c>
      <c r="I216" s="380" t="s">
        <v>1304</v>
      </c>
      <c r="J216" s="2959">
        <v>7</v>
      </c>
      <c r="K216" s="2959">
        <v>10</v>
      </c>
      <c r="L216" s="2959">
        <v>13</v>
      </c>
      <c r="M216" s="377">
        <v>15</v>
      </c>
      <c r="N216" s="2959">
        <v>80</v>
      </c>
      <c r="O216" s="2959">
        <v>160</v>
      </c>
      <c r="P216" s="2959">
        <v>240</v>
      </c>
      <c r="Q216" s="377">
        <v>350</v>
      </c>
      <c r="R216" s="2959">
        <v>5</v>
      </c>
      <c r="S216" s="2959">
        <v>10</v>
      </c>
      <c r="T216" s="2959">
        <v>15</v>
      </c>
      <c r="U216" s="377">
        <v>20</v>
      </c>
      <c r="V216" s="2954" t="s">
        <v>4057</v>
      </c>
      <c r="W216" s="2954" t="s">
        <v>4058</v>
      </c>
      <c r="X216" s="2954" t="s">
        <v>4059</v>
      </c>
      <c r="Y216" s="2954" t="s">
        <v>4060</v>
      </c>
      <c r="Z216" s="2954" t="s">
        <v>4061</v>
      </c>
      <c r="AA216" s="375"/>
    </row>
    <row r="217" spans="1:27" ht="12.75" customHeight="1" x14ac:dyDescent="0.2">
      <c r="A217" s="6360"/>
      <c r="B217" s="251" t="str">
        <f t="shared" si="3"/>
        <v>Agua52</v>
      </c>
      <c r="D217" s="272" t="s">
        <v>9837</v>
      </c>
      <c r="E217" s="2959" t="s">
        <v>1606</v>
      </c>
      <c r="F217" s="2959">
        <v>52</v>
      </c>
      <c r="G217" s="2962" t="s">
        <v>1381</v>
      </c>
      <c r="H217" s="2962" t="s">
        <v>1234</v>
      </c>
      <c r="I217" s="380" t="s">
        <v>1304</v>
      </c>
      <c r="J217" s="2959">
        <v>8</v>
      </c>
      <c r="K217" s="2959">
        <v>11</v>
      </c>
      <c r="L217" s="2959">
        <v>13</v>
      </c>
      <c r="M217" s="377">
        <v>16</v>
      </c>
      <c r="N217" s="2959">
        <v>100</v>
      </c>
      <c r="O217" s="2959">
        <v>120</v>
      </c>
      <c r="P217" s="2959">
        <v>140</v>
      </c>
      <c r="Q217" s="377">
        <v>160</v>
      </c>
      <c r="R217" s="2959">
        <v>10</v>
      </c>
      <c r="S217" s="2959">
        <v>15</v>
      </c>
      <c r="T217" s="2959">
        <v>15</v>
      </c>
      <c r="U217" s="377">
        <v>20</v>
      </c>
      <c r="V217" s="2954" t="s">
        <v>4062</v>
      </c>
      <c r="W217" s="2954" t="s">
        <v>4063</v>
      </c>
      <c r="X217" s="2954" t="s">
        <v>4064</v>
      </c>
      <c r="Y217" s="2954" t="s">
        <v>4065</v>
      </c>
      <c r="Z217" s="2954" t="s">
        <v>4066</v>
      </c>
      <c r="AA217" s="375"/>
    </row>
    <row r="218" spans="1:27" ht="12.75" customHeight="1" x14ac:dyDescent="0.2">
      <c r="A218" s="6360"/>
      <c r="B218" s="251" t="str">
        <f t="shared" si="3"/>
        <v>Agua56</v>
      </c>
      <c r="D218" s="272" t="s">
        <v>9838</v>
      </c>
      <c r="E218" s="2959" t="s">
        <v>1606</v>
      </c>
      <c r="F218" s="2959">
        <v>56</v>
      </c>
      <c r="G218" s="2962" t="s">
        <v>1381</v>
      </c>
      <c r="H218" s="2962" t="s">
        <v>4067</v>
      </c>
      <c r="I218" s="380" t="s">
        <v>1305</v>
      </c>
      <c r="J218" s="2959">
        <v>7</v>
      </c>
      <c r="K218" s="2959">
        <v>10</v>
      </c>
      <c r="L218" s="2959">
        <v>13</v>
      </c>
      <c r="M218" s="377">
        <v>16</v>
      </c>
      <c r="N218" s="2959">
        <v>120</v>
      </c>
      <c r="O218" s="2959">
        <v>180</v>
      </c>
      <c r="P218" s="2959">
        <v>240</v>
      </c>
      <c r="Q218" s="377">
        <v>320</v>
      </c>
      <c r="R218" s="2959" t="s">
        <v>1381</v>
      </c>
      <c r="S218" s="2959" t="s">
        <v>1381</v>
      </c>
      <c r="T218" s="2959" t="s">
        <v>1381</v>
      </c>
      <c r="U218" s="377" t="s">
        <v>1381</v>
      </c>
      <c r="V218" s="2954" t="s">
        <v>3486</v>
      </c>
      <c r="W218" s="2954" t="s">
        <v>4068</v>
      </c>
      <c r="X218" s="2954" t="s">
        <v>4069</v>
      </c>
      <c r="Y218" s="2954" t="s">
        <v>3323</v>
      </c>
      <c r="Z218" s="2954" t="s">
        <v>4070</v>
      </c>
      <c r="AA218" s="375"/>
    </row>
    <row r="219" spans="1:27" ht="12.75" customHeight="1" x14ac:dyDescent="0.2">
      <c r="A219" s="6360"/>
      <c r="B219" s="251" t="str">
        <f t="shared" si="3"/>
        <v>Agua60</v>
      </c>
      <c r="D219" s="272" t="s">
        <v>9839</v>
      </c>
      <c r="E219" s="2959" t="s">
        <v>1606</v>
      </c>
      <c r="F219" s="2959">
        <v>60</v>
      </c>
      <c r="G219" s="2962" t="s">
        <v>1381</v>
      </c>
      <c r="H219" s="2962" t="s">
        <v>3210</v>
      </c>
      <c r="I219" s="380" t="s">
        <v>1304</v>
      </c>
      <c r="J219" s="2959">
        <v>7</v>
      </c>
      <c r="K219" s="2959">
        <v>10</v>
      </c>
      <c r="L219" s="2959">
        <v>12</v>
      </c>
      <c r="M219" s="377">
        <v>15</v>
      </c>
      <c r="N219" s="2959">
        <v>120</v>
      </c>
      <c r="O219" s="2959">
        <v>180</v>
      </c>
      <c r="P219" s="2959">
        <v>240</v>
      </c>
      <c r="Q219" s="377">
        <v>320</v>
      </c>
      <c r="R219" s="2959">
        <v>10</v>
      </c>
      <c r="S219" s="2959">
        <v>10</v>
      </c>
      <c r="T219" s="2959">
        <v>15</v>
      </c>
      <c r="U219" s="377">
        <v>15</v>
      </c>
      <c r="V219" s="2954" t="s">
        <v>3475</v>
      </c>
      <c r="W219" s="2954" t="s">
        <v>4071</v>
      </c>
      <c r="X219" s="2954" t="s">
        <v>4072</v>
      </c>
      <c r="Y219" s="2954" t="s">
        <v>4073</v>
      </c>
      <c r="Z219" s="2954" t="s">
        <v>4074</v>
      </c>
      <c r="AA219" s="375"/>
    </row>
    <row r="220" spans="1:27" ht="12.75" customHeight="1" x14ac:dyDescent="0.2">
      <c r="A220" s="6360"/>
      <c r="B220" s="251" t="str">
        <f t="shared" si="3"/>
        <v>Agua62</v>
      </c>
      <c r="D220" s="272" t="s">
        <v>9840</v>
      </c>
      <c r="E220" s="2959" t="s">
        <v>1606</v>
      </c>
      <c r="F220" s="2959">
        <v>62</v>
      </c>
      <c r="G220" s="2962" t="s">
        <v>2088</v>
      </c>
      <c r="H220" s="2962" t="s">
        <v>1234</v>
      </c>
      <c r="I220" s="380" t="s">
        <v>1304</v>
      </c>
      <c r="J220" s="2959">
        <v>6</v>
      </c>
      <c r="K220" s="2959">
        <v>9</v>
      </c>
      <c r="L220" s="2959">
        <v>12</v>
      </c>
      <c r="M220" s="377">
        <v>15</v>
      </c>
      <c r="N220" s="2959">
        <v>150</v>
      </c>
      <c r="O220" s="2959">
        <v>300</v>
      </c>
      <c r="P220" s="2959">
        <v>450</v>
      </c>
      <c r="Q220" s="377">
        <v>600</v>
      </c>
      <c r="R220" s="2959">
        <v>15</v>
      </c>
      <c r="S220" s="2959">
        <v>30</v>
      </c>
      <c r="T220" s="2959">
        <v>45</v>
      </c>
      <c r="U220" s="377">
        <v>60</v>
      </c>
      <c r="V220" s="2954" t="s">
        <v>4075</v>
      </c>
      <c r="W220" s="2954" t="s">
        <v>4076</v>
      </c>
      <c r="X220" s="2954" t="s">
        <v>4077</v>
      </c>
      <c r="Y220" s="2954" t="s">
        <v>4078</v>
      </c>
      <c r="Z220" s="2954" t="s">
        <v>4079</v>
      </c>
      <c r="AA220" s="375"/>
    </row>
    <row r="221" spans="1:27" ht="12.75" customHeight="1" x14ac:dyDescent="0.2">
      <c r="A221" s="6360"/>
      <c r="B221" s="251" t="str">
        <f t="shared" si="3"/>
        <v>Agua66</v>
      </c>
      <c r="D221" s="272" t="s">
        <v>9841</v>
      </c>
      <c r="E221" s="2959" t="s">
        <v>1606</v>
      </c>
      <c r="F221" s="2959">
        <v>66</v>
      </c>
      <c r="G221" s="2962" t="s">
        <v>1381</v>
      </c>
      <c r="H221" s="2962" t="s">
        <v>3210</v>
      </c>
      <c r="I221" s="380" t="s">
        <v>1304</v>
      </c>
      <c r="J221" s="2959">
        <v>7</v>
      </c>
      <c r="K221" s="2959">
        <v>10</v>
      </c>
      <c r="L221" s="2959">
        <v>13</v>
      </c>
      <c r="M221" s="377">
        <v>16</v>
      </c>
      <c r="N221" s="2959">
        <v>140</v>
      </c>
      <c r="O221" s="2959">
        <v>200</v>
      </c>
      <c r="P221" s="2959">
        <v>280</v>
      </c>
      <c r="Q221" s="377">
        <v>350</v>
      </c>
      <c r="R221" s="2959">
        <v>10</v>
      </c>
      <c r="S221" s="2959">
        <v>10</v>
      </c>
      <c r="T221" s="2959">
        <v>15</v>
      </c>
      <c r="U221" s="377">
        <v>20</v>
      </c>
      <c r="V221" s="2954" t="s">
        <v>4080</v>
      </c>
      <c r="W221" s="2954" t="s">
        <v>4081</v>
      </c>
      <c r="X221" s="2954" t="s">
        <v>4082</v>
      </c>
      <c r="Y221" s="2954" t="s">
        <v>4083</v>
      </c>
      <c r="Z221" s="2954" t="s">
        <v>4084</v>
      </c>
      <c r="AA221" s="375"/>
    </row>
    <row r="222" spans="1:27" ht="12.75" customHeight="1" x14ac:dyDescent="0.2">
      <c r="A222" s="6360"/>
      <c r="B222" s="251" t="str">
        <f t="shared" si="3"/>
        <v>Agua70</v>
      </c>
      <c r="D222" s="272" t="s">
        <v>9842</v>
      </c>
      <c r="E222" s="2959" t="s">
        <v>1606</v>
      </c>
      <c r="F222" s="2959">
        <v>70</v>
      </c>
      <c r="G222" s="2962" t="s">
        <v>2088</v>
      </c>
      <c r="H222" s="2962" t="s">
        <v>1234</v>
      </c>
      <c r="I222" s="380" t="s">
        <v>1304</v>
      </c>
      <c r="J222" s="2959">
        <v>10</v>
      </c>
      <c r="K222" s="2959">
        <v>12</v>
      </c>
      <c r="L222" s="2959">
        <v>14</v>
      </c>
      <c r="M222" s="377">
        <v>16</v>
      </c>
      <c r="N222" s="2959">
        <v>200</v>
      </c>
      <c r="O222" s="2959">
        <v>300</v>
      </c>
      <c r="P222" s="2959">
        <v>400</v>
      </c>
      <c r="Q222" s="377">
        <v>500</v>
      </c>
      <c r="R222" s="2959">
        <v>40</v>
      </c>
      <c r="S222" s="2959">
        <v>60</v>
      </c>
      <c r="T222" s="2959">
        <v>80</v>
      </c>
      <c r="U222" s="377">
        <v>100</v>
      </c>
      <c r="V222" s="2954" t="s">
        <v>4085</v>
      </c>
      <c r="W222" s="2954" t="s">
        <v>4086</v>
      </c>
      <c r="X222" s="2954" t="s">
        <v>4087</v>
      </c>
      <c r="Y222" s="2954" t="s">
        <v>4088</v>
      </c>
      <c r="Z222" s="2954" t="s">
        <v>4089</v>
      </c>
      <c r="AA222" s="375"/>
    </row>
    <row r="223" spans="1:27" ht="12.75" customHeight="1" x14ac:dyDescent="0.2">
      <c r="A223" s="6360"/>
      <c r="B223" s="251" t="str">
        <f t="shared" si="3"/>
        <v>Agua72</v>
      </c>
      <c r="D223" s="272" t="s">
        <v>3070</v>
      </c>
      <c r="E223" s="2959" t="s">
        <v>1606</v>
      </c>
      <c r="F223" s="2959">
        <v>72</v>
      </c>
      <c r="G223" s="2962" t="s">
        <v>1381</v>
      </c>
      <c r="H223" s="2962" t="s">
        <v>1234</v>
      </c>
      <c r="I223" s="380" t="s">
        <v>1304</v>
      </c>
      <c r="J223" s="2959">
        <v>10</v>
      </c>
      <c r="K223" s="2959">
        <v>12</v>
      </c>
      <c r="L223" s="2959">
        <v>15</v>
      </c>
      <c r="M223" s="377">
        <v>17</v>
      </c>
      <c r="N223" s="2959">
        <v>250</v>
      </c>
      <c r="O223" s="2959">
        <v>350</v>
      </c>
      <c r="P223" s="2959">
        <v>450</v>
      </c>
      <c r="Q223" s="377">
        <v>550</v>
      </c>
      <c r="R223" s="2959" t="s">
        <v>1381</v>
      </c>
      <c r="S223" s="2959" t="s">
        <v>1381</v>
      </c>
      <c r="T223" s="2959" t="s">
        <v>1381</v>
      </c>
      <c r="U223" s="377" t="s">
        <v>1381</v>
      </c>
      <c r="V223" s="2954" t="s">
        <v>4090</v>
      </c>
      <c r="W223" s="2954" t="s">
        <v>4091</v>
      </c>
      <c r="X223" s="2954" t="s">
        <v>4092</v>
      </c>
      <c r="Y223" s="2954" t="s">
        <v>4093</v>
      </c>
      <c r="Z223" s="2954" t="s">
        <v>4094</v>
      </c>
      <c r="AA223" s="375"/>
    </row>
    <row r="224" spans="1:27" ht="12.75" customHeight="1" x14ac:dyDescent="0.2">
      <c r="A224" s="6360"/>
      <c r="B224" s="251" t="str">
        <f t="shared" si="3"/>
        <v>Agua76</v>
      </c>
      <c r="D224" s="272" t="s">
        <v>9843</v>
      </c>
      <c r="E224" s="2959" t="s">
        <v>1606</v>
      </c>
      <c r="F224" s="2959">
        <v>76</v>
      </c>
      <c r="G224" s="2962" t="s">
        <v>1381</v>
      </c>
      <c r="H224" s="2962" t="s">
        <v>3210</v>
      </c>
      <c r="I224" s="380" t="s">
        <v>1304</v>
      </c>
      <c r="J224" s="2959">
        <v>10</v>
      </c>
      <c r="K224" s="2959">
        <v>12</v>
      </c>
      <c r="L224" s="2959">
        <v>14</v>
      </c>
      <c r="M224" s="377">
        <v>16</v>
      </c>
      <c r="N224" s="2959">
        <v>200</v>
      </c>
      <c r="O224" s="2959">
        <v>280</v>
      </c>
      <c r="P224" s="2959">
        <v>320</v>
      </c>
      <c r="Q224" s="377">
        <v>400</v>
      </c>
      <c r="R224" s="2959">
        <v>20</v>
      </c>
      <c r="S224" s="2959">
        <v>30</v>
      </c>
      <c r="T224" s="2959">
        <v>35</v>
      </c>
      <c r="U224" s="377">
        <v>40</v>
      </c>
      <c r="V224" s="2954" t="s">
        <v>4095</v>
      </c>
      <c r="W224" s="2954" t="s">
        <v>4096</v>
      </c>
      <c r="X224" s="2954" t="s">
        <v>4097</v>
      </c>
      <c r="Y224" s="2954" t="s">
        <v>4098</v>
      </c>
      <c r="Z224" s="2954" t="s">
        <v>4099</v>
      </c>
      <c r="AA224" s="375"/>
    </row>
    <row r="225" spans="1:27" ht="12.75" customHeight="1" x14ac:dyDescent="0.2">
      <c r="A225" s="6360"/>
      <c r="B225" s="251" t="str">
        <f t="shared" si="3"/>
        <v>Agua80</v>
      </c>
      <c r="D225" s="272" t="s">
        <v>9844</v>
      </c>
      <c r="E225" s="2959" t="s">
        <v>1606</v>
      </c>
      <c r="F225" s="2959">
        <v>80</v>
      </c>
      <c r="G225" s="2962" t="s">
        <v>1381</v>
      </c>
      <c r="H225" s="2962" t="s">
        <v>3210</v>
      </c>
      <c r="I225" s="380" t="s">
        <v>1304</v>
      </c>
      <c r="J225" s="2959">
        <v>10</v>
      </c>
      <c r="K225" s="2959">
        <v>12</v>
      </c>
      <c r="L225" s="2959">
        <v>14</v>
      </c>
      <c r="M225" s="377">
        <v>16</v>
      </c>
      <c r="N225" s="2959">
        <v>200</v>
      </c>
      <c r="O225" s="2959">
        <v>320</v>
      </c>
      <c r="P225" s="2959">
        <v>450</v>
      </c>
      <c r="Q225" s="377">
        <v>600</v>
      </c>
      <c r="R225" s="2959">
        <v>20</v>
      </c>
      <c r="S225" s="2959">
        <v>25</v>
      </c>
      <c r="T225" s="2959">
        <v>30</v>
      </c>
      <c r="U225" s="377">
        <v>35</v>
      </c>
      <c r="V225" s="2954" t="s">
        <v>4100</v>
      </c>
      <c r="W225" s="2954" t="s">
        <v>4101</v>
      </c>
      <c r="X225" s="2954" t="s">
        <v>4102</v>
      </c>
      <c r="Y225" s="2954" t="s">
        <v>4103</v>
      </c>
      <c r="Z225" s="2954" t="s">
        <v>4104</v>
      </c>
      <c r="AA225" s="375"/>
    </row>
    <row r="226" spans="1:27" ht="12.75" customHeight="1" x14ac:dyDescent="0.2">
      <c r="A226" s="6360"/>
      <c r="B226" s="251" t="str">
        <f t="shared" si="3"/>
        <v>Agua82</v>
      </c>
      <c r="D226" s="272" t="s">
        <v>9845</v>
      </c>
      <c r="E226" s="2959" t="s">
        <v>1606</v>
      </c>
      <c r="F226" s="2959">
        <v>82</v>
      </c>
      <c r="G226" s="2962" t="s">
        <v>2088</v>
      </c>
      <c r="H226" s="2962" t="s">
        <v>1234</v>
      </c>
      <c r="I226" s="380" t="s">
        <v>1304</v>
      </c>
      <c r="J226" s="2959">
        <v>10</v>
      </c>
      <c r="K226" s="2959">
        <v>12</v>
      </c>
      <c r="L226" s="2959">
        <v>14</v>
      </c>
      <c r="M226" s="377">
        <v>16</v>
      </c>
      <c r="N226" s="2959">
        <v>250</v>
      </c>
      <c r="O226" s="2959">
        <v>350</v>
      </c>
      <c r="P226" s="2959">
        <v>500</v>
      </c>
      <c r="Q226" s="377">
        <v>700</v>
      </c>
      <c r="R226" s="2959">
        <v>50</v>
      </c>
      <c r="S226" s="2959">
        <v>70</v>
      </c>
      <c r="T226" s="2959">
        <v>100</v>
      </c>
      <c r="U226" s="377">
        <v>140</v>
      </c>
      <c r="V226" s="2954" t="s">
        <v>3355</v>
      </c>
      <c r="W226" s="2954" t="s">
        <v>3500</v>
      </c>
      <c r="X226" s="2954" t="s">
        <v>3357</v>
      </c>
      <c r="Y226" s="2954" t="s">
        <v>3358</v>
      </c>
      <c r="Z226" s="2954" t="s">
        <v>4105</v>
      </c>
      <c r="AA226" s="375"/>
    </row>
    <row r="227" spans="1:27" ht="12.75" customHeight="1" x14ac:dyDescent="0.2">
      <c r="A227" s="6360"/>
      <c r="B227" s="251" t="str">
        <f t="shared" si="3"/>
        <v>Agua86</v>
      </c>
      <c r="D227" s="272" t="s">
        <v>9846</v>
      </c>
      <c r="E227" s="2959" t="s">
        <v>1606</v>
      </c>
      <c r="F227" s="2959">
        <v>86</v>
      </c>
      <c r="G227" s="2962" t="s">
        <v>2088</v>
      </c>
      <c r="H227" s="2962" t="s">
        <v>1234</v>
      </c>
      <c r="I227" s="380" t="s">
        <v>1305</v>
      </c>
      <c r="J227" s="2959">
        <v>9</v>
      </c>
      <c r="K227" s="2959">
        <v>12</v>
      </c>
      <c r="L227" s="2959">
        <v>15</v>
      </c>
      <c r="M227" s="377">
        <v>18</v>
      </c>
      <c r="N227" s="2959">
        <v>250</v>
      </c>
      <c r="O227" s="2959">
        <v>400</v>
      </c>
      <c r="P227" s="2959">
        <v>550</v>
      </c>
      <c r="Q227" s="377">
        <v>800</v>
      </c>
      <c r="R227" s="2959">
        <v>50</v>
      </c>
      <c r="S227" s="2959">
        <v>75</v>
      </c>
      <c r="T227" s="2959">
        <v>90</v>
      </c>
      <c r="U227" s="377">
        <v>100</v>
      </c>
      <c r="V227" s="2954" t="s">
        <v>4106</v>
      </c>
      <c r="W227" s="2954" t="s">
        <v>4107</v>
      </c>
      <c r="X227" s="2954" t="s">
        <v>4108</v>
      </c>
      <c r="Y227" s="2954" t="s">
        <v>4109</v>
      </c>
      <c r="Z227" s="2954" t="s">
        <v>4110</v>
      </c>
      <c r="AA227" s="375"/>
    </row>
    <row r="228" spans="1:27" ht="12.75" customHeight="1" x14ac:dyDescent="0.2">
      <c r="A228" s="6360"/>
      <c r="B228" s="251" t="str">
        <f t="shared" si="3"/>
        <v>Agua90</v>
      </c>
      <c r="D228" s="272" t="s">
        <v>9847</v>
      </c>
      <c r="E228" s="2959" t="s">
        <v>1606</v>
      </c>
      <c r="F228" s="2959">
        <v>90</v>
      </c>
      <c r="G228" s="2962" t="s">
        <v>2088</v>
      </c>
      <c r="H228" s="2962" t="s">
        <v>1234</v>
      </c>
      <c r="I228" s="380" t="s">
        <v>1304</v>
      </c>
      <c r="J228" s="2959">
        <v>9</v>
      </c>
      <c r="K228" s="2959">
        <v>12</v>
      </c>
      <c r="L228" s="2959">
        <v>15</v>
      </c>
      <c r="M228" s="377">
        <v>17</v>
      </c>
      <c r="N228" s="2959">
        <v>300</v>
      </c>
      <c r="O228" s="2959">
        <v>480</v>
      </c>
      <c r="P228" s="2959">
        <v>600</v>
      </c>
      <c r="Q228" s="377">
        <v>800</v>
      </c>
      <c r="R228" s="2959">
        <v>30</v>
      </c>
      <c r="S228" s="2959">
        <v>50</v>
      </c>
      <c r="T228" s="2959">
        <v>60</v>
      </c>
      <c r="U228" s="377">
        <v>70</v>
      </c>
      <c r="V228" s="2954" t="s">
        <v>4111</v>
      </c>
      <c r="W228" s="2954" t="s">
        <v>4112</v>
      </c>
      <c r="X228" s="2954" t="s">
        <v>4113</v>
      </c>
      <c r="Y228" s="2954" t="s">
        <v>4114</v>
      </c>
      <c r="Z228" s="2954" t="s">
        <v>4115</v>
      </c>
      <c r="AA228" s="375"/>
    </row>
    <row r="229" spans="1:27" ht="12.75" customHeight="1" x14ac:dyDescent="0.2">
      <c r="A229" s="6360"/>
      <c r="B229" s="251" t="str">
        <f t="shared" si="3"/>
        <v>Agua92</v>
      </c>
      <c r="D229" s="272" t="s">
        <v>9848</v>
      </c>
      <c r="E229" s="2959" t="s">
        <v>1606</v>
      </c>
      <c r="F229" s="2959">
        <v>92</v>
      </c>
      <c r="G229" s="2962" t="s">
        <v>2088</v>
      </c>
      <c r="H229" s="2962" t="s">
        <v>3210</v>
      </c>
      <c r="I229" s="380" t="s">
        <v>1304</v>
      </c>
      <c r="J229" s="2959">
        <v>10</v>
      </c>
      <c r="K229" s="2959">
        <v>12</v>
      </c>
      <c r="L229" s="2959">
        <v>14</v>
      </c>
      <c r="M229" s="377">
        <v>16</v>
      </c>
      <c r="N229" s="2959">
        <v>300</v>
      </c>
      <c r="O229" s="2959">
        <v>450</v>
      </c>
      <c r="P229" s="2959">
        <v>600</v>
      </c>
      <c r="Q229" s="377">
        <v>1000</v>
      </c>
      <c r="R229" s="2959">
        <v>30</v>
      </c>
      <c r="S229" s="2959">
        <v>45</v>
      </c>
      <c r="T229" s="2959">
        <v>60</v>
      </c>
      <c r="U229" s="377">
        <v>100</v>
      </c>
      <c r="V229" s="2954" t="s">
        <v>4116</v>
      </c>
      <c r="W229" s="2954" t="s">
        <v>4117</v>
      </c>
      <c r="X229" s="2954" t="s">
        <v>4118</v>
      </c>
      <c r="Y229" s="2954" t="s">
        <v>4119</v>
      </c>
      <c r="Z229" s="2954" t="s">
        <v>4120</v>
      </c>
      <c r="AA229" s="375"/>
    </row>
    <row r="230" spans="1:27" ht="12.75" customHeight="1" x14ac:dyDescent="0.2">
      <c r="A230" s="6360"/>
      <c r="B230" s="251" t="str">
        <f t="shared" si="3"/>
        <v>Agua96</v>
      </c>
      <c r="D230" s="272" t="s">
        <v>9849</v>
      </c>
      <c r="E230" s="2959" t="s">
        <v>1606</v>
      </c>
      <c r="F230" s="2959">
        <v>96</v>
      </c>
      <c r="G230" s="2962" t="s">
        <v>2088</v>
      </c>
      <c r="H230" s="2962" t="s">
        <v>3210</v>
      </c>
      <c r="I230" s="380" t="s">
        <v>1304</v>
      </c>
      <c r="J230" s="2959">
        <v>10</v>
      </c>
      <c r="K230" s="2959">
        <v>12</v>
      </c>
      <c r="L230" s="2959">
        <v>15</v>
      </c>
      <c r="M230" s="377">
        <v>18</v>
      </c>
      <c r="N230" s="2959">
        <v>300</v>
      </c>
      <c r="O230" s="2959">
        <v>450</v>
      </c>
      <c r="P230" s="2959">
        <v>600</v>
      </c>
      <c r="Q230" s="377">
        <v>1000</v>
      </c>
      <c r="R230" s="2959">
        <v>30</v>
      </c>
      <c r="S230" s="2959">
        <v>45</v>
      </c>
      <c r="T230" s="2959">
        <v>60</v>
      </c>
      <c r="U230" s="377">
        <v>100</v>
      </c>
      <c r="V230" s="2954" t="s">
        <v>4116</v>
      </c>
      <c r="W230" s="2954" t="s">
        <v>4117</v>
      </c>
      <c r="X230" s="2954" t="s">
        <v>4118</v>
      </c>
      <c r="Y230" s="2954" t="s">
        <v>4121</v>
      </c>
      <c r="Z230" s="2954" t="s">
        <v>4122</v>
      </c>
      <c r="AA230" s="375"/>
    </row>
    <row r="231" spans="1:27" ht="12.75" customHeight="1" x14ac:dyDescent="0.2">
      <c r="A231" s="6360"/>
      <c r="B231" s="251" t="str">
        <f t="shared" si="3"/>
        <v>Agua100</v>
      </c>
      <c r="D231" s="272" t="s">
        <v>9850</v>
      </c>
      <c r="E231" s="2959" t="s">
        <v>1606</v>
      </c>
      <c r="F231" s="2959">
        <v>100</v>
      </c>
      <c r="G231" s="2962" t="s">
        <v>2088</v>
      </c>
      <c r="H231" s="2962" t="s">
        <v>3210</v>
      </c>
      <c r="I231" s="380" t="s">
        <v>1304</v>
      </c>
      <c r="J231" s="2959">
        <v>12</v>
      </c>
      <c r="K231" s="2959">
        <v>15</v>
      </c>
      <c r="L231" s="2959">
        <v>17</v>
      </c>
      <c r="M231" s="377">
        <v>20</v>
      </c>
      <c r="N231" s="2959">
        <v>450</v>
      </c>
      <c r="O231" s="2959">
        <v>800</v>
      </c>
      <c r="P231" s="2959">
        <v>1200</v>
      </c>
      <c r="Q231" s="377">
        <v>1600</v>
      </c>
      <c r="R231" s="2959">
        <v>90</v>
      </c>
      <c r="S231" s="2959">
        <v>115</v>
      </c>
      <c r="T231" s="2959">
        <v>130</v>
      </c>
      <c r="U231" s="377">
        <v>145</v>
      </c>
      <c r="V231" s="2954" t="s">
        <v>3486</v>
      </c>
      <c r="W231" s="2954" t="s">
        <v>4069</v>
      </c>
      <c r="X231" s="2954" t="s">
        <v>3323</v>
      </c>
      <c r="Y231" s="2954" t="s">
        <v>3324</v>
      </c>
      <c r="Z231" s="2954" t="s">
        <v>4123</v>
      </c>
      <c r="AA231" s="375"/>
    </row>
    <row r="232" spans="1:27" ht="12.75" customHeight="1" x14ac:dyDescent="0.2">
      <c r="A232" s="6360"/>
      <c r="B232" s="251" t="str">
        <f t="shared" si="3"/>
        <v/>
      </c>
      <c r="D232" s="272" t="s">
        <v>304</v>
      </c>
      <c r="E232" s="2959"/>
      <c r="F232" s="2959"/>
      <c r="G232" s="2962"/>
      <c r="H232" s="2962"/>
      <c r="I232" s="380"/>
      <c r="J232" s="2959"/>
      <c r="K232" s="2959"/>
      <c r="L232" s="2959"/>
      <c r="M232" s="377"/>
      <c r="N232" s="2959"/>
      <c r="O232" s="2959"/>
      <c r="P232" s="2959"/>
      <c r="Q232" s="377"/>
      <c r="R232" s="2959"/>
      <c r="S232" s="2959"/>
      <c r="T232" s="2959"/>
      <c r="U232" s="377"/>
      <c r="V232" s="2954"/>
      <c r="W232" s="2954"/>
      <c r="X232" s="2954"/>
      <c r="Y232" s="2954"/>
      <c r="Z232" s="2954"/>
      <c r="AA232" s="375"/>
    </row>
    <row r="233" spans="1:27" ht="12.75" customHeight="1" x14ac:dyDescent="0.2">
      <c r="A233" s="6360"/>
      <c r="B233" s="251" t="str">
        <f t="shared" si="3"/>
        <v>Fuego2</v>
      </c>
      <c r="D233" s="272" t="s">
        <v>151</v>
      </c>
      <c r="E233" s="2959" t="s">
        <v>1610</v>
      </c>
      <c r="F233" s="2959">
        <v>2</v>
      </c>
      <c r="G233" s="2962" t="s">
        <v>2088</v>
      </c>
      <c r="H233" s="2962" t="s">
        <v>1234</v>
      </c>
      <c r="I233" s="380" t="s">
        <v>1304</v>
      </c>
      <c r="J233" s="2959">
        <v>5</v>
      </c>
      <c r="K233" s="2959">
        <v>8</v>
      </c>
      <c r="L233" s="2959">
        <v>10</v>
      </c>
      <c r="M233" s="377">
        <v>12</v>
      </c>
      <c r="N233" s="2959">
        <v>30</v>
      </c>
      <c r="O233" s="2959">
        <v>80</v>
      </c>
      <c r="P233" s="2959">
        <v>100</v>
      </c>
      <c r="Q233" s="377">
        <v>120</v>
      </c>
      <c r="R233" s="2959">
        <v>5</v>
      </c>
      <c r="S233" s="2959">
        <v>10</v>
      </c>
      <c r="T233" s="2959">
        <v>10</v>
      </c>
      <c r="U233" s="377">
        <v>15</v>
      </c>
      <c r="V233" s="2954" t="s">
        <v>4124</v>
      </c>
      <c r="W233" s="2954" t="s">
        <v>4125</v>
      </c>
      <c r="X233" s="2954" t="s">
        <v>4126</v>
      </c>
      <c r="Y233" s="2954" t="s">
        <v>4127</v>
      </c>
      <c r="Z233" s="2954" t="s">
        <v>4128</v>
      </c>
      <c r="AA233" s="375"/>
    </row>
    <row r="234" spans="1:27" ht="12.75" customHeight="1" x14ac:dyDescent="0.2">
      <c r="A234" s="6360"/>
      <c r="B234" s="251" t="str">
        <f t="shared" si="3"/>
        <v>Fuego6</v>
      </c>
      <c r="D234" s="272" t="s">
        <v>152</v>
      </c>
      <c r="E234" s="2959" t="s">
        <v>1610</v>
      </c>
      <c r="F234" s="2959">
        <v>6</v>
      </c>
      <c r="G234" s="2962" t="s">
        <v>1381</v>
      </c>
      <c r="H234" s="2962" t="s">
        <v>1234</v>
      </c>
      <c r="I234" s="380" t="s">
        <v>1304</v>
      </c>
      <c r="J234" s="2959">
        <v>5</v>
      </c>
      <c r="K234" s="2959">
        <v>8</v>
      </c>
      <c r="L234" s="2959">
        <v>10</v>
      </c>
      <c r="M234" s="377">
        <v>13</v>
      </c>
      <c r="N234" s="2959">
        <v>30</v>
      </c>
      <c r="O234" s="2959">
        <v>80</v>
      </c>
      <c r="P234" s="2959">
        <v>120</v>
      </c>
      <c r="Q234" s="377">
        <v>200</v>
      </c>
      <c r="R234" s="2959" t="s">
        <v>1381</v>
      </c>
      <c r="S234" s="2959" t="s">
        <v>1381</v>
      </c>
      <c r="T234" s="2959" t="s">
        <v>1381</v>
      </c>
      <c r="U234" s="377" t="s">
        <v>1381</v>
      </c>
      <c r="V234" s="2954" t="s">
        <v>4129</v>
      </c>
      <c r="W234" s="2954" t="s">
        <v>4130</v>
      </c>
      <c r="X234" s="2954" t="s">
        <v>4131</v>
      </c>
      <c r="Y234" s="2954" t="s">
        <v>4132</v>
      </c>
      <c r="Z234" s="2954" t="s">
        <v>4133</v>
      </c>
      <c r="AA234" s="375"/>
    </row>
    <row r="235" spans="1:27" ht="12.75" customHeight="1" x14ac:dyDescent="0.2">
      <c r="A235" s="6360"/>
      <c r="B235" s="251" t="str">
        <f t="shared" si="3"/>
        <v>Fuego10</v>
      </c>
      <c r="D235" s="272" t="s">
        <v>9851</v>
      </c>
      <c r="E235" s="2959" t="s">
        <v>1610</v>
      </c>
      <c r="F235" s="2959">
        <v>10</v>
      </c>
      <c r="G235" s="2962" t="s">
        <v>2088</v>
      </c>
      <c r="H235" s="2962" t="s">
        <v>1234</v>
      </c>
      <c r="I235" s="380" t="s">
        <v>1304</v>
      </c>
      <c r="J235" s="2959">
        <v>6</v>
      </c>
      <c r="K235" s="2959">
        <v>8</v>
      </c>
      <c r="L235" s="2959">
        <v>10</v>
      </c>
      <c r="M235" s="377">
        <v>13</v>
      </c>
      <c r="N235" s="2959">
        <v>50</v>
      </c>
      <c r="O235" s="2959">
        <v>140</v>
      </c>
      <c r="P235" s="2959">
        <v>200</v>
      </c>
      <c r="Q235" s="377">
        <v>300</v>
      </c>
      <c r="R235" s="2959">
        <v>5</v>
      </c>
      <c r="S235" s="2959">
        <v>10</v>
      </c>
      <c r="T235" s="2959">
        <v>10</v>
      </c>
      <c r="U235" s="377">
        <v>15</v>
      </c>
      <c r="V235" s="2954" t="s">
        <v>4134</v>
      </c>
      <c r="W235" s="2954" t="s">
        <v>4135</v>
      </c>
      <c r="X235" s="2954" t="s">
        <v>10249</v>
      </c>
      <c r="Y235" s="2954" t="s">
        <v>10250</v>
      </c>
      <c r="Z235" s="2954" t="s">
        <v>4136</v>
      </c>
      <c r="AA235" s="375"/>
    </row>
    <row r="236" spans="1:27" ht="12.75" customHeight="1" x14ac:dyDescent="0.2">
      <c r="A236" s="6360"/>
      <c r="B236" s="251" t="str">
        <f t="shared" si="3"/>
        <v>Fuego12</v>
      </c>
      <c r="D236" s="272" t="s">
        <v>9852</v>
      </c>
      <c r="E236" s="2959" t="s">
        <v>1610</v>
      </c>
      <c r="F236" s="2959">
        <v>12</v>
      </c>
      <c r="G236" s="2962" t="s">
        <v>1381</v>
      </c>
      <c r="H236" s="2962" t="s">
        <v>1236</v>
      </c>
      <c r="I236" s="380" t="s">
        <v>1304</v>
      </c>
      <c r="J236" s="2959">
        <v>6</v>
      </c>
      <c r="K236" s="2959">
        <v>9</v>
      </c>
      <c r="L236" s="2959">
        <v>12</v>
      </c>
      <c r="M236" s="377">
        <v>15</v>
      </c>
      <c r="N236" s="2959">
        <v>60</v>
      </c>
      <c r="O236" s="2959">
        <v>100</v>
      </c>
      <c r="P236" s="2959">
        <v>140</v>
      </c>
      <c r="Q236" s="377">
        <v>200</v>
      </c>
      <c r="R236" s="2959">
        <v>10</v>
      </c>
      <c r="S236" s="2959">
        <v>10</v>
      </c>
      <c r="T236" s="2959">
        <v>15</v>
      </c>
      <c r="U236" s="377">
        <v>15</v>
      </c>
      <c r="V236" s="2954" t="s">
        <v>4137</v>
      </c>
      <c r="W236" s="2954" t="s">
        <v>4138</v>
      </c>
      <c r="X236" s="2954" t="s">
        <v>4139</v>
      </c>
      <c r="Y236" s="2954" t="s">
        <v>4140</v>
      </c>
      <c r="Z236" s="2954" t="s">
        <v>4141</v>
      </c>
      <c r="AA236" s="375"/>
    </row>
    <row r="237" spans="1:27" ht="12.75" customHeight="1" x14ac:dyDescent="0.2">
      <c r="A237" s="6360"/>
      <c r="B237" s="251" t="str">
        <f t="shared" si="3"/>
        <v>Fuego16</v>
      </c>
      <c r="D237" s="272" t="s">
        <v>9853</v>
      </c>
      <c r="E237" s="2959" t="s">
        <v>1610</v>
      </c>
      <c r="F237" s="2959">
        <v>16</v>
      </c>
      <c r="G237" s="2962" t="s">
        <v>1381</v>
      </c>
      <c r="H237" s="2962" t="s">
        <v>1232</v>
      </c>
      <c r="I237" s="380" t="s">
        <v>1304</v>
      </c>
      <c r="J237" s="2959">
        <v>6</v>
      </c>
      <c r="K237" s="2959">
        <v>9</v>
      </c>
      <c r="L237" s="2959">
        <v>12</v>
      </c>
      <c r="M237" s="377">
        <v>15</v>
      </c>
      <c r="N237" s="2959">
        <v>50</v>
      </c>
      <c r="O237" s="2959">
        <v>100</v>
      </c>
      <c r="P237" s="2959">
        <v>160</v>
      </c>
      <c r="Q237" s="377">
        <v>250</v>
      </c>
      <c r="R237" s="2959" t="s">
        <v>1381</v>
      </c>
      <c r="S237" s="2959" t="s">
        <v>1381</v>
      </c>
      <c r="T237" s="2959" t="s">
        <v>1381</v>
      </c>
      <c r="U237" s="377" t="s">
        <v>1381</v>
      </c>
      <c r="V237" s="2954" t="s">
        <v>4142</v>
      </c>
      <c r="W237" s="2954" t="s">
        <v>4143</v>
      </c>
      <c r="X237" s="2954" t="s">
        <v>4144</v>
      </c>
      <c r="Y237" s="2954" t="s">
        <v>4145</v>
      </c>
      <c r="Z237" s="2954" t="s">
        <v>4146</v>
      </c>
      <c r="AA237" s="375"/>
    </row>
    <row r="238" spans="1:27" ht="12.75" customHeight="1" x14ac:dyDescent="0.2">
      <c r="A238" s="6360"/>
      <c r="B238" s="251" t="str">
        <f t="shared" si="3"/>
        <v>Fuego20</v>
      </c>
      <c r="D238" s="272" t="s">
        <v>9854</v>
      </c>
      <c r="E238" s="2959" t="s">
        <v>1610</v>
      </c>
      <c r="F238" s="2959">
        <v>20</v>
      </c>
      <c r="G238" s="2962" t="s">
        <v>2088</v>
      </c>
      <c r="H238" s="2962" t="s">
        <v>1234</v>
      </c>
      <c r="I238" s="380" t="s">
        <v>1304</v>
      </c>
      <c r="J238" s="2959">
        <v>6</v>
      </c>
      <c r="K238" s="2959">
        <v>9</v>
      </c>
      <c r="L238" s="2959">
        <v>12</v>
      </c>
      <c r="M238" s="377">
        <v>15</v>
      </c>
      <c r="N238" s="2959">
        <v>50</v>
      </c>
      <c r="O238" s="2959">
        <v>80</v>
      </c>
      <c r="P238" s="2959">
        <v>120</v>
      </c>
      <c r="Q238" s="377">
        <v>180</v>
      </c>
      <c r="R238" s="2959">
        <v>5</v>
      </c>
      <c r="S238" s="2959">
        <v>10</v>
      </c>
      <c r="T238" s="2959">
        <v>15</v>
      </c>
      <c r="U238" s="377">
        <v>20</v>
      </c>
      <c r="V238" s="2954" t="s">
        <v>4147</v>
      </c>
      <c r="W238" s="2954" t="s">
        <v>4148</v>
      </c>
      <c r="X238" s="2954" t="s">
        <v>4149</v>
      </c>
      <c r="Y238" s="2954" t="s">
        <v>4150</v>
      </c>
      <c r="Z238" s="2954" t="s">
        <v>4151</v>
      </c>
      <c r="AA238" s="375"/>
    </row>
    <row r="239" spans="1:27" ht="12.75" customHeight="1" x14ac:dyDescent="0.2">
      <c r="A239" s="6360"/>
      <c r="B239" s="251" t="str">
        <f t="shared" si="3"/>
        <v>Fuego22</v>
      </c>
      <c r="D239" s="272" t="s">
        <v>9855</v>
      </c>
      <c r="E239" s="2959" t="s">
        <v>1610</v>
      </c>
      <c r="F239" s="2959">
        <v>22</v>
      </c>
      <c r="G239" s="2962" t="s">
        <v>1381</v>
      </c>
      <c r="H239" s="2962" t="s">
        <v>1565</v>
      </c>
      <c r="I239" s="380" t="s">
        <v>1304</v>
      </c>
      <c r="J239" s="2959">
        <v>6</v>
      </c>
      <c r="K239" s="2959">
        <v>9</v>
      </c>
      <c r="L239" s="2959">
        <v>12</v>
      </c>
      <c r="M239" s="377">
        <v>15</v>
      </c>
      <c r="N239" s="2959">
        <v>50</v>
      </c>
      <c r="O239" s="2959">
        <v>90</v>
      </c>
      <c r="P239" s="2959">
        <v>120</v>
      </c>
      <c r="Q239" s="377">
        <v>150</v>
      </c>
      <c r="R239" s="2959">
        <v>5</v>
      </c>
      <c r="S239" s="2959">
        <v>10</v>
      </c>
      <c r="T239" s="2959">
        <v>10</v>
      </c>
      <c r="U239" s="377">
        <v>15</v>
      </c>
      <c r="V239" s="2954" t="s">
        <v>4152</v>
      </c>
      <c r="W239" s="2954" t="s">
        <v>4153</v>
      </c>
      <c r="X239" s="2954" t="s">
        <v>4154</v>
      </c>
      <c r="Y239" s="2954" t="s">
        <v>4155</v>
      </c>
      <c r="Z239" s="2954" t="s">
        <v>4156</v>
      </c>
      <c r="AA239" s="375"/>
    </row>
    <row r="240" spans="1:27" ht="12.75" customHeight="1" x14ac:dyDescent="0.2">
      <c r="A240" s="6360"/>
      <c r="B240" s="251" t="str">
        <f t="shared" si="3"/>
        <v>Fuego26</v>
      </c>
      <c r="D240" s="272" t="s">
        <v>9856</v>
      </c>
      <c r="E240" s="2959" t="s">
        <v>1610</v>
      </c>
      <c r="F240" s="2959">
        <v>26</v>
      </c>
      <c r="G240" s="2962" t="s">
        <v>1381</v>
      </c>
      <c r="H240" s="2962" t="s">
        <v>1234</v>
      </c>
      <c r="I240" s="380" t="s">
        <v>1304</v>
      </c>
      <c r="J240" s="2959">
        <v>6</v>
      </c>
      <c r="K240" s="2959">
        <v>9</v>
      </c>
      <c r="L240" s="2959">
        <v>11</v>
      </c>
      <c r="M240" s="377">
        <v>14</v>
      </c>
      <c r="N240" s="2959">
        <v>50</v>
      </c>
      <c r="O240" s="2959">
        <v>80</v>
      </c>
      <c r="P240" s="2959">
        <v>100</v>
      </c>
      <c r="Q240" s="377">
        <v>120</v>
      </c>
      <c r="R240" s="2959">
        <v>5</v>
      </c>
      <c r="S240" s="2959">
        <v>10</v>
      </c>
      <c r="T240" s="2959">
        <v>10</v>
      </c>
      <c r="U240" s="377">
        <v>15</v>
      </c>
      <c r="V240" s="2954" t="s">
        <v>4157</v>
      </c>
      <c r="W240" s="2954" t="s">
        <v>4158</v>
      </c>
      <c r="X240" s="2954" t="s">
        <v>4159</v>
      </c>
      <c r="Y240" s="2954" t="s">
        <v>4160</v>
      </c>
      <c r="Z240" s="2954" t="s">
        <v>4161</v>
      </c>
      <c r="AA240" s="375"/>
    </row>
    <row r="241" spans="1:27" ht="12.75" customHeight="1" x14ac:dyDescent="0.2">
      <c r="A241" s="6360"/>
      <c r="B241" s="251" t="str">
        <f t="shared" si="3"/>
        <v>Fuego30</v>
      </c>
      <c r="D241" s="272" t="s">
        <v>9857</v>
      </c>
      <c r="E241" s="2959" t="s">
        <v>1610</v>
      </c>
      <c r="F241" s="2959">
        <v>30</v>
      </c>
      <c r="G241" s="2962" t="s">
        <v>1381</v>
      </c>
      <c r="H241" s="2962" t="s">
        <v>1232</v>
      </c>
      <c r="I241" s="380" t="s">
        <v>1304</v>
      </c>
      <c r="J241" s="2959">
        <v>6</v>
      </c>
      <c r="K241" s="2959">
        <v>9</v>
      </c>
      <c r="L241" s="2959">
        <v>12</v>
      </c>
      <c r="M241" s="377">
        <v>15</v>
      </c>
      <c r="N241" s="2959">
        <v>60</v>
      </c>
      <c r="O241" s="2959">
        <v>90</v>
      </c>
      <c r="P241" s="2959">
        <v>120</v>
      </c>
      <c r="Q241" s="377">
        <v>150</v>
      </c>
      <c r="R241" s="2959" t="s">
        <v>1381</v>
      </c>
      <c r="S241" s="2959" t="s">
        <v>1381</v>
      </c>
      <c r="T241" s="2959" t="s">
        <v>1381</v>
      </c>
      <c r="U241" s="377" t="s">
        <v>1381</v>
      </c>
      <c r="V241" s="2954" t="s">
        <v>4162</v>
      </c>
      <c r="W241" s="2954" t="s">
        <v>4163</v>
      </c>
      <c r="X241" s="2954" t="s">
        <v>4164</v>
      </c>
      <c r="Y241" s="2954" t="s">
        <v>4165</v>
      </c>
      <c r="Z241" s="2954" t="s">
        <v>4166</v>
      </c>
      <c r="AA241" s="375"/>
    </row>
    <row r="242" spans="1:27" ht="12.75" customHeight="1" x14ac:dyDescent="0.2">
      <c r="A242" s="6360"/>
      <c r="B242" s="251" t="str">
        <f t="shared" si="3"/>
        <v>Fuego32</v>
      </c>
      <c r="D242" s="272" t="s">
        <v>9858</v>
      </c>
      <c r="E242" s="2959" t="s">
        <v>1610</v>
      </c>
      <c r="F242" s="2959">
        <v>32</v>
      </c>
      <c r="G242" s="2962" t="s">
        <v>1381</v>
      </c>
      <c r="H242" s="2962" t="s">
        <v>1234</v>
      </c>
      <c r="I242" s="380" t="s">
        <v>1304</v>
      </c>
      <c r="J242" s="2959">
        <v>6</v>
      </c>
      <c r="K242" s="2959">
        <v>10</v>
      </c>
      <c r="L242" s="2959">
        <v>13</v>
      </c>
      <c r="M242" s="377">
        <v>15</v>
      </c>
      <c r="N242" s="2959">
        <v>60</v>
      </c>
      <c r="O242" s="2959">
        <v>140</v>
      </c>
      <c r="P242" s="2959">
        <v>220</v>
      </c>
      <c r="Q242" s="377">
        <v>340</v>
      </c>
      <c r="R242" s="2959" t="s">
        <v>1381</v>
      </c>
      <c r="S242" s="2959" t="s">
        <v>1381</v>
      </c>
      <c r="T242" s="2959" t="s">
        <v>1381</v>
      </c>
      <c r="U242" s="377" t="s">
        <v>1381</v>
      </c>
      <c r="V242" s="2954" t="s">
        <v>4167</v>
      </c>
      <c r="W242" s="2954" t="s">
        <v>4168</v>
      </c>
      <c r="X242" s="2954" t="s">
        <v>4169</v>
      </c>
      <c r="Y242" s="2954" t="s">
        <v>4170</v>
      </c>
      <c r="Z242" s="2954" t="s">
        <v>4171</v>
      </c>
      <c r="AA242" s="375"/>
    </row>
    <row r="243" spans="1:27" ht="12.75" customHeight="1" x14ac:dyDescent="0.2">
      <c r="A243" s="6360"/>
      <c r="B243" s="251" t="str">
        <f t="shared" si="3"/>
        <v>Fuego36</v>
      </c>
      <c r="D243" s="272" t="s">
        <v>9859</v>
      </c>
      <c r="E243" s="2959" t="s">
        <v>1610</v>
      </c>
      <c r="F243" s="2959">
        <v>36</v>
      </c>
      <c r="G243" s="2962" t="s">
        <v>2088</v>
      </c>
      <c r="H243" s="2962" t="s">
        <v>1234</v>
      </c>
      <c r="I243" s="380" t="s">
        <v>1304</v>
      </c>
      <c r="J243" s="2959">
        <v>7</v>
      </c>
      <c r="K243" s="2959">
        <v>10</v>
      </c>
      <c r="L243" s="2959">
        <v>12</v>
      </c>
      <c r="M243" s="377">
        <v>15</v>
      </c>
      <c r="N243" s="2959">
        <v>60</v>
      </c>
      <c r="O243" s="2959">
        <v>140</v>
      </c>
      <c r="P243" s="2959">
        <v>240</v>
      </c>
      <c r="Q243" s="377">
        <v>300</v>
      </c>
      <c r="R243" s="2959">
        <v>15</v>
      </c>
      <c r="S243" s="2959">
        <v>40</v>
      </c>
      <c r="T243" s="2959">
        <v>50</v>
      </c>
      <c r="U243" s="377">
        <v>60</v>
      </c>
      <c r="V243" s="2954" t="s">
        <v>4172</v>
      </c>
      <c r="W243" s="2954" t="s">
        <v>4173</v>
      </c>
      <c r="X243" s="2954" t="s">
        <v>4174</v>
      </c>
      <c r="Y243" s="2954" t="s">
        <v>4175</v>
      </c>
      <c r="Z243" s="2954" t="s">
        <v>4176</v>
      </c>
      <c r="AA243" s="375"/>
    </row>
    <row r="244" spans="1:27" ht="12.75" customHeight="1" x14ac:dyDescent="0.2">
      <c r="A244" s="6360"/>
      <c r="B244" s="251" t="str">
        <f t="shared" si="3"/>
        <v>Fuego40</v>
      </c>
      <c r="D244" s="272" t="s">
        <v>9860</v>
      </c>
      <c r="E244" s="2959" t="s">
        <v>1610</v>
      </c>
      <c r="F244" s="2959">
        <v>40</v>
      </c>
      <c r="G244" s="2962" t="s">
        <v>2088</v>
      </c>
      <c r="H244" s="2962" t="s">
        <v>1234</v>
      </c>
      <c r="I244" s="380" t="s">
        <v>1304</v>
      </c>
      <c r="J244" s="2959">
        <v>7</v>
      </c>
      <c r="K244" s="2959">
        <v>10</v>
      </c>
      <c r="L244" s="2959">
        <v>12</v>
      </c>
      <c r="M244" s="377">
        <v>15</v>
      </c>
      <c r="N244" s="2959">
        <v>80</v>
      </c>
      <c r="O244" s="2959">
        <v>160</v>
      </c>
      <c r="P244" s="2959">
        <v>240</v>
      </c>
      <c r="Q244" s="377">
        <v>320</v>
      </c>
      <c r="R244" s="2959">
        <v>20</v>
      </c>
      <c r="S244" s="2959">
        <v>40</v>
      </c>
      <c r="T244" s="2959">
        <v>50</v>
      </c>
      <c r="U244" s="377">
        <v>60</v>
      </c>
      <c r="V244" s="2954" t="s">
        <v>4177</v>
      </c>
      <c r="W244" s="2954" t="s">
        <v>4178</v>
      </c>
      <c r="X244" s="2954" t="s">
        <v>4179</v>
      </c>
      <c r="Y244" s="2954" t="s">
        <v>4180</v>
      </c>
      <c r="Z244" s="2954" t="s">
        <v>4181</v>
      </c>
      <c r="AA244" s="375"/>
    </row>
    <row r="245" spans="1:27" ht="12.75" customHeight="1" x14ac:dyDescent="0.2">
      <c r="A245" s="6360"/>
      <c r="B245" s="251" t="str">
        <f t="shared" si="3"/>
        <v>Fuego42</v>
      </c>
      <c r="D245" s="272" t="s">
        <v>9861</v>
      </c>
      <c r="E245" s="2959" t="s">
        <v>1610</v>
      </c>
      <c r="F245" s="2959">
        <v>42</v>
      </c>
      <c r="G245" s="2962" t="s">
        <v>1381</v>
      </c>
      <c r="H245" s="2962" t="s">
        <v>1234</v>
      </c>
      <c r="I245" s="380" t="s">
        <v>1305</v>
      </c>
      <c r="J245" s="2959">
        <v>6</v>
      </c>
      <c r="K245" s="2959">
        <v>9</v>
      </c>
      <c r="L245" s="2959">
        <v>12</v>
      </c>
      <c r="M245" s="377">
        <v>15</v>
      </c>
      <c r="N245" s="2959">
        <v>60</v>
      </c>
      <c r="O245" s="2959">
        <v>90</v>
      </c>
      <c r="P245" s="2959">
        <v>120</v>
      </c>
      <c r="Q245" s="377">
        <v>150</v>
      </c>
      <c r="R245" s="2959" t="s">
        <v>1381</v>
      </c>
      <c r="S245" s="2959" t="s">
        <v>1381</v>
      </c>
      <c r="T245" s="2959" t="s">
        <v>1381</v>
      </c>
      <c r="U245" s="377" t="s">
        <v>1381</v>
      </c>
      <c r="V245" s="2954" t="s">
        <v>4182</v>
      </c>
      <c r="W245" s="2954" t="s">
        <v>4183</v>
      </c>
      <c r="X245" s="2954" t="s">
        <v>4184</v>
      </c>
      <c r="Y245" s="2954" t="s">
        <v>4185</v>
      </c>
      <c r="Z245" s="2954" t="s">
        <v>4186</v>
      </c>
      <c r="AA245" s="375"/>
    </row>
    <row r="246" spans="1:27" ht="12.75" customHeight="1" x14ac:dyDescent="0.2">
      <c r="A246" s="6360"/>
      <c r="B246" s="251" t="str">
        <f t="shared" si="3"/>
        <v>Fuego46</v>
      </c>
      <c r="D246" s="272" t="s">
        <v>9862</v>
      </c>
      <c r="E246" s="2959" t="s">
        <v>1610</v>
      </c>
      <c r="F246" s="2959">
        <v>46</v>
      </c>
      <c r="G246" s="2962" t="s">
        <v>1381</v>
      </c>
      <c r="H246" s="2962" t="s">
        <v>1234</v>
      </c>
      <c r="I246" s="380" t="s">
        <v>1304</v>
      </c>
      <c r="J246" s="2959">
        <v>8</v>
      </c>
      <c r="K246" s="2959">
        <v>10</v>
      </c>
      <c r="L246" s="2959">
        <v>12</v>
      </c>
      <c r="M246" s="377">
        <v>14</v>
      </c>
      <c r="N246" s="2959">
        <v>80</v>
      </c>
      <c r="O246" s="2959">
        <v>120</v>
      </c>
      <c r="P246" s="2959">
        <v>180</v>
      </c>
      <c r="Q246" s="377">
        <v>240</v>
      </c>
      <c r="R246" s="2959" t="s">
        <v>1381</v>
      </c>
      <c r="S246" s="2959" t="s">
        <v>1381</v>
      </c>
      <c r="T246" s="2959" t="s">
        <v>1381</v>
      </c>
      <c r="U246" s="377" t="s">
        <v>1381</v>
      </c>
      <c r="V246" s="2954" t="s">
        <v>4187</v>
      </c>
      <c r="W246" s="2954" t="s">
        <v>4188</v>
      </c>
      <c r="X246" s="2954" t="s">
        <v>4189</v>
      </c>
      <c r="Y246" s="2954" t="s">
        <v>4190</v>
      </c>
      <c r="Z246" s="2954" t="s">
        <v>4191</v>
      </c>
      <c r="AA246" s="375"/>
    </row>
    <row r="247" spans="1:27" ht="12.75" customHeight="1" x14ac:dyDescent="0.2">
      <c r="A247" s="6360"/>
      <c r="B247" s="251" t="str">
        <f t="shared" si="3"/>
        <v>Fuego50</v>
      </c>
      <c r="D247" s="272" t="s">
        <v>9863</v>
      </c>
      <c r="E247" s="2959" t="s">
        <v>1610</v>
      </c>
      <c r="F247" s="2959">
        <v>50</v>
      </c>
      <c r="G247" s="2962" t="s">
        <v>1381</v>
      </c>
      <c r="H247" s="2962" t="s">
        <v>1234</v>
      </c>
      <c r="I247" s="380" t="s">
        <v>1304</v>
      </c>
      <c r="J247" s="2959">
        <v>8</v>
      </c>
      <c r="K247" s="2959">
        <v>10</v>
      </c>
      <c r="L247" s="2959">
        <v>12</v>
      </c>
      <c r="M247" s="377">
        <v>14</v>
      </c>
      <c r="N247" s="2959">
        <v>80</v>
      </c>
      <c r="O247" s="2959">
        <v>120</v>
      </c>
      <c r="P247" s="2959">
        <v>180</v>
      </c>
      <c r="Q247" s="377">
        <v>240</v>
      </c>
      <c r="R247" s="2959">
        <v>10</v>
      </c>
      <c r="S247" s="2959">
        <v>10</v>
      </c>
      <c r="T247" s="2959">
        <v>15</v>
      </c>
      <c r="U247" s="377">
        <v>15</v>
      </c>
      <c r="V247" s="2954" t="s">
        <v>4192</v>
      </c>
      <c r="W247" s="2954" t="s">
        <v>4193</v>
      </c>
      <c r="X247" s="2954" t="s">
        <v>4194</v>
      </c>
      <c r="Y247" s="2954" t="s">
        <v>4195</v>
      </c>
      <c r="Z247" s="2954" t="s">
        <v>4196</v>
      </c>
      <c r="AA247" s="375"/>
    </row>
    <row r="248" spans="1:27" ht="12.75" customHeight="1" x14ac:dyDescent="0.2">
      <c r="A248" s="6360"/>
      <c r="B248" s="251" t="str">
        <f t="shared" si="3"/>
        <v>Fuego52</v>
      </c>
      <c r="D248" s="272" t="s">
        <v>9864</v>
      </c>
      <c r="E248" s="2959" t="s">
        <v>1610</v>
      </c>
      <c r="F248" s="2959">
        <v>52</v>
      </c>
      <c r="G248" s="2962" t="s">
        <v>1381</v>
      </c>
      <c r="H248" s="2962" t="s">
        <v>1234</v>
      </c>
      <c r="I248" s="380" t="s">
        <v>1304</v>
      </c>
      <c r="J248" s="2959">
        <v>8</v>
      </c>
      <c r="K248" s="2959">
        <v>11</v>
      </c>
      <c r="L248" s="2959">
        <v>12</v>
      </c>
      <c r="M248" s="377">
        <v>16</v>
      </c>
      <c r="N248" s="2959">
        <v>100</v>
      </c>
      <c r="O248" s="2959">
        <v>120</v>
      </c>
      <c r="P248" s="2959">
        <v>140</v>
      </c>
      <c r="Q248" s="377">
        <v>160</v>
      </c>
      <c r="R248" s="2959">
        <v>10</v>
      </c>
      <c r="S248" s="2959">
        <v>15</v>
      </c>
      <c r="T248" s="2959">
        <v>15</v>
      </c>
      <c r="U248" s="377">
        <v>20</v>
      </c>
      <c r="V248" s="2954" t="s">
        <v>3919</v>
      </c>
      <c r="W248" s="2954" t="s">
        <v>4197</v>
      </c>
      <c r="X248" s="2954" t="s">
        <v>4198</v>
      </c>
      <c r="Y248" s="2954" t="s">
        <v>4199</v>
      </c>
      <c r="Z248" s="2954" t="s">
        <v>4200</v>
      </c>
      <c r="AA248" s="375"/>
    </row>
    <row r="249" spans="1:27" ht="12.75" customHeight="1" x14ac:dyDescent="0.2">
      <c r="A249" s="6360"/>
      <c r="B249" s="251" t="str">
        <f t="shared" si="3"/>
        <v>Fuego56</v>
      </c>
      <c r="D249" s="272" t="s">
        <v>1653</v>
      </c>
      <c r="E249" s="2959" t="s">
        <v>1610</v>
      </c>
      <c r="F249" s="2959">
        <v>56</v>
      </c>
      <c r="G249" s="2962" t="s">
        <v>2088</v>
      </c>
      <c r="H249" s="2962" t="s">
        <v>1234</v>
      </c>
      <c r="I249" s="380" t="s">
        <v>1304</v>
      </c>
      <c r="J249" s="2959">
        <v>6</v>
      </c>
      <c r="K249" s="2959">
        <v>9</v>
      </c>
      <c r="L249" s="2959">
        <v>13</v>
      </c>
      <c r="M249" s="377">
        <v>15</v>
      </c>
      <c r="N249" s="2959">
        <v>120</v>
      </c>
      <c r="O249" s="2959">
        <v>180</v>
      </c>
      <c r="P249" s="2959">
        <v>240</v>
      </c>
      <c r="Q249" s="377">
        <v>300</v>
      </c>
      <c r="R249" s="2959">
        <v>10</v>
      </c>
      <c r="S249" s="2959">
        <v>10</v>
      </c>
      <c r="T249" s="2959">
        <v>15</v>
      </c>
      <c r="U249" s="377">
        <v>15</v>
      </c>
      <c r="V249" s="2954" t="s">
        <v>4201</v>
      </c>
      <c r="W249" s="2954" t="s">
        <v>4202</v>
      </c>
      <c r="X249" s="2954" t="s">
        <v>4203</v>
      </c>
      <c r="Y249" s="2954" t="s">
        <v>4204</v>
      </c>
      <c r="Z249" s="2954" t="s">
        <v>4205</v>
      </c>
      <c r="AA249" s="375"/>
    </row>
    <row r="250" spans="1:27" ht="12.75" customHeight="1" x14ac:dyDescent="0.2">
      <c r="A250" s="6360"/>
      <c r="B250" s="251" t="str">
        <f t="shared" si="3"/>
        <v>Fuego60</v>
      </c>
      <c r="D250" s="272" t="s">
        <v>9865</v>
      </c>
      <c r="E250" s="2959" t="s">
        <v>1610</v>
      </c>
      <c r="F250" s="2959">
        <v>60</v>
      </c>
      <c r="G250" s="2962" t="s">
        <v>1381</v>
      </c>
      <c r="H250" s="2962" t="s">
        <v>1235</v>
      </c>
      <c r="I250" s="380" t="s">
        <v>1304</v>
      </c>
      <c r="J250" s="2959">
        <v>10</v>
      </c>
      <c r="K250" s="2959">
        <v>12</v>
      </c>
      <c r="L250" s="2959">
        <v>12</v>
      </c>
      <c r="M250" s="377">
        <v>16</v>
      </c>
      <c r="N250" s="2959">
        <v>100</v>
      </c>
      <c r="O250" s="2959">
        <v>150</v>
      </c>
      <c r="P250" s="2959">
        <v>200</v>
      </c>
      <c r="Q250" s="377">
        <v>260</v>
      </c>
      <c r="R250" s="2959">
        <v>10</v>
      </c>
      <c r="S250" s="2959">
        <v>15</v>
      </c>
      <c r="T250" s="2959">
        <v>15</v>
      </c>
      <c r="U250" s="377">
        <v>20</v>
      </c>
      <c r="V250" s="2954" t="s">
        <v>4206</v>
      </c>
      <c r="W250" s="2954" t="s">
        <v>4207</v>
      </c>
      <c r="X250" s="2954" t="s">
        <v>4208</v>
      </c>
      <c r="Y250" s="2954" t="s">
        <v>4209</v>
      </c>
      <c r="Z250" s="2954" t="s">
        <v>4210</v>
      </c>
      <c r="AA250" s="375"/>
    </row>
    <row r="251" spans="1:27" ht="12.75" customHeight="1" x14ac:dyDescent="0.2">
      <c r="A251" s="6360"/>
      <c r="B251" s="251" t="str">
        <f t="shared" si="3"/>
        <v>Fuego62</v>
      </c>
      <c r="D251" s="272" t="s">
        <v>9866</v>
      </c>
      <c r="E251" s="2959" t="s">
        <v>1610</v>
      </c>
      <c r="F251" s="2959">
        <v>62</v>
      </c>
      <c r="G251" s="2962" t="s">
        <v>1381</v>
      </c>
      <c r="H251" s="2962" t="s">
        <v>1233</v>
      </c>
      <c r="I251" s="380" t="s">
        <v>1304</v>
      </c>
      <c r="J251" s="2959">
        <v>6</v>
      </c>
      <c r="K251" s="2959">
        <v>9</v>
      </c>
      <c r="L251" s="2959">
        <v>14</v>
      </c>
      <c r="M251" s="377">
        <v>15</v>
      </c>
      <c r="N251" s="2959">
        <v>120</v>
      </c>
      <c r="O251" s="2959">
        <v>180</v>
      </c>
      <c r="P251" s="2959">
        <v>240</v>
      </c>
      <c r="Q251" s="377">
        <v>300</v>
      </c>
      <c r="R251" s="2959" t="s">
        <v>1381</v>
      </c>
      <c r="S251" s="2959" t="s">
        <v>1381</v>
      </c>
      <c r="T251" s="2959" t="s">
        <v>1381</v>
      </c>
      <c r="U251" s="377" t="s">
        <v>1381</v>
      </c>
      <c r="V251" s="2954" t="s">
        <v>4211</v>
      </c>
      <c r="W251" s="2954" t="s">
        <v>4212</v>
      </c>
      <c r="X251" s="2954" t="s">
        <v>4213</v>
      </c>
      <c r="Y251" s="2954" t="s">
        <v>4214</v>
      </c>
      <c r="Z251" s="2954" t="s">
        <v>4215</v>
      </c>
      <c r="AA251" s="375"/>
    </row>
    <row r="252" spans="1:27" ht="12.75" customHeight="1" x14ac:dyDescent="0.2">
      <c r="A252" s="6360"/>
      <c r="B252" s="251" t="str">
        <f t="shared" si="3"/>
        <v>Fuego66</v>
      </c>
      <c r="D252" s="272" t="s">
        <v>9867</v>
      </c>
      <c r="E252" s="2959" t="s">
        <v>1610</v>
      </c>
      <c r="F252" s="2959">
        <v>66</v>
      </c>
      <c r="G252" s="2962" t="s">
        <v>2088</v>
      </c>
      <c r="H252" s="2962" t="s">
        <v>1234</v>
      </c>
      <c r="I252" s="380" t="s">
        <v>1304</v>
      </c>
      <c r="J252" s="2959">
        <v>7</v>
      </c>
      <c r="K252" s="2959">
        <v>10</v>
      </c>
      <c r="L252" s="2959">
        <v>12</v>
      </c>
      <c r="M252" s="377">
        <v>15</v>
      </c>
      <c r="N252" s="2959">
        <v>120</v>
      </c>
      <c r="O252" s="2959">
        <v>180</v>
      </c>
      <c r="P252" s="2959">
        <v>240</v>
      </c>
      <c r="Q252" s="377">
        <v>300</v>
      </c>
      <c r="R252" s="2959">
        <v>10</v>
      </c>
      <c r="S252" s="2959">
        <v>10</v>
      </c>
      <c r="T252" s="2959">
        <v>15</v>
      </c>
      <c r="U252" s="377">
        <v>15</v>
      </c>
      <c r="V252" s="2954" t="s">
        <v>4216</v>
      </c>
      <c r="W252" s="2954" t="s">
        <v>4217</v>
      </c>
      <c r="X252" s="2954" t="s">
        <v>4218</v>
      </c>
      <c r="Y252" s="2954" t="s">
        <v>4219</v>
      </c>
      <c r="Z252" s="2954" t="s">
        <v>4220</v>
      </c>
      <c r="AA252" s="375"/>
    </row>
    <row r="253" spans="1:27" ht="12.75" customHeight="1" x14ac:dyDescent="0.2">
      <c r="A253" s="6360"/>
      <c r="B253" s="251" t="str">
        <f t="shared" si="3"/>
        <v>Fuego70</v>
      </c>
      <c r="D253" s="272" t="s">
        <v>9868</v>
      </c>
      <c r="E253" s="2959" t="s">
        <v>1610</v>
      </c>
      <c r="F253" s="2959">
        <v>70</v>
      </c>
      <c r="G253" s="2962" t="s">
        <v>1381</v>
      </c>
      <c r="H253" s="2962" t="s">
        <v>1233</v>
      </c>
      <c r="I253" s="380" t="s">
        <v>1304</v>
      </c>
      <c r="J253" s="2959">
        <v>9</v>
      </c>
      <c r="K253" s="2959">
        <v>11</v>
      </c>
      <c r="L253" s="2959">
        <v>13</v>
      </c>
      <c r="M253" s="377">
        <v>16</v>
      </c>
      <c r="N253" s="2959">
        <v>100</v>
      </c>
      <c r="O253" s="2959">
        <v>140</v>
      </c>
      <c r="P253" s="2959">
        <v>200</v>
      </c>
      <c r="Q253" s="377">
        <v>280</v>
      </c>
      <c r="R253" s="2959" t="s">
        <v>1381</v>
      </c>
      <c r="S253" s="2959" t="s">
        <v>1381</v>
      </c>
      <c r="T253" s="2959" t="s">
        <v>1381</v>
      </c>
      <c r="U253" s="377" t="s">
        <v>1381</v>
      </c>
      <c r="V253" s="2954" t="s">
        <v>4221</v>
      </c>
      <c r="W253" s="2954" t="s">
        <v>4222</v>
      </c>
      <c r="X253" s="2954" t="s">
        <v>4223</v>
      </c>
      <c r="Y253" s="2954" t="s">
        <v>4224</v>
      </c>
      <c r="Z253" s="2954" t="s">
        <v>4225</v>
      </c>
      <c r="AA253" s="375"/>
    </row>
    <row r="254" spans="1:27" ht="12.75" customHeight="1" x14ac:dyDescent="0.2">
      <c r="A254" s="6360"/>
      <c r="B254" s="251" t="str">
        <f t="shared" si="3"/>
        <v>Fuego72</v>
      </c>
      <c r="D254" s="272" t="s">
        <v>9869</v>
      </c>
      <c r="E254" s="2959" t="s">
        <v>1610</v>
      </c>
      <c r="F254" s="2959">
        <v>72</v>
      </c>
      <c r="G254" s="2962" t="s">
        <v>2088</v>
      </c>
      <c r="H254" s="2962" t="s">
        <v>1234</v>
      </c>
      <c r="I254" s="380" t="s">
        <v>1304</v>
      </c>
      <c r="J254" s="2959">
        <v>6</v>
      </c>
      <c r="K254" s="2959">
        <v>9</v>
      </c>
      <c r="L254" s="2959">
        <v>13</v>
      </c>
      <c r="M254" s="377">
        <v>15</v>
      </c>
      <c r="N254" s="2959">
        <v>120</v>
      </c>
      <c r="O254" s="2959">
        <v>180</v>
      </c>
      <c r="P254" s="2959">
        <v>240</v>
      </c>
      <c r="Q254" s="377">
        <v>300</v>
      </c>
      <c r="R254" s="2959">
        <v>10</v>
      </c>
      <c r="S254" s="2959">
        <v>10</v>
      </c>
      <c r="T254" s="2959">
        <v>15</v>
      </c>
      <c r="U254" s="377">
        <v>15</v>
      </c>
      <c r="V254" s="2954" t="s">
        <v>4217</v>
      </c>
      <c r="W254" s="2954" t="s">
        <v>4226</v>
      </c>
      <c r="X254" s="2954" t="s">
        <v>4227</v>
      </c>
      <c r="Y254" s="2954" t="s">
        <v>4228</v>
      </c>
      <c r="Z254" s="2954" t="s">
        <v>4229</v>
      </c>
      <c r="AA254" s="375"/>
    </row>
    <row r="255" spans="1:27" ht="12.75" customHeight="1" x14ac:dyDescent="0.2">
      <c r="A255" s="6360"/>
      <c r="B255" s="251" t="str">
        <f t="shared" si="3"/>
        <v>Fuego76</v>
      </c>
      <c r="D255" s="272" t="s">
        <v>9870</v>
      </c>
      <c r="E255" s="2959" t="s">
        <v>1610</v>
      </c>
      <c r="F255" s="2959">
        <v>76</v>
      </c>
      <c r="G255" s="2962" t="s">
        <v>1381</v>
      </c>
      <c r="H255" s="2962" t="s">
        <v>1235</v>
      </c>
      <c r="I255" s="380" t="s">
        <v>1304</v>
      </c>
      <c r="J255" s="2959">
        <v>8</v>
      </c>
      <c r="K255" s="2959">
        <v>10</v>
      </c>
      <c r="L255" s="2959">
        <v>12</v>
      </c>
      <c r="M255" s="377">
        <v>15</v>
      </c>
      <c r="N255" s="2959">
        <v>150</v>
      </c>
      <c r="O255" s="2959">
        <v>200</v>
      </c>
      <c r="P255" s="2959">
        <v>240</v>
      </c>
      <c r="Q255" s="377">
        <v>280</v>
      </c>
      <c r="R255" s="2959">
        <v>15</v>
      </c>
      <c r="S255" s="2959">
        <v>20</v>
      </c>
      <c r="T255" s="2959">
        <v>25</v>
      </c>
      <c r="U255" s="377">
        <v>30</v>
      </c>
      <c r="V255" s="2954" t="s">
        <v>4230</v>
      </c>
      <c r="W255" s="2954" t="s">
        <v>4231</v>
      </c>
      <c r="X255" s="2954" t="s">
        <v>4232</v>
      </c>
      <c r="Y255" s="2954" t="s">
        <v>4233</v>
      </c>
      <c r="Z255" s="2954" t="s">
        <v>4234</v>
      </c>
      <c r="AA255" s="375"/>
    </row>
    <row r="256" spans="1:27" ht="12.75" customHeight="1" x14ac:dyDescent="0.2">
      <c r="A256" s="6360"/>
      <c r="B256" s="251" t="str">
        <f t="shared" si="3"/>
        <v>Fuego80</v>
      </c>
      <c r="D256" s="272" t="s">
        <v>9871</v>
      </c>
      <c r="E256" s="2959" t="s">
        <v>1610</v>
      </c>
      <c r="F256" s="2959">
        <v>80</v>
      </c>
      <c r="G256" s="2962" t="s">
        <v>2088</v>
      </c>
      <c r="H256" s="2962" t="s">
        <v>1234</v>
      </c>
      <c r="I256" s="380" t="s">
        <v>1304</v>
      </c>
      <c r="J256" s="2959">
        <v>6</v>
      </c>
      <c r="K256" s="2959">
        <v>9</v>
      </c>
      <c r="L256" s="2959">
        <v>12</v>
      </c>
      <c r="M256" s="377">
        <v>15</v>
      </c>
      <c r="N256" s="2959">
        <v>120</v>
      </c>
      <c r="O256" s="2959">
        <v>180</v>
      </c>
      <c r="P256" s="2959">
        <v>240</v>
      </c>
      <c r="Q256" s="377">
        <v>300</v>
      </c>
      <c r="R256" s="2959">
        <v>10</v>
      </c>
      <c r="S256" s="2959">
        <v>10</v>
      </c>
      <c r="T256" s="2959">
        <v>15</v>
      </c>
      <c r="U256" s="377">
        <v>15</v>
      </c>
      <c r="V256" s="2954" t="s">
        <v>4235</v>
      </c>
      <c r="W256" s="2954" t="s">
        <v>4236</v>
      </c>
      <c r="X256" s="2954" t="s">
        <v>4237</v>
      </c>
      <c r="Y256" s="2954" t="s">
        <v>4238</v>
      </c>
      <c r="Z256" s="2954" t="s">
        <v>4239</v>
      </c>
      <c r="AA256" s="375"/>
    </row>
    <row r="257" spans="1:27" ht="12.75" customHeight="1" x14ac:dyDescent="0.2">
      <c r="A257" s="6360"/>
      <c r="B257" s="251" t="str">
        <f t="shared" si="3"/>
        <v>Fuego82</v>
      </c>
      <c r="D257" s="272" t="s">
        <v>9872</v>
      </c>
      <c r="E257" s="2959" t="s">
        <v>1610</v>
      </c>
      <c r="F257" s="2959">
        <v>82</v>
      </c>
      <c r="G257" s="2962" t="s">
        <v>2088</v>
      </c>
      <c r="H257" s="2962" t="s">
        <v>1234</v>
      </c>
      <c r="I257" s="380" t="s">
        <v>1304</v>
      </c>
      <c r="J257" s="2959">
        <v>10</v>
      </c>
      <c r="K257" s="2959">
        <v>12</v>
      </c>
      <c r="L257" s="2959">
        <v>14</v>
      </c>
      <c r="M257" s="377">
        <v>16</v>
      </c>
      <c r="N257" s="2959">
        <v>250</v>
      </c>
      <c r="O257" s="2959">
        <v>350</v>
      </c>
      <c r="P257" s="2959">
        <v>500</v>
      </c>
      <c r="Q257" s="377">
        <v>700</v>
      </c>
      <c r="R257" s="2959">
        <v>50</v>
      </c>
      <c r="S257" s="2959">
        <v>70</v>
      </c>
      <c r="T257" s="2959">
        <v>100</v>
      </c>
      <c r="U257" s="377">
        <v>140</v>
      </c>
      <c r="V257" s="2954" t="s">
        <v>3355</v>
      </c>
      <c r="W257" s="2954" t="s">
        <v>3356</v>
      </c>
      <c r="X257" s="2954" t="s">
        <v>3357</v>
      </c>
      <c r="Y257" s="2954" t="s">
        <v>3358</v>
      </c>
      <c r="Z257" s="2954" t="s">
        <v>4240</v>
      </c>
      <c r="AA257" s="375"/>
    </row>
    <row r="258" spans="1:27" ht="12.75" customHeight="1" x14ac:dyDescent="0.2">
      <c r="A258" s="6360"/>
      <c r="B258" s="251" t="str">
        <f t="shared" si="3"/>
        <v>Fuego86</v>
      </c>
      <c r="D258" s="272" t="s">
        <v>9873</v>
      </c>
      <c r="E258" s="2959" t="s">
        <v>1610</v>
      </c>
      <c r="F258" s="2959">
        <v>86</v>
      </c>
      <c r="G258" s="2962" t="s">
        <v>2088</v>
      </c>
      <c r="H258" s="2962" t="s">
        <v>1234</v>
      </c>
      <c r="I258" s="380" t="s">
        <v>1304</v>
      </c>
      <c r="J258" s="2959">
        <v>10</v>
      </c>
      <c r="K258" s="2959">
        <v>12</v>
      </c>
      <c r="L258" s="2959">
        <v>14</v>
      </c>
      <c r="M258" s="377">
        <v>18</v>
      </c>
      <c r="N258" s="2959">
        <v>250</v>
      </c>
      <c r="O258" s="2959">
        <v>300</v>
      </c>
      <c r="P258" s="2959">
        <v>350</v>
      </c>
      <c r="Q258" s="377">
        <v>400</v>
      </c>
      <c r="R258" s="2959">
        <v>25</v>
      </c>
      <c r="S258" s="2959">
        <v>30</v>
      </c>
      <c r="T258" s="2959">
        <v>30</v>
      </c>
      <c r="U258" s="377">
        <v>35</v>
      </c>
      <c r="V258" s="2954" t="s">
        <v>4241</v>
      </c>
      <c r="W258" s="2954" t="s">
        <v>4242</v>
      </c>
      <c r="X258" s="2954" t="s">
        <v>4243</v>
      </c>
      <c r="Y258" s="2954" t="s">
        <v>4244</v>
      </c>
      <c r="Z258" s="2954" t="s">
        <v>4245</v>
      </c>
      <c r="AA258" s="375"/>
    </row>
    <row r="259" spans="1:27" ht="12.75" customHeight="1" x14ac:dyDescent="0.2">
      <c r="A259" s="6360"/>
      <c r="B259" s="251" t="str">
        <f t="shared" si="3"/>
        <v>Fuego90</v>
      </c>
      <c r="D259" s="272" t="s">
        <v>9874</v>
      </c>
      <c r="E259" s="2959" t="s">
        <v>1610</v>
      </c>
      <c r="F259" s="2959">
        <v>90</v>
      </c>
      <c r="G259" s="2962" t="s">
        <v>1381</v>
      </c>
      <c r="H259" s="2962" t="s">
        <v>1232</v>
      </c>
      <c r="I259" s="380" t="s">
        <v>1304</v>
      </c>
      <c r="J259" s="2959">
        <v>10</v>
      </c>
      <c r="K259" s="2959">
        <v>13</v>
      </c>
      <c r="L259" s="2959">
        <v>16</v>
      </c>
      <c r="M259" s="377">
        <v>18</v>
      </c>
      <c r="N259" s="2959">
        <v>200</v>
      </c>
      <c r="O259" s="2959">
        <v>300</v>
      </c>
      <c r="P259" s="2959">
        <v>400</v>
      </c>
      <c r="Q259" s="377">
        <v>500</v>
      </c>
      <c r="R259" s="2959" t="s">
        <v>1381</v>
      </c>
      <c r="S259" s="2959" t="s">
        <v>1381</v>
      </c>
      <c r="T259" s="2959" t="s">
        <v>1381</v>
      </c>
      <c r="U259" s="377" t="s">
        <v>1381</v>
      </c>
      <c r="V259" s="2954" t="s">
        <v>4246</v>
      </c>
      <c r="W259" s="2954" t="s">
        <v>4247</v>
      </c>
      <c r="X259" s="2954" t="s">
        <v>4248</v>
      </c>
      <c r="Y259" s="2954" t="s">
        <v>4249</v>
      </c>
      <c r="Z259" s="2954" t="s">
        <v>4250</v>
      </c>
      <c r="AA259" s="375"/>
    </row>
    <row r="260" spans="1:27" ht="12.75" customHeight="1" x14ac:dyDescent="0.2">
      <c r="A260" s="6360"/>
      <c r="B260" s="251" t="str">
        <f t="shared" si="3"/>
        <v>Fuego92</v>
      </c>
      <c r="D260" s="272" t="s">
        <v>9875</v>
      </c>
      <c r="E260" s="2959" t="s">
        <v>1610</v>
      </c>
      <c r="F260" s="2959">
        <v>92</v>
      </c>
      <c r="G260" s="2962" t="s">
        <v>2088</v>
      </c>
      <c r="H260" s="2962" t="s">
        <v>1234</v>
      </c>
      <c r="I260" s="380" t="s">
        <v>1304</v>
      </c>
      <c r="J260" s="2959">
        <v>13</v>
      </c>
      <c r="K260" s="2959">
        <v>15</v>
      </c>
      <c r="L260" s="2959">
        <v>17</v>
      </c>
      <c r="M260" s="377">
        <v>19</v>
      </c>
      <c r="N260" s="2959">
        <v>250</v>
      </c>
      <c r="O260" s="2959">
        <v>350</v>
      </c>
      <c r="P260" s="2959">
        <v>500</v>
      </c>
      <c r="Q260" s="377">
        <v>750</v>
      </c>
      <c r="R260" s="2959">
        <v>50</v>
      </c>
      <c r="S260" s="2959">
        <v>70</v>
      </c>
      <c r="T260" s="2959">
        <v>100</v>
      </c>
      <c r="U260" s="377">
        <v>150</v>
      </c>
      <c r="V260" s="2954" t="s">
        <v>4251</v>
      </c>
      <c r="W260" s="2954" t="s">
        <v>4252</v>
      </c>
      <c r="X260" s="2954" t="s">
        <v>4253</v>
      </c>
      <c r="Y260" s="2954" t="s">
        <v>4254</v>
      </c>
      <c r="Z260" s="2954" t="s">
        <v>4255</v>
      </c>
      <c r="AA260" s="375"/>
    </row>
    <row r="261" spans="1:27" ht="12.75" customHeight="1" x14ac:dyDescent="0.2">
      <c r="A261" s="6360"/>
      <c r="B261" s="251" t="str">
        <f t="shared" si="3"/>
        <v>Fuego96</v>
      </c>
      <c r="D261" s="272" t="s">
        <v>9876</v>
      </c>
      <c r="E261" s="2959" t="s">
        <v>1610</v>
      </c>
      <c r="F261" s="2959">
        <v>96</v>
      </c>
      <c r="G261" s="2962" t="s">
        <v>2088</v>
      </c>
      <c r="H261" s="2962" t="s">
        <v>1235</v>
      </c>
      <c r="I261" s="380" t="s">
        <v>1304</v>
      </c>
      <c r="J261" s="2959">
        <v>10</v>
      </c>
      <c r="K261" s="2959">
        <v>12</v>
      </c>
      <c r="L261" s="2959">
        <v>15</v>
      </c>
      <c r="M261" s="377">
        <v>18</v>
      </c>
      <c r="N261" s="2959">
        <v>300</v>
      </c>
      <c r="O261" s="2959">
        <v>450</v>
      </c>
      <c r="P261" s="2959">
        <v>600</v>
      </c>
      <c r="Q261" s="377">
        <v>1000</v>
      </c>
      <c r="R261" s="2959">
        <v>30</v>
      </c>
      <c r="S261" s="2959">
        <v>45</v>
      </c>
      <c r="T261" s="2959">
        <v>60</v>
      </c>
      <c r="U261" s="377">
        <v>100</v>
      </c>
      <c r="V261" s="2954" t="s">
        <v>4256</v>
      </c>
      <c r="W261" s="2954" t="s">
        <v>4257</v>
      </c>
      <c r="X261" s="2954" t="s">
        <v>4258</v>
      </c>
      <c r="Y261" s="2954" t="s">
        <v>4259</v>
      </c>
      <c r="Z261" s="2954" t="s">
        <v>4260</v>
      </c>
      <c r="AA261" s="375"/>
    </row>
    <row r="262" spans="1:27" ht="12.75" customHeight="1" x14ac:dyDescent="0.2">
      <c r="A262" s="6360"/>
      <c r="B262" s="251" t="str">
        <f t="shared" si="3"/>
        <v>Fuego100</v>
      </c>
      <c r="D262" s="272" t="s">
        <v>9877</v>
      </c>
      <c r="E262" s="2959" t="s">
        <v>1610</v>
      </c>
      <c r="F262" s="2959">
        <v>100</v>
      </c>
      <c r="G262" s="2962" t="s">
        <v>2088</v>
      </c>
      <c r="H262" s="2962" t="s">
        <v>1235</v>
      </c>
      <c r="I262" s="380" t="s">
        <v>1304</v>
      </c>
      <c r="J262" s="2959">
        <v>15</v>
      </c>
      <c r="K262" s="2959">
        <v>16</v>
      </c>
      <c r="L262" s="2959">
        <v>17</v>
      </c>
      <c r="M262" s="377">
        <v>18</v>
      </c>
      <c r="N262" s="2959">
        <v>450</v>
      </c>
      <c r="O262" s="2959">
        <v>800</v>
      </c>
      <c r="P262" s="2959">
        <v>1200</v>
      </c>
      <c r="Q262" s="377">
        <v>1600</v>
      </c>
      <c r="R262" s="2959">
        <v>90</v>
      </c>
      <c r="S262" s="2959">
        <v>100</v>
      </c>
      <c r="T262" s="2959">
        <v>105</v>
      </c>
      <c r="U262" s="377">
        <v>110</v>
      </c>
      <c r="V262" s="2954" t="s">
        <v>10257</v>
      </c>
      <c r="W262" s="2954" t="s">
        <v>4261</v>
      </c>
      <c r="X262" s="2954" t="s">
        <v>4262</v>
      </c>
      <c r="Y262" s="2954" t="s">
        <v>4263</v>
      </c>
      <c r="Z262" s="2954" t="s">
        <v>4264</v>
      </c>
      <c r="AA262" s="375"/>
    </row>
    <row r="263" spans="1:27" ht="12.75" customHeight="1" x14ac:dyDescent="0.2">
      <c r="A263" s="6360"/>
      <c r="B263" s="251" t="str">
        <f t="shared" si="3"/>
        <v/>
      </c>
      <c r="D263" s="272" t="s">
        <v>305</v>
      </c>
      <c r="E263" s="2959"/>
      <c r="F263" s="2959"/>
      <c r="G263" s="2962"/>
      <c r="H263" s="2962"/>
      <c r="I263" s="380"/>
      <c r="J263" s="2959"/>
      <c r="K263" s="2959"/>
      <c r="L263" s="2959"/>
      <c r="M263" s="377"/>
      <c r="N263" s="2959"/>
      <c r="O263" s="2959"/>
      <c r="P263" s="2959"/>
      <c r="Q263" s="377"/>
      <c r="R263" s="2959"/>
      <c r="S263" s="2959"/>
      <c r="T263" s="2959"/>
      <c r="U263" s="377"/>
      <c r="V263" s="2954"/>
      <c r="W263" s="2954"/>
      <c r="X263" s="2954"/>
      <c r="Y263" s="2954"/>
      <c r="Z263" s="2954"/>
      <c r="AA263" s="375"/>
    </row>
    <row r="264" spans="1:27" ht="12.75" customHeight="1" x14ac:dyDescent="0.2">
      <c r="A264" s="6360"/>
      <c r="B264" s="251" t="str">
        <f t="shared" ref="B264:B327" si="4">E264&amp;F264</f>
        <v>Tierra2</v>
      </c>
      <c r="D264" s="272" t="s">
        <v>9878</v>
      </c>
      <c r="E264" s="2959" t="s">
        <v>1704</v>
      </c>
      <c r="F264" s="2959">
        <v>2</v>
      </c>
      <c r="G264" s="2962" t="s">
        <v>1381</v>
      </c>
      <c r="H264" s="2962" t="s">
        <v>3210</v>
      </c>
      <c r="I264" s="380" t="s">
        <v>1304</v>
      </c>
      <c r="J264" s="2959">
        <v>5</v>
      </c>
      <c r="K264" s="2959">
        <v>8</v>
      </c>
      <c r="L264" s="2959">
        <v>10</v>
      </c>
      <c r="M264" s="377">
        <v>12</v>
      </c>
      <c r="N264" s="2959">
        <v>20</v>
      </c>
      <c r="O264" s="2959">
        <v>60</v>
      </c>
      <c r="P264" s="2959">
        <v>100</v>
      </c>
      <c r="Q264" s="377">
        <v>140</v>
      </c>
      <c r="R264" s="2959" t="s">
        <v>1381</v>
      </c>
      <c r="S264" s="2959" t="s">
        <v>1381</v>
      </c>
      <c r="T264" s="2959" t="s">
        <v>1381</v>
      </c>
      <c r="U264" s="377" t="s">
        <v>4265</v>
      </c>
      <c r="V264" s="2954" t="s">
        <v>4266</v>
      </c>
      <c r="W264" s="2954" t="s">
        <v>3507</v>
      </c>
      <c r="X264" s="2954" t="s">
        <v>4267</v>
      </c>
      <c r="Y264" s="2954" t="s">
        <v>3397</v>
      </c>
      <c r="Z264" s="2954" t="s">
        <v>4268</v>
      </c>
      <c r="AA264" s="375"/>
    </row>
    <row r="265" spans="1:27" ht="12.75" customHeight="1" x14ac:dyDescent="0.2">
      <c r="A265" s="6360"/>
      <c r="B265" s="251" t="str">
        <f t="shared" si="4"/>
        <v>Tierra6</v>
      </c>
      <c r="D265" s="272" t="s">
        <v>9879</v>
      </c>
      <c r="E265" s="2959" t="s">
        <v>1704</v>
      </c>
      <c r="F265" s="2959">
        <v>6</v>
      </c>
      <c r="G265" s="2962" t="s">
        <v>2088</v>
      </c>
      <c r="H265" s="2962" t="s">
        <v>3924</v>
      </c>
      <c r="I265" s="380" t="s">
        <v>1304</v>
      </c>
      <c r="J265" s="2959">
        <v>5</v>
      </c>
      <c r="K265" s="2959">
        <v>8</v>
      </c>
      <c r="L265" s="2959">
        <v>10</v>
      </c>
      <c r="M265" s="377">
        <v>12</v>
      </c>
      <c r="N265" s="2959">
        <v>30</v>
      </c>
      <c r="O265" s="2959">
        <v>60</v>
      </c>
      <c r="P265" s="2959">
        <v>100</v>
      </c>
      <c r="Q265" s="377">
        <v>140</v>
      </c>
      <c r="R265" s="2959">
        <v>5</v>
      </c>
      <c r="S265" s="2959">
        <v>10</v>
      </c>
      <c r="T265" s="2959">
        <v>10</v>
      </c>
      <c r="U265" s="377">
        <v>15</v>
      </c>
      <c r="V265" s="2954" t="s">
        <v>4269</v>
      </c>
      <c r="W265" s="2954" t="s">
        <v>4270</v>
      </c>
      <c r="X265" s="2954" t="s">
        <v>4271</v>
      </c>
      <c r="Y265" s="2954" t="s">
        <v>4272</v>
      </c>
      <c r="Z265" s="2954" t="s">
        <v>4273</v>
      </c>
      <c r="AA265" s="375"/>
    </row>
    <row r="266" spans="1:27" ht="12.75" customHeight="1" x14ac:dyDescent="0.2">
      <c r="A266" s="6360"/>
      <c r="B266" s="251" t="str">
        <f t="shared" si="4"/>
        <v>Tierra10</v>
      </c>
      <c r="D266" s="272" t="s">
        <v>9880</v>
      </c>
      <c r="E266" s="2959" t="s">
        <v>1704</v>
      </c>
      <c r="F266" s="2959">
        <v>10</v>
      </c>
      <c r="G266" s="2962" t="s">
        <v>2088</v>
      </c>
      <c r="H266" s="2962" t="s">
        <v>1234</v>
      </c>
      <c r="I266" s="380" t="s">
        <v>1304</v>
      </c>
      <c r="J266" s="2959">
        <v>5</v>
      </c>
      <c r="K266" s="2959">
        <v>8</v>
      </c>
      <c r="L266" s="2959">
        <v>10</v>
      </c>
      <c r="M266" s="377">
        <v>12</v>
      </c>
      <c r="N266" s="2959">
        <v>40</v>
      </c>
      <c r="O266" s="2959">
        <v>120</v>
      </c>
      <c r="P266" s="2959">
        <v>200</v>
      </c>
      <c r="Q266" s="377">
        <v>320</v>
      </c>
      <c r="R266" s="2959">
        <v>5</v>
      </c>
      <c r="S266" s="2959">
        <v>25</v>
      </c>
      <c r="T266" s="2959">
        <v>30</v>
      </c>
      <c r="U266" s="377">
        <v>40</v>
      </c>
      <c r="V266" s="2954" t="s">
        <v>4274</v>
      </c>
      <c r="W266" s="2954" t="s">
        <v>4275</v>
      </c>
      <c r="X266" s="2954" t="s">
        <v>4276</v>
      </c>
      <c r="Y266" s="2954" t="s">
        <v>4277</v>
      </c>
      <c r="Z266" s="2954" t="s">
        <v>4278</v>
      </c>
      <c r="AA266" s="375"/>
    </row>
    <row r="267" spans="1:27" ht="12.75" customHeight="1" x14ac:dyDescent="0.2">
      <c r="A267" s="6360"/>
      <c r="B267" s="251" t="str">
        <f t="shared" si="4"/>
        <v>Tierra12</v>
      </c>
      <c r="D267" s="272" t="s">
        <v>9881</v>
      </c>
      <c r="E267" s="2959" t="s">
        <v>1704</v>
      </c>
      <c r="F267" s="2959">
        <v>12</v>
      </c>
      <c r="G267" s="2962" t="s">
        <v>1381</v>
      </c>
      <c r="H267" s="2962" t="s">
        <v>1234</v>
      </c>
      <c r="I267" s="380" t="s">
        <v>1305</v>
      </c>
      <c r="J267" s="2959">
        <v>6</v>
      </c>
      <c r="K267" s="2959">
        <v>8</v>
      </c>
      <c r="L267" s="2959">
        <v>11</v>
      </c>
      <c r="M267" s="377">
        <v>13</v>
      </c>
      <c r="N267" s="2959">
        <v>40</v>
      </c>
      <c r="O267" s="2959">
        <v>80</v>
      </c>
      <c r="P267" s="2959">
        <v>120</v>
      </c>
      <c r="Q267" s="377">
        <v>160</v>
      </c>
      <c r="R267" s="2959">
        <v>5</v>
      </c>
      <c r="S267" s="2959">
        <v>5</v>
      </c>
      <c r="T267" s="2959">
        <v>5</v>
      </c>
      <c r="U267" s="377">
        <v>10</v>
      </c>
      <c r="V267" s="2954" t="s">
        <v>4279</v>
      </c>
      <c r="W267" s="2954" t="s">
        <v>4280</v>
      </c>
      <c r="X267" s="2954" t="s">
        <v>4281</v>
      </c>
      <c r="Y267" s="2954" t="s">
        <v>4282</v>
      </c>
      <c r="Z267" s="2954" t="s">
        <v>4283</v>
      </c>
      <c r="AA267" s="375"/>
    </row>
    <row r="268" spans="1:27" ht="12.75" customHeight="1" x14ac:dyDescent="0.2">
      <c r="A268" s="6360"/>
      <c r="B268" s="251" t="str">
        <f t="shared" si="4"/>
        <v>Tierra16</v>
      </c>
      <c r="D268" s="272" t="s">
        <v>9882</v>
      </c>
      <c r="E268" s="2959" t="s">
        <v>1704</v>
      </c>
      <c r="F268" s="2959">
        <v>16</v>
      </c>
      <c r="G268" s="2962" t="s">
        <v>2088</v>
      </c>
      <c r="H268" s="2962" t="s">
        <v>1234</v>
      </c>
      <c r="I268" s="380" t="s">
        <v>1304</v>
      </c>
      <c r="J268" s="2959">
        <v>6</v>
      </c>
      <c r="K268" s="2959">
        <v>9</v>
      </c>
      <c r="L268" s="2959">
        <v>11</v>
      </c>
      <c r="M268" s="377">
        <v>13</v>
      </c>
      <c r="N268" s="2959">
        <v>50</v>
      </c>
      <c r="O268" s="2959">
        <v>80</v>
      </c>
      <c r="P268" s="2959">
        <v>120</v>
      </c>
      <c r="Q268" s="377">
        <v>160</v>
      </c>
      <c r="R268" s="2959">
        <v>5</v>
      </c>
      <c r="S268" s="2959">
        <v>10</v>
      </c>
      <c r="T268" s="2959">
        <v>15</v>
      </c>
      <c r="U268" s="377">
        <v>20</v>
      </c>
      <c r="V268" s="2954" t="s">
        <v>4284</v>
      </c>
      <c r="W268" s="2954" t="s">
        <v>4285</v>
      </c>
      <c r="X268" s="2954" t="s">
        <v>4286</v>
      </c>
      <c r="Y268" s="2954" t="s">
        <v>4287</v>
      </c>
      <c r="Z268" s="2954" t="s">
        <v>4288</v>
      </c>
      <c r="AA268" s="375"/>
    </row>
    <row r="269" spans="1:27" ht="12.75" customHeight="1" x14ac:dyDescent="0.2">
      <c r="A269" s="6360"/>
      <c r="B269" s="251" t="str">
        <f t="shared" si="4"/>
        <v>Tierra20</v>
      </c>
      <c r="D269" s="272" t="s">
        <v>9883</v>
      </c>
      <c r="E269" s="2959" t="s">
        <v>1704</v>
      </c>
      <c r="F269" s="2959">
        <v>20</v>
      </c>
      <c r="G269" s="2962" t="s">
        <v>1381</v>
      </c>
      <c r="H269" s="2962" t="s">
        <v>1565</v>
      </c>
      <c r="I269" s="380" t="s">
        <v>1304</v>
      </c>
      <c r="J269" s="2959">
        <v>6</v>
      </c>
      <c r="K269" s="2959">
        <v>9</v>
      </c>
      <c r="L269" s="2959">
        <v>12</v>
      </c>
      <c r="M269" s="377">
        <v>15</v>
      </c>
      <c r="N269" s="2959">
        <v>60</v>
      </c>
      <c r="O269" s="2959">
        <v>160</v>
      </c>
      <c r="P269" s="2959">
        <v>240</v>
      </c>
      <c r="Q269" s="377">
        <v>300</v>
      </c>
      <c r="R269" s="2959">
        <v>10</v>
      </c>
      <c r="S269" s="2959">
        <v>20</v>
      </c>
      <c r="T269" s="2959">
        <v>25</v>
      </c>
      <c r="U269" s="377">
        <v>30</v>
      </c>
      <c r="V269" s="2954" t="s">
        <v>4289</v>
      </c>
      <c r="W269" s="2954" t="s">
        <v>4290</v>
      </c>
      <c r="X269" s="2954" t="s">
        <v>4291</v>
      </c>
      <c r="Y269" s="2954" t="s">
        <v>4292</v>
      </c>
      <c r="Z269" s="2954" t="s">
        <v>4293</v>
      </c>
      <c r="AA269" s="375"/>
    </row>
    <row r="270" spans="1:27" ht="12.75" customHeight="1" x14ac:dyDescent="0.2">
      <c r="A270" s="6360"/>
      <c r="B270" s="251" t="str">
        <f t="shared" si="4"/>
        <v>Tierra22</v>
      </c>
      <c r="D270" s="272" t="s">
        <v>2939</v>
      </c>
      <c r="E270" s="2959" t="s">
        <v>1704</v>
      </c>
      <c r="F270" s="2959">
        <v>22</v>
      </c>
      <c r="G270" s="2962" t="s">
        <v>1381</v>
      </c>
      <c r="H270" s="2962" t="s">
        <v>1233</v>
      </c>
      <c r="I270" s="380" t="s">
        <v>1304</v>
      </c>
      <c r="J270" s="2959">
        <v>6</v>
      </c>
      <c r="K270" s="2959">
        <v>9</v>
      </c>
      <c r="L270" s="2959">
        <v>12</v>
      </c>
      <c r="M270" s="377">
        <v>15</v>
      </c>
      <c r="N270" s="2959">
        <v>60</v>
      </c>
      <c r="O270" s="2959">
        <v>90</v>
      </c>
      <c r="P270" s="2959">
        <v>120</v>
      </c>
      <c r="Q270" s="377">
        <v>150</v>
      </c>
      <c r="R270" s="2959">
        <v>10</v>
      </c>
      <c r="S270" s="2959">
        <v>10</v>
      </c>
      <c r="T270" s="2959">
        <v>15</v>
      </c>
      <c r="U270" s="377">
        <v>15</v>
      </c>
      <c r="V270" s="2954" t="s">
        <v>4294</v>
      </c>
      <c r="W270" s="2954" t="s">
        <v>4295</v>
      </c>
      <c r="X270" s="2954" t="s">
        <v>4296</v>
      </c>
      <c r="Y270" s="2954" t="s">
        <v>4297</v>
      </c>
      <c r="Z270" s="2954" t="s">
        <v>9989</v>
      </c>
      <c r="AA270" s="375"/>
    </row>
    <row r="271" spans="1:27" ht="12.75" customHeight="1" x14ac:dyDescent="0.2">
      <c r="A271" s="6360"/>
      <c r="B271" s="251" t="str">
        <f t="shared" si="4"/>
        <v>Tierra26</v>
      </c>
      <c r="D271" s="272" t="s">
        <v>9884</v>
      </c>
      <c r="E271" s="2959" t="s">
        <v>1704</v>
      </c>
      <c r="F271" s="2959">
        <v>26</v>
      </c>
      <c r="G271" s="2962" t="s">
        <v>2088</v>
      </c>
      <c r="H271" s="2962" t="s">
        <v>1234</v>
      </c>
      <c r="I271" s="380" t="s">
        <v>1304</v>
      </c>
      <c r="J271" s="2959">
        <v>8</v>
      </c>
      <c r="K271" s="2959">
        <v>10</v>
      </c>
      <c r="L271" s="2959">
        <v>12</v>
      </c>
      <c r="M271" s="377">
        <v>15</v>
      </c>
      <c r="N271" s="2959">
        <v>80</v>
      </c>
      <c r="O271" s="2959">
        <v>100</v>
      </c>
      <c r="P271" s="2959">
        <v>120</v>
      </c>
      <c r="Q271" s="377">
        <v>140</v>
      </c>
      <c r="R271" s="2959">
        <v>5</v>
      </c>
      <c r="S271" s="2959">
        <v>5</v>
      </c>
      <c r="T271" s="2959">
        <v>10</v>
      </c>
      <c r="U271" s="377">
        <v>10</v>
      </c>
      <c r="V271" s="2954" t="s">
        <v>4298</v>
      </c>
      <c r="W271" s="2954" t="s">
        <v>4299</v>
      </c>
      <c r="X271" s="2954" t="s">
        <v>4300</v>
      </c>
      <c r="Y271" s="2954" t="s">
        <v>4301</v>
      </c>
      <c r="Z271" s="2954" t="s">
        <v>4302</v>
      </c>
      <c r="AA271" s="375"/>
    </row>
    <row r="272" spans="1:27" ht="12.75" customHeight="1" x14ac:dyDescent="0.2">
      <c r="A272" s="6360"/>
      <c r="B272" s="251" t="str">
        <f t="shared" si="4"/>
        <v>Tierra30</v>
      </c>
      <c r="D272" s="272" t="s">
        <v>226</v>
      </c>
      <c r="E272" s="2959" t="s">
        <v>1704</v>
      </c>
      <c r="F272" s="2959">
        <v>30</v>
      </c>
      <c r="G272" s="2962" t="s">
        <v>1381</v>
      </c>
      <c r="H272" s="2962" t="s">
        <v>1565</v>
      </c>
      <c r="I272" s="380" t="s">
        <v>1305</v>
      </c>
      <c r="J272" s="2959">
        <v>6</v>
      </c>
      <c r="K272" s="2959">
        <v>8</v>
      </c>
      <c r="L272" s="2959">
        <v>11</v>
      </c>
      <c r="M272" s="377">
        <v>14</v>
      </c>
      <c r="N272" s="2959">
        <v>50</v>
      </c>
      <c r="O272" s="2959">
        <v>90</v>
      </c>
      <c r="P272" s="2959">
        <v>120</v>
      </c>
      <c r="Q272" s="377">
        <v>160</v>
      </c>
      <c r="R272" s="2959">
        <v>5</v>
      </c>
      <c r="S272" s="2959">
        <v>10</v>
      </c>
      <c r="T272" s="2959">
        <v>10</v>
      </c>
      <c r="U272" s="377">
        <v>20</v>
      </c>
      <c r="V272" s="2954" t="s">
        <v>3879</v>
      </c>
      <c r="W272" s="2954" t="s">
        <v>4303</v>
      </c>
      <c r="X272" s="2954" t="s">
        <v>4304</v>
      </c>
      <c r="Y272" s="2954" t="s">
        <v>4305</v>
      </c>
      <c r="Z272" s="2954" t="s">
        <v>4306</v>
      </c>
      <c r="AA272" s="375"/>
    </row>
    <row r="273" spans="1:27" ht="12.75" customHeight="1" x14ac:dyDescent="0.2">
      <c r="A273" s="6360"/>
      <c r="B273" s="251" t="str">
        <f t="shared" si="4"/>
        <v>Tierra32</v>
      </c>
      <c r="D273" s="272" t="s">
        <v>9885</v>
      </c>
      <c r="E273" s="2959" t="s">
        <v>1704</v>
      </c>
      <c r="F273" s="2959">
        <v>32</v>
      </c>
      <c r="G273" s="2962" t="s">
        <v>1381</v>
      </c>
      <c r="H273" s="2962" t="s">
        <v>1234</v>
      </c>
      <c r="I273" s="380" t="s">
        <v>1304</v>
      </c>
      <c r="J273" s="2959">
        <v>7</v>
      </c>
      <c r="K273" s="2959">
        <v>10</v>
      </c>
      <c r="L273" s="2959">
        <v>12</v>
      </c>
      <c r="M273" s="377">
        <v>14</v>
      </c>
      <c r="N273" s="2959">
        <v>80</v>
      </c>
      <c r="O273" s="2959">
        <v>100</v>
      </c>
      <c r="P273" s="2959">
        <v>120</v>
      </c>
      <c r="Q273" s="377">
        <v>140</v>
      </c>
      <c r="R273" s="2959">
        <v>5</v>
      </c>
      <c r="S273" s="2959">
        <v>5</v>
      </c>
      <c r="T273" s="2959">
        <v>10</v>
      </c>
      <c r="U273" s="377">
        <v>10</v>
      </c>
      <c r="V273" s="2954" t="s">
        <v>3405</v>
      </c>
      <c r="W273" s="2954" t="s">
        <v>4307</v>
      </c>
      <c r="X273" s="2954" t="s">
        <v>3654</v>
      </c>
      <c r="Y273" s="2954" t="s">
        <v>3655</v>
      </c>
      <c r="Z273" s="2954" t="s">
        <v>4308</v>
      </c>
      <c r="AA273" s="375"/>
    </row>
    <row r="274" spans="1:27" ht="12.75" customHeight="1" x14ac:dyDescent="0.2">
      <c r="A274" s="6360"/>
      <c r="B274" s="251" t="str">
        <f t="shared" si="4"/>
        <v>Tierra36</v>
      </c>
      <c r="D274" s="272" t="s">
        <v>9886</v>
      </c>
      <c r="E274" s="2959" t="s">
        <v>1704</v>
      </c>
      <c r="F274" s="2959">
        <v>36</v>
      </c>
      <c r="G274" s="2962" t="s">
        <v>1381</v>
      </c>
      <c r="H274" s="2962" t="s">
        <v>1232</v>
      </c>
      <c r="I274" s="380" t="s">
        <v>1304</v>
      </c>
      <c r="J274" s="2959">
        <v>8</v>
      </c>
      <c r="K274" s="2959">
        <v>10</v>
      </c>
      <c r="L274" s="2959">
        <v>12</v>
      </c>
      <c r="M274" s="377">
        <v>14</v>
      </c>
      <c r="N274" s="2959">
        <v>80</v>
      </c>
      <c r="O274" s="2959">
        <v>120</v>
      </c>
      <c r="P274" s="2959">
        <v>150</v>
      </c>
      <c r="Q274" s="377">
        <v>200</v>
      </c>
      <c r="R274" s="2959" t="s">
        <v>1381</v>
      </c>
      <c r="S274" s="2959" t="s">
        <v>1381</v>
      </c>
      <c r="T274" s="2959" t="s">
        <v>1381</v>
      </c>
      <c r="U274" s="377" t="s">
        <v>1381</v>
      </c>
      <c r="V274" s="2954" t="s">
        <v>4309</v>
      </c>
      <c r="W274" s="2954" t="s">
        <v>4310</v>
      </c>
      <c r="X274" s="2954" t="s">
        <v>4311</v>
      </c>
      <c r="Y274" s="2954" t="s">
        <v>4312</v>
      </c>
      <c r="Z274" s="2954" t="s">
        <v>4313</v>
      </c>
      <c r="AA274" s="375"/>
    </row>
    <row r="275" spans="1:27" ht="12.75" customHeight="1" x14ac:dyDescent="0.2">
      <c r="A275" s="6360"/>
      <c r="B275" s="251" t="str">
        <f t="shared" si="4"/>
        <v>Tierra40</v>
      </c>
      <c r="D275" s="272" t="s">
        <v>1570</v>
      </c>
      <c r="E275" s="2959" t="s">
        <v>1704</v>
      </c>
      <c r="F275" s="2959">
        <v>40</v>
      </c>
      <c r="G275" s="2962" t="s">
        <v>1381</v>
      </c>
      <c r="H275" s="2962" t="s">
        <v>1234</v>
      </c>
      <c r="I275" s="380" t="s">
        <v>1304</v>
      </c>
      <c r="J275" s="2959">
        <v>6</v>
      </c>
      <c r="K275" s="2959">
        <v>9</v>
      </c>
      <c r="L275" s="2959">
        <v>12</v>
      </c>
      <c r="M275" s="377">
        <v>15</v>
      </c>
      <c r="N275" s="2959">
        <v>60</v>
      </c>
      <c r="O275" s="2959">
        <v>90</v>
      </c>
      <c r="P275" s="2959">
        <v>120</v>
      </c>
      <c r="Q275" s="377">
        <v>150</v>
      </c>
      <c r="R275" s="2959">
        <v>10</v>
      </c>
      <c r="S275" s="2959">
        <v>10</v>
      </c>
      <c r="T275" s="2959">
        <v>15</v>
      </c>
      <c r="U275" s="377">
        <v>15</v>
      </c>
      <c r="V275" s="2954" t="s">
        <v>4314</v>
      </c>
      <c r="W275" s="2954" t="s">
        <v>4315</v>
      </c>
      <c r="X275" s="2954" t="s">
        <v>4316</v>
      </c>
      <c r="Y275" s="2954" t="s">
        <v>4317</v>
      </c>
      <c r="Z275" s="2954" t="s">
        <v>4318</v>
      </c>
      <c r="AA275" s="375"/>
    </row>
    <row r="276" spans="1:27" ht="12.75" customHeight="1" x14ac:dyDescent="0.2">
      <c r="A276" s="6360"/>
      <c r="B276" s="251" t="str">
        <f t="shared" si="4"/>
        <v>Tierra42</v>
      </c>
      <c r="D276" s="272" t="s">
        <v>109</v>
      </c>
      <c r="E276" s="2959" t="s">
        <v>1704</v>
      </c>
      <c r="F276" s="2959">
        <v>42</v>
      </c>
      <c r="G276" s="2962" t="s">
        <v>1381</v>
      </c>
      <c r="H276" s="2962" t="s">
        <v>1234</v>
      </c>
      <c r="I276" s="380" t="s">
        <v>1304</v>
      </c>
      <c r="J276" s="2959">
        <v>6</v>
      </c>
      <c r="K276" s="2959">
        <v>9</v>
      </c>
      <c r="L276" s="2959">
        <v>12</v>
      </c>
      <c r="M276" s="377">
        <v>15</v>
      </c>
      <c r="N276" s="2959">
        <v>120</v>
      </c>
      <c r="O276" s="2959">
        <v>180</v>
      </c>
      <c r="P276" s="2959">
        <v>240</v>
      </c>
      <c r="Q276" s="377">
        <v>300</v>
      </c>
      <c r="R276" s="2959" t="s">
        <v>1381</v>
      </c>
      <c r="S276" s="2959" t="s">
        <v>1381</v>
      </c>
      <c r="T276" s="2959" t="s">
        <v>1381</v>
      </c>
      <c r="U276" s="377" t="s">
        <v>1381</v>
      </c>
      <c r="V276" s="2954" t="s">
        <v>4319</v>
      </c>
      <c r="W276" s="2954" t="s">
        <v>4320</v>
      </c>
      <c r="X276" s="2954" t="s">
        <v>4321</v>
      </c>
      <c r="Y276" s="2954" t="s">
        <v>4322</v>
      </c>
      <c r="Z276" s="2954" t="s">
        <v>4323</v>
      </c>
      <c r="AA276" s="375"/>
    </row>
    <row r="277" spans="1:27" ht="12.75" customHeight="1" x14ac:dyDescent="0.2">
      <c r="A277" s="6360"/>
      <c r="B277" s="251" t="str">
        <f t="shared" si="4"/>
        <v>Tierra46</v>
      </c>
      <c r="D277" s="272" t="s">
        <v>9887</v>
      </c>
      <c r="E277" s="2959" t="s">
        <v>1704</v>
      </c>
      <c r="F277" s="2959">
        <v>46</v>
      </c>
      <c r="G277" s="2962" t="s">
        <v>1381</v>
      </c>
      <c r="H277" s="2962" t="s">
        <v>1234</v>
      </c>
      <c r="I277" s="380" t="s">
        <v>1304</v>
      </c>
      <c r="J277" s="2959">
        <v>6</v>
      </c>
      <c r="K277" s="2959">
        <v>9</v>
      </c>
      <c r="L277" s="2959">
        <v>12</v>
      </c>
      <c r="M277" s="377">
        <v>15</v>
      </c>
      <c r="N277" s="2959">
        <v>100</v>
      </c>
      <c r="O277" s="2959">
        <v>180</v>
      </c>
      <c r="P277" s="2959">
        <v>240</v>
      </c>
      <c r="Q277" s="377">
        <v>320</v>
      </c>
      <c r="R277" s="2959">
        <v>10</v>
      </c>
      <c r="S277" s="2959">
        <v>20</v>
      </c>
      <c r="T277" s="2959">
        <v>25</v>
      </c>
      <c r="U277" s="377">
        <v>30</v>
      </c>
      <c r="V277" s="2954" t="s">
        <v>4324</v>
      </c>
      <c r="W277" s="2954" t="s">
        <v>4325</v>
      </c>
      <c r="X277" s="2954" t="s">
        <v>4326</v>
      </c>
      <c r="Y277" s="2954" t="s">
        <v>4327</v>
      </c>
      <c r="Z277" s="2954" t="s">
        <v>4328</v>
      </c>
      <c r="AA277" s="375"/>
    </row>
    <row r="278" spans="1:27" ht="12.75" customHeight="1" x14ac:dyDescent="0.2">
      <c r="A278" s="6360"/>
      <c r="B278" s="251" t="str">
        <f t="shared" si="4"/>
        <v>Tierra50</v>
      </c>
      <c r="D278" s="272" t="s">
        <v>1473</v>
      </c>
      <c r="E278" s="2959" t="s">
        <v>1704</v>
      </c>
      <c r="F278" s="2959">
        <v>50</v>
      </c>
      <c r="G278" s="2962" t="s">
        <v>1381</v>
      </c>
      <c r="H278" s="2962" t="s">
        <v>1234</v>
      </c>
      <c r="I278" s="380" t="s">
        <v>1304</v>
      </c>
      <c r="J278" s="2959">
        <v>7</v>
      </c>
      <c r="K278" s="2959">
        <v>9</v>
      </c>
      <c r="L278" s="2959">
        <v>12</v>
      </c>
      <c r="M278" s="377">
        <v>15</v>
      </c>
      <c r="N278" s="2959">
        <v>160</v>
      </c>
      <c r="O278" s="2959">
        <v>270</v>
      </c>
      <c r="P278" s="2959">
        <v>360</v>
      </c>
      <c r="Q278" s="377">
        <v>450</v>
      </c>
      <c r="R278" s="2959" t="s">
        <v>1381</v>
      </c>
      <c r="S278" s="2959" t="s">
        <v>1381</v>
      </c>
      <c r="T278" s="2959" t="s">
        <v>1381</v>
      </c>
      <c r="U278" s="377" t="s">
        <v>1381</v>
      </c>
      <c r="V278" s="2954" t="s">
        <v>4329</v>
      </c>
      <c r="W278" s="2954" t="s">
        <v>4330</v>
      </c>
      <c r="X278" s="2954" t="s">
        <v>4331</v>
      </c>
      <c r="Y278" s="2954" t="s">
        <v>4332</v>
      </c>
      <c r="Z278" s="2954" t="s">
        <v>4333</v>
      </c>
      <c r="AA278" s="375"/>
    </row>
    <row r="279" spans="1:27" ht="12.75" customHeight="1" x14ac:dyDescent="0.2">
      <c r="A279" s="6360"/>
      <c r="B279" s="251" t="str">
        <f t="shared" si="4"/>
        <v>Tierra52</v>
      </c>
      <c r="D279" s="272" t="s">
        <v>9888</v>
      </c>
      <c r="E279" s="2959" t="s">
        <v>1704</v>
      </c>
      <c r="F279" s="2959">
        <v>52</v>
      </c>
      <c r="G279" s="2962" t="s">
        <v>1381</v>
      </c>
      <c r="H279" s="2962" t="s">
        <v>1234</v>
      </c>
      <c r="I279" s="380" t="s">
        <v>1304</v>
      </c>
      <c r="J279" s="2959">
        <v>8</v>
      </c>
      <c r="K279" s="2959">
        <v>11</v>
      </c>
      <c r="L279" s="2959">
        <v>13</v>
      </c>
      <c r="M279" s="377">
        <v>16</v>
      </c>
      <c r="N279" s="2959">
        <v>100</v>
      </c>
      <c r="O279" s="2959">
        <v>120</v>
      </c>
      <c r="P279" s="2959">
        <v>140</v>
      </c>
      <c r="Q279" s="377">
        <v>160</v>
      </c>
      <c r="R279" s="2959">
        <v>10</v>
      </c>
      <c r="S279" s="2959">
        <v>15</v>
      </c>
      <c r="T279" s="2959">
        <v>15</v>
      </c>
      <c r="U279" s="377">
        <v>20</v>
      </c>
      <c r="V279" s="2954" t="s">
        <v>4334</v>
      </c>
      <c r="W279" s="2954" t="s">
        <v>4335</v>
      </c>
      <c r="X279" s="2954" t="s">
        <v>4336</v>
      </c>
      <c r="Y279" s="2954" t="s">
        <v>4337</v>
      </c>
      <c r="Z279" s="2954" t="s">
        <v>4338</v>
      </c>
      <c r="AA279" s="375"/>
    </row>
    <row r="280" spans="1:27" ht="12.75" customHeight="1" x14ac:dyDescent="0.2">
      <c r="A280" s="6360"/>
      <c r="B280" s="251" t="str">
        <f t="shared" si="4"/>
        <v>Tierra56</v>
      </c>
      <c r="D280" s="272" t="s">
        <v>2722</v>
      </c>
      <c r="E280" s="2959" t="s">
        <v>1704</v>
      </c>
      <c r="F280" s="2959">
        <v>56</v>
      </c>
      <c r="G280" s="2962" t="s">
        <v>1381</v>
      </c>
      <c r="H280" s="2962" t="s">
        <v>1234</v>
      </c>
      <c r="I280" s="380" t="s">
        <v>1304</v>
      </c>
      <c r="J280" s="2959">
        <v>8</v>
      </c>
      <c r="K280" s="2959">
        <v>10</v>
      </c>
      <c r="L280" s="2959">
        <v>13</v>
      </c>
      <c r="M280" s="377">
        <v>15</v>
      </c>
      <c r="N280" s="2959">
        <v>100</v>
      </c>
      <c r="O280" s="2959">
        <v>180</v>
      </c>
      <c r="P280" s="2959">
        <v>240</v>
      </c>
      <c r="Q280" s="377">
        <v>300</v>
      </c>
      <c r="R280" s="2959">
        <v>10</v>
      </c>
      <c r="S280" s="2959">
        <v>20</v>
      </c>
      <c r="T280" s="2959">
        <v>25</v>
      </c>
      <c r="U280" s="377">
        <v>30</v>
      </c>
      <c r="V280" s="2954" t="s">
        <v>4339</v>
      </c>
      <c r="W280" s="2954" t="s">
        <v>4340</v>
      </c>
      <c r="X280" s="2954" t="s">
        <v>4341</v>
      </c>
      <c r="Y280" s="2954" t="s">
        <v>4342</v>
      </c>
      <c r="Z280" s="2954" t="s">
        <v>4343</v>
      </c>
      <c r="AA280" s="375"/>
    </row>
    <row r="281" spans="1:27" ht="12.75" customHeight="1" x14ac:dyDescent="0.2">
      <c r="A281" s="6360"/>
      <c r="B281" s="251" t="str">
        <f t="shared" si="4"/>
        <v>Tierra60</v>
      </c>
      <c r="D281" s="272" t="s">
        <v>9889</v>
      </c>
      <c r="E281" s="2959" t="s">
        <v>1704</v>
      </c>
      <c r="F281" s="2959">
        <v>60</v>
      </c>
      <c r="G281" s="2962" t="s">
        <v>2088</v>
      </c>
      <c r="H281" s="2962" t="s">
        <v>1233</v>
      </c>
      <c r="I281" s="380" t="s">
        <v>1304</v>
      </c>
      <c r="J281" s="2959">
        <v>7</v>
      </c>
      <c r="K281" s="2959">
        <v>10</v>
      </c>
      <c r="L281" s="2959">
        <v>13</v>
      </c>
      <c r="M281" s="377">
        <v>16</v>
      </c>
      <c r="N281" s="2959">
        <v>140</v>
      </c>
      <c r="O281" s="2959">
        <v>200</v>
      </c>
      <c r="P281" s="2959">
        <v>260</v>
      </c>
      <c r="Q281" s="377">
        <v>320</v>
      </c>
      <c r="R281" s="2959">
        <v>10</v>
      </c>
      <c r="S281" s="2959">
        <v>10</v>
      </c>
      <c r="T281" s="2959">
        <v>15</v>
      </c>
      <c r="U281" s="377">
        <v>20</v>
      </c>
      <c r="V281" s="2954" t="s">
        <v>3590</v>
      </c>
      <c r="W281" s="2954" t="s">
        <v>4344</v>
      </c>
      <c r="X281" s="2954" t="s">
        <v>3322</v>
      </c>
      <c r="Y281" s="2954" t="s">
        <v>3776</v>
      </c>
      <c r="Z281" s="2954" t="s">
        <v>4345</v>
      </c>
      <c r="AA281" s="375"/>
    </row>
    <row r="282" spans="1:27" ht="12.75" customHeight="1" x14ac:dyDescent="0.2">
      <c r="A282" s="6360"/>
      <c r="B282" s="251" t="str">
        <f t="shared" si="4"/>
        <v>Tierra62</v>
      </c>
      <c r="D282" s="272" t="s">
        <v>9890</v>
      </c>
      <c r="E282" s="2959" t="s">
        <v>1704</v>
      </c>
      <c r="F282" s="2959">
        <v>62</v>
      </c>
      <c r="G282" s="2962" t="s">
        <v>1381</v>
      </c>
      <c r="H282" s="2962" t="s">
        <v>1234</v>
      </c>
      <c r="I282" s="380" t="s">
        <v>1304</v>
      </c>
      <c r="J282" s="2959">
        <v>8</v>
      </c>
      <c r="K282" s="2959">
        <v>10</v>
      </c>
      <c r="L282" s="2959">
        <v>12</v>
      </c>
      <c r="M282" s="377">
        <v>14</v>
      </c>
      <c r="N282" s="2959">
        <v>150</v>
      </c>
      <c r="O282" s="2959">
        <v>200</v>
      </c>
      <c r="P282" s="2959">
        <v>250</v>
      </c>
      <c r="Q282" s="377">
        <v>300</v>
      </c>
      <c r="R282" s="2959" t="s">
        <v>1381</v>
      </c>
      <c r="S282" s="2959" t="s">
        <v>1381</v>
      </c>
      <c r="T282" s="2959" t="s">
        <v>1381</v>
      </c>
      <c r="U282" s="377" t="s">
        <v>1381</v>
      </c>
      <c r="V282" s="2954" t="s">
        <v>4346</v>
      </c>
      <c r="W282" s="2954" t="s">
        <v>4347</v>
      </c>
      <c r="X282" s="2954" t="s">
        <v>4348</v>
      </c>
      <c r="Y282" s="2954" t="s">
        <v>4349</v>
      </c>
      <c r="Z282" s="2954" t="s">
        <v>4350</v>
      </c>
      <c r="AA282" s="375"/>
    </row>
    <row r="283" spans="1:27" ht="12.75" customHeight="1" x14ac:dyDescent="0.2">
      <c r="A283" s="6360"/>
      <c r="B283" s="251" t="str">
        <f t="shared" si="4"/>
        <v>Tierra66</v>
      </c>
      <c r="D283" s="272" t="s">
        <v>9891</v>
      </c>
      <c r="E283" s="2959" t="s">
        <v>1704</v>
      </c>
      <c r="F283" s="2959">
        <v>66</v>
      </c>
      <c r="G283" s="2962" t="s">
        <v>2088</v>
      </c>
      <c r="H283" s="2962" t="s">
        <v>3210</v>
      </c>
      <c r="I283" s="380" t="s">
        <v>1304</v>
      </c>
      <c r="J283" s="2959">
        <v>10</v>
      </c>
      <c r="K283" s="2959">
        <v>12</v>
      </c>
      <c r="L283" s="2959">
        <v>14</v>
      </c>
      <c r="M283" s="377">
        <v>16</v>
      </c>
      <c r="N283" s="2959">
        <v>200</v>
      </c>
      <c r="O283" s="2959">
        <v>240</v>
      </c>
      <c r="P283" s="2959">
        <v>280</v>
      </c>
      <c r="Q283" s="377">
        <v>320</v>
      </c>
      <c r="R283" s="2959">
        <v>40</v>
      </c>
      <c r="S283" s="2959">
        <v>50</v>
      </c>
      <c r="T283" s="2959">
        <v>60</v>
      </c>
      <c r="U283" s="377">
        <v>65</v>
      </c>
      <c r="V283" s="2954" t="s">
        <v>4351</v>
      </c>
      <c r="W283" s="2954" t="s">
        <v>4352</v>
      </c>
      <c r="X283" s="2954" t="s">
        <v>4353</v>
      </c>
      <c r="Y283" s="2954" t="s">
        <v>4354</v>
      </c>
      <c r="Z283" s="2954" t="s">
        <v>4355</v>
      </c>
      <c r="AA283" s="375"/>
    </row>
    <row r="284" spans="1:27" ht="12.75" customHeight="1" x14ac:dyDescent="0.2">
      <c r="A284" s="6360"/>
      <c r="B284" s="251" t="str">
        <f t="shared" si="4"/>
        <v>Tierra70</v>
      </c>
      <c r="D284" s="272" t="s">
        <v>9892</v>
      </c>
      <c r="E284" s="2959" t="s">
        <v>1704</v>
      </c>
      <c r="F284" s="2959">
        <v>70</v>
      </c>
      <c r="G284" s="2962" t="s">
        <v>2088</v>
      </c>
      <c r="H284" s="2962" t="s">
        <v>1234</v>
      </c>
      <c r="I284" s="380" t="s">
        <v>1304</v>
      </c>
      <c r="J284" s="2959">
        <v>8</v>
      </c>
      <c r="K284" s="2959">
        <v>10</v>
      </c>
      <c r="L284" s="2959">
        <v>12</v>
      </c>
      <c r="M284" s="377">
        <v>15</v>
      </c>
      <c r="N284" s="2959">
        <v>120</v>
      </c>
      <c r="O284" s="2959">
        <v>180</v>
      </c>
      <c r="P284" s="2959">
        <v>240</v>
      </c>
      <c r="Q284" s="377">
        <v>300</v>
      </c>
      <c r="R284" s="2959">
        <v>15</v>
      </c>
      <c r="S284" s="2959">
        <v>20</v>
      </c>
      <c r="T284" s="2959">
        <v>25</v>
      </c>
      <c r="U284" s="377">
        <v>30</v>
      </c>
      <c r="V284" s="2954" t="s">
        <v>4356</v>
      </c>
      <c r="W284" s="2954" t="s">
        <v>4357</v>
      </c>
      <c r="X284" s="2954" t="s">
        <v>4358</v>
      </c>
      <c r="Y284" s="2954" t="s">
        <v>4359</v>
      </c>
      <c r="Z284" s="2954" t="s">
        <v>4360</v>
      </c>
      <c r="AA284" s="375"/>
    </row>
    <row r="285" spans="1:27" ht="12.75" customHeight="1" x14ac:dyDescent="0.2">
      <c r="A285" s="6360"/>
      <c r="B285" s="251" t="str">
        <f t="shared" si="4"/>
        <v>Tierra72</v>
      </c>
      <c r="D285" s="272" t="s">
        <v>9893</v>
      </c>
      <c r="E285" s="2959" t="s">
        <v>1704</v>
      </c>
      <c r="F285" s="2959">
        <v>72</v>
      </c>
      <c r="G285" s="2962" t="s">
        <v>1381</v>
      </c>
      <c r="H285" s="2962" t="s">
        <v>1234</v>
      </c>
      <c r="I285" s="380" t="s">
        <v>1304</v>
      </c>
      <c r="J285" s="2959">
        <v>7</v>
      </c>
      <c r="K285" s="2959">
        <v>10</v>
      </c>
      <c r="L285" s="2959">
        <v>12</v>
      </c>
      <c r="M285" s="377">
        <v>15</v>
      </c>
      <c r="N285" s="2959">
        <v>120</v>
      </c>
      <c r="O285" s="2959">
        <v>270</v>
      </c>
      <c r="P285" s="2959">
        <v>360</v>
      </c>
      <c r="Q285" s="377">
        <v>450</v>
      </c>
      <c r="R285" s="2959" t="s">
        <v>1381</v>
      </c>
      <c r="S285" s="2959" t="s">
        <v>1381</v>
      </c>
      <c r="T285" s="2959" t="s">
        <v>1381</v>
      </c>
      <c r="U285" s="377" t="s">
        <v>1381</v>
      </c>
      <c r="V285" s="2954" t="s">
        <v>3397</v>
      </c>
      <c r="W285" s="2954" t="s">
        <v>4361</v>
      </c>
      <c r="X285" s="2954" t="s">
        <v>4362</v>
      </c>
      <c r="Y285" s="2954" t="s">
        <v>4363</v>
      </c>
      <c r="Z285" s="2954" t="s">
        <v>4364</v>
      </c>
      <c r="AA285" s="375"/>
    </row>
    <row r="286" spans="1:27" ht="12.75" customHeight="1" x14ac:dyDescent="0.2">
      <c r="A286" s="6360"/>
      <c r="B286" s="251" t="str">
        <f t="shared" si="4"/>
        <v>Tierra76</v>
      </c>
      <c r="D286" s="272" t="s">
        <v>9894</v>
      </c>
      <c r="E286" s="2959" t="s">
        <v>1704</v>
      </c>
      <c r="F286" s="2959">
        <v>76</v>
      </c>
      <c r="G286" s="2962" t="s">
        <v>1381</v>
      </c>
      <c r="H286" s="2962" t="s">
        <v>4365</v>
      </c>
      <c r="I286" s="380" t="s">
        <v>1304</v>
      </c>
      <c r="J286" s="2959">
        <v>8</v>
      </c>
      <c r="K286" s="2959">
        <v>10</v>
      </c>
      <c r="L286" s="2959">
        <v>12</v>
      </c>
      <c r="M286" s="377">
        <v>14</v>
      </c>
      <c r="N286" s="2959">
        <v>150</v>
      </c>
      <c r="O286" s="2959">
        <v>200</v>
      </c>
      <c r="P286" s="2959">
        <v>300</v>
      </c>
      <c r="Q286" s="377">
        <v>400</v>
      </c>
      <c r="R286" s="2959">
        <v>15</v>
      </c>
      <c r="S286" s="2959">
        <v>20</v>
      </c>
      <c r="T286" s="2959">
        <v>25</v>
      </c>
      <c r="U286" s="377">
        <v>30</v>
      </c>
      <c r="V286" s="2954" t="s">
        <v>3397</v>
      </c>
      <c r="W286" s="2954" t="s">
        <v>4361</v>
      </c>
      <c r="X286" s="2954" t="s">
        <v>4362</v>
      </c>
      <c r="Y286" s="2954" t="s">
        <v>4363</v>
      </c>
      <c r="Z286" s="2954" t="s">
        <v>4366</v>
      </c>
      <c r="AA286" s="375"/>
    </row>
    <row r="287" spans="1:27" ht="12.75" customHeight="1" x14ac:dyDescent="0.2">
      <c r="A287" s="6360"/>
      <c r="B287" s="251" t="str">
        <f t="shared" si="4"/>
        <v>Tierra80</v>
      </c>
      <c r="D287" s="272" t="s">
        <v>9895</v>
      </c>
      <c r="E287" s="2959" t="s">
        <v>1704</v>
      </c>
      <c r="F287" s="2959">
        <v>80</v>
      </c>
      <c r="G287" s="2962" t="s">
        <v>1381</v>
      </c>
      <c r="H287" s="2962" t="s">
        <v>3210</v>
      </c>
      <c r="I287" s="380" t="s">
        <v>1304</v>
      </c>
      <c r="J287" s="2959">
        <v>9</v>
      </c>
      <c r="K287" s="2959">
        <v>12</v>
      </c>
      <c r="L287" s="2959">
        <v>15</v>
      </c>
      <c r="M287" s="377">
        <v>17</v>
      </c>
      <c r="N287" s="2959">
        <v>180</v>
      </c>
      <c r="O287" s="2959">
        <v>250</v>
      </c>
      <c r="P287" s="2959">
        <v>320</v>
      </c>
      <c r="Q287" s="377">
        <v>400</v>
      </c>
      <c r="R287" s="2959">
        <v>20</v>
      </c>
      <c r="S287" s="2959">
        <v>25</v>
      </c>
      <c r="T287" s="2959">
        <v>30</v>
      </c>
      <c r="U287" s="377">
        <v>40</v>
      </c>
      <c r="V287" s="2954" t="s">
        <v>4367</v>
      </c>
      <c r="W287" s="2954" t="s">
        <v>3507</v>
      </c>
      <c r="X287" s="2954" t="s">
        <v>3396</v>
      </c>
      <c r="Y287" s="2954" t="s">
        <v>4267</v>
      </c>
      <c r="Z287" s="2954" t="s">
        <v>4368</v>
      </c>
      <c r="AA287" s="375"/>
    </row>
    <row r="288" spans="1:27" ht="12.75" customHeight="1" x14ac:dyDescent="0.2">
      <c r="A288" s="6360"/>
      <c r="B288" s="251" t="str">
        <f t="shared" si="4"/>
        <v>Tierra82</v>
      </c>
      <c r="D288" s="272" t="s">
        <v>9896</v>
      </c>
      <c r="E288" s="2959" t="s">
        <v>1704</v>
      </c>
      <c r="F288" s="2959">
        <v>82</v>
      </c>
      <c r="G288" s="2962" t="s">
        <v>2088</v>
      </c>
      <c r="H288" s="2962" t="s">
        <v>1234</v>
      </c>
      <c r="I288" s="380" t="s">
        <v>1304</v>
      </c>
      <c r="J288" s="2959">
        <v>10</v>
      </c>
      <c r="K288" s="2959">
        <v>12</v>
      </c>
      <c r="L288" s="2959">
        <v>14</v>
      </c>
      <c r="M288" s="377">
        <v>16</v>
      </c>
      <c r="N288" s="2959">
        <v>250</v>
      </c>
      <c r="O288" s="2959">
        <v>350</v>
      </c>
      <c r="P288" s="2959">
        <v>500</v>
      </c>
      <c r="Q288" s="377">
        <v>700</v>
      </c>
      <c r="R288" s="2959">
        <v>50</v>
      </c>
      <c r="S288" s="2959">
        <v>70</v>
      </c>
      <c r="T288" s="2959">
        <v>100</v>
      </c>
      <c r="U288" s="377">
        <v>140</v>
      </c>
      <c r="V288" s="2954" t="s">
        <v>3657</v>
      </c>
      <c r="W288" s="2954" t="s">
        <v>3356</v>
      </c>
      <c r="X288" s="2954" t="s">
        <v>4369</v>
      </c>
      <c r="Y288" s="2954" t="s">
        <v>4370</v>
      </c>
      <c r="Z288" s="2954" t="s">
        <v>4371</v>
      </c>
      <c r="AA288" s="375"/>
    </row>
    <row r="289" spans="1:27" ht="12.75" customHeight="1" x14ac:dyDescent="0.2">
      <c r="A289" s="6360"/>
      <c r="B289" s="251" t="str">
        <f t="shared" si="4"/>
        <v>Tierra86</v>
      </c>
      <c r="D289" s="272" t="s">
        <v>9897</v>
      </c>
      <c r="E289" s="2959" t="s">
        <v>1704</v>
      </c>
      <c r="F289" s="2959">
        <v>86</v>
      </c>
      <c r="G289" s="2962" t="s">
        <v>2088</v>
      </c>
      <c r="H289" s="2962" t="s">
        <v>3210</v>
      </c>
      <c r="I289" s="380" t="s">
        <v>1304</v>
      </c>
      <c r="J289" s="2959">
        <v>10</v>
      </c>
      <c r="K289" s="2959">
        <v>12</v>
      </c>
      <c r="L289" s="2959">
        <v>14</v>
      </c>
      <c r="M289" s="377">
        <v>16</v>
      </c>
      <c r="N289" s="2959">
        <v>200</v>
      </c>
      <c r="O289" s="2959">
        <v>240</v>
      </c>
      <c r="P289" s="2959">
        <v>280</v>
      </c>
      <c r="Q289" s="377">
        <v>320</v>
      </c>
      <c r="R289" s="2959">
        <v>20</v>
      </c>
      <c r="S289" s="2959">
        <v>25</v>
      </c>
      <c r="T289" s="2959">
        <v>30</v>
      </c>
      <c r="U289" s="377">
        <v>35</v>
      </c>
      <c r="V289" s="2954" t="s">
        <v>4372</v>
      </c>
      <c r="W289" s="2954" t="s">
        <v>4373</v>
      </c>
      <c r="X289" s="2954" t="s">
        <v>4374</v>
      </c>
      <c r="Y289" s="2954" t="s">
        <v>4375</v>
      </c>
      <c r="Z289" s="2954" t="s">
        <v>4376</v>
      </c>
      <c r="AA289" s="375"/>
    </row>
    <row r="290" spans="1:27" ht="12.75" customHeight="1" x14ac:dyDescent="0.2">
      <c r="A290" s="6360"/>
      <c r="B290" s="251" t="str">
        <f t="shared" si="4"/>
        <v>Tierra90</v>
      </c>
      <c r="D290" s="272" t="s">
        <v>2703</v>
      </c>
      <c r="E290" s="2959" t="s">
        <v>1704</v>
      </c>
      <c r="F290" s="2959">
        <v>90</v>
      </c>
      <c r="G290" s="2962" t="s">
        <v>1381</v>
      </c>
      <c r="H290" s="2962" t="s">
        <v>1232</v>
      </c>
      <c r="I290" s="380" t="s">
        <v>1304</v>
      </c>
      <c r="J290" s="2959">
        <v>10</v>
      </c>
      <c r="K290" s="2959">
        <v>13</v>
      </c>
      <c r="L290" s="2959">
        <v>15</v>
      </c>
      <c r="M290" s="377">
        <v>17</v>
      </c>
      <c r="N290" s="2959">
        <v>200</v>
      </c>
      <c r="O290" s="2959">
        <v>250</v>
      </c>
      <c r="P290" s="2959">
        <v>350</v>
      </c>
      <c r="Q290" s="377">
        <v>450</v>
      </c>
      <c r="R290" s="2959" t="s">
        <v>1381</v>
      </c>
      <c r="S290" s="2959" t="s">
        <v>1381</v>
      </c>
      <c r="T290" s="2959" t="s">
        <v>1381</v>
      </c>
      <c r="U290" s="377" t="s">
        <v>1381</v>
      </c>
      <c r="V290" s="2954" t="s">
        <v>4377</v>
      </c>
      <c r="W290" s="2954" t="s">
        <v>4378</v>
      </c>
      <c r="X290" s="2954" t="s">
        <v>4379</v>
      </c>
      <c r="Y290" s="2954" t="s">
        <v>4380</v>
      </c>
      <c r="Z290" s="2954" t="s">
        <v>4381</v>
      </c>
      <c r="AA290" s="375"/>
    </row>
    <row r="291" spans="1:27" ht="12.75" customHeight="1" x14ac:dyDescent="0.2">
      <c r="A291" s="6360"/>
      <c r="B291" s="251" t="str">
        <f t="shared" si="4"/>
        <v>Tierra92</v>
      </c>
      <c r="D291" s="272" t="s">
        <v>9898</v>
      </c>
      <c r="E291" s="2959" t="s">
        <v>1704</v>
      </c>
      <c r="F291" s="2959">
        <v>92</v>
      </c>
      <c r="G291" s="2962" t="s">
        <v>2088</v>
      </c>
      <c r="H291" s="2962" t="s">
        <v>1234</v>
      </c>
      <c r="I291" s="380" t="s">
        <v>1304</v>
      </c>
      <c r="J291" s="2959">
        <v>12</v>
      </c>
      <c r="K291" s="2959">
        <v>14</v>
      </c>
      <c r="L291" s="2959">
        <v>16</v>
      </c>
      <c r="M291" s="377">
        <v>18</v>
      </c>
      <c r="N291" s="2959">
        <v>350</v>
      </c>
      <c r="O291" s="2959">
        <v>500</v>
      </c>
      <c r="P291" s="2959">
        <v>650</v>
      </c>
      <c r="Q291" s="377">
        <v>800</v>
      </c>
      <c r="R291" s="2959">
        <v>70</v>
      </c>
      <c r="S291" s="2959">
        <v>100</v>
      </c>
      <c r="T291" s="2959">
        <v>130</v>
      </c>
      <c r="U291" s="377">
        <v>160</v>
      </c>
      <c r="V291" s="2954" t="s">
        <v>4382</v>
      </c>
      <c r="W291" s="2954" t="s">
        <v>4383</v>
      </c>
      <c r="X291" s="2954" t="s">
        <v>4384</v>
      </c>
      <c r="Y291" s="2954" t="s">
        <v>4385</v>
      </c>
      <c r="Z291" s="2954" t="s">
        <v>4386</v>
      </c>
      <c r="AA291" s="375"/>
    </row>
    <row r="292" spans="1:27" ht="12.75" customHeight="1" x14ac:dyDescent="0.2">
      <c r="A292" s="6360"/>
      <c r="B292" s="251" t="str">
        <f t="shared" si="4"/>
        <v>Tierra96</v>
      </c>
      <c r="D292" s="272" t="s">
        <v>9899</v>
      </c>
      <c r="E292" s="2959" t="s">
        <v>1704</v>
      </c>
      <c r="F292" s="2959">
        <v>96</v>
      </c>
      <c r="G292" s="2962" t="s">
        <v>2088</v>
      </c>
      <c r="H292" s="2962" t="s">
        <v>3210</v>
      </c>
      <c r="I292" s="380" t="s">
        <v>1304</v>
      </c>
      <c r="J292" s="2959">
        <v>10</v>
      </c>
      <c r="K292" s="2959">
        <v>12</v>
      </c>
      <c r="L292" s="2959">
        <v>15</v>
      </c>
      <c r="M292" s="377">
        <v>18</v>
      </c>
      <c r="N292" s="2959">
        <v>300</v>
      </c>
      <c r="O292" s="2959">
        <v>450</v>
      </c>
      <c r="P292" s="2959">
        <v>600</v>
      </c>
      <c r="Q292" s="377">
        <v>1000</v>
      </c>
      <c r="R292" s="2959">
        <v>30</v>
      </c>
      <c r="S292" s="2959">
        <v>45</v>
      </c>
      <c r="T292" s="2959">
        <v>60</v>
      </c>
      <c r="U292" s="377">
        <v>100</v>
      </c>
      <c r="V292" s="2954" t="s">
        <v>4387</v>
      </c>
      <c r="W292" s="2954" t="s">
        <v>4388</v>
      </c>
      <c r="X292" s="2954" t="s">
        <v>4389</v>
      </c>
      <c r="Y292" s="2954" t="s">
        <v>4390</v>
      </c>
      <c r="Z292" s="2954" t="s">
        <v>4391</v>
      </c>
      <c r="AA292" s="375"/>
    </row>
    <row r="293" spans="1:27" ht="12.75" customHeight="1" x14ac:dyDescent="0.2">
      <c r="A293" s="6360"/>
      <c r="B293" s="251" t="str">
        <f t="shared" si="4"/>
        <v>Tierra100</v>
      </c>
      <c r="D293" s="272" t="s">
        <v>9900</v>
      </c>
      <c r="E293" s="2959" t="s">
        <v>1704</v>
      </c>
      <c r="F293" s="2959">
        <v>100</v>
      </c>
      <c r="G293" s="2962" t="s">
        <v>1381</v>
      </c>
      <c r="H293" s="2962" t="s">
        <v>3210</v>
      </c>
      <c r="I293" s="380" t="s">
        <v>1304</v>
      </c>
      <c r="J293" s="2959">
        <v>12</v>
      </c>
      <c r="K293" s="2959">
        <v>14</v>
      </c>
      <c r="L293" s="2959">
        <v>16</v>
      </c>
      <c r="M293" s="377">
        <v>18</v>
      </c>
      <c r="N293" s="2959">
        <v>450</v>
      </c>
      <c r="O293" s="2959">
        <v>800</v>
      </c>
      <c r="P293" s="2959">
        <v>1200</v>
      </c>
      <c r="Q293" s="377">
        <v>1600</v>
      </c>
      <c r="R293" s="2959">
        <v>45</v>
      </c>
      <c r="S293" s="2959">
        <v>80</v>
      </c>
      <c r="T293" s="2959">
        <v>120</v>
      </c>
      <c r="U293" s="377">
        <v>160</v>
      </c>
      <c r="V293" s="2954" t="s">
        <v>4392</v>
      </c>
      <c r="W293" s="2954" t="s">
        <v>4393</v>
      </c>
      <c r="X293" s="2954" t="s">
        <v>4394</v>
      </c>
      <c r="Y293" s="2954" t="s">
        <v>4395</v>
      </c>
      <c r="Z293" s="2954" t="s">
        <v>4396</v>
      </c>
      <c r="AA293" s="375"/>
    </row>
    <row r="294" spans="1:27" ht="12.75" customHeight="1" x14ac:dyDescent="0.2">
      <c r="A294" s="6360"/>
      <c r="B294" s="251" t="str">
        <f t="shared" si="4"/>
        <v/>
      </c>
      <c r="D294" s="272" t="s">
        <v>306</v>
      </c>
      <c r="E294" s="2959"/>
      <c r="F294" s="2959"/>
      <c r="G294" s="2962"/>
      <c r="H294" s="2962"/>
      <c r="I294" s="380"/>
      <c r="J294" s="2959"/>
      <c r="K294" s="2959"/>
      <c r="L294" s="2959"/>
      <c r="M294" s="377"/>
      <c r="N294" s="2959"/>
      <c r="O294" s="2959"/>
      <c r="P294" s="2959"/>
      <c r="Q294" s="377"/>
      <c r="R294" s="2959"/>
      <c r="S294" s="2959"/>
      <c r="T294" s="2959"/>
      <c r="U294" s="377"/>
      <c r="V294" s="2954"/>
      <c r="W294" s="2954"/>
      <c r="X294" s="2954"/>
      <c r="Y294" s="2954"/>
      <c r="Z294" s="2954"/>
      <c r="AA294" s="375"/>
    </row>
    <row r="295" spans="1:27" ht="12.75" customHeight="1" x14ac:dyDescent="0.2">
      <c r="A295" s="6360"/>
      <c r="B295" s="251" t="str">
        <f t="shared" si="4"/>
        <v>Esencia2</v>
      </c>
      <c r="D295" s="272" t="s">
        <v>9901</v>
      </c>
      <c r="E295" s="2959" t="s">
        <v>1709</v>
      </c>
      <c r="F295" s="2959">
        <v>2</v>
      </c>
      <c r="G295" s="2962" t="s">
        <v>2088</v>
      </c>
      <c r="H295" s="2962" t="s">
        <v>1234</v>
      </c>
      <c r="I295" s="380" t="s">
        <v>1304</v>
      </c>
      <c r="J295" s="2959">
        <v>5</v>
      </c>
      <c r="K295" s="2959">
        <v>8</v>
      </c>
      <c r="L295" s="2959">
        <v>10</v>
      </c>
      <c r="M295" s="377">
        <v>12</v>
      </c>
      <c r="N295" s="2959">
        <v>30</v>
      </c>
      <c r="O295" s="2959">
        <v>80</v>
      </c>
      <c r="P295" s="2959">
        <v>100</v>
      </c>
      <c r="Q295" s="377">
        <v>120</v>
      </c>
      <c r="R295" s="2959">
        <v>5</v>
      </c>
      <c r="S295" s="2959">
        <v>10</v>
      </c>
      <c r="T295" s="2959">
        <v>10</v>
      </c>
      <c r="U295" s="377">
        <v>15</v>
      </c>
      <c r="V295" s="2954" t="s">
        <v>4397</v>
      </c>
      <c r="W295" s="2954" t="s">
        <v>4398</v>
      </c>
      <c r="X295" s="2954" t="s">
        <v>4399</v>
      </c>
      <c r="Y295" s="2954" t="s">
        <v>4400</v>
      </c>
      <c r="Z295" s="2954" t="s">
        <v>4401</v>
      </c>
      <c r="AA295" s="375"/>
    </row>
    <row r="296" spans="1:27" ht="12.75" customHeight="1" x14ac:dyDescent="0.2">
      <c r="A296" s="6360"/>
      <c r="B296" s="251" t="str">
        <f t="shared" si="4"/>
        <v>Esencia6</v>
      </c>
      <c r="D296" s="272" t="s">
        <v>307</v>
      </c>
      <c r="E296" s="2959" t="s">
        <v>1709</v>
      </c>
      <c r="F296" s="2959">
        <v>6</v>
      </c>
      <c r="G296" s="2962" t="s">
        <v>1381</v>
      </c>
      <c r="H296" s="2962" t="s">
        <v>4067</v>
      </c>
      <c r="I296" s="380" t="s">
        <v>1304</v>
      </c>
      <c r="J296" s="2959">
        <v>5</v>
      </c>
      <c r="K296" s="2959">
        <v>8</v>
      </c>
      <c r="L296" s="2959">
        <v>10</v>
      </c>
      <c r="M296" s="377">
        <v>12</v>
      </c>
      <c r="N296" s="2959">
        <v>30</v>
      </c>
      <c r="O296" s="2959">
        <v>60</v>
      </c>
      <c r="P296" s="2959">
        <v>100</v>
      </c>
      <c r="Q296" s="377">
        <v>140</v>
      </c>
      <c r="R296" s="2959">
        <v>5</v>
      </c>
      <c r="S296" s="2959">
        <v>10</v>
      </c>
      <c r="T296" s="2959">
        <v>10</v>
      </c>
      <c r="U296" s="377">
        <v>15</v>
      </c>
      <c r="V296" s="2954" t="s">
        <v>4402</v>
      </c>
      <c r="W296" s="2954" t="s">
        <v>3783</v>
      </c>
      <c r="X296" s="2954" t="s">
        <v>4403</v>
      </c>
      <c r="Y296" s="2954" t="s">
        <v>4404</v>
      </c>
      <c r="Z296" s="2954" t="s">
        <v>4405</v>
      </c>
      <c r="AA296" s="375"/>
    </row>
    <row r="297" spans="1:27" ht="12.75" customHeight="1" x14ac:dyDescent="0.2">
      <c r="A297" s="6360"/>
      <c r="B297" s="251" t="str">
        <f t="shared" si="4"/>
        <v>Esencia10</v>
      </c>
      <c r="D297" s="272" t="s">
        <v>9902</v>
      </c>
      <c r="E297" s="2959" t="s">
        <v>1709</v>
      </c>
      <c r="F297" s="2959">
        <v>10</v>
      </c>
      <c r="G297" s="2962" t="s">
        <v>2088</v>
      </c>
      <c r="H297" s="2962" t="s">
        <v>4067</v>
      </c>
      <c r="I297" s="380" t="s">
        <v>1304</v>
      </c>
      <c r="J297" s="2959">
        <v>6</v>
      </c>
      <c r="K297" s="2959">
        <v>9</v>
      </c>
      <c r="L297" s="2959">
        <v>10</v>
      </c>
      <c r="M297" s="377">
        <v>13</v>
      </c>
      <c r="N297" s="2959">
        <v>30</v>
      </c>
      <c r="O297" s="2959">
        <v>70</v>
      </c>
      <c r="P297" s="2959">
        <v>100</v>
      </c>
      <c r="Q297" s="377">
        <v>150</v>
      </c>
      <c r="R297" s="2959">
        <v>10</v>
      </c>
      <c r="S297" s="2959">
        <v>20</v>
      </c>
      <c r="T297" s="2959">
        <v>20</v>
      </c>
      <c r="U297" s="377">
        <v>25</v>
      </c>
      <c r="V297" s="2954" t="s">
        <v>4406</v>
      </c>
      <c r="W297" s="2954" t="s">
        <v>4407</v>
      </c>
      <c r="X297" s="2954" t="s">
        <v>4408</v>
      </c>
      <c r="Y297" s="2954" t="s">
        <v>4409</v>
      </c>
      <c r="Z297" s="2954" t="s">
        <v>4410</v>
      </c>
      <c r="AA297" s="375"/>
    </row>
    <row r="298" spans="1:27" ht="12.75" customHeight="1" x14ac:dyDescent="0.2">
      <c r="A298" s="6360"/>
      <c r="B298" s="251" t="str">
        <f t="shared" si="4"/>
        <v>Esencia12</v>
      </c>
      <c r="D298" s="272" t="s">
        <v>9903</v>
      </c>
      <c r="E298" s="2959" t="s">
        <v>1709</v>
      </c>
      <c r="F298" s="2959">
        <v>12</v>
      </c>
      <c r="G298" s="2962" t="s">
        <v>1381</v>
      </c>
      <c r="H298" s="2962" t="s">
        <v>1234</v>
      </c>
      <c r="I298" s="380" t="s">
        <v>1304</v>
      </c>
      <c r="J298" s="2959">
        <v>6</v>
      </c>
      <c r="K298" s="2959">
        <v>9</v>
      </c>
      <c r="L298" s="2959">
        <v>10</v>
      </c>
      <c r="M298" s="377">
        <v>13</v>
      </c>
      <c r="N298" s="2959">
        <v>40</v>
      </c>
      <c r="O298" s="2959">
        <v>60</v>
      </c>
      <c r="P298" s="2959">
        <v>90</v>
      </c>
      <c r="Q298" s="377">
        <v>120</v>
      </c>
      <c r="R298" s="2959" t="s">
        <v>1381</v>
      </c>
      <c r="S298" s="2959" t="s">
        <v>1381</v>
      </c>
      <c r="T298" s="2959" t="s">
        <v>1381</v>
      </c>
      <c r="U298" s="377" t="s">
        <v>1381</v>
      </c>
      <c r="V298" s="2954" t="s">
        <v>4411</v>
      </c>
      <c r="W298" s="2954" t="s">
        <v>4412</v>
      </c>
      <c r="X298" s="2954" t="s">
        <v>4413</v>
      </c>
      <c r="Y298" s="2954" t="s">
        <v>4414</v>
      </c>
      <c r="Z298" s="2954" t="s">
        <v>4415</v>
      </c>
      <c r="AA298" s="375"/>
    </row>
    <row r="299" spans="1:27" ht="12.75" customHeight="1" x14ac:dyDescent="0.2">
      <c r="A299" s="6360"/>
      <c r="B299" s="251" t="str">
        <f t="shared" si="4"/>
        <v>Esencia16</v>
      </c>
      <c r="D299" s="272" t="s">
        <v>9904</v>
      </c>
      <c r="E299" s="2959" t="s">
        <v>1709</v>
      </c>
      <c r="F299" s="2959">
        <v>16</v>
      </c>
      <c r="G299" s="2962" t="s">
        <v>1381</v>
      </c>
      <c r="H299" s="2962" t="s">
        <v>1234</v>
      </c>
      <c r="I299" s="380" t="s">
        <v>1304</v>
      </c>
      <c r="J299" s="2959">
        <v>8</v>
      </c>
      <c r="K299" s="2959">
        <v>10</v>
      </c>
      <c r="L299" s="2959">
        <v>13</v>
      </c>
      <c r="M299" s="377">
        <v>15</v>
      </c>
      <c r="N299" s="2959">
        <v>80</v>
      </c>
      <c r="O299" s="2959">
        <v>100</v>
      </c>
      <c r="P299" s="2959">
        <v>120</v>
      </c>
      <c r="Q299" s="377">
        <v>150</v>
      </c>
      <c r="R299" s="2959" t="s">
        <v>1381</v>
      </c>
      <c r="S299" s="2959" t="s">
        <v>1381</v>
      </c>
      <c r="T299" s="2959" t="s">
        <v>1381</v>
      </c>
      <c r="U299" s="377" t="s">
        <v>1381</v>
      </c>
      <c r="V299" s="2954" t="s">
        <v>4416</v>
      </c>
      <c r="W299" s="2954" t="s">
        <v>4417</v>
      </c>
      <c r="X299" s="2954" t="s">
        <v>4418</v>
      </c>
      <c r="Y299" s="2954" t="s">
        <v>4419</v>
      </c>
      <c r="Z299" s="2954" t="s">
        <v>4420</v>
      </c>
      <c r="AA299" s="375"/>
    </row>
    <row r="300" spans="1:27" ht="12.75" customHeight="1" x14ac:dyDescent="0.2">
      <c r="A300" s="6360"/>
      <c r="B300" s="251" t="str">
        <f t="shared" si="4"/>
        <v>Esencia20</v>
      </c>
      <c r="D300" s="272" t="s">
        <v>9905</v>
      </c>
      <c r="E300" s="2959" t="s">
        <v>1709</v>
      </c>
      <c r="F300" s="2959">
        <v>20</v>
      </c>
      <c r="G300" s="2962" t="s">
        <v>2088</v>
      </c>
      <c r="H300" s="2962" t="s">
        <v>1565</v>
      </c>
      <c r="I300" s="380" t="s">
        <v>1304</v>
      </c>
      <c r="J300" s="2959">
        <v>6</v>
      </c>
      <c r="K300" s="2959">
        <v>9</v>
      </c>
      <c r="L300" s="2959">
        <v>12</v>
      </c>
      <c r="M300" s="377">
        <v>15</v>
      </c>
      <c r="N300" s="2959">
        <v>40</v>
      </c>
      <c r="O300" s="2959">
        <v>60</v>
      </c>
      <c r="P300" s="2959">
        <v>90</v>
      </c>
      <c r="Q300" s="377">
        <v>120</v>
      </c>
      <c r="R300" s="2959">
        <v>5</v>
      </c>
      <c r="S300" s="2959">
        <v>10</v>
      </c>
      <c r="T300" s="2959">
        <v>10</v>
      </c>
      <c r="U300" s="377">
        <v>15</v>
      </c>
      <c r="V300" s="2954" t="s">
        <v>4421</v>
      </c>
      <c r="W300" s="2954" t="s">
        <v>4422</v>
      </c>
      <c r="X300" s="2954" t="s">
        <v>4423</v>
      </c>
      <c r="Y300" s="2954" t="s">
        <v>4424</v>
      </c>
      <c r="Z300" s="2954" t="s">
        <v>4425</v>
      </c>
      <c r="AA300" s="375"/>
    </row>
    <row r="301" spans="1:27" ht="12.75" customHeight="1" x14ac:dyDescent="0.2">
      <c r="A301" s="6360"/>
      <c r="B301" s="251" t="str">
        <f t="shared" si="4"/>
        <v>Esencia22</v>
      </c>
      <c r="D301" s="272" t="s">
        <v>9906</v>
      </c>
      <c r="E301" s="2959" t="s">
        <v>1709</v>
      </c>
      <c r="F301" s="2959">
        <v>22</v>
      </c>
      <c r="G301" s="2962" t="s">
        <v>2088</v>
      </c>
      <c r="H301" s="2962" t="s">
        <v>1234</v>
      </c>
      <c r="I301" s="380" t="s">
        <v>1304</v>
      </c>
      <c r="J301" s="2959">
        <v>6</v>
      </c>
      <c r="K301" s="2959">
        <v>9</v>
      </c>
      <c r="L301" s="2959">
        <v>12</v>
      </c>
      <c r="M301" s="377">
        <v>15</v>
      </c>
      <c r="N301" s="2959">
        <v>60</v>
      </c>
      <c r="O301" s="2959">
        <v>180</v>
      </c>
      <c r="P301" s="2959">
        <v>240</v>
      </c>
      <c r="Q301" s="377">
        <v>300</v>
      </c>
      <c r="R301" s="2959">
        <v>10</v>
      </c>
      <c r="S301" s="2959">
        <v>20</v>
      </c>
      <c r="T301" s="2959">
        <v>25</v>
      </c>
      <c r="U301" s="377">
        <v>30</v>
      </c>
      <c r="V301" s="2954" t="s">
        <v>4426</v>
      </c>
      <c r="W301" s="2954" t="s">
        <v>4427</v>
      </c>
      <c r="X301" s="2954" t="s">
        <v>4428</v>
      </c>
      <c r="Y301" s="2954" t="s">
        <v>4429</v>
      </c>
      <c r="Z301" s="2954" t="s">
        <v>4430</v>
      </c>
      <c r="AA301" s="375"/>
    </row>
    <row r="302" spans="1:27" ht="12.75" customHeight="1" x14ac:dyDescent="0.2">
      <c r="A302" s="6360"/>
      <c r="B302" s="251" t="str">
        <f t="shared" si="4"/>
        <v>Esencia26</v>
      </c>
      <c r="D302" s="272" t="s">
        <v>9907</v>
      </c>
      <c r="E302" s="2959" t="s">
        <v>1709</v>
      </c>
      <c r="F302" s="2959">
        <v>26</v>
      </c>
      <c r="G302" s="2962" t="s">
        <v>1381</v>
      </c>
      <c r="H302" s="2962" t="s">
        <v>4431</v>
      </c>
      <c r="I302" s="380" t="s">
        <v>1304</v>
      </c>
      <c r="J302" s="2959">
        <v>6</v>
      </c>
      <c r="K302" s="2959">
        <v>8</v>
      </c>
      <c r="L302" s="2959">
        <v>10</v>
      </c>
      <c r="M302" s="377">
        <v>12</v>
      </c>
      <c r="N302" s="2959">
        <v>50</v>
      </c>
      <c r="O302" s="2959">
        <v>80</v>
      </c>
      <c r="P302" s="2959">
        <v>100</v>
      </c>
      <c r="Q302" s="377">
        <v>140</v>
      </c>
      <c r="R302" s="2959">
        <v>5</v>
      </c>
      <c r="S302" s="2959">
        <v>10</v>
      </c>
      <c r="T302" s="2959">
        <v>10</v>
      </c>
      <c r="U302" s="377">
        <v>15</v>
      </c>
      <c r="V302" s="2954" t="s">
        <v>3591</v>
      </c>
      <c r="W302" s="2954" t="s">
        <v>3487</v>
      </c>
      <c r="X302" s="2954" t="s">
        <v>3322</v>
      </c>
      <c r="Y302" s="2954" t="s">
        <v>3488</v>
      </c>
      <c r="Z302" s="2954" t="s">
        <v>4432</v>
      </c>
      <c r="AA302" s="375"/>
    </row>
    <row r="303" spans="1:27" ht="12.75" customHeight="1" x14ac:dyDescent="0.2">
      <c r="A303" s="6360"/>
      <c r="B303" s="251" t="str">
        <f t="shared" si="4"/>
        <v>Esencia30</v>
      </c>
      <c r="D303" s="272" t="s">
        <v>9908</v>
      </c>
      <c r="E303" s="2959" t="s">
        <v>1709</v>
      </c>
      <c r="F303" s="2959">
        <v>30</v>
      </c>
      <c r="G303" s="2962" t="s">
        <v>1381</v>
      </c>
      <c r="H303" s="2962" t="s">
        <v>4431</v>
      </c>
      <c r="I303" s="380" t="s">
        <v>1304</v>
      </c>
      <c r="J303" s="2959">
        <v>6</v>
      </c>
      <c r="K303" s="2959">
        <v>9</v>
      </c>
      <c r="L303" s="2959">
        <v>12</v>
      </c>
      <c r="M303" s="377">
        <v>15</v>
      </c>
      <c r="N303" s="2959">
        <v>60</v>
      </c>
      <c r="O303" s="2959">
        <v>90</v>
      </c>
      <c r="P303" s="2959">
        <v>120</v>
      </c>
      <c r="Q303" s="377">
        <v>150</v>
      </c>
      <c r="R303" s="2959" t="s">
        <v>1381</v>
      </c>
      <c r="S303" s="2959" t="s">
        <v>1381</v>
      </c>
      <c r="T303" s="2959" t="s">
        <v>1381</v>
      </c>
      <c r="U303" s="377" t="s">
        <v>1381</v>
      </c>
      <c r="V303" s="2954" t="s">
        <v>4433</v>
      </c>
      <c r="W303" s="2954" t="s">
        <v>4434</v>
      </c>
      <c r="X303" s="2954" t="s">
        <v>4435</v>
      </c>
      <c r="Y303" s="2954" t="s">
        <v>4436</v>
      </c>
      <c r="Z303" s="2954" t="s">
        <v>4437</v>
      </c>
      <c r="AA303" s="375"/>
    </row>
    <row r="304" spans="1:27" ht="12.75" customHeight="1" x14ac:dyDescent="0.2">
      <c r="A304" s="6360"/>
      <c r="B304" s="251" t="str">
        <f t="shared" si="4"/>
        <v>Esencia32</v>
      </c>
      <c r="D304" s="272" t="s">
        <v>9909</v>
      </c>
      <c r="E304" s="2959" t="s">
        <v>1709</v>
      </c>
      <c r="F304" s="2959">
        <v>32</v>
      </c>
      <c r="G304" s="2962" t="s">
        <v>1381</v>
      </c>
      <c r="H304" s="2962" t="s">
        <v>4067</v>
      </c>
      <c r="I304" s="380" t="s">
        <v>1304</v>
      </c>
      <c r="J304" s="2959">
        <v>7</v>
      </c>
      <c r="K304" s="2959">
        <v>10</v>
      </c>
      <c r="L304" s="2959">
        <v>13</v>
      </c>
      <c r="M304" s="377">
        <v>15</v>
      </c>
      <c r="N304" s="2959">
        <v>60</v>
      </c>
      <c r="O304" s="2959">
        <v>90</v>
      </c>
      <c r="P304" s="2959">
        <v>120</v>
      </c>
      <c r="Q304" s="377">
        <v>150</v>
      </c>
      <c r="R304" s="2959" t="s">
        <v>1381</v>
      </c>
      <c r="S304" s="2959" t="s">
        <v>1381</v>
      </c>
      <c r="T304" s="2959" t="s">
        <v>1381</v>
      </c>
      <c r="U304" s="377" t="s">
        <v>1381</v>
      </c>
      <c r="V304" s="2954" t="s">
        <v>3590</v>
      </c>
      <c r="W304" s="2954" t="s">
        <v>3591</v>
      </c>
      <c r="X304" s="2954" t="s">
        <v>3322</v>
      </c>
      <c r="Y304" s="2954" t="s">
        <v>3488</v>
      </c>
      <c r="Z304" s="2954" t="s">
        <v>4438</v>
      </c>
      <c r="AA304" s="375"/>
    </row>
    <row r="305" spans="1:27" ht="12.75" customHeight="1" x14ac:dyDescent="0.2">
      <c r="A305" s="6360"/>
      <c r="B305" s="251" t="str">
        <f t="shared" si="4"/>
        <v>Esencia36</v>
      </c>
      <c r="D305" s="272" t="s">
        <v>9910</v>
      </c>
      <c r="E305" s="2959" t="s">
        <v>1709</v>
      </c>
      <c r="F305" s="2959">
        <v>36</v>
      </c>
      <c r="G305" s="2962" t="s">
        <v>2088</v>
      </c>
      <c r="H305" s="2962" t="s">
        <v>1234</v>
      </c>
      <c r="I305" s="380" t="s">
        <v>1304</v>
      </c>
      <c r="J305" s="2959">
        <v>7</v>
      </c>
      <c r="K305" s="2959">
        <v>10</v>
      </c>
      <c r="L305" s="2959">
        <v>13</v>
      </c>
      <c r="M305" s="377">
        <v>15</v>
      </c>
      <c r="N305" s="2959">
        <v>120</v>
      </c>
      <c r="O305" s="2959">
        <v>200</v>
      </c>
      <c r="P305" s="2959">
        <v>280</v>
      </c>
      <c r="Q305" s="377">
        <v>360</v>
      </c>
      <c r="R305" s="2959">
        <v>25</v>
      </c>
      <c r="S305" s="2959">
        <v>40</v>
      </c>
      <c r="T305" s="2959">
        <v>60</v>
      </c>
      <c r="U305" s="377">
        <v>80</v>
      </c>
      <c r="V305" s="2954" t="s">
        <v>4439</v>
      </c>
      <c r="W305" s="2954" t="s">
        <v>3613</v>
      </c>
      <c r="X305" s="2954" t="s">
        <v>4440</v>
      </c>
      <c r="Y305" s="2954" t="s">
        <v>3614</v>
      </c>
      <c r="Z305" s="2954" t="s">
        <v>4441</v>
      </c>
      <c r="AA305" s="375"/>
    </row>
    <row r="306" spans="1:27" ht="12.75" customHeight="1" x14ac:dyDescent="0.2">
      <c r="A306" s="6360"/>
      <c r="B306" s="251" t="str">
        <f t="shared" si="4"/>
        <v>Esencia40</v>
      </c>
      <c r="D306" s="272" t="s">
        <v>9911</v>
      </c>
      <c r="E306" s="2959" t="s">
        <v>1709</v>
      </c>
      <c r="F306" s="2959">
        <v>40</v>
      </c>
      <c r="G306" s="2962" t="s">
        <v>1381</v>
      </c>
      <c r="H306" s="2962" t="s">
        <v>4067</v>
      </c>
      <c r="I306" s="380" t="s">
        <v>1304</v>
      </c>
      <c r="J306" s="2959">
        <v>7</v>
      </c>
      <c r="K306" s="2959">
        <v>9</v>
      </c>
      <c r="L306" s="2959">
        <v>12</v>
      </c>
      <c r="M306" s="377">
        <v>15</v>
      </c>
      <c r="N306" s="2959">
        <v>100</v>
      </c>
      <c r="O306" s="2959">
        <v>180</v>
      </c>
      <c r="P306" s="2959">
        <v>240</v>
      </c>
      <c r="Q306" s="377">
        <v>300</v>
      </c>
      <c r="R306" s="2959">
        <v>10</v>
      </c>
      <c r="S306" s="2959">
        <v>20</v>
      </c>
      <c r="T306" s="2959">
        <v>25</v>
      </c>
      <c r="U306" s="377">
        <v>30</v>
      </c>
      <c r="V306" s="2954" t="s">
        <v>3507</v>
      </c>
      <c r="W306" s="2954" t="s">
        <v>4442</v>
      </c>
      <c r="X306" s="2954" t="s">
        <v>3397</v>
      </c>
      <c r="Y306" s="2954" t="s">
        <v>3508</v>
      </c>
      <c r="Z306" s="2954" t="s">
        <v>4443</v>
      </c>
      <c r="AA306" s="375"/>
    </row>
    <row r="307" spans="1:27" ht="12.75" customHeight="1" x14ac:dyDescent="0.2">
      <c r="A307" s="6360"/>
      <c r="B307" s="251" t="str">
        <f t="shared" si="4"/>
        <v>Esencia42</v>
      </c>
      <c r="D307" s="272" t="s">
        <v>9912</v>
      </c>
      <c r="E307" s="2959" t="s">
        <v>1709</v>
      </c>
      <c r="F307" s="2959">
        <v>42</v>
      </c>
      <c r="G307" s="2962" t="s">
        <v>1381</v>
      </c>
      <c r="H307" s="2962" t="s">
        <v>4067</v>
      </c>
      <c r="I307" s="380" t="s">
        <v>1304</v>
      </c>
      <c r="J307" s="2959">
        <v>7</v>
      </c>
      <c r="K307" s="2959">
        <v>10</v>
      </c>
      <c r="L307" s="2959">
        <v>13</v>
      </c>
      <c r="M307" s="377">
        <v>15</v>
      </c>
      <c r="N307" s="2959">
        <v>120</v>
      </c>
      <c r="O307" s="2959">
        <v>180</v>
      </c>
      <c r="P307" s="2959">
        <v>240</v>
      </c>
      <c r="Q307" s="377">
        <v>300</v>
      </c>
      <c r="R307" s="2959">
        <v>10</v>
      </c>
      <c r="S307" s="2959">
        <v>10</v>
      </c>
      <c r="T307" s="2959">
        <v>15</v>
      </c>
      <c r="U307" s="377">
        <v>15</v>
      </c>
      <c r="V307" s="2954" t="s">
        <v>4444</v>
      </c>
      <c r="W307" s="2954" t="s">
        <v>4445</v>
      </c>
      <c r="X307" s="2954" t="s">
        <v>4446</v>
      </c>
      <c r="Y307" s="2954" t="s">
        <v>4447</v>
      </c>
      <c r="Z307" s="2954" t="s">
        <v>4448</v>
      </c>
      <c r="AA307" s="375"/>
    </row>
    <row r="308" spans="1:27" ht="12.75" customHeight="1" x14ac:dyDescent="0.2">
      <c r="A308" s="6360"/>
      <c r="B308" s="251" t="str">
        <f t="shared" si="4"/>
        <v>Esencia46</v>
      </c>
      <c r="D308" s="272" t="s">
        <v>9913</v>
      </c>
      <c r="E308" s="2959" t="s">
        <v>1709</v>
      </c>
      <c r="F308" s="2959">
        <v>46</v>
      </c>
      <c r="G308" s="2962" t="s">
        <v>2088</v>
      </c>
      <c r="H308" s="2962" t="s">
        <v>4431</v>
      </c>
      <c r="I308" s="380" t="s">
        <v>1304</v>
      </c>
      <c r="J308" s="2959">
        <v>9</v>
      </c>
      <c r="K308" s="2959">
        <v>11</v>
      </c>
      <c r="L308" s="2959">
        <v>13</v>
      </c>
      <c r="M308" s="377">
        <v>16</v>
      </c>
      <c r="N308" s="2959">
        <v>80</v>
      </c>
      <c r="O308" s="2959">
        <v>140</v>
      </c>
      <c r="P308" s="2959">
        <v>180</v>
      </c>
      <c r="Q308" s="377">
        <v>240</v>
      </c>
      <c r="R308" s="2959">
        <v>10</v>
      </c>
      <c r="S308" s="2959">
        <v>15</v>
      </c>
      <c r="T308" s="2959">
        <v>15</v>
      </c>
      <c r="U308" s="377">
        <v>20</v>
      </c>
      <c r="V308" s="2954" t="s">
        <v>4449</v>
      </c>
      <c r="W308" s="2954" t="s">
        <v>4450</v>
      </c>
      <c r="X308" s="2954" t="s">
        <v>4451</v>
      </c>
      <c r="Y308" s="2954" t="s">
        <v>4452</v>
      </c>
      <c r="Z308" s="2954" t="s">
        <v>4453</v>
      </c>
      <c r="AA308" s="375"/>
    </row>
    <row r="309" spans="1:27" ht="12.75" customHeight="1" x14ac:dyDescent="0.2">
      <c r="A309" s="6360"/>
      <c r="B309" s="251" t="str">
        <f t="shared" si="4"/>
        <v>Esencia50</v>
      </c>
      <c r="D309" s="272" t="s">
        <v>9914</v>
      </c>
      <c r="E309" s="2959" t="s">
        <v>1709</v>
      </c>
      <c r="F309" s="2959">
        <v>50</v>
      </c>
      <c r="G309" s="2962" t="s">
        <v>1381</v>
      </c>
      <c r="H309" s="2962" t="s">
        <v>1234</v>
      </c>
      <c r="I309" s="380" t="s">
        <v>1304</v>
      </c>
      <c r="J309" s="2959">
        <v>8</v>
      </c>
      <c r="K309" s="2959">
        <v>10</v>
      </c>
      <c r="L309" s="2959">
        <v>13</v>
      </c>
      <c r="M309" s="377">
        <v>15</v>
      </c>
      <c r="N309" s="2959">
        <v>60</v>
      </c>
      <c r="O309" s="2959">
        <v>180</v>
      </c>
      <c r="P309" s="2959">
        <v>240</v>
      </c>
      <c r="Q309" s="377">
        <v>300</v>
      </c>
      <c r="R309" s="2959">
        <v>10</v>
      </c>
      <c r="S309" s="2959">
        <v>10</v>
      </c>
      <c r="T309" s="2959">
        <v>15</v>
      </c>
      <c r="U309" s="377">
        <v>15</v>
      </c>
      <c r="V309" s="2954" t="s">
        <v>4454</v>
      </c>
      <c r="W309" s="2954" t="s">
        <v>4455</v>
      </c>
      <c r="X309" s="2954" t="s">
        <v>4456</v>
      </c>
      <c r="Y309" s="2954" t="s">
        <v>4457</v>
      </c>
      <c r="Z309" s="2954" t="s">
        <v>7047</v>
      </c>
      <c r="AA309" s="375"/>
    </row>
    <row r="310" spans="1:27" ht="12.75" customHeight="1" x14ac:dyDescent="0.2">
      <c r="A310" s="6360"/>
      <c r="B310" s="251" t="str">
        <f t="shared" si="4"/>
        <v>Esencia52</v>
      </c>
      <c r="D310" s="272" t="s">
        <v>9915</v>
      </c>
      <c r="E310" s="2959" t="s">
        <v>1709</v>
      </c>
      <c r="F310" s="2959">
        <v>52</v>
      </c>
      <c r="G310" s="2962" t="s">
        <v>1381</v>
      </c>
      <c r="H310" s="2962" t="s">
        <v>1234</v>
      </c>
      <c r="I310" s="380" t="s">
        <v>1304</v>
      </c>
      <c r="J310" s="2959">
        <v>8</v>
      </c>
      <c r="K310" s="2959">
        <v>11</v>
      </c>
      <c r="L310" s="2959">
        <v>13</v>
      </c>
      <c r="M310" s="377">
        <v>16</v>
      </c>
      <c r="N310" s="2959">
        <v>100</v>
      </c>
      <c r="O310" s="2959">
        <v>120</v>
      </c>
      <c r="P310" s="2959">
        <v>140</v>
      </c>
      <c r="Q310" s="377">
        <v>160</v>
      </c>
      <c r="R310" s="2959">
        <v>10</v>
      </c>
      <c r="S310" s="2959">
        <v>15</v>
      </c>
      <c r="T310" s="2959">
        <v>15</v>
      </c>
      <c r="U310" s="377">
        <v>20</v>
      </c>
      <c r="V310" s="2954" t="s">
        <v>4458</v>
      </c>
      <c r="W310" s="2954" t="s">
        <v>4459</v>
      </c>
      <c r="X310" s="2954" t="s">
        <v>4460</v>
      </c>
      <c r="Y310" s="2954" t="s">
        <v>4461</v>
      </c>
      <c r="Z310" s="2954" t="s">
        <v>4462</v>
      </c>
      <c r="AA310" s="375"/>
    </row>
    <row r="311" spans="1:27" ht="12.75" customHeight="1" x14ac:dyDescent="0.2">
      <c r="A311" s="6360"/>
      <c r="B311" s="251" t="str">
        <f t="shared" si="4"/>
        <v>Esencia56</v>
      </c>
      <c r="D311" s="272" t="s">
        <v>9916</v>
      </c>
      <c r="E311" s="2959" t="s">
        <v>1709</v>
      </c>
      <c r="F311" s="2959">
        <v>56</v>
      </c>
      <c r="G311" s="2962" t="s">
        <v>2088</v>
      </c>
      <c r="H311" s="2962" t="s">
        <v>4431</v>
      </c>
      <c r="I311" s="380" t="s">
        <v>1304</v>
      </c>
      <c r="J311" s="2959">
        <v>8</v>
      </c>
      <c r="K311" s="2959">
        <v>10</v>
      </c>
      <c r="L311" s="2959">
        <v>12</v>
      </c>
      <c r="M311" s="377">
        <v>15</v>
      </c>
      <c r="N311" s="2959">
        <v>100</v>
      </c>
      <c r="O311" s="2959">
        <v>180</v>
      </c>
      <c r="P311" s="2959">
        <v>240</v>
      </c>
      <c r="Q311" s="377">
        <v>300</v>
      </c>
      <c r="R311" s="2959">
        <v>20</v>
      </c>
      <c r="S311" s="2959">
        <v>40</v>
      </c>
      <c r="T311" s="2959">
        <v>50</v>
      </c>
      <c r="U311" s="377">
        <v>60</v>
      </c>
      <c r="V311" s="2954" t="s">
        <v>3589</v>
      </c>
      <c r="W311" s="2954" t="s">
        <v>3590</v>
      </c>
      <c r="X311" s="2954" t="s">
        <v>4344</v>
      </c>
      <c r="Y311" s="2954" t="s">
        <v>3322</v>
      </c>
      <c r="Z311" s="2954" t="s">
        <v>4463</v>
      </c>
      <c r="AA311" s="375"/>
    </row>
    <row r="312" spans="1:27" ht="12.75" customHeight="1" x14ac:dyDescent="0.2">
      <c r="A312" s="6360"/>
      <c r="B312" s="251" t="str">
        <f t="shared" si="4"/>
        <v>Esencia60</v>
      </c>
      <c r="D312" s="272" t="s">
        <v>9917</v>
      </c>
      <c r="E312" s="2959" t="s">
        <v>1709</v>
      </c>
      <c r="F312" s="2959">
        <v>60</v>
      </c>
      <c r="G312" s="2962" t="s">
        <v>1381</v>
      </c>
      <c r="H312" s="2962" t="s">
        <v>4431</v>
      </c>
      <c r="I312" s="380" t="s">
        <v>1304</v>
      </c>
      <c r="J312" s="2959">
        <v>8</v>
      </c>
      <c r="K312" s="2959">
        <v>10</v>
      </c>
      <c r="L312" s="2959">
        <v>12</v>
      </c>
      <c r="M312" s="377">
        <v>15</v>
      </c>
      <c r="N312" s="2959">
        <v>100</v>
      </c>
      <c r="O312" s="2959">
        <v>180</v>
      </c>
      <c r="P312" s="2959">
        <v>240</v>
      </c>
      <c r="Q312" s="377">
        <v>300</v>
      </c>
      <c r="R312" s="2959" t="s">
        <v>1381</v>
      </c>
      <c r="S312" s="2959" t="s">
        <v>1381</v>
      </c>
      <c r="T312" s="2959" t="s">
        <v>1381</v>
      </c>
      <c r="U312" s="377" t="s">
        <v>1381</v>
      </c>
      <c r="V312" s="2954" t="s">
        <v>3628</v>
      </c>
      <c r="W312" s="2954" t="s">
        <v>3591</v>
      </c>
      <c r="X312" s="2954" t="s">
        <v>3322</v>
      </c>
      <c r="Y312" s="2954" t="s">
        <v>3488</v>
      </c>
      <c r="Z312" s="2954" t="s">
        <v>4464</v>
      </c>
      <c r="AA312" s="375"/>
    </row>
    <row r="313" spans="1:27" ht="12.75" customHeight="1" x14ac:dyDescent="0.2">
      <c r="A313" s="6360"/>
      <c r="B313" s="251" t="str">
        <f t="shared" si="4"/>
        <v>Esencia62</v>
      </c>
      <c r="D313" s="272" t="s">
        <v>9918</v>
      </c>
      <c r="E313" s="2959" t="s">
        <v>1709</v>
      </c>
      <c r="F313" s="2959">
        <v>62</v>
      </c>
      <c r="G313" s="2962" t="s">
        <v>1381</v>
      </c>
      <c r="H313" s="2962" t="s">
        <v>4431</v>
      </c>
      <c r="I313" s="380" t="s">
        <v>1304</v>
      </c>
      <c r="J313" s="2959">
        <v>8</v>
      </c>
      <c r="K313" s="2959">
        <v>10</v>
      </c>
      <c r="L313" s="2959">
        <v>12</v>
      </c>
      <c r="M313" s="377">
        <v>15</v>
      </c>
      <c r="N313" s="2959">
        <v>100</v>
      </c>
      <c r="O313" s="2959">
        <v>180</v>
      </c>
      <c r="P313" s="2959">
        <v>240</v>
      </c>
      <c r="Q313" s="377">
        <v>300</v>
      </c>
      <c r="R313" s="2959" t="s">
        <v>1381</v>
      </c>
      <c r="S313" s="2959" t="s">
        <v>1381</v>
      </c>
      <c r="T313" s="2959" t="s">
        <v>1381</v>
      </c>
      <c r="U313" s="377" t="s">
        <v>1381</v>
      </c>
      <c r="V313" s="2954" t="s">
        <v>3590</v>
      </c>
      <c r="W313" s="2954" t="s">
        <v>3322</v>
      </c>
      <c r="X313" s="2954" t="s">
        <v>3489</v>
      </c>
      <c r="Y313" s="2954" t="s">
        <v>4465</v>
      </c>
      <c r="Z313" s="2954" t="s">
        <v>4466</v>
      </c>
      <c r="AA313" s="375"/>
    </row>
    <row r="314" spans="1:27" ht="12.75" customHeight="1" x14ac:dyDescent="0.2">
      <c r="A314" s="6360"/>
      <c r="B314" s="251" t="str">
        <f t="shared" si="4"/>
        <v>Esencia66</v>
      </c>
      <c r="D314" s="272" t="s">
        <v>9919</v>
      </c>
      <c r="E314" s="2959" t="s">
        <v>1709</v>
      </c>
      <c r="F314" s="2959">
        <v>66</v>
      </c>
      <c r="G314" s="2962" t="s">
        <v>2088</v>
      </c>
      <c r="H314" s="2962" t="s">
        <v>1235</v>
      </c>
      <c r="I314" s="380" t="s">
        <v>1304</v>
      </c>
      <c r="J314" s="2959">
        <v>8</v>
      </c>
      <c r="K314" s="2959">
        <v>10</v>
      </c>
      <c r="L314" s="2959">
        <v>13</v>
      </c>
      <c r="M314" s="377">
        <v>15</v>
      </c>
      <c r="N314" s="2959">
        <v>120</v>
      </c>
      <c r="O314" s="2959">
        <v>180</v>
      </c>
      <c r="P314" s="2959">
        <v>240</v>
      </c>
      <c r="Q314" s="377">
        <v>300</v>
      </c>
      <c r="R314" s="2959">
        <v>15</v>
      </c>
      <c r="S314" s="2959">
        <v>20</v>
      </c>
      <c r="T314" s="2959">
        <v>25</v>
      </c>
      <c r="U314" s="377">
        <v>30</v>
      </c>
      <c r="V314" s="2954" t="s">
        <v>4467</v>
      </c>
      <c r="W314" s="2954" t="s">
        <v>4468</v>
      </c>
      <c r="X314" s="2954" t="s">
        <v>4469</v>
      </c>
      <c r="Y314" s="2954" t="s">
        <v>4470</v>
      </c>
      <c r="Z314" s="2954" t="s">
        <v>4471</v>
      </c>
      <c r="AA314" s="375"/>
    </row>
    <row r="315" spans="1:27" ht="12.75" customHeight="1" x14ac:dyDescent="0.2">
      <c r="A315" s="6360"/>
      <c r="B315" s="251" t="str">
        <f t="shared" si="4"/>
        <v>Esencia70</v>
      </c>
      <c r="D315" s="272" t="s">
        <v>9920</v>
      </c>
      <c r="E315" s="2959" t="s">
        <v>1709</v>
      </c>
      <c r="F315" s="2959">
        <v>70</v>
      </c>
      <c r="G315" s="2962" t="s">
        <v>2088</v>
      </c>
      <c r="H315" s="2962" t="s">
        <v>1233</v>
      </c>
      <c r="I315" s="380" t="s">
        <v>1304</v>
      </c>
      <c r="J315" s="2959">
        <v>8</v>
      </c>
      <c r="K315" s="2959">
        <v>10</v>
      </c>
      <c r="L315" s="2959">
        <v>13</v>
      </c>
      <c r="M315" s="377">
        <v>15</v>
      </c>
      <c r="N315" s="2959">
        <v>120</v>
      </c>
      <c r="O315" s="2959">
        <v>180</v>
      </c>
      <c r="P315" s="2959">
        <v>240</v>
      </c>
      <c r="Q315" s="377">
        <v>300</v>
      </c>
      <c r="R315" s="2959">
        <v>25</v>
      </c>
      <c r="S315" s="2959">
        <v>40</v>
      </c>
      <c r="T315" s="2959">
        <v>50</v>
      </c>
      <c r="U315" s="377">
        <v>60</v>
      </c>
      <c r="V315" s="2954" t="s">
        <v>3628</v>
      </c>
      <c r="W315" s="2954" t="s">
        <v>3590</v>
      </c>
      <c r="X315" s="2954" t="s">
        <v>3591</v>
      </c>
      <c r="Y315" s="2954" t="s">
        <v>3322</v>
      </c>
      <c r="Z315" s="2954" t="s">
        <v>4472</v>
      </c>
      <c r="AA315" s="375"/>
    </row>
    <row r="316" spans="1:27" ht="12.75" customHeight="1" x14ac:dyDescent="0.2">
      <c r="A316" s="6360"/>
      <c r="B316" s="251" t="str">
        <f t="shared" si="4"/>
        <v>Esencia72</v>
      </c>
      <c r="D316" s="272" t="s">
        <v>9921</v>
      </c>
      <c r="E316" s="2959" t="s">
        <v>1709</v>
      </c>
      <c r="F316" s="2959">
        <v>72</v>
      </c>
      <c r="G316" s="2962" t="s">
        <v>2584</v>
      </c>
      <c r="H316" s="2962" t="s">
        <v>1233</v>
      </c>
      <c r="I316" s="380" t="s">
        <v>1304</v>
      </c>
      <c r="J316" s="2959">
        <v>8</v>
      </c>
      <c r="K316" s="2959">
        <v>10</v>
      </c>
      <c r="L316" s="2959">
        <v>13</v>
      </c>
      <c r="M316" s="377">
        <v>15</v>
      </c>
      <c r="N316" s="2959">
        <v>140</v>
      </c>
      <c r="O316" s="2959">
        <v>180</v>
      </c>
      <c r="P316" s="2959">
        <v>240</v>
      </c>
      <c r="Q316" s="377">
        <v>300</v>
      </c>
      <c r="R316" s="2959">
        <v>15</v>
      </c>
      <c r="S316" s="2959">
        <v>20</v>
      </c>
      <c r="T316" s="2959">
        <v>25</v>
      </c>
      <c r="U316" s="377">
        <v>30</v>
      </c>
      <c r="V316" s="2954" t="s">
        <v>3599</v>
      </c>
      <c r="W316" s="2954" t="s">
        <v>4473</v>
      </c>
      <c r="X316" s="2954" t="s">
        <v>4474</v>
      </c>
      <c r="Y316" s="2954" t="s">
        <v>4475</v>
      </c>
      <c r="Z316" s="2954" t="s">
        <v>4476</v>
      </c>
      <c r="AA316" s="375"/>
    </row>
    <row r="317" spans="1:27" ht="12.75" customHeight="1" x14ac:dyDescent="0.2">
      <c r="A317" s="6360"/>
      <c r="B317" s="251" t="str">
        <f t="shared" si="4"/>
        <v>Esencia76</v>
      </c>
      <c r="D317" s="272" t="s">
        <v>9922</v>
      </c>
      <c r="E317" s="2959" t="s">
        <v>1709</v>
      </c>
      <c r="F317" s="2959">
        <v>76</v>
      </c>
      <c r="G317" s="2962" t="s">
        <v>1381</v>
      </c>
      <c r="H317" s="2962" t="s">
        <v>1233</v>
      </c>
      <c r="I317" s="380" t="s">
        <v>1304</v>
      </c>
      <c r="J317" s="2959">
        <v>9</v>
      </c>
      <c r="K317" s="2959">
        <v>12</v>
      </c>
      <c r="L317" s="2959">
        <v>15</v>
      </c>
      <c r="M317" s="377">
        <v>18</v>
      </c>
      <c r="N317" s="2959">
        <v>180</v>
      </c>
      <c r="O317" s="2959">
        <v>240</v>
      </c>
      <c r="P317" s="2959">
        <v>300</v>
      </c>
      <c r="Q317" s="377">
        <v>540</v>
      </c>
      <c r="R317" s="2959" t="s">
        <v>1381</v>
      </c>
      <c r="S317" s="2959" t="s">
        <v>1381</v>
      </c>
      <c r="T317" s="2959" t="s">
        <v>1381</v>
      </c>
      <c r="U317" s="377" t="s">
        <v>1381</v>
      </c>
      <c r="V317" s="2954" t="s">
        <v>4477</v>
      </c>
      <c r="W317" s="2954" t="s">
        <v>4478</v>
      </c>
      <c r="X317" s="2954" t="s">
        <v>4479</v>
      </c>
      <c r="Y317" s="2954" t="s">
        <v>4480</v>
      </c>
      <c r="Z317" s="2954" t="s">
        <v>4481</v>
      </c>
      <c r="AA317" s="375"/>
    </row>
    <row r="318" spans="1:27" ht="12.75" customHeight="1" x14ac:dyDescent="0.2">
      <c r="A318" s="6360"/>
      <c r="B318" s="251" t="str">
        <f t="shared" si="4"/>
        <v>Esencia80</v>
      </c>
      <c r="D318" s="272" t="s">
        <v>9923</v>
      </c>
      <c r="E318" s="2959" t="s">
        <v>1709</v>
      </c>
      <c r="F318" s="2959">
        <v>80</v>
      </c>
      <c r="G318" s="2962" t="s">
        <v>1381</v>
      </c>
      <c r="H318" s="2962" t="s">
        <v>1234</v>
      </c>
      <c r="I318" s="380" t="s">
        <v>1304</v>
      </c>
      <c r="J318" s="2959">
        <v>10</v>
      </c>
      <c r="K318" s="2959">
        <v>13</v>
      </c>
      <c r="L318" s="2959">
        <v>15</v>
      </c>
      <c r="M318" s="377">
        <v>17</v>
      </c>
      <c r="N318" s="2959">
        <v>250</v>
      </c>
      <c r="O318" s="2959">
        <v>500</v>
      </c>
      <c r="P318" s="2959">
        <v>1000</v>
      </c>
      <c r="Q318" s="377">
        <v>2500</v>
      </c>
      <c r="R318" s="2959" t="s">
        <v>1381</v>
      </c>
      <c r="S318" s="2959" t="s">
        <v>1381</v>
      </c>
      <c r="T318" s="2959" t="s">
        <v>1381</v>
      </c>
      <c r="U318" s="377" t="s">
        <v>1381</v>
      </c>
      <c r="V318" s="2954" t="s">
        <v>4482</v>
      </c>
      <c r="W318" s="2954" t="s">
        <v>4483</v>
      </c>
      <c r="X318" s="2954" t="s">
        <v>4484</v>
      </c>
      <c r="Y318" s="2954" t="s">
        <v>4485</v>
      </c>
      <c r="Z318" s="2954" t="s">
        <v>4486</v>
      </c>
      <c r="AA318" s="375"/>
    </row>
    <row r="319" spans="1:27" ht="12.75" customHeight="1" x14ac:dyDescent="0.2">
      <c r="A319" s="6360"/>
      <c r="B319" s="251" t="str">
        <f t="shared" si="4"/>
        <v>Esencia82</v>
      </c>
      <c r="D319" s="272" t="s">
        <v>9924</v>
      </c>
      <c r="E319" s="2959" t="s">
        <v>1709</v>
      </c>
      <c r="F319" s="2959">
        <v>82</v>
      </c>
      <c r="G319" s="2962" t="s">
        <v>2088</v>
      </c>
      <c r="H319" s="2962" t="s">
        <v>1234</v>
      </c>
      <c r="I319" s="380" t="s">
        <v>1304</v>
      </c>
      <c r="J319" s="2959">
        <v>10</v>
      </c>
      <c r="K319" s="2959">
        <v>12</v>
      </c>
      <c r="L319" s="2959">
        <v>14</v>
      </c>
      <c r="M319" s="377">
        <v>16</v>
      </c>
      <c r="N319" s="2959">
        <v>250</v>
      </c>
      <c r="O319" s="2959">
        <v>350</v>
      </c>
      <c r="P319" s="2959">
        <v>500</v>
      </c>
      <c r="Q319" s="377">
        <v>700</v>
      </c>
      <c r="R319" s="2959">
        <v>50</v>
      </c>
      <c r="S319" s="2959">
        <v>70</v>
      </c>
      <c r="T319" s="2959">
        <v>100</v>
      </c>
      <c r="U319" s="377">
        <v>140</v>
      </c>
      <c r="V319" s="2954" t="s">
        <v>3657</v>
      </c>
      <c r="W319" s="2954" t="s">
        <v>3356</v>
      </c>
      <c r="X319" s="2954" t="s">
        <v>4369</v>
      </c>
      <c r="Y319" s="2954" t="s">
        <v>4370</v>
      </c>
      <c r="Z319" s="2954" t="s">
        <v>4487</v>
      </c>
      <c r="AA319" s="375"/>
    </row>
    <row r="320" spans="1:27" ht="12.75" customHeight="1" x14ac:dyDescent="0.2">
      <c r="A320" s="6360"/>
      <c r="B320" s="251" t="str">
        <f t="shared" si="4"/>
        <v>Esencia86</v>
      </c>
      <c r="D320" s="272" t="s">
        <v>9925</v>
      </c>
      <c r="E320" s="2959" t="s">
        <v>1709</v>
      </c>
      <c r="F320" s="2959">
        <v>86</v>
      </c>
      <c r="G320" s="2962" t="s">
        <v>1381</v>
      </c>
      <c r="H320" s="2962" t="s">
        <v>1304</v>
      </c>
      <c r="I320" s="380" t="s">
        <v>1304</v>
      </c>
      <c r="J320" s="2959">
        <v>10</v>
      </c>
      <c r="K320" s="2959">
        <v>12</v>
      </c>
      <c r="L320" s="2959">
        <v>14</v>
      </c>
      <c r="M320" s="377">
        <v>16</v>
      </c>
      <c r="N320" s="2959">
        <v>200</v>
      </c>
      <c r="O320" s="2959">
        <v>300</v>
      </c>
      <c r="P320" s="2959">
        <v>400</v>
      </c>
      <c r="Q320" s="377">
        <v>500</v>
      </c>
      <c r="R320" s="2959" t="s">
        <v>1381</v>
      </c>
      <c r="S320" s="2959" t="s">
        <v>1381</v>
      </c>
      <c r="T320" s="2959" t="s">
        <v>1381</v>
      </c>
      <c r="U320" s="377" t="s">
        <v>1381</v>
      </c>
      <c r="V320" s="2954" t="s">
        <v>4488</v>
      </c>
      <c r="W320" s="2954" t="s">
        <v>4489</v>
      </c>
      <c r="X320" s="2954" t="s">
        <v>4490</v>
      </c>
      <c r="Y320" s="2954" t="s">
        <v>4491</v>
      </c>
      <c r="Z320" s="2954" t="s">
        <v>4492</v>
      </c>
      <c r="AA320" s="375"/>
    </row>
    <row r="321" spans="1:27" ht="12.75" customHeight="1" x14ac:dyDescent="0.2">
      <c r="A321" s="6360"/>
      <c r="B321" s="251" t="str">
        <f t="shared" si="4"/>
        <v>Esencia90</v>
      </c>
      <c r="D321" s="272" t="s">
        <v>9926</v>
      </c>
      <c r="E321" s="2959" t="s">
        <v>1709</v>
      </c>
      <c r="F321" s="2959">
        <v>90</v>
      </c>
      <c r="G321" s="2962" t="s">
        <v>1381</v>
      </c>
      <c r="H321" s="2962" t="s">
        <v>1234</v>
      </c>
      <c r="I321" s="380" t="s">
        <v>1304</v>
      </c>
      <c r="J321" s="2959">
        <v>10</v>
      </c>
      <c r="K321" s="2959">
        <v>12</v>
      </c>
      <c r="L321" s="2959">
        <v>13</v>
      </c>
      <c r="M321" s="377">
        <v>16</v>
      </c>
      <c r="N321" s="2959">
        <v>250</v>
      </c>
      <c r="O321" s="2959">
        <v>450</v>
      </c>
      <c r="P321" s="2959">
        <v>600</v>
      </c>
      <c r="Q321" s="377">
        <v>750</v>
      </c>
      <c r="R321" s="2959" t="s">
        <v>1381</v>
      </c>
      <c r="S321" s="2959" t="s">
        <v>1381</v>
      </c>
      <c r="T321" s="2959" t="s">
        <v>1381</v>
      </c>
      <c r="U321" s="377" t="s">
        <v>1381</v>
      </c>
      <c r="V321" s="2954" t="s">
        <v>4362</v>
      </c>
      <c r="W321" s="2954" t="s">
        <v>4493</v>
      </c>
      <c r="X321" s="2954" t="s">
        <v>4494</v>
      </c>
      <c r="Y321" s="2954" t="s">
        <v>4495</v>
      </c>
      <c r="Z321" s="2954" t="s">
        <v>4496</v>
      </c>
      <c r="AA321" s="375"/>
    </row>
    <row r="322" spans="1:27" ht="12.75" customHeight="1" x14ac:dyDescent="0.2">
      <c r="A322" s="6360"/>
      <c r="B322" s="251" t="str">
        <f t="shared" si="4"/>
        <v>Esencia92</v>
      </c>
      <c r="D322" s="272" t="s">
        <v>9927</v>
      </c>
      <c r="E322" s="2959" t="s">
        <v>1709</v>
      </c>
      <c r="F322" s="2959">
        <v>92</v>
      </c>
      <c r="G322" s="2962" t="s">
        <v>2088</v>
      </c>
      <c r="H322" s="2962" t="s">
        <v>1235</v>
      </c>
      <c r="I322" s="380" t="s">
        <v>1304</v>
      </c>
      <c r="J322" s="2959">
        <v>10</v>
      </c>
      <c r="K322" s="2959">
        <v>13</v>
      </c>
      <c r="L322" s="2959">
        <v>15</v>
      </c>
      <c r="M322" s="377">
        <v>18</v>
      </c>
      <c r="N322" s="2959">
        <v>300</v>
      </c>
      <c r="O322" s="2959">
        <v>500</v>
      </c>
      <c r="P322" s="2959">
        <v>750</v>
      </c>
      <c r="Q322" s="377">
        <v>1000</v>
      </c>
      <c r="R322" s="2959">
        <v>60</v>
      </c>
      <c r="S322" s="2959">
        <v>75</v>
      </c>
      <c r="T322" s="2959">
        <v>85</v>
      </c>
      <c r="U322" s="377">
        <v>100</v>
      </c>
      <c r="V322" s="2954" t="s">
        <v>4497</v>
      </c>
      <c r="W322" s="2954" t="s">
        <v>4498</v>
      </c>
      <c r="X322" s="2954" t="s">
        <v>4499</v>
      </c>
      <c r="Y322" s="2954" t="s">
        <v>4500</v>
      </c>
      <c r="Z322" s="2954" t="s">
        <v>4501</v>
      </c>
      <c r="AA322" s="375"/>
    </row>
    <row r="323" spans="1:27" ht="12.75" customHeight="1" x14ac:dyDescent="0.2">
      <c r="A323" s="6360"/>
      <c r="B323" s="251" t="str">
        <f t="shared" si="4"/>
        <v>Esencia96</v>
      </c>
      <c r="D323" s="272" t="s">
        <v>9928</v>
      </c>
      <c r="E323" s="2959" t="s">
        <v>1709</v>
      </c>
      <c r="F323" s="2959">
        <v>96</v>
      </c>
      <c r="G323" s="2962" t="s">
        <v>1381</v>
      </c>
      <c r="H323" s="2962" t="s">
        <v>1234</v>
      </c>
      <c r="I323" s="380" t="s">
        <v>1304</v>
      </c>
      <c r="J323" s="2959">
        <v>10</v>
      </c>
      <c r="K323" s="2959">
        <v>13</v>
      </c>
      <c r="L323" s="2959">
        <v>15</v>
      </c>
      <c r="M323" s="377">
        <v>18</v>
      </c>
      <c r="N323" s="2959">
        <v>400</v>
      </c>
      <c r="O323" s="2959">
        <v>500</v>
      </c>
      <c r="P323" s="2959">
        <v>600</v>
      </c>
      <c r="Q323" s="377">
        <v>700</v>
      </c>
      <c r="R323" s="2959" t="s">
        <v>1381</v>
      </c>
      <c r="S323" s="2959" t="s">
        <v>1381</v>
      </c>
      <c r="T323" s="2959" t="s">
        <v>1381</v>
      </c>
      <c r="U323" s="377" t="s">
        <v>1381</v>
      </c>
      <c r="V323" s="2954" t="s">
        <v>4502</v>
      </c>
      <c r="W323" s="2954" t="s">
        <v>4503</v>
      </c>
      <c r="X323" s="2954" t="s">
        <v>4504</v>
      </c>
      <c r="Y323" s="2954" t="s">
        <v>4505</v>
      </c>
      <c r="Z323" s="2954" t="s">
        <v>4506</v>
      </c>
      <c r="AA323" s="375"/>
    </row>
    <row r="324" spans="1:27" ht="12.75" customHeight="1" x14ac:dyDescent="0.2">
      <c r="A324" s="6360"/>
      <c r="B324" s="251" t="str">
        <f t="shared" si="4"/>
        <v>Esencia100</v>
      </c>
      <c r="D324" s="272" t="s">
        <v>9929</v>
      </c>
      <c r="E324" s="2959" t="s">
        <v>1709</v>
      </c>
      <c r="F324" s="2959">
        <v>100</v>
      </c>
      <c r="G324" s="2962" t="s">
        <v>2088</v>
      </c>
      <c r="H324" s="2962" t="s">
        <v>1235</v>
      </c>
      <c r="I324" s="380" t="s">
        <v>1304</v>
      </c>
      <c r="J324" s="2959">
        <v>12</v>
      </c>
      <c r="K324" s="2959">
        <v>14</v>
      </c>
      <c r="L324" s="2959">
        <v>16</v>
      </c>
      <c r="M324" s="377">
        <v>18</v>
      </c>
      <c r="N324" s="2959">
        <v>600</v>
      </c>
      <c r="O324" s="2959">
        <v>800</v>
      </c>
      <c r="P324" s="2959">
        <v>1200</v>
      </c>
      <c r="Q324" s="377">
        <v>1500</v>
      </c>
      <c r="R324" s="2959">
        <v>120</v>
      </c>
      <c r="S324" s="2959">
        <v>160</v>
      </c>
      <c r="T324" s="2959">
        <v>240</v>
      </c>
      <c r="U324" s="377">
        <v>300</v>
      </c>
      <c r="V324" s="2954" t="s">
        <v>4507</v>
      </c>
      <c r="W324" s="2954" t="s">
        <v>4508</v>
      </c>
      <c r="X324" s="2954" t="s">
        <v>4509</v>
      </c>
      <c r="Y324" s="2954" t="s">
        <v>4510</v>
      </c>
      <c r="Z324" s="2954" t="s">
        <v>4511</v>
      </c>
      <c r="AA324" s="375"/>
    </row>
    <row r="325" spans="1:27" ht="12.75" customHeight="1" x14ac:dyDescent="0.2">
      <c r="A325" s="6360"/>
      <c r="B325" s="251" t="str">
        <f t="shared" si="4"/>
        <v/>
      </c>
      <c r="D325" s="272" t="s">
        <v>308</v>
      </c>
      <c r="E325" s="2959"/>
      <c r="F325" s="2959"/>
      <c r="G325" s="2962"/>
      <c r="H325" s="2962"/>
      <c r="I325" s="380"/>
      <c r="J325" s="2959"/>
      <c r="K325" s="2959"/>
      <c r="L325" s="2959"/>
      <c r="M325" s="377"/>
      <c r="N325" s="2959"/>
      <c r="O325" s="2959"/>
      <c r="P325" s="2959"/>
      <c r="Q325" s="377"/>
      <c r="R325" s="2959"/>
      <c r="S325" s="2959"/>
      <c r="T325" s="2959"/>
      <c r="U325" s="377"/>
      <c r="V325" s="2954"/>
      <c r="W325" s="2954"/>
      <c r="X325" s="2954"/>
      <c r="Y325" s="2954"/>
      <c r="Z325" s="2954"/>
      <c r="AA325" s="375"/>
    </row>
    <row r="326" spans="1:27" ht="12.75" customHeight="1" x14ac:dyDescent="0.2">
      <c r="A326" s="6360"/>
      <c r="B326" s="251" t="str">
        <f t="shared" si="4"/>
        <v>Ilusión2</v>
      </c>
      <c r="D326" s="272" t="s">
        <v>309</v>
      </c>
      <c r="E326" s="2959" t="s">
        <v>1711</v>
      </c>
      <c r="F326" s="2959">
        <v>2</v>
      </c>
      <c r="G326" s="2962" t="s">
        <v>1381</v>
      </c>
      <c r="H326" s="2962" t="s">
        <v>3210</v>
      </c>
      <c r="I326" s="380" t="s">
        <v>1304</v>
      </c>
      <c r="J326" s="2959">
        <v>5</v>
      </c>
      <c r="K326" s="2959">
        <v>8</v>
      </c>
      <c r="L326" s="2959">
        <v>10</v>
      </c>
      <c r="M326" s="377">
        <v>12</v>
      </c>
      <c r="N326" s="2959">
        <v>30</v>
      </c>
      <c r="O326" s="2959">
        <v>50</v>
      </c>
      <c r="P326" s="2959">
        <v>90</v>
      </c>
      <c r="Q326" s="377">
        <v>120</v>
      </c>
      <c r="R326" s="2959">
        <v>5</v>
      </c>
      <c r="S326" s="2959">
        <v>5</v>
      </c>
      <c r="T326" s="2959">
        <v>10</v>
      </c>
      <c r="U326" s="377">
        <v>10</v>
      </c>
      <c r="V326" s="2954" t="s">
        <v>4512</v>
      </c>
      <c r="W326" s="2954" t="s">
        <v>4513</v>
      </c>
      <c r="X326" s="2954" t="s">
        <v>3317</v>
      </c>
      <c r="Y326" s="2954" t="s">
        <v>3318</v>
      </c>
      <c r="Z326" s="2954" t="s">
        <v>4514</v>
      </c>
      <c r="AA326" s="375"/>
    </row>
    <row r="327" spans="1:27" ht="12.75" customHeight="1" x14ac:dyDescent="0.2">
      <c r="A327" s="6360"/>
      <c r="B327" s="251" t="str">
        <f t="shared" si="4"/>
        <v>Ilusión6</v>
      </c>
      <c r="D327" s="272" t="s">
        <v>310</v>
      </c>
      <c r="E327" s="2959" t="s">
        <v>1711</v>
      </c>
      <c r="F327" s="2959">
        <v>6</v>
      </c>
      <c r="G327" s="2962" t="s">
        <v>1381</v>
      </c>
      <c r="H327" s="2962" t="s">
        <v>3210</v>
      </c>
      <c r="I327" s="380" t="s">
        <v>1304</v>
      </c>
      <c r="J327" s="2959">
        <v>5</v>
      </c>
      <c r="K327" s="2959">
        <v>8</v>
      </c>
      <c r="L327" s="2959">
        <v>10</v>
      </c>
      <c r="M327" s="377">
        <v>12</v>
      </c>
      <c r="N327" s="2959">
        <v>30</v>
      </c>
      <c r="O327" s="2959">
        <v>50</v>
      </c>
      <c r="P327" s="2959">
        <v>90</v>
      </c>
      <c r="Q327" s="377">
        <v>120</v>
      </c>
      <c r="R327" s="2959">
        <v>5</v>
      </c>
      <c r="S327" s="2959">
        <v>5</v>
      </c>
      <c r="T327" s="2959">
        <v>10</v>
      </c>
      <c r="U327" s="377">
        <v>10</v>
      </c>
      <c r="V327" s="2954" t="s">
        <v>4512</v>
      </c>
      <c r="W327" s="2954" t="s">
        <v>4513</v>
      </c>
      <c r="X327" s="2954" t="s">
        <v>3317</v>
      </c>
      <c r="Y327" s="2954" t="s">
        <v>3318</v>
      </c>
      <c r="Z327" s="2954" t="s">
        <v>4515</v>
      </c>
      <c r="AA327" s="375"/>
    </row>
    <row r="328" spans="1:27" ht="12.75" customHeight="1" x14ac:dyDescent="0.2">
      <c r="A328" s="6360"/>
      <c r="B328" s="251" t="str">
        <f t="shared" ref="B328:B391" si="5">E328&amp;F328</f>
        <v>Ilusión10</v>
      </c>
      <c r="D328" s="272" t="s">
        <v>311</v>
      </c>
      <c r="E328" s="2959" t="s">
        <v>1711</v>
      </c>
      <c r="F328" s="2959">
        <v>10</v>
      </c>
      <c r="G328" s="2962" t="s">
        <v>1381</v>
      </c>
      <c r="H328" s="2962" t="s">
        <v>3210</v>
      </c>
      <c r="I328" s="380" t="s">
        <v>1304</v>
      </c>
      <c r="J328" s="2959">
        <v>5</v>
      </c>
      <c r="K328" s="2959">
        <v>8</v>
      </c>
      <c r="L328" s="2959">
        <v>10</v>
      </c>
      <c r="M328" s="377">
        <v>12</v>
      </c>
      <c r="N328" s="2959">
        <v>30</v>
      </c>
      <c r="O328" s="2959">
        <v>50</v>
      </c>
      <c r="P328" s="2959">
        <v>90</v>
      </c>
      <c r="Q328" s="377">
        <v>120</v>
      </c>
      <c r="R328" s="2959">
        <v>5</v>
      </c>
      <c r="S328" s="2959">
        <v>5</v>
      </c>
      <c r="T328" s="2959">
        <v>10</v>
      </c>
      <c r="U328" s="377">
        <v>10</v>
      </c>
      <c r="V328" s="2954" t="s">
        <v>4512</v>
      </c>
      <c r="W328" s="2954" t="s">
        <v>4513</v>
      </c>
      <c r="X328" s="2954" t="s">
        <v>3317</v>
      </c>
      <c r="Y328" s="2954" t="s">
        <v>3318</v>
      </c>
      <c r="Z328" s="2954" t="s">
        <v>10240</v>
      </c>
      <c r="AA328" s="375"/>
    </row>
    <row r="329" spans="1:27" ht="12.75" customHeight="1" x14ac:dyDescent="0.2">
      <c r="A329" s="6360"/>
      <c r="B329" s="251" t="str">
        <f t="shared" si="5"/>
        <v>Ilusión12</v>
      </c>
      <c r="D329" s="272" t="s">
        <v>312</v>
      </c>
      <c r="E329" s="2959" t="s">
        <v>1711</v>
      </c>
      <c r="F329" s="2959">
        <v>12</v>
      </c>
      <c r="G329" s="2962" t="s">
        <v>1381</v>
      </c>
      <c r="H329" s="2962" t="s">
        <v>3210</v>
      </c>
      <c r="I329" s="380" t="s">
        <v>1304</v>
      </c>
      <c r="J329" s="2959">
        <v>6</v>
      </c>
      <c r="K329" s="2959">
        <v>8</v>
      </c>
      <c r="L329" s="2959">
        <v>10</v>
      </c>
      <c r="M329" s="377">
        <v>12</v>
      </c>
      <c r="N329" s="2959">
        <v>40</v>
      </c>
      <c r="O329" s="2959">
        <v>70</v>
      </c>
      <c r="P329" s="2959">
        <v>100</v>
      </c>
      <c r="Q329" s="377">
        <v>120</v>
      </c>
      <c r="R329" s="2959">
        <v>5</v>
      </c>
      <c r="S329" s="2959">
        <v>5</v>
      </c>
      <c r="T329" s="2959">
        <v>10</v>
      </c>
      <c r="U329" s="377">
        <v>10</v>
      </c>
      <c r="V329" s="2954" t="s">
        <v>4516</v>
      </c>
      <c r="W329" s="2954" t="s">
        <v>4517</v>
      </c>
      <c r="X329" s="2954" t="s">
        <v>4518</v>
      </c>
      <c r="Y329" s="2954" t="s">
        <v>4519</v>
      </c>
      <c r="Z329" s="2954" t="s">
        <v>10220</v>
      </c>
      <c r="AA329" s="375"/>
    </row>
    <row r="330" spans="1:27" ht="12.75" customHeight="1" x14ac:dyDescent="0.2">
      <c r="A330" s="6360"/>
      <c r="B330" s="251" t="str">
        <f t="shared" si="5"/>
        <v>Ilusión16</v>
      </c>
      <c r="D330" s="272" t="s">
        <v>313</v>
      </c>
      <c r="E330" s="2959" t="s">
        <v>1711</v>
      </c>
      <c r="F330" s="2959">
        <v>16</v>
      </c>
      <c r="G330" s="2962" t="s">
        <v>1381</v>
      </c>
      <c r="H330" s="2962" t="s">
        <v>1236</v>
      </c>
      <c r="I330" s="380" t="s">
        <v>1304</v>
      </c>
      <c r="J330" s="2959">
        <v>6</v>
      </c>
      <c r="K330" s="2959">
        <v>8</v>
      </c>
      <c r="L330" s="2959">
        <v>10</v>
      </c>
      <c r="M330" s="377">
        <v>12</v>
      </c>
      <c r="N330" s="2959">
        <v>60</v>
      </c>
      <c r="O330" s="2959">
        <v>160</v>
      </c>
      <c r="P330" s="2959">
        <v>200</v>
      </c>
      <c r="Q330" s="377">
        <v>240</v>
      </c>
      <c r="R330" s="2959">
        <v>10</v>
      </c>
      <c r="S330" s="2959">
        <v>20</v>
      </c>
      <c r="T330" s="2959">
        <v>20</v>
      </c>
      <c r="U330" s="377">
        <v>25</v>
      </c>
      <c r="V330" s="2954" t="s">
        <v>4520</v>
      </c>
      <c r="W330" s="2954" t="s">
        <v>4521</v>
      </c>
      <c r="X330" s="2954" t="s">
        <v>4522</v>
      </c>
      <c r="Y330" s="2954" t="s">
        <v>4523</v>
      </c>
      <c r="Z330" s="2954" t="s">
        <v>7052</v>
      </c>
      <c r="AA330" s="375"/>
    </row>
    <row r="331" spans="1:27" ht="12.75" customHeight="1" x14ac:dyDescent="0.2">
      <c r="A331" s="6360"/>
      <c r="B331" s="251" t="str">
        <f t="shared" si="5"/>
        <v>Ilusión20</v>
      </c>
      <c r="D331" s="272" t="s">
        <v>314</v>
      </c>
      <c r="E331" s="2959" t="s">
        <v>1711</v>
      </c>
      <c r="F331" s="2959">
        <v>20</v>
      </c>
      <c r="G331" s="2962" t="s">
        <v>1381</v>
      </c>
      <c r="H331" s="2962" t="s">
        <v>1234</v>
      </c>
      <c r="I331" s="380" t="s">
        <v>1304</v>
      </c>
      <c r="J331" s="2959">
        <v>6</v>
      </c>
      <c r="K331" s="2959">
        <v>8</v>
      </c>
      <c r="L331" s="2959">
        <v>10</v>
      </c>
      <c r="M331" s="377">
        <v>13</v>
      </c>
      <c r="N331" s="2959">
        <v>50</v>
      </c>
      <c r="O331" s="2959">
        <v>80</v>
      </c>
      <c r="P331" s="2959">
        <v>100</v>
      </c>
      <c r="Q331" s="377">
        <v>120</v>
      </c>
      <c r="R331" s="2959">
        <v>5</v>
      </c>
      <c r="S331" s="2959">
        <v>10</v>
      </c>
      <c r="T331" s="2959">
        <v>10</v>
      </c>
      <c r="U331" s="377">
        <v>15</v>
      </c>
      <c r="V331" s="2954" t="s">
        <v>4524</v>
      </c>
      <c r="W331" s="2954" t="s">
        <v>4525</v>
      </c>
      <c r="X331" s="2954" t="s">
        <v>4526</v>
      </c>
      <c r="Y331" s="2954" t="s">
        <v>4527</v>
      </c>
      <c r="Z331" s="2954" t="s">
        <v>4528</v>
      </c>
      <c r="AA331" s="375"/>
    </row>
    <row r="332" spans="1:27" ht="12.75" customHeight="1" x14ac:dyDescent="0.2">
      <c r="A332" s="6360"/>
      <c r="B332" s="251" t="str">
        <f t="shared" si="5"/>
        <v>Ilusión22</v>
      </c>
      <c r="D332" s="272" t="s">
        <v>315</v>
      </c>
      <c r="E332" s="2959" t="s">
        <v>1711</v>
      </c>
      <c r="F332" s="2959">
        <v>22</v>
      </c>
      <c r="G332" s="2962" t="s">
        <v>2088</v>
      </c>
      <c r="H332" s="2962" t="s">
        <v>3210</v>
      </c>
      <c r="I332" s="380" t="s">
        <v>1304</v>
      </c>
      <c r="J332" s="2959">
        <v>6</v>
      </c>
      <c r="K332" s="2959">
        <v>9</v>
      </c>
      <c r="L332" s="2959">
        <v>12</v>
      </c>
      <c r="M332" s="377">
        <v>15</v>
      </c>
      <c r="N332" s="2959">
        <v>60</v>
      </c>
      <c r="O332" s="2959">
        <v>90</v>
      </c>
      <c r="P332" s="2959">
        <v>120</v>
      </c>
      <c r="Q332" s="377">
        <v>150</v>
      </c>
      <c r="R332" s="2959">
        <v>10</v>
      </c>
      <c r="S332" s="2959">
        <v>10</v>
      </c>
      <c r="T332" s="2959">
        <v>15</v>
      </c>
      <c r="U332" s="377">
        <v>15</v>
      </c>
      <c r="V332" s="2954" t="s">
        <v>3590</v>
      </c>
      <c r="W332" s="2954" t="s">
        <v>3487</v>
      </c>
      <c r="X332" s="2954" t="s">
        <v>3488</v>
      </c>
      <c r="Y332" s="2954" t="s">
        <v>3489</v>
      </c>
      <c r="Z332" s="2954" t="s">
        <v>4529</v>
      </c>
      <c r="AA332" s="375"/>
    </row>
    <row r="333" spans="1:27" ht="12.75" customHeight="1" x14ac:dyDescent="0.2">
      <c r="A333" s="6360"/>
      <c r="B333" s="251" t="str">
        <f t="shared" si="5"/>
        <v>Ilusión26</v>
      </c>
      <c r="D333" s="272" t="s">
        <v>316</v>
      </c>
      <c r="E333" s="2959" t="s">
        <v>1711</v>
      </c>
      <c r="F333" s="2959">
        <v>26</v>
      </c>
      <c r="G333" s="2962" t="s">
        <v>1381</v>
      </c>
      <c r="H333" s="2962" t="s">
        <v>3210</v>
      </c>
      <c r="I333" s="380" t="s">
        <v>1304</v>
      </c>
      <c r="J333" s="2959">
        <v>6</v>
      </c>
      <c r="K333" s="2959">
        <v>9</v>
      </c>
      <c r="L333" s="2959">
        <v>12</v>
      </c>
      <c r="M333" s="377">
        <v>15</v>
      </c>
      <c r="N333" s="2959">
        <v>60</v>
      </c>
      <c r="O333" s="2959">
        <v>90</v>
      </c>
      <c r="P333" s="2959">
        <v>120</v>
      </c>
      <c r="Q333" s="377">
        <v>150</v>
      </c>
      <c r="R333" s="2959">
        <v>5</v>
      </c>
      <c r="S333" s="2959">
        <v>5</v>
      </c>
      <c r="T333" s="2959">
        <v>10</v>
      </c>
      <c r="U333" s="377">
        <v>10</v>
      </c>
      <c r="V333" s="2954" t="s">
        <v>4530</v>
      </c>
      <c r="W333" s="2954" t="s">
        <v>4531</v>
      </c>
      <c r="X333" s="2954" t="s">
        <v>4532</v>
      </c>
      <c r="Y333" s="2954" t="s">
        <v>4533</v>
      </c>
      <c r="Z333" s="2954" t="s">
        <v>7053</v>
      </c>
      <c r="AA333" s="375"/>
    </row>
    <row r="334" spans="1:27" ht="12.75" customHeight="1" x14ac:dyDescent="0.2">
      <c r="A334" s="6360"/>
      <c r="B334" s="251" t="str">
        <f t="shared" si="5"/>
        <v>Ilusión30</v>
      </c>
      <c r="D334" s="272" t="s">
        <v>317</v>
      </c>
      <c r="E334" s="2959" t="s">
        <v>1711</v>
      </c>
      <c r="F334" s="2959">
        <v>30</v>
      </c>
      <c r="G334" s="2962" t="s">
        <v>1381</v>
      </c>
      <c r="H334" s="2962" t="s">
        <v>3210</v>
      </c>
      <c r="I334" s="380" t="s">
        <v>1304</v>
      </c>
      <c r="J334" s="2959">
        <v>8</v>
      </c>
      <c r="K334" s="2959">
        <v>10</v>
      </c>
      <c r="L334" s="2959">
        <v>12</v>
      </c>
      <c r="M334" s="377">
        <v>14</v>
      </c>
      <c r="N334" s="2959">
        <v>60</v>
      </c>
      <c r="O334" s="2959">
        <v>90</v>
      </c>
      <c r="P334" s="2959">
        <v>120</v>
      </c>
      <c r="Q334" s="377">
        <v>150</v>
      </c>
      <c r="R334" s="2959">
        <v>10</v>
      </c>
      <c r="S334" s="2959">
        <v>10</v>
      </c>
      <c r="T334" s="2959">
        <v>15</v>
      </c>
      <c r="U334" s="377">
        <v>15</v>
      </c>
      <c r="V334" s="2954" t="s">
        <v>4534</v>
      </c>
      <c r="W334" s="2954" t="s">
        <v>4535</v>
      </c>
      <c r="X334" s="2954" t="s">
        <v>4536</v>
      </c>
      <c r="Y334" s="2954" t="s">
        <v>4537</v>
      </c>
      <c r="Z334" s="2954" t="s">
        <v>4538</v>
      </c>
      <c r="AA334" s="375"/>
    </row>
    <row r="335" spans="1:27" ht="12.75" customHeight="1" x14ac:dyDescent="0.2">
      <c r="A335" s="6360"/>
      <c r="B335" s="251" t="str">
        <f t="shared" si="5"/>
        <v>Ilusión32</v>
      </c>
      <c r="D335" s="272" t="s">
        <v>318</v>
      </c>
      <c r="E335" s="2959" t="s">
        <v>1711</v>
      </c>
      <c r="F335" s="2959">
        <v>32</v>
      </c>
      <c r="G335" s="2962" t="s">
        <v>1381</v>
      </c>
      <c r="H335" s="2962" t="s">
        <v>3210</v>
      </c>
      <c r="I335" s="380" t="s">
        <v>1304</v>
      </c>
      <c r="J335" s="2959">
        <v>6</v>
      </c>
      <c r="K335" s="2959">
        <v>9</v>
      </c>
      <c r="L335" s="2959">
        <v>12</v>
      </c>
      <c r="M335" s="377">
        <v>15</v>
      </c>
      <c r="N335" s="2959">
        <v>80</v>
      </c>
      <c r="O335" s="2959">
        <v>180</v>
      </c>
      <c r="P335" s="2959">
        <v>240</v>
      </c>
      <c r="Q335" s="377">
        <v>300</v>
      </c>
      <c r="R335" s="2959">
        <v>5</v>
      </c>
      <c r="S335" s="2959">
        <v>5</v>
      </c>
      <c r="T335" s="2959">
        <v>10</v>
      </c>
      <c r="U335" s="377">
        <v>10</v>
      </c>
      <c r="V335" s="2954" t="s">
        <v>4539</v>
      </c>
      <c r="W335" s="2954" t="s">
        <v>4540</v>
      </c>
      <c r="X335" s="2954" t="s">
        <v>4541</v>
      </c>
      <c r="Y335" s="2954" t="s">
        <v>4542</v>
      </c>
      <c r="Z335" s="2954" t="s">
        <v>4543</v>
      </c>
      <c r="AA335" s="375"/>
    </row>
    <row r="336" spans="1:27" ht="12.75" customHeight="1" x14ac:dyDescent="0.2">
      <c r="A336" s="6360"/>
      <c r="B336" s="251" t="str">
        <f t="shared" si="5"/>
        <v>Ilusión36</v>
      </c>
      <c r="D336" s="272" t="s">
        <v>319</v>
      </c>
      <c r="E336" s="2959" t="s">
        <v>1711</v>
      </c>
      <c r="F336" s="2959">
        <v>36</v>
      </c>
      <c r="G336" s="2962" t="s">
        <v>1381</v>
      </c>
      <c r="H336" s="2962" t="s">
        <v>4020</v>
      </c>
      <c r="I336" s="380" t="s">
        <v>1304</v>
      </c>
      <c r="J336" s="2959">
        <v>6</v>
      </c>
      <c r="K336" s="2959">
        <v>9</v>
      </c>
      <c r="L336" s="2959">
        <v>11</v>
      </c>
      <c r="M336" s="377">
        <v>13</v>
      </c>
      <c r="N336" s="2959">
        <v>50</v>
      </c>
      <c r="O336" s="2959">
        <v>70</v>
      </c>
      <c r="P336" s="2959">
        <v>90</v>
      </c>
      <c r="Q336" s="377">
        <v>120</v>
      </c>
      <c r="R336" s="2959">
        <v>5</v>
      </c>
      <c r="S336" s="2959">
        <v>5</v>
      </c>
      <c r="T336" s="2959">
        <v>5</v>
      </c>
      <c r="U336" s="377">
        <v>10</v>
      </c>
      <c r="V336" s="2954" t="s">
        <v>4544</v>
      </c>
      <c r="W336" s="2954" t="s">
        <v>4540</v>
      </c>
      <c r="X336" s="2954" t="s">
        <v>4545</v>
      </c>
      <c r="Y336" s="2954" t="s">
        <v>4541</v>
      </c>
      <c r="Z336" s="2954" t="s">
        <v>4546</v>
      </c>
      <c r="AA336" s="375"/>
    </row>
    <row r="337" spans="1:27" ht="12.75" customHeight="1" x14ac:dyDescent="0.2">
      <c r="A337" s="6360"/>
      <c r="B337" s="251" t="str">
        <f t="shared" si="5"/>
        <v>Ilusión40</v>
      </c>
      <c r="D337" s="272" t="s">
        <v>320</v>
      </c>
      <c r="E337" s="2959" t="s">
        <v>1711</v>
      </c>
      <c r="F337" s="2959">
        <v>40</v>
      </c>
      <c r="G337" s="2962" t="s">
        <v>2088</v>
      </c>
      <c r="H337" s="2962" t="s">
        <v>3210</v>
      </c>
      <c r="I337" s="380" t="s">
        <v>1304</v>
      </c>
      <c r="J337" s="2959">
        <v>7</v>
      </c>
      <c r="K337" s="2959">
        <v>10</v>
      </c>
      <c r="L337" s="2959">
        <v>13</v>
      </c>
      <c r="M337" s="377">
        <v>15</v>
      </c>
      <c r="N337" s="2959">
        <v>60</v>
      </c>
      <c r="O337" s="2959">
        <v>90</v>
      </c>
      <c r="P337" s="2959">
        <v>120</v>
      </c>
      <c r="Q337" s="377">
        <v>150</v>
      </c>
      <c r="R337" s="2959">
        <v>5</v>
      </c>
      <c r="S337" s="2959">
        <v>5</v>
      </c>
      <c r="T337" s="2959">
        <v>10</v>
      </c>
      <c r="U337" s="377">
        <v>10</v>
      </c>
      <c r="V337" s="2954" t="s">
        <v>4547</v>
      </c>
      <c r="W337" s="2954" t="s">
        <v>4548</v>
      </c>
      <c r="X337" s="2954" t="s">
        <v>4549</v>
      </c>
      <c r="Y337" s="2954" t="s">
        <v>4550</v>
      </c>
      <c r="Z337" s="2954" t="s">
        <v>4551</v>
      </c>
      <c r="AA337" s="375"/>
    </row>
    <row r="338" spans="1:27" ht="12.75" customHeight="1" x14ac:dyDescent="0.2">
      <c r="A338" s="6360"/>
      <c r="B338" s="251" t="str">
        <f t="shared" si="5"/>
        <v>Ilusión42</v>
      </c>
      <c r="D338" s="272" t="s">
        <v>321</v>
      </c>
      <c r="E338" s="2959" t="s">
        <v>1711</v>
      </c>
      <c r="F338" s="2959">
        <v>42</v>
      </c>
      <c r="G338" s="2962" t="s">
        <v>2088</v>
      </c>
      <c r="H338" s="2962" t="s">
        <v>1234</v>
      </c>
      <c r="I338" s="380" t="s">
        <v>1304</v>
      </c>
      <c r="J338" s="2959">
        <v>7</v>
      </c>
      <c r="K338" s="2959">
        <v>10</v>
      </c>
      <c r="L338" s="2959">
        <v>12</v>
      </c>
      <c r="M338" s="377">
        <v>14</v>
      </c>
      <c r="N338" s="2959">
        <v>80</v>
      </c>
      <c r="O338" s="2959">
        <v>100</v>
      </c>
      <c r="P338" s="2959">
        <v>120</v>
      </c>
      <c r="Q338" s="377">
        <v>140</v>
      </c>
      <c r="R338" s="2959">
        <v>10</v>
      </c>
      <c r="S338" s="2959">
        <v>10</v>
      </c>
      <c r="T338" s="2959">
        <v>15</v>
      </c>
      <c r="U338" s="377">
        <v>15</v>
      </c>
      <c r="V338" s="2954" t="s">
        <v>4552</v>
      </c>
      <c r="W338" s="2954" t="s">
        <v>4553</v>
      </c>
      <c r="X338" s="2954" t="s">
        <v>4554</v>
      </c>
      <c r="Y338" s="2954" t="s">
        <v>4555</v>
      </c>
      <c r="Z338" s="2954" t="s">
        <v>4556</v>
      </c>
      <c r="AA338" s="375"/>
    </row>
    <row r="339" spans="1:27" ht="12.75" customHeight="1" x14ac:dyDescent="0.2">
      <c r="A339" s="6360"/>
      <c r="B339" s="251" t="str">
        <f t="shared" si="5"/>
        <v>Ilusión46</v>
      </c>
      <c r="D339" s="272" t="s">
        <v>322</v>
      </c>
      <c r="E339" s="2959" t="s">
        <v>1711</v>
      </c>
      <c r="F339" s="2959">
        <v>46</v>
      </c>
      <c r="G339" s="2962" t="s">
        <v>2088</v>
      </c>
      <c r="H339" s="2962" t="s">
        <v>3210</v>
      </c>
      <c r="I339" s="380" t="s">
        <v>1304</v>
      </c>
      <c r="J339" s="2959">
        <v>7</v>
      </c>
      <c r="K339" s="2959">
        <v>10</v>
      </c>
      <c r="L339" s="2959">
        <v>13</v>
      </c>
      <c r="M339" s="377">
        <v>15</v>
      </c>
      <c r="N339" s="2959">
        <v>80</v>
      </c>
      <c r="O339" s="2959">
        <v>120</v>
      </c>
      <c r="P339" s="2959">
        <v>160</v>
      </c>
      <c r="Q339" s="377">
        <v>200</v>
      </c>
      <c r="R339" s="2959">
        <v>10</v>
      </c>
      <c r="S339" s="2959">
        <v>15</v>
      </c>
      <c r="T339" s="2959">
        <v>20</v>
      </c>
      <c r="U339" s="377">
        <v>20</v>
      </c>
      <c r="V339" s="2954" t="s">
        <v>4557</v>
      </c>
      <c r="W339" s="2954" t="s">
        <v>4558</v>
      </c>
      <c r="X339" s="2954" t="s">
        <v>4559</v>
      </c>
      <c r="Y339" s="2954" t="s">
        <v>4560</v>
      </c>
      <c r="Z339" s="2954" t="s">
        <v>4561</v>
      </c>
      <c r="AA339" s="375"/>
    </row>
    <row r="340" spans="1:27" ht="12.75" customHeight="1" x14ac:dyDescent="0.2">
      <c r="A340" s="6360"/>
      <c r="B340" s="251" t="str">
        <f t="shared" si="5"/>
        <v>Ilusión50</v>
      </c>
      <c r="D340" s="272" t="s">
        <v>323</v>
      </c>
      <c r="E340" s="2959" t="s">
        <v>1711</v>
      </c>
      <c r="F340" s="2959">
        <v>50</v>
      </c>
      <c r="G340" s="2962" t="s">
        <v>1381</v>
      </c>
      <c r="H340" s="2962" t="s">
        <v>3210</v>
      </c>
      <c r="I340" s="380" t="s">
        <v>1304</v>
      </c>
      <c r="J340" s="2959">
        <v>6</v>
      </c>
      <c r="K340" s="2959">
        <v>9</v>
      </c>
      <c r="L340" s="2959">
        <v>12</v>
      </c>
      <c r="M340" s="377">
        <v>15</v>
      </c>
      <c r="N340" s="2959">
        <v>120</v>
      </c>
      <c r="O340" s="2959">
        <v>180</v>
      </c>
      <c r="P340" s="2959">
        <v>240</v>
      </c>
      <c r="Q340" s="377">
        <v>300</v>
      </c>
      <c r="R340" s="2959">
        <v>10</v>
      </c>
      <c r="S340" s="2959">
        <v>10</v>
      </c>
      <c r="T340" s="2959">
        <v>15</v>
      </c>
      <c r="U340" s="377">
        <v>15</v>
      </c>
      <c r="V340" s="2954" t="s">
        <v>4562</v>
      </c>
      <c r="W340" s="2954" t="s">
        <v>4563</v>
      </c>
      <c r="X340" s="2954" t="s">
        <v>4564</v>
      </c>
      <c r="Y340" s="2954" t="s">
        <v>4565</v>
      </c>
      <c r="Z340" s="2954" t="s">
        <v>4566</v>
      </c>
      <c r="AA340" s="375"/>
    </row>
    <row r="341" spans="1:27" ht="12.75" customHeight="1" x14ac:dyDescent="0.2">
      <c r="A341" s="6360"/>
      <c r="B341" s="251" t="str">
        <f t="shared" si="5"/>
        <v>Ilusión52</v>
      </c>
      <c r="D341" s="272" t="s">
        <v>324</v>
      </c>
      <c r="E341" s="2959" t="s">
        <v>1711</v>
      </c>
      <c r="F341" s="2959">
        <v>52</v>
      </c>
      <c r="G341" s="2962" t="s">
        <v>2088</v>
      </c>
      <c r="H341" s="2962" t="s">
        <v>3210</v>
      </c>
      <c r="I341" s="380" t="s">
        <v>1304</v>
      </c>
      <c r="J341" s="2959">
        <v>7</v>
      </c>
      <c r="K341" s="2959">
        <v>10</v>
      </c>
      <c r="L341" s="2959">
        <v>13</v>
      </c>
      <c r="M341" s="377">
        <v>15</v>
      </c>
      <c r="N341" s="2959">
        <v>120</v>
      </c>
      <c r="O341" s="2959">
        <v>180</v>
      </c>
      <c r="P341" s="2959">
        <v>240</v>
      </c>
      <c r="Q341" s="377">
        <v>300</v>
      </c>
      <c r="R341" s="2959">
        <v>15</v>
      </c>
      <c r="S341" s="2959">
        <v>20</v>
      </c>
      <c r="T341" s="2959">
        <v>25</v>
      </c>
      <c r="U341" s="377">
        <v>30</v>
      </c>
      <c r="V341" s="2954" t="s">
        <v>4567</v>
      </c>
      <c r="W341" s="2954" t="s">
        <v>4568</v>
      </c>
      <c r="X341" s="2954" t="s">
        <v>4569</v>
      </c>
      <c r="Y341" s="2954" t="s">
        <v>4570</v>
      </c>
      <c r="Z341" s="2954" t="s">
        <v>4571</v>
      </c>
      <c r="AA341" s="375"/>
    </row>
    <row r="342" spans="1:27" ht="12.75" customHeight="1" x14ac:dyDescent="0.2">
      <c r="A342" s="6360"/>
      <c r="B342" s="251" t="str">
        <f t="shared" si="5"/>
        <v>Ilusión56</v>
      </c>
      <c r="D342" s="272" t="s">
        <v>325</v>
      </c>
      <c r="E342" s="2959" t="s">
        <v>1711</v>
      </c>
      <c r="F342" s="2959">
        <v>56</v>
      </c>
      <c r="G342" s="2962" t="s">
        <v>2088</v>
      </c>
      <c r="H342" s="2962" t="s">
        <v>4020</v>
      </c>
      <c r="I342" s="380" t="s">
        <v>1304</v>
      </c>
      <c r="J342" s="2959">
        <v>8</v>
      </c>
      <c r="K342" s="2959">
        <v>11</v>
      </c>
      <c r="L342" s="2959">
        <v>14</v>
      </c>
      <c r="M342" s="377">
        <v>16</v>
      </c>
      <c r="N342" s="2959">
        <v>100</v>
      </c>
      <c r="O342" s="2959">
        <v>120</v>
      </c>
      <c r="P342" s="2959">
        <v>140</v>
      </c>
      <c r="Q342" s="377">
        <v>160</v>
      </c>
      <c r="R342" s="2959">
        <v>10</v>
      </c>
      <c r="S342" s="2959">
        <v>15</v>
      </c>
      <c r="T342" s="2959">
        <v>15</v>
      </c>
      <c r="U342" s="377">
        <v>20</v>
      </c>
      <c r="V342" s="2954" t="s">
        <v>3628</v>
      </c>
      <c r="W342" s="2954" t="s">
        <v>3590</v>
      </c>
      <c r="X342" s="2954" t="s">
        <v>3591</v>
      </c>
      <c r="Y342" s="2954" t="s">
        <v>3487</v>
      </c>
      <c r="Z342" s="2954" t="s">
        <v>7054</v>
      </c>
      <c r="AA342" s="375"/>
    </row>
    <row r="343" spans="1:27" ht="12.75" customHeight="1" x14ac:dyDescent="0.2">
      <c r="A343" s="6360"/>
      <c r="B343" s="251" t="str">
        <f t="shared" si="5"/>
        <v>Ilusión60</v>
      </c>
      <c r="D343" s="272" t="s">
        <v>326</v>
      </c>
      <c r="E343" s="2959" t="s">
        <v>1711</v>
      </c>
      <c r="F343" s="2959">
        <v>60</v>
      </c>
      <c r="G343" s="2962" t="s">
        <v>1381</v>
      </c>
      <c r="H343" s="2962" t="s">
        <v>1234</v>
      </c>
      <c r="I343" s="380" t="s">
        <v>1304</v>
      </c>
      <c r="J343" s="2959">
        <v>7</v>
      </c>
      <c r="K343" s="2959">
        <v>10</v>
      </c>
      <c r="L343" s="2959">
        <v>12</v>
      </c>
      <c r="M343" s="377">
        <v>15</v>
      </c>
      <c r="N343" s="2959">
        <v>80</v>
      </c>
      <c r="O343" s="2959">
        <v>180</v>
      </c>
      <c r="P343" s="2959">
        <v>300</v>
      </c>
      <c r="Q343" s="377">
        <v>500</v>
      </c>
      <c r="R343" s="2959" t="s">
        <v>1381</v>
      </c>
      <c r="S343" s="2959" t="s">
        <v>1381</v>
      </c>
      <c r="T343" s="2959" t="s">
        <v>1381</v>
      </c>
      <c r="U343" s="377" t="s">
        <v>1381</v>
      </c>
      <c r="V343" s="2954" t="s">
        <v>4572</v>
      </c>
      <c r="W343" s="2954" t="s">
        <v>4573</v>
      </c>
      <c r="X343" s="2954" t="s">
        <v>4574</v>
      </c>
      <c r="Y343" s="2954" t="s">
        <v>4575</v>
      </c>
      <c r="Z343" s="2954" t="s">
        <v>4576</v>
      </c>
      <c r="AA343" s="375"/>
    </row>
    <row r="344" spans="1:27" ht="12.75" customHeight="1" x14ac:dyDescent="0.2">
      <c r="A344" s="6360"/>
      <c r="B344" s="251" t="str">
        <f t="shared" si="5"/>
        <v>Ilusión62</v>
      </c>
      <c r="D344" s="272" t="s">
        <v>327</v>
      </c>
      <c r="E344" s="2959" t="s">
        <v>1711</v>
      </c>
      <c r="F344" s="2959">
        <v>62</v>
      </c>
      <c r="G344" s="2962" t="s">
        <v>1381</v>
      </c>
      <c r="H344" s="2962" t="s">
        <v>3210</v>
      </c>
      <c r="I344" s="380" t="s">
        <v>1304</v>
      </c>
      <c r="J344" s="2959">
        <v>8</v>
      </c>
      <c r="K344" s="2959">
        <v>11</v>
      </c>
      <c r="L344" s="2959">
        <v>13</v>
      </c>
      <c r="M344" s="377">
        <v>16</v>
      </c>
      <c r="N344" s="2959">
        <v>100</v>
      </c>
      <c r="O344" s="2959">
        <v>120</v>
      </c>
      <c r="P344" s="2959">
        <v>150</v>
      </c>
      <c r="Q344" s="377">
        <v>200</v>
      </c>
      <c r="R344" s="2959">
        <v>10</v>
      </c>
      <c r="S344" s="2959">
        <v>15</v>
      </c>
      <c r="T344" s="2959">
        <v>15</v>
      </c>
      <c r="U344" s="377">
        <v>20</v>
      </c>
      <c r="V344" s="2954" t="s">
        <v>4547</v>
      </c>
      <c r="W344" s="2954" t="s">
        <v>4548</v>
      </c>
      <c r="X344" s="2954" t="s">
        <v>4549</v>
      </c>
      <c r="Y344" s="2954" t="s">
        <v>4550</v>
      </c>
      <c r="Z344" s="2954" t="s">
        <v>7055</v>
      </c>
      <c r="AA344" s="375"/>
    </row>
    <row r="345" spans="1:27" ht="12.75" customHeight="1" x14ac:dyDescent="0.2">
      <c r="A345" s="6360"/>
      <c r="B345" s="251" t="str">
        <f t="shared" si="5"/>
        <v>Ilusión66</v>
      </c>
      <c r="D345" s="272" t="s">
        <v>328</v>
      </c>
      <c r="E345" s="2959" t="s">
        <v>1711</v>
      </c>
      <c r="F345" s="2959">
        <v>66</v>
      </c>
      <c r="G345" s="2962" t="s">
        <v>1381</v>
      </c>
      <c r="H345" s="2962" t="s">
        <v>4020</v>
      </c>
      <c r="I345" s="380" t="s">
        <v>1304</v>
      </c>
      <c r="J345" s="2959">
        <v>7</v>
      </c>
      <c r="K345" s="2959">
        <v>10</v>
      </c>
      <c r="L345" s="2959">
        <v>12</v>
      </c>
      <c r="M345" s="377">
        <v>14</v>
      </c>
      <c r="N345" s="2959">
        <v>60</v>
      </c>
      <c r="O345" s="2959">
        <v>100</v>
      </c>
      <c r="P345" s="2959">
        <v>140</v>
      </c>
      <c r="Q345" s="377">
        <v>200</v>
      </c>
      <c r="R345" s="2959">
        <v>10</v>
      </c>
      <c r="S345" s="2959">
        <v>10</v>
      </c>
      <c r="T345" s="2959">
        <v>15</v>
      </c>
      <c r="U345" s="377">
        <v>15</v>
      </c>
      <c r="V345" s="2954" t="s">
        <v>3591</v>
      </c>
      <c r="W345" s="2954" t="s">
        <v>3487</v>
      </c>
      <c r="X345" s="2954" t="s">
        <v>3322</v>
      </c>
      <c r="Y345" s="2954" t="s">
        <v>3488</v>
      </c>
      <c r="Z345" s="2954" t="s">
        <v>4577</v>
      </c>
      <c r="AA345" s="375"/>
    </row>
    <row r="346" spans="1:27" ht="12.75" customHeight="1" x14ac:dyDescent="0.2">
      <c r="A346" s="6360"/>
      <c r="B346" s="251" t="str">
        <f t="shared" si="5"/>
        <v>Ilusión70</v>
      </c>
      <c r="D346" s="272" t="s">
        <v>329</v>
      </c>
      <c r="E346" s="2959" t="s">
        <v>1711</v>
      </c>
      <c r="F346" s="2959">
        <v>70</v>
      </c>
      <c r="G346" s="2962" t="s">
        <v>1381</v>
      </c>
      <c r="H346" s="2962" t="s">
        <v>1232</v>
      </c>
      <c r="I346" s="380" t="s">
        <v>1304</v>
      </c>
      <c r="J346" s="2959">
        <v>6</v>
      </c>
      <c r="K346" s="2959">
        <v>9</v>
      </c>
      <c r="L346" s="2959">
        <v>12</v>
      </c>
      <c r="M346" s="377">
        <v>15</v>
      </c>
      <c r="N346" s="2959">
        <v>80</v>
      </c>
      <c r="O346" s="2959">
        <v>140</v>
      </c>
      <c r="P346" s="2959">
        <v>220</v>
      </c>
      <c r="Q346" s="377">
        <v>300</v>
      </c>
      <c r="R346" s="2959" t="s">
        <v>1381</v>
      </c>
      <c r="S346" s="2959" t="s">
        <v>1381</v>
      </c>
      <c r="T346" s="2959" t="s">
        <v>1381</v>
      </c>
      <c r="U346" s="377" t="s">
        <v>1381</v>
      </c>
      <c r="V346" s="2954" t="s">
        <v>4578</v>
      </c>
      <c r="W346" s="2954" t="s">
        <v>4579</v>
      </c>
      <c r="X346" s="2954" t="s">
        <v>4580</v>
      </c>
      <c r="Y346" s="2954" t="s">
        <v>4581</v>
      </c>
      <c r="Z346" s="2954" t="s">
        <v>4582</v>
      </c>
      <c r="AA346" s="375"/>
    </row>
    <row r="347" spans="1:27" ht="12.75" customHeight="1" x14ac:dyDescent="0.2">
      <c r="A347" s="6360"/>
      <c r="B347" s="251" t="str">
        <f t="shared" si="5"/>
        <v>Ilusión72</v>
      </c>
      <c r="D347" s="272" t="s">
        <v>330</v>
      </c>
      <c r="E347" s="2959" t="s">
        <v>1711</v>
      </c>
      <c r="F347" s="2959">
        <v>72</v>
      </c>
      <c r="G347" s="2962" t="s">
        <v>2088</v>
      </c>
      <c r="H347" s="2962" t="s">
        <v>4020</v>
      </c>
      <c r="I347" s="380" t="s">
        <v>1304</v>
      </c>
      <c r="J347" s="2959">
        <v>8</v>
      </c>
      <c r="K347" s="2959">
        <v>10</v>
      </c>
      <c r="L347" s="2959">
        <v>13</v>
      </c>
      <c r="M347" s="377">
        <v>16</v>
      </c>
      <c r="N347" s="2959">
        <v>120</v>
      </c>
      <c r="O347" s="2959">
        <v>180</v>
      </c>
      <c r="P347" s="2959">
        <v>240</v>
      </c>
      <c r="Q347" s="377">
        <v>320</v>
      </c>
      <c r="R347" s="2959">
        <v>15</v>
      </c>
      <c r="S347" s="2959">
        <v>20</v>
      </c>
      <c r="T347" s="2959">
        <v>25</v>
      </c>
      <c r="U347" s="377">
        <v>35</v>
      </c>
      <c r="V347" s="2954" t="s">
        <v>4583</v>
      </c>
      <c r="W347" s="2954" t="s">
        <v>3605</v>
      </c>
      <c r="X347" s="2954" t="s">
        <v>4584</v>
      </c>
      <c r="Y347" s="2954" t="s">
        <v>3606</v>
      </c>
      <c r="Z347" s="2954" t="s">
        <v>7056</v>
      </c>
      <c r="AA347" s="375"/>
    </row>
    <row r="348" spans="1:27" ht="12.75" customHeight="1" x14ac:dyDescent="0.2">
      <c r="A348" s="6360"/>
      <c r="B348" s="251" t="str">
        <f t="shared" si="5"/>
        <v>Ilusión76</v>
      </c>
      <c r="D348" s="272" t="s">
        <v>331</v>
      </c>
      <c r="E348" s="2959" t="s">
        <v>1711</v>
      </c>
      <c r="F348" s="2959">
        <v>76</v>
      </c>
      <c r="G348" s="2962" t="s">
        <v>2088</v>
      </c>
      <c r="H348" s="2962" t="s">
        <v>4020</v>
      </c>
      <c r="I348" s="380" t="s">
        <v>1304</v>
      </c>
      <c r="J348" s="2959">
        <v>8</v>
      </c>
      <c r="K348" s="2959">
        <v>10</v>
      </c>
      <c r="L348" s="2959">
        <v>13</v>
      </c>
      <c r="M348" s="377">
        <v>16</v>
      </c>
      <c r="N348" s="2959">
        <v>140</v>
      </c>
      <c r="O348" s="2959">
        <v>200</v>
      </c>
      <c r="P348" s="2959">
        <v>260</v>
      </c>
      <c r="Q348" s="377">
        <v>320</v>
      </c>
      <c r="R348" s="2959">
        <v>15</v>
      </c>
      <c r="S348" s="2959">
        <v>20</v>
      </c>
      <c r="T348" s="2959">
        <v>30</v>
      </c>
      <c r="U348" s="377">
        <v>35</v>
      </c>
      <c r="V348" s="2954" t="s">
        <v>4583</v>
      </c>
      <c r="W348" s="2954" t="s">
        <v>3605</v>
      </c>
      <c r="X348" s="2954" t="s">
        <v>4584</v>
      </c>
      <c r="Y348" s="2954" t="s">
        <v>3606</v>
      </c>
      <c r="Z348" s="2954" t="s">
        <v>7057</v>
      </c>
      <c r="AA348" s="375"/>
    </row>
    <row r="349" spans="1:27" ht="12.75" customHeight="1" x14ac:dyDescent="0.2">
      <c r="A349" s="6360"/>
      <c r="B349" s="251" t="str">
        <f t="shared" si="5"/>
        <v>Ilusión80</v>
      </c>
      <c r="D349" s="272" t="s">
        <v>332</v>
      </c>
      <c r="E349" s="2959" t="s">
        <v>1711</v>
      </c>
      <c r="F349" s="2959">
        <v>80</v>
      </c>
      <c r="G349" s="2962" t="s">
        <v>2088</v>
      </c>
      <c r="H349" s="2962" t="s">
        <v>3210</v>
      </c>
      <c r="I349" s="380" t="s">
        <v>1304</v>
      </c>
      <c r="J349" s="2959">
        <v>9</v>
      </c>
      <c r="K349" s="2959">
        <v>12</v>
      </c>
      <c r="L349" s="2959">
        <v>15</v>
      </c>
      <c r="M349" s="377">
        <v>18</v>
      </c>
      <c r="N349" s="2959">
        <v>250</v>
      </c>
      <c r="O349" s="2959">
        <v>350</v>
      </c>
      <c r="P349" s="2959">
        <v>500</v>
      </c>
      <c r="Q349" s="377">
        <v>700</v>
      </c>
      <c r="R349" s="2959">
        <v>25</v>
      </c>
      <c r="S349" s="2959">
        <v>35</v>
      </c>
      <c r="T349" s="2959">
        <v>50</v>
      </c>
      <c r="U349" s="377">
        <v>70</v>
      </c>
      <c r="V349" s="2954" t="s">
        <v>4585</v>
      </c>
      <c r="W349" s="2954" t="s">
        <v>4586</v>
      </c>
      <c r="X349" s="2954" t="s">
        <v>4587</v>
      </c>
      <c r="Y349" s="2954" t="s">
        <v>4588</v>
      </c>
      <c r="Z349" s="2954" t="s">
        <v>4589</v>
      </c>
      <c r="AA349" s="375"/>
    </row>
    <row r="350" spans="1:27" ht="12.75" customHeight="1" x14ac:dyDescent="0.2">
      <c r="A350" s="6360"/>
      <c r="B350" s="251" t="str">
        <f t="shared" si="5"/>
        <v>Ilusión82</v>
      </c>
      <c r="D350" s="272" t="s">
        <v>333</v>
      </c>
      <c r="E350" s="2959" t="s">
        <v>1711</v>
      </c>
      <c r="F350" s="2959">
        <v>82</v>
      </c>
      <c r="G350" s="2962" t="s">
        <v>1381</v>
      </c>
      <c r="H350" s="2962" t="s">
        <v>1234</v>
      </c>
      <c r="I350" s="380" t="s">
        <v>1304</v>
      </c>
      <c r="J350" s="2959">
        <v>9</v>
      </c>
      <c r="K350" s="2959">
        <v>12</v>
      </c>
      <c r="L350" s="2959">
        <v>15</v>
      </c>
      <c r="M350" s="377">
        <v>18</v>
      </c>
      <c r="N350" s="2959">
        <v>250</v>
      </c>
      <c r="O350" s="2959">
        <v>360</v>
      </c>
      <c r="P350" s="2959">
        <v>450</v>
      </c>
      <c r="Q350" s="377">
        <v>600</v>
      </c>
      <c r="R350" s="2959" t="s">
        <v>1381</v>
      </c>
      <c r="S350" s="2959" t="s">
        <v>1381</v>
      </c>
      <c r="T350" s="2959" t="s">
        <v>1381</v>
      </c>
      <c r="U350" s="377" t="s">
        <v>1381</v>
      </c>
      <c r="V350" s="2954" t="s">
        <v>4590</v>
      </c>
      <c r="W350" s="2954" t="s">
        <v>4591</v>
      </c>
      <c r="X350" s="2954" t="s">
        <v>4592</v>
      </c>
      <c r="Y350" s="2954" t="s">
        <v>4593</v>
      </c>
      <c r="Z350" s="2954" t="s">
        <v>4594</v>
      </c>
      <c r="AA350" s="375"/>
    </row>
    <row r="351" spans="1:27" ht="12.75" customHeight="1" x14ac:dyDescent="0.2">
      <c r="A351" s="6360"/>
      <c r="B351" s="251" t="str">
        <f t="shared" si="5"/>
        <v>Ilusión86</v>
      </c>
      <c r="D351" s="272" t="s">
        <v>334</v>
      </c>
      <c r="E351" s="2959" t="s">
        <v>1711</v>
      </c>
      <c r="F351" s="2959">
        <v>86</v>
      </c>
      <c r="G351" s="2962" t="s">
        <v>1381</v>
      </c>
      <c r="H351" s="2962" t="s">
        <v>4020</v>
      </c>
      <c r="I351" s="380" t="s">
        <v>1304</v>
      </c>
      <c r="J351" s="2959">
        <v>10</v>
      </c>
      <c r="K351" s="2959">
        <v>12</v>
      </c>
      <c r="L351" s="2959">
        <v>14</v>
      </c>
      <c r="M351" s="377">
        <v>16</v>
      </c>
      <c r="N351" s="2959">
        <v>200</v>
      </c>
      <c r="O351" s="2959">
        <v>250</v>
      </c>
      <c r="P351" s="2959">
        <v>300</v>
      </c>
      <c r="Q351" s="377">
        <v>350</v>
      </c>
      <c r="R351" s="2959">
        <v>20</v>
      </c>
      <c r="S351" s="2959">
        <v>25</v>
      </c>
      <c r="T351" s="2959">
        <v>30</v>
      </c>
      <c r="U351" s="377">
        <v>35</v>
      </c>
      <c r="V351" s="2954" t="s">
        <v>4557</v>
      </c>
      <c r="W351" s="2954" t="s">
        <v>4595</v>
      </c>
      <c r="X351" s="2954" t="s">
        <v>4596</v>
      </c>
      <c r="Y351" s="2954" t="s">
        <v>4597</v>
      </c>
      <c r="Z351" s="2954" t="s">
        <v>4598</v>
      </c>
      <c r="AA351" s="375"/>
    </row>
    <row r="352" spans="1:27" ht="12.75" customHeight="1" x14ac:dyDescent="0.2">
      <c r="A352" s="6360"/>
      <c r="B352" s="251" t="str">
        <f t="shared" si="5"/>
        <v>Ilusión90</v>
      </c>
      <c r="D352" s="272" t="s">
        <v>335</v>
      </c>
      <c r="E352" s="2959" t="s">
        <v>1711</v>
      </c>
      <c r="F352" s="2959">
        <v>90</v>
      </c>
      <c r="G352" s="2962" t="s">
        <v>2088</v>
      </c>
      <c r="H352" s="2962" t="s">
        <v>3210</v>
      </c>
      <c r="I352" s="380" t="s">
        <v>1304</v>
      </c>
      <c r="J352" s="2959">
        <v>11</v>
      </c>
      <c r="K352" s="2959">
        <v>13</v>
      </c>
      <c r="L352" s="2959">
        <v>15</v>
      </c>
      <c r="M352" s="377">
        <v>17</v>
      </c>
      <c r="N352" s="2959">
        <v>250</v>
      </c>
      <c r="O352" s="2959">
        <v>300</v>
      </c>
      <c r="P352" s="2959">
        <v>400</v>
      </c>
      <c r="Q352" s="377">
        <v>500</v>
      </c>
      <c r="R352" s="2959">
        <v>25</v>
      </c>
      <c r="S352" s="2959">
        <v>30</v>
      </c>
      <c r="T352" s="2959">
        <v>40</v>
      </c>
      <c r="U352" s="377">
        <v>50</v>
      </c>
      <c r="V352" s="2954" t="s">
        <v>3590</v>
      </c>
      <c r="W352" s="2954" t="s">
        <v>3591</v>
      </c>
      <c r="X352" s="2954" t="s">
        <v>3487</v>
      </c>
      <c r="Y352" s="2954" t="s">
        <v>3322</v>
      </c>
      <c r="Z352" s="2954" t="s">
        <v>4599</v>
      </c>
      <c r="AA352" s="375"/>
    </row>
    <row r="353" spans="1:27" ht="12.75" customHeight="1" x14ac:dyDescent="0.2">
      <c r="A353" s="6360"/>
      <c r="B353" s="251" t="str">
        <f t="shared" si="5"/>
        <v>Ilusión92</v>
      </c>
      <c r="D353" s="272" t="s">
        <v>336</v>
      </c>
      <c r="E353" s="2959" t="s">
        <v>1711</v>
      </c>
      <c r="F353" s="2959">
        <v>92</v>
      </c>
      <c r="G353" s="2962" t="s">
        <v>2088</v>
      </c>
      <c r="H353" s="2962" t="s">
        <v>1234</v>
      </c>
      <c r="I353" s="380" t="s">
        <v>1304</v>
      </c>
      <c r="J353" s="2959">
        <v>13</v>
      </c>
      <c r="K353" s="2959">
        <v>15</v>
      </c>
      <c r="L353" s="2959">
        <v>17</v>
      </c>
      <c r="M353" s="377">
        <v>19</v>
      </c>
      <c r="N353" s="2959">
        <v>500</v>
      </c>
      <c r="O353" s="2959">
        <v>800</v>
      </c>
      <c r="P353" s="2959">
        <v>1200</v>
      </c>
      <c r="Q353" s="377">
        <v>1500</v>
      </c>
      <c r="R353" s="2959">
        <v>100</v>
      </c>
      <c r="S353" s="2959">
        <v>160</v>
      </c>
      <c r="T353" s="2959">
        <v>240</v>
      </c>
      <c r="U353" s="377">
        <v>300</v>
      </c>
      <c r="V353" s="2954" t="s">
        <v>4600</v>
      </c>
      <c r="W353" s="2954" t="s">
        <v>3358</v>
      </c>
      <c r="X353" s="2954" t="s">
        <v>4601</v>
      </c>
      <c r="Y353" s="2954" t="s">
        <v>4602</v>
      </c>
      <c r="Z353" s="2954" t="s">
        <v>4603</v>
      </c>
      <c r="AA353" s="375"/>
    </row>
    <row r="354" spans="1:27" ht="12.75" customHeight="1" x14ac:dyDescent="0.2">
      <c r="A354" s="6360"/>
      <c r="B354" s="251" t="str">
        <f t="shared" si="5"/>
        <v>Ilusión96</v>
      </c>
      <c r="D354" s="272" t="s">
        <v>337</v>
      </c>
      <c r="E354" s="2959" t="s">
        <v>1711</v>
      </c>
      <c r="F354" s="2959">
        <v>96</v>
      </c>
      <c r="G354" s="2962" t="s">
        <v>1381</v>
      </c>
      <c r="H354" s="2962" t="s">
        <v>3210</v>
      </c>
      <c r="I354" s="380" t="s">
        <v>1304</v>
      </c>
      <c r="J354" s="2959">
        <v>13</v>
      </c>
      <c r="K354" s="2959">
        <v>15</v>
      </c>
      <c r="L354" s="2959">
        <v>17</v>
      </c>
      <c r="M354" s="377">
        <v>19</v>
      </c>
      <c r="N354" s="2959">
        <v>500</v>
      </c>
      <c r="O354" s="2959">
        <v>900</v>
      </c>
      <c r="P354" s="2959">
        <v>1400</v>
      </c>
      <c r="Q354" s="377">
        <v>2000</v>
      </c>
      <c r="R354" s="2959">
        <v>50</v>
      </c>
      <c r="S354" s="2959">
        <v>90</v>
      </c>
      <c r="T354" s="2959">
        <v>140</v>
      </c>
      <c r="U354" s="377">
        <v>200</v>
      </c>
      <c r="V354" s="2954" t="s">
        <v>4604</v>
      </c>
      <c r="W354" s="2954" t="s">
        <v>4605</v>
      </c>
      <c r="X354" s="2954" t="s">
        <v>4606</v>
      </c>
      <c r="Y354" s="2954" t="s">
        <v>4607</v>
      </c>
      <c r="Z354" s="2954" t="s">
        <v>7058</v>
      </c>
      <c r="AA354" s="375"/>
    </row>
    <row r="355" spans="1:27" ht="12.75" customHeight="1" x14ac:dyDescent="0.2">
      <c r="A355" s="6360"/>
      <c r="B355" s="251" t="str">
        <f t="shared" si="5"/>
        <v>Ilusión100</v>
      </c>
      <c r="D355" s="272" t="s">
        <v>338</v>
      </c>
      <c r="E355" s="2959" t="s">
        <v>1711</v>
      </c>
      <c r="F355" s="2959">
        <v>100</v>
      </c>
      <c r="G355" s="2962" t="s">
        <v>1381</v>
      </c>
      <c r="H355" s="2962" t="s">
        <v>3210</v>
      </c>
      <c r="I355" s="380" t="s">
        <v>1304</v>
      </c>
      <c r="J355" s="2959">
        <v>14</v>
      </c>
      <c r="K355" s="2959">
        <v>16</v>
      </c>
      <c r="L355" s="2959">
        <v>18</v>
      </c>
      <c r="M355" s="377">
        <v>19</v>
      </c>
      <c r="N355" s="2959">
        <v>600</v>
      </c>
      <c r="O355" s="2959">
        <v>1000</v>
      </c>
      <c r="P355" s="2959">
        <v>2000</v>
      </c>
      <c r="Q355" s="377">
        <v>3000</v>
      </c>
      <c r="R355" s="2959" t="s">
        <v>1381</v>
      </c>
      <c r="S355" s="2959" t="s">
        <v>1381</v>
      </c>
      <c r="T355" s="2959" t="s">
        <v>1381</v>
      </c>
      <c r="U355" s="377" t="s">
        <v>1381</v>
      </c>
      <c r="V355" s="2954" t="s">
        <v>3591</v>
      </c>
      <c r="W355" s="2954" t="s">
        <v>4608</v>
      </c>
      <c r="X355" s="2954" t="s">
        <v>3776</v>
      </c>
      <c r="Y355" s="2954" t="s">
        <v>3489</v>
      </c>
      <c r="Z355" s="2954" t="s">
        <v>4609</v>
      </c>
      <c r="AA355" s="375"/>
    </row>
    <row r="356" spans="1:27" ht="12.75" customHeight="1" x14ac:dyDescent="0.2">
      <c r="A356" s="6360"/>
      <c r="B356" s="251" t="str">
        <f t="shared" si="5"/>
        <v/>
      </c>
      <c r="D356" s="272" t="s">
        <v>339</v>
      </c>
      <c r="E356" s="2959"/>
      <c r="F356" s="2959"/>
      <c r="G356" s="2962"/>
      <c r="H356" s="2962"/>
      <c r="I356" s="380"/>
      <c r="J356" s="2959"/>
      <c r="K356" s="2959"/>
      <c r="L356" s="2959"/>
      <c r="M356" s="377"/>
      <c r="N356" s="2959"/>
      <c r="O356" s="2959"/>
      <c r="P356" s="2959"/>
      <c r="Q356" s="377"/>
      <c r="R356" s="2959"/>
      <c r="S356" s="2959"/>
      <c r="T356" s="2959"/>
      <c r="U356" s="377"/>
      <c r="V356" s="2954"/>
      <c r="W356" s="2954"/>
      <c r="X356" s="2954"/>
      <c r="Y356" s="2954"/>
      <c r="Z356" s="2954"/>
      <c r="AA356" s="375"/>
    </row>
    <row r="357" spans="1:27" ht="12.75" customHeight="1" x14ac:dyDescent="0.2">
      <c r="A357" s="6360"/>
      <c r="B357" s="251" t="str">
        <f t="shared" si="5"/>
        <v>Nigromancia2</v>
      </c>
      <c r="D357" s="272" t="s">
        <v>340</v>
      </c>
      <c r="E357" s="2959" t="s">
        <v>1713</v>
      </c>
      <c r="F357" s="2959">
        <v>2</v>
      </c>
      <c r="G357" s="2962" t="s">
        <v>1381</v>
      </c>
      <c r="H357" s="2962" t="s">
        <v>1236</v>
      </c>
      <c r="I357" s="380" t="s">
        <v>1304</v>
      </c>
      <c r="J357" s="2959">
        <v>6</v>
      </c>
      <c r="K357" s="2959">
        <v>8</v>
      </c>
      <c r="L357" s="2959">
        <v>10</v>
      </c>
      <c r="M357" s="377">
        <v>12</v>
      </c>
      <c r="N357" s="2959">
        <v>30</v>
      </c>
      <c r="O357" s="2959">
        <v>60</v>
      </c>
      <c r="P357" s="2959">
        <v>90</v>
      </c>
      <c r="Q357" s="377">
        <v>120</v>
      </c>
      <c r="R357" s="2959">
        <v>5</v>
      </c>
      <c r="S357" s="2959">
        <v>10</v>
      </c>
      <c r="T357" s="2959">
        <v>10</v>
      </c>
      <c r="U357" s="377">
        <v>15</v>
      </c>
      <c r="V357" s="2954" t="s">
        <v>4610</v>
      </c>
      <c r="W357" s="2954" t="s">
        <v>4611</v>
      </c>
      <c r="X357" s="2954" t="s">
        <v>4612</v>
      </c>
      <c r="Y357" s="2954" t="s">
        <v>4613</v>
      </c>
      <c r="Z357" s="2954" t="s">
        <v>4614</v>
      </c>
      <c r="AA357" s="375"/>
    </row>
    <row r="358" spans="1:27" ht="12.75" customHeight="1" x14ac:dyDescent="0.2">
      <c r="A358" s="6360"/>
      <c r="B358" s="251" t="str">
        <f t="shared" si="5"/>
        <v>Nigromancia6</v>
      </c>
      <c r="D358" s="272" t="s">
        <v>341</v>
      </c>
      <c r="E358" s="2959" t="s">
        <v>1713</v>
      </c>
      <c r="F358" s="2959">
        <v>6</v>
      </c>
      <c r="G358" s="2962" t="s">
        <v>1381</v>
      </c>
      <c r="H358" s="2962" t="s">
        <v>1234</v>
      </c>
      <c r="I358" s="380" t="s">
        <v>1304</v>
      </c>
      <c r="J358" s="2959">
        <v>6</v>
      </c>
      <c r="K358" s="2959">
        <v>8</v>
      </c>
      <c r="L358" s="2959">
        <v>10</v>
      </c>
      <c r="M358" s="377">
        <v>12</v>
      </c>
      <c r="N358" s="2959">
        <v>30</v>
      </c>
      <c r="O358" s="2959">
        <v>60</v>
      </c>
      <c r="P358" s="2959">
        <v>90</v>
      </c>
      <c r="Q358" s="377">
        <v>120</v>
      </c>
      <c r="R358" s="2959">
        <v>5</v>
      </c>
      <c r="S358" s="2959">
        <v>10</v>
      </c>
      <c r="T358" s="2959">
        <v>10</v>
      </c>
      <c r="U358" s="377">
        <v>15</v>
      </c>
      <c r="V358" s="2954" t="s">
        <v>4615</v>
      </c>
      <c r="W358" s="2954" t="s">
        <v>4616</v>
      </c>
      <c r="X358" s="2954" t="s">
        <v>4617</v>
      </c>
      <c r="Y358" s="2954" t="s">
        <v>4618</v>
      </c>
      <c r="Z358" s="2954" t="s">
        <v>4619</v>
      </c>
      <c r="AA358" s="375"/>
    </row>
    <row r="359" spans="1:27" ht="12.75" customHeight="1" x14ac:dyDescent="0.2">
      <c r="A359" s="6360"/>
      <c r="B359" s="251" t="str">
        <f t="shared" si="5"/>
        <v>Nigromancia8</v>
      </c>
      <c r="D359" s="272" t="s">
        <v>342</v>
      </c>
      <c r="E359" s="2959" t="s">
        <v>1713</v>
      </c>
      <c r="F359" s="2959">
        <v>8</v>
      </c>
      <c r="G359" s="2962" t="s">
        <v>1381</v>
      </c>
      <c r="H359" s="2962" t="s">
        <v>1234</v>
      </c>
      <c r="I359" s="380" t="s">
        <v>1304</v>
      </c>
      <c r="J359" s="2959">
        <v>6</v>
      </c>
      <c r="K359" s="2959">
        <v>8</v>
      </c>
      <c r="L359" s="2959">
        <v>11</v>
      </c>
      <c r="M359" s="377">
        <v>13</v>
      </c>
      <c r="N359" s="2959">
        <v>40</v>
      </c>
      <c r="O359" s="2959">
        <v>120</v>
      </c>
      <c r="P359" s="2959">
        <v>200</v>
      </c>
      <c r="Q359" s="377">
        <v>300</v>
      </c>
      <c r="R359" s="2959">
        <v>5</v>
      </c>
      <c r="S359" s="2959">
        <v>10</v>
      </c>
      <c r="T359" s="2959">
        <v>10</v>
      </c>
      <c r="U359" s="377">
        <v>15</v>
      </c>
      <c r="V359" s="2954" t="s">
        <v>4266</v>
      </c>
      <c r="W359" s="2954" t="s">
        <v>4267</v>
      </c>
      <c r="X359" s="2954" t="s">
        <v>3397</v>
      </c>
      <c r="Y359" s="2954" t="s">
        <v>3953</v>
      </c>
      <c r="Z359" s="2954" t="s">
        <v>4620</v>
      </c>
      <c r="AA359" s="375"/>
    </row>
    <row r="360" spans="1:27" ht="12.75" customHeight="1" x14ac:dyDescent="0.2">
      <c r="A360" s="6360"/>
      <c r="B360" s="251" t="str">
        <f t="shared" si="5"/>
        <v>Nigromancia10</v>
      </c>
      <c r="D360" s="272" t="s">
        <v>343</v>
      </c>
      <c r="E360" s="2959" t="s">
        <v>1713</v>
      </c>
      <c r="F360" s="2959">
        <v>10</v>
      </c>
      <c r="G360" s="2962" t="s">
        <v>1381</v>
      </c>
      <c r="H360" s="2962" t="s">
        <v>1565</v>
      </c>
      <c r="I360" s="380" t="s">
        <v>1305</v>
      </c>
      <c r="J360" s="2959">
        <v>6</v>
      </c>
      <c r="K360" s="2959">
        <v>9</v>
      </c>
      <c r="L360" s="2959">
        <v>11</v>
      </c>
      <c r="M360" s="377">
        <v>13</v>
      </c>
      <c r="N360" s="2959">
        <v>40</v>
      </c>
      <c r="O360" s="2959">
        <v>60</v>
      </c>
      <c r="P360" s="2959">
        <v>80</v>
      </c>
      <c r="Q360" s="377">
        <v>100</v>
      </c>
      <c r="R360" s="2959">
        <v>5</v>
      </c>
      <c r="S360" s="2959">
        <v>5</v>
      </c>
      <c r="T360" s="2959">
        <v>10</v>
      </c>
      <c r="U360" s="377">
        <v>15</v>
      </c>
      <c r="V360" s="2954" t="s">
        <v>4621</v>
      </c>
      <c r="W360" s="2954" t="s">
        <v>4622</v>
      </c>
      <c r="X360" s="2954" t="s">
        <v>4623</v>
      </c>
      <c r="Y360" s="2954" t="s">
        <v>4624</v>
      </c>
      <c r="Z360" s="2954" t="s">
        <v>4625</v>
      </c>
      <c r="AA360" s="375"/>
    </row>
    <row r="361" spans="1:27" ht="12.75" customHeight="1" x14ac:dyDescent="0.2">
      <c r="A361" s="6360"/>
      <c r="B361" s="251" t="str">
        <f t="shared" si="5"/>
        <v>Nigromancia12</v>
      </c>
      <c r="D361" s="272" t="s">
        <v>344</v>
      </c>
      <c r="E361" s="2959" t="s">
        <v>1713</v>
      </c>
      <c r="F361" s="2959">
        <v>12</v>
      </c>
      <c r="G361" s="2962" t="s">
        <v>1381</v>
      </c>
      <c r="H361" s="2962" t="s">
        <v>1233</v>
      </c>
      <c r="I361" s="2765" t="s">
        <v>1304</v>
      </c>
      <c r="J361" s="2959">
        <v>6</v>
      </c>
      <c r="K361" s="2959">
        <v>9</v>
      </c>
      <c r="L361" s="2959">
        <v>12</v>
      </c>
      <c r="M361" s="377">
        <v>14</v>
      </c>
      <c r="N361" s="2959">
        <v>50</v>
      </c>
      <c r="O361" s="2959">
        <v>140</v>
      </c>
      <c r="P361" s="2959">
        <v>230</v>
      </c>
      <c r="Q361" s="377">
        <v>320</v>
      </c>
      <c r="R361" s="2959"/>
      <c r="S361" s="2959"/>
      <c r="T361" s="2959"/>
      <c r="U361" s="377"/>
      <c r="V361" s="2954" t="s">
        <v>3628</v>
      </c>
      <c r="W361" s="2954" t="s">
        <v>3591</v>
      </c>
      <c r="X361" s="2954" t="s">
        <v>3322</v>
      </c>
      <c r="Y361" s="2954" t="s">
        <v>3489</v>
      </c>
      <c r="Z361" s="2954" t="s">
        <v>4626</v>
      </c>
      <c r="AA361" s="375"/>
    </row>
    <row r="362" spans="1:27" ht="12.75" customHeight="1" x14ac:dyDescent="0.2">
      <c r="A362" s="6360"/>
      <c r="B362" s="251" t="str">
        <f t="shared" si="5"/>
        <v>Nigromancia16</v>
      </c>
      <c r="D362" s="272" t="s">
        <v>9930</v>
      </c>
      <c r="E362" s="2959" t="s">
        <v>1713</v>
      </c>
      <c r="F362" s="2959">
        <v>16</v>
      </c>
      <c r="G362" s="2962" t="s">
        <v>1381</v>
      </c>
      <c r="H362" s="2962" t="s">
        <v>1236</v>
      </c>
      <c r="I362" s="380" t="s">
        <v>1304</v>
      </c>
      <c r="J362" s="2959">
        <v>6</v>
      </c>
      <c r="K362" s="2959">
        <v>9</v>
      </c>
      <c r="L362" s="2959">
        <v>11</v>
      </c>
      <c r="M362" s="377">
        <v>13</v>
      </c>
      <c r="N362" s="2959">
        <v>50</v>
      </c>
      <c r="O362" s="2959">
        <v>80</v>
      </c>
      <c r="P362" s="2959">
        <v>100</v>
      </c>
      <c r="Q362" s="377">
        <v>120</v>
      </c>
      <c r="R362" s="2959">
        <v>5</v>
      </c>
      <c r="S362" s="2959">
        <v>10</v>
      </c>
      <c r="T362" s="2959">
        <v>10</v>
      </c>
      <c r="U362" s="377">
        <v>15</v>
      </c>
      <c r="V362" s="2954" t="s">
        <v>4467</v>
      </c>
      <c r="W362" s="2954" t="s">
        <v>3784</v>
      </c>
      <c r="X362" s="2954" t="s">
        <v>4404</v>
      </c>
      <c r="Y362" s="2954" t="s">
        <v>4627</v>
      </c>
      <c r="Z362" s="2954" t="s">
        <v>4628</v>
      </c>
      <c r="AA362" s="375"/>
    </row>
    <row r="363" spans="1:27" ht="12.75" customHeight="1" x14ac:dyDescent="0.2">
      <c r="A363" s="6360"/>
      <c r="B363" s="251" t="str">
        <f t="shared" si="5"/>
        <v>Nigromancia18</v>
      </c>
      <c r="D363" s="272" t="s">
        <v>345</v>
      </c>
      <c r="E363" s="2959" t="s">
        <v>1713</v>
      </c>
      <c r="F363" s="2959">
        <v>18</v>
      </c>
      <c r="G363" s="2962" t="s">
        <v>1381</v>
      </c>
      <c r="H363" s="2962" t="s">
        <v>4067</v>
      </c>
      <c r="I363" s="380" t="s">
        <v>1304</v>
      </c>
      <c r="J363" s="2959">
        <v>6</v>
      </c>
      <c r="K363" s="2959">
        <v>9</v>
      </c>
      <c r="L363" s="2959">
        <v>12</v>
      </c>
      <c r="M363" s="377">
        <v>15</v>
      </c>
      <c r="N363" s="2959">
        <v>60</v>
      </c>
      <c r="O363" s="2959">
        <v>90</v>
      </c>
      <c r="P363" s="2959">
        <v>120</v>
      </c>
      <c r="Q363" s="377">
        <v>150</v>
      </c>
      <c r="R363" s="2959">
        <v>5</v>
      </c>
      <c r="S363" s="2959">
        <v>5</v>
      </c>
      <c r="T363" s="2959">
        <v>5</v>
      </c>
      <c r="U363" s="377">
        <v>5</v>
      </c>
      <c r="V363" s="2954" t="s">
        <v>3619</v>
      </c>
      <c r="W363" s="2954" t="s">
        <v>3620</v>
      </c>
      <c r="X363" s="2954" t="s">
        <v>3621</v>
      </c>
      <c r="Y363" s="2954" t="s">
        <v>4629</v>
      </c>
      <c r="Z363" s="2954" t="s">
        <v>4630</v>
      </c>
      <c r="AA363" s="375"/>
    </row>
    <row r="364" spans="1:27" ht="12.75" customHeight="1" x14ac:dyDescent="0.2">
      <c r="A364" s="6360"/>
      <c r="B364" s="251" t="str">
        <f t="shared" si="5"/>
        <v>Nigromancia20</v>
      </c>
      <c r="D364" s="272" t="s">
        <v>346</v>
      </c>
      <c r="E364" s="2959" t="s">
        <v>1713</v>
      </c>
      <c r="F364" s="2959">
        <v>20</v>
      </c>
      <c r="G364" s="2962" t="s">
        <v>1381</v>
      </c>
      <c r="H364" s="2962" t="s">
        <v>1233</v>
      </c>
      <c r="I364" s="380" t="s">
        <v>1304</v>
      </c>
      <c r="J364" s="2959">
        <v>7</v>
      </c>
      <c r="K364" s="2959">
        <v>10</v>
      </c>
      <c r="L364" s="2959">
        <v>13</v>
      </c>
      <c r="M364" s="377">
        <v>15</v>
      </c>
      <c r="N364" s="2959">
        <v>60</v>
      </c>
      <c r="O364" s="2959">
        <v>90</v>
      </c>
      <c r="P364" s="2959">
        <v>120</v>
      </c>
      <c r="Q364" s="377">
        <v>150</v>
      </c>
      <c r="R364" s="2959">
        <v>10</v>
      </c>
      <c r="S364" s="2959">
        <v>10</v>
      </c>
      <c r="T364" s="2959">
        <v>15</v>
      </c>
      <c r="U364" s="377">
        <v>15</v>
      </c>
      <c r="V364" s="2954" t="s">
        <v>4631</v>
      </c>
      <c r="W364" s="2954" t="s">
        <v>3787</v>
      </c>
      <c r="X364" s="2954" t="s">
        <v>4632</v>
      </c>
      <c r="Y364" s="2954" t="s">
        <v>4633</v>
      </c>
      <c r="Z364" s="2954" t="s">
        <v>4634</v>
      </c>
      <c r="AA364" s="375"/>
    </row>
    <row r="365" spans="1:27" ht="12.75" customHeight="1" x14ac:dyDescent="0.2">
      <c r="A365" s="6360"/>
      <c r="B365" s="251" t="str">
        <f t="shared" si="5"/>
        <v>Nigromancia22</v>
      </c>
      <c r="D365" s="272" t="s">
        <v>347</v>
      </c>
      <c r="E365" s="2959" t="s">
        <v>1713</v>
      </c>
      <c r="F365" s="2959">
        <v>22</v>
      </c>
      <c r="G365" s="2962" t="s">
        <v>1381</v>
      </c>
      <c r="H365" s="2962" t="s">
        <v>1234</v>
      </c>
      <c r="I365" s="380" t="s">
        <v>1304</v>
      </c>
      <c r="J365" s="2959">
        <v>8</v>
      </c>
      <c r="K365" s="2959">
        <v>10</v>
      </c>
      <c r="L365" s="2959">
        <v>12</v>
      </c>
      <c r="M365" s="377">
        <v>14</v>
      </c>
      <c r="N365" s="2959">
        <v>80</v>
      </c>
      <c r="O365" s="2959">
        <v>100</v>
      </c>
      <c r="P365" s="2959">
        <v>120</v>
      </c>
      <c r="Q365" s="377">
        <v>140</v>
      </c>
      <c r="R365" s="2959"/>
      <c r="S365" s="2959"/>
      <c r="T365" s="2959"/>
      <c r="U365" s="377"/>
      <c r="V365" s="2954" t="s">
        <v>4635</v>
      </c>
      <c r="W365" s="2954" t="s">
        <v>4636</v>
      </c>
      <c r="X365" s="2954" t="s">
        <v>4637</v>
      </c>
      <c r="Y365" s="2954" t="s">
        <v>4638</v>
      </c>
      <c r="Z365" s="2954" t="s">
        <v>4639</v>
      </c>
      <c r="AA365" s="375"/>
    </row>
    <row r="366" spans="1:27" ht="12.75" customHeight="1" x14ac:dyDescent="0.2">
      <c r="A366" s="6360"/>
      <c r="B366" s="251" t="str">
        <f t="shared" si="5"/>
        <v>Nigromancia26</v>
      </c>
      <c r="D366" s="272" t="s">
        <v>348</v>
      </c>
      <c r="E366" s="2959" t="s">
        <v>1713</v>
      </c>
      <c r="F366" s="2959">
        <v>26</v>
      </c>
      <c r="G366" s="2962" t="s">
        <v>1381</v>
      </c>
      <c r="H366" s="2962" t="s">
        <v>1232</v>
      </c>
      <c r="I366" s="380" t="s">
        <v>1304</v>
      </c>
      <c r="J366" s="2959">
        <v>6</v>
      </c>
      <c r="K366" s="2959">
        <v>9</v>
      </c>
      <c r="L366" s="2959">
        <v>12</v>
      </c>
      <c r="M366" s="377">
        <v>15</v>
      </c>
      <c r="N366" s="2959">
        <v>60</v>
      </c>
      <c r="O366" s="2959">
        <v>90</v>
      </c>
      <c r="P366" s="2959">
        <v>120</v>
      </c>
      <c r="Q366" s="377">
        <v>150</v>
      </c>
      <c r="R366" s="2959"/>
      <c r="S366" s="2959"/>
      <c r="T366" s="2959"/>
      <c r="U366" s="377"/>
      <c r="V366" s="2954" t="s">
        <v>4640</v>
      </c>
      <c r="W366" s="2954" t="s">
        <v>3746</v>
      </c>
      <c r="X366" s="2954" t="s">
        <v>4641</v>
      </c>
      <c r="Y366" s="2954" t="s">
        <v>4642</v>
      </c>
      <c r="Z366" s="2954" t="s">
        <v>4643</v>
      </c>
      <c r="AA366" s="375"/>
    </row>
    <row r="367" spans="1:27" ht="12.75" customHeight="1" x14ac:dyDescent="0.2">
      <c r="A367" s="6360"/>
      <c r="B367" s="251" t="str">
        <f t="shared" si="5"/>
        <v>Nigromancia28</v>
      </c>
      <c r="D367" s="272" t="s">
        <v>349</v>
      </c>
      <c r="E367" s="2959" t="s">
        <v>1713</v>
      </c>
      <c r="F367" s="2959">
        <v>28</v>
      </c>
      <c r="G367" s="2962" t="s">
        <v>2088</v>
      </c>
      <c r="H367" s="2962" t="s">
        <v>1234</v>
      </c>
      <c r="I367" s="380" t="s">
        <v>1304</v>
      </c>
      <c r="J367" s="2959">
        <v>7</v>
      </c>
      <c r="K367" s="2959">
        <v>10</v>
      </c>
      <c r="L367" s="2959">
        <v>13</v>
      </c>
      <c r="M367" s="377">
        <v>15</v>
      </c>
      <c r="N367" s="2959">
        <v>80</v>
      </c>
      <c r="O367" s="2959">
        <v>180</v>
      </c>
      <c r="P367" s="2959">
        <v>300</v>
      </c>
      <c r="Q367" s="377">
        <v>450</v>
      </c>
      <c r="R367" s="2959">
        <v>10</v>
      </c>
      <c r="S367" s="2959">
        <v>20</v>
      </c>
      <c r="T367" s="2959">
        <v>25</v>
      </c>
      <c r="U367" s="377">
        <v>30</v>
      </c>
      <c r="V367" s="2954" t="s">
        <v>4644</v>
      </c>
      <c r="W367" s="2954" t="s">
        <v>4645</v>
      </c>
      <c r="X367" s="2954" t="s">
        <v>4646</v>
      </c>
      <c r="Y367" s="2954" t="s">
        <v>4647</v>
      </c>
      <c r="Z367" s="2954" t="s">
        <v>4648</v>
      </c>
      <c r="AA367" s="375"/>
    </row>
    <row r="368" spans="1:27" ht="12.75" customHeight="1" x14ac:dyDescent="0.2">
      <c r="A368" s="6360"/>
      <c r="B368" s="251" t="str">
        <f t="shared" si="5"/>
        <v>Nigromancia30</v>
      </c>
      <c r="D368" s="272" t="s">
        <v>350</v>
      </c>
      <c r="E368" s="2959" t="s">
        <v>1713</v>
      </c>
      <c r="F368" s="2959">
        <v>30</v>
      </c>
      <c r="G368" s="2962" t="s">
        <v>2088</v>
      </c>
      <c r="H368" s="2962" t="s">
        <v>1234</v>
      </c>
      <c r="I368" s="380" t="s">
        <v>1304</v>
      </c>
      <c r="J368" s="2959">
        <v>8</v>
      </c>
      <c r="K368" s="2959">
        <v>10</v>
      </c>
      <c r="L368" s="2959">
        <v>12</v>
      </c>
      <c r="M368" s="377">
        <v>14</v>
      </c>
      <c r="N368" s="2959">
        <v>80</v>
      </c>
      <c r="O368" s="2959">
        <v>100</v>
      </c>
      <c r="P368" s="2959">
        <v>120</v>
      </c>
      <c r="Q368" s="377">
        <v>140</v>
      </c>
      <c r="R368" s="2959">
        <v>10</v>
      </c>
      <c r="S368" s="2959">
        <v>10</v>
      </c>
      <c r="T368" s="2959">
        <v>15</v>
      </c>
      <c r="U368" s="377">
        <v>15</v>
      </c>
      <c r="V368" s="2954" t="s">
        <v>4649</v>
      </c>
      <c r="W368" s="2954" t="s">
        <v>4650</v>
      </c>
      <c r="X368" s="2954" t="s">
        <v>4651</v>
      </c>
      <c r="Y368" s="2954" t="s">
        <v>4652</v>
      </c>
      <c r="Z368" s="2954" t="s">
        <v>4653</v>
      </c>
      <c r="AA368" s="375"/>
    </row>
    <row r="369" spans="1:27" ht="12.75" customHeight="1" x14ac:dyDescent="0.2">
      <c r="A369" s="6360"/>
      <c r="B369" s="251" t="str">
        <f t="shared" si="5"/>
        <v>Nigromancia32</v>
      </c>
      <c r="D369" s="272" t="s">
        <v>351</v>
      </c>
      <c r="E369" s="2959" t="s">
        <v>1713</v>
      </c>
      <c r="F369" s="2959">
        <v>32</v>
      </c>
      <c r="G369" s="2962" t="s">
        <v>1381</v>
      </c>
      <c r="H369" s="2962" t="s">
        <v>1233</v>
      </c>
      <c r="I369" s="380" t="s">
        <v>1304</v>
      </c>
      <c r="J369" s="2959">
        <v>8</v>
      </c>
      <c r="K369" s="2959">
        <v>10</v>
      </c>
      <c r="L369" s="2959">
        <v>13</v>
      </c>
      <c r="M369" s="377">
        <v>15</v>
      </c>
      <c r="N369" s="2959">
        <v>60</v>
      </c>
      <c r="O369" s="2959">
        <v>140</v>
      </c>
      <c r="P369" s="2959">
        <v>220</v>
      </c>
      <c r="Q369" s="377">
        <v>300</v>
      </c>
      <c r="R369" s="2959"/>
      <c r="S369" s="2959"/>
      <c r="T369" s="2959"/>
      <c r="U369" s="377"/>
      <c r="V369" s="2954" t="s">
        <v>3591</v>
      </c>
      <c r="W369" s="2954" t="s">
        <v>3322</v>
      </c>
      <c r="X369" s="2954" t="s">
        <v>3776</v>
      </c>
      <c r="Y369" s="2954" t="s">
        <v>4654</v>
      </c>
      <c r="Z369" s="2954" t="s">
        <v>4655</v>
      </c>
      <c r="AA369" s="375"/>
    </row>
    <row r="370" spans="1:27" ht="12.75" customHeight="1" x14ac:dyDescent="0.2">
      <c r="A370" s="6360"/>
      <c r="B370" s="251" t="str">
        <f t="shared" si="5"/>
        <v>Nigromancia36</v>
      </c>
      <c r="D370" s="272" t="s">
        <v>352</v>
      </c>
      <c r="E370" s="2959" t="s">
        <v>1713</v>
      </c>
      <c r="F370" s="2959">
        <v>36</v>
      </c>
      <c r="G370" s="2962" t="s">
        <v>1381</v>
      </c>
      <c r="H370" s="2962" t="s">
        <v>1233</v>
      </c>
      <c r="I370" s="380" t="s">
        <v>1304</v>
      </c>
      <c r="J370" s="2959">
        <v>8</v>
      </c>
      <c r="K370" s="2959">
        <v>10</v>
      </c>
      <c r="L370" s="2959">
        <v>13</v>
      </c>
      <c r="M370" s="377">
        <v>15</v>
      </c>
      <c r="N370" s="2959">
        <v>80</v>
      </c>
      <c r="O370" s="2959">
        <v>160</v>
      </c>
      <c r="P370" s="2959">
        <v>240</v>
      </c>
      <c r="Q370" s="377">
        <v>320</v>
      </c>
      <c r="R370" s="2959"/>
      <c r="S370" s="2959"/>
      <c r="T370" s="2959"/>
      <c r="U370" s="377"/>
      <c r="V370" s="2954" t="s">
        <v>3591</v>
      </c>
      <c r="W370" s="2954" t="s">
        <v>3322</v>
      </c>
      <c r="X370" s="2954" t="s">
        <v>3776</v>
      </c>
      <c r="Y370" s="2954" t="s">
        <v>4654</v>
      </c>
      <c r="Z370" s="2954" t="s">
        <v>4656</v>
      </c>
      <c r="AA370" s="375"/>
    </row>
    <row r="371" spans="1:27" ht="12.75" customHeight="1" x14ac:dyDescent="0.2">
      <c r="A371" s="6360"/>
      <c r="B371" s="251" t="str">
        <f t="shared" si="5"/>
        <v>Nigromancia38</v>
      </c>
      <c r="D371" s="272" t="s">
        <v>353</v>
      </c>
      <c r="E371" s="2959" t="s">
        <v>1713</v>
      </c>
      <c r="F371" s="2959">
        <v>38</v>
      </c>
      <c r="G371" s="2962" t="s">
        <v>1381</v>
      </c>
      <c r="H371" s="2962" t="s">
        <v>1233</v>
      </c>
      <c r="I371" s="380" t="s">
        <v>1304</v>
      </c>
      <c r="J371" s="2959">
        <v>8</v>
      </c>
      <c r="K371" s="2959">
        <v>10</v>
      </c>
      <c r="L371" s="2959">
        <v>13</v>
      </c>
      <c r="M371" s="377">
        <v>15</v>
      </c>
      <c r="N371" s="2959">
        <v>60</v>
      </c>
      <c r="O371" s="2959">
        <v>150</v>
      </c>
      <c r="P371" s="2959">
        <v>240</v>
      </c>
      <c r="Q371" s="377">
        <v>320</v>
      </c>
      <c r="R371" s="2959">
        <v>5</v>
      </c>
      <c r="S371" s="2959">
        <v>10</v>
      </c>
      <c r="T371" s="2959">
        <v>15</v>
      </c>
      <c r="U371" s="377">
        <v>15</v>
      </c>
      <c r="V371" s="2954" t="s">
        <v>3591</v>
      </c>
      <c r="W371" s="2954" t="s">
        <v>3322</v>
      </c>
      <c r="X371" s="2954" t="s">
        <v>3776</v>
      </c>
      <c r="Y371" s="2954" t="s">
        <v>4654</v>
      </c>
      <c r="Z371" s="2954" t="s">
        <v>4657</v>
      </c>
      <c r="AA371" s="375"/>
    </row>
    <row r="372" spans="1:27" ht="12.75" customHeight="1" x14ac:dyDescent="0.2">
      <c r="A372" s="6360"/>
      <c r="B372" s="251" t="str">
        <f t="shared" si="5"/>
        <v>Nigromancia40</v>
      </c>
      <c r="D372" s="272" t="s">
        <v>354</v>
      </c>
      <c r="E372" s="2959" t="s">
        <v>1713</v>
      </c>
      <c r="F372" s="2959">
        <v>40</v>
      </c>
      <c r="G372" s="2962" t="s">
        <v>2088</v>
      </c>
      <c r="H372" s="2962" t="s">
        <v>1233</v>
      </c>
      <c r="I372" s="380" t="s">
        <v>1304</v>
      </c>
      <c r="J372" s="2959">
        <v>9</v>
      </c>
      <c r="K372" s="2959">
        <v>11</v>
      </c>
      <c r="L372" s="2959">
        <v>14</v>
      </c>
      <c r="M372" s="377">
        <v>16</v>
      </c>
      <c r="N372" s="2959">
        <v>100</v>
      </c>
      <c r="O372" s="2959">
        <v>140</v>
      </c>
      <c r="P372" s="2959">
        <v>180</v>
      </c>
      <c r="Q372" s="377">
        <v>250</v>
      </c>
      <c r="R372" s="2959">
        <v>10</v>
      </c>
      <c r="S372" s="2959">
        <v>15</v>
      </c>
      <c r="T372" s="2959">
        <v>20</v>
      </c>
      <c r="U372" s="377">
        <v>25</v>
      </c>
      <c r="V372" s="2954" t="s">
        <v>4658</v>
      </c>
      <c r="W372" s="2954" t="s">
        <v>4659</v>
      </c>
      <c r="X372" s="2954" t="s">
        <v>3788</v>
      </c>
      <c r="Y372" s="2954" t="s">
        <v>4660</v>
      </c>
      <c r="Z372" s="2954" t="s">
        <v>4661</v>
      </c>
      <c r="AA372" s="375"/>
    </row>
    <row r="373" spans="1:27" ht="12.75" customHeight="1" x14ac:dyDescent="0.2">
      <c r="A373" s="6360"/>
      <c r="B373" s="251" t="str">
        <f t="shared" si="5"/>
        <v>Nigromancia42</v>
      </c>
      <c r="D373" s="272" t="s">
        <v>355</v>
      </c>
      <c r="E373" s="2959" t="s">
        <v>1713</v>
      </c>
      <c r="F373" s="2959">
        <v>42</v>
      </c>
      <c r="G373" s="2962" t="s">
        <v>2088</v>
      </c>
      <c r="H373" s="2962" t="s">
        <v>4067</v>
      </c>
      <c r="I373" s="380" t="s">
        <v>1304</v>
      </c>
      <c r="J373" s="2959">
        <v>9</v>
      </c>
      <c r="K373" s="2959">
        <v>12</v>
      </c>
      <c r="L373" s="2959">
        <v>14</v>
      </c>
      <c r="M373" s="377">
        <v>16</v>
      </c>
      <c r="N373" s="2959">
        <v>100</v>
      </c>
      <c r="O373" s="2959">
        <v>140</v>
      </c>
      <c r="P373" s="2959">
        <v>180</v>
      </c>
      <c r="Q373" s="377">
        <v>220</v>
      </c>
      <c r="R373" s="2959">
        <v>10</v>
      </c>
      <c r="S373" s="2959">
        <v>15</v>
      </c>
      <c r="T373" s="2959">
        <v>20</v>
      </c>
      <c r="U373" s="377">
        <v>25</v>
      </c>
      <c r="V373" s="2954" t="s">
        <v>4266</v>
      </c>
      <c r="W373" s="2954" t="s">
        <v>4367</v>
      </c>
      <c r="X373" s="2954" t="s">
        <v>4662</v>
      </c>
      <c r="Y373" s="2954" t="s">
        <v>3507</v>
      </c>
      <c r="Z373" s="2954" t="s">
        <v>4663</v>
      </c>
      <c r="AA373" s="375"/>
    </row>
    <row r="374" spans="1:27" ht="12.75" customHeight="1" x14ac:dyDescent="0.2">
      <c r="A374" s="6360"/>
      <c r="B374" s="251" t="str">
        <f t="shared" si="5"/>
        <v>Nigromancia46</v>
      </c>
      <c r="D374" s="272" t="s">
        <v>356</v>
      </c>
      <c r="E374" s="2959" t="s">
        <v>1713</v>
      </c>
      <c r="F374" s="2959">
        <v>46</v>
      </c>
      <c r="G374" s="2962" t="s">
        <v>1381</v>
      </c>
      <c r="H374" s="2962" t="s">
        <v>1565</v>
      </c>
      <c r="I374" s="380" t="s">
        <v>1305</v>
      </c>
      <c r="J374" s="2959">
        <v>9</v>
      </c>
      <c r="K374" s="2959">
        <v>11</v>
      </c>
      <c r="L374" s="2959">
        <v>13</v>
      </c>
      <c r="M374" s="377">
        <v>15</v>
      </c>
      <c r="N374" s="2959">
        <v>80</v>
      </c>
      <c r="O374" s="2959">
        <v>160</v>
      </c>
      <c r="P374" s="2959">
        <v>240</v>
      </c>
      <c r="Q374" s="377">
        <v>300</v>
      </c>
      <c r="R374" s="2959">
        <v>5</v>
      </c>
      <c r="S374" s="2959">
        <v>10</v>
      </c>
      <c r="T374" s="2959">
        <v>15</v>
      </c>
      <c r="U374" s="377">
        <v>15</v>
      </c>
      <c r="V374" s="2954" t="s">
        <v>4664</v>
      </c>
      <c r="W374" s="2954" t="s">
        <v>4665</v>
      </c>
      <c r="X374" s="2954" t="s">
        <v>4666</v>
      </c>
      <c r="Y374" s="2954" t="s">
        <v>4667</v>
      </c>
      <c r="Z374" s="2954" t="s">
        <v>4668</v>
      </c>
      <c r="AA374" s="375"/>
    </row>
    <row r="375" spans="1:27" ht="12.75" customHeight="1" x14ac:dyDescent="0.2">
      <c r="A375" s="6360"/>
      <c r="B375" s="251" t="str">
        <f t="shared" si="5"/>
        <v>Nigromancia48</v>
      </c>
      <c r="D375" s="272" t="s">
        <v>357</v>
      </c>
      <c r="E375" s="2959" t="s">
        <v>1713</v>
      </c>
      <c r="F375" s="2959">
        <v>48</v>
      </c>
      <c r="G375" s="2962" t="s">
        <v>2088</v>
      </c>
      <c r="H375" s="2962" t="s">
        <v>1233</v>
      </c>
      <c r="I375" s="380" t="s">
        <v>1305</v>
      </c>
      <c r="J375" s="2959">
        <v>9</v>
      </c>
      <c r="K375" s="2959">
        <v>11</v>
      </c>
      <c r="L375" s="2959">
        <v>13</v>
      </c>
      <c r="M375" s="377">
        <v>15</v>
      </c>
      <c r="N375" s="2959">
        <v>140</v>
      </c>
      <c r="O375" s="2959">
        <v>180</v>
      </c>
      <c r="P375" s="2959">
        <v>240</v>
      </c>
      <c r="Q375" s="377">
        <v>300</v>
      </c>
      <c r="R375" s="2959">
        <v>30</v>
      </c>
      <c r="S375" s="2959">
        <v>40</v>
      </c>
      <c r="T375" s="2959">
        <v>50</v>
      </c>
      <c r="U375" s="377">
        <v>60</v>
      </c>
      <c r="V375" s="2954" t="s">
        <v>3628</v>
      </c>
      <c r="W375" s="2954" t="s">
        <v>3590</v>
      </c>
      <c r="X375" s="2954" t="s">
        <v>3591</v>
      </c>
      <c r="Y375" s="2954" t="s">
        <v>3487</v>
      </c>
      <c r="Z375" s="2954" t="s">
        <v>4669</v>
      </c>
      <c r="AA375" s="375"/>
    </row>
    <row r="376" spans="1:27" ht="12.75" customHeight="1" x14ac:dyDescent="0.2">
      <c r="A376" s="6360"/>
      <c r="B376" s="251" t="str">
        <f t="shared" si="5"/>
        <v>Nigromancia50</v>
      </c>
      <c r="D376" s="272" t="s">
        <v>358</v>
      </c>
      <c r="E376" s="2959" t="s">
        <v>1713</v>
      </c>
      <c r="F376" s="2959">
        <v>50</v>
      </c>
      <c r="G376" s="2962" t="s">
        <v>1381</v>
      </c>
      <c r="H376" s="2962" t="s">
        <v>1234</v>
      </c>
      <c r="I376" s="380" t="s">
        <v>1304</v>
      </c>
      <c r="J376" s="2959">
        <v>9</v>
      </c>
      <c r="K376" s="2959">
        <v>11</v>
      </c>
      <c r="L376" s="2959">
        <v>13</v>
      </c>
      <c r="M376" s="377">
        <v>15</v>
      </c>
      <c r="N376" s="2959">
        <v>140</v>
      </c>
      <c r="O376" s="2959">
        <v>180</v>
      </c>
      <c r="P376" s="2959">
        <v>240</v>
      </c>
      <c r="Q376" s="377">
        <v>300</v>
      </c>
      <c r="R376" s="2959">
        <v>15</v>
      </c>
      <c r="S376" s="2959">
        <v>20</v>
      </c>
      <c r="T376" s="2959">
        <v>25</v>
      </c>
      <c r="U376" s="377">
        <v>30</v>
      </c>
      <c r="V376" s="2954" t="s">
        <v>4670</v>
      </c>
      <c r="W376" s="2954" t="s">
        <v>4671</v>
      </c>
      <c r="X376" s="2954" t="s">
        <v>4672</v>
      </c>
      <c r="Y376" s="2954" t="s">
        <v>4673</v>
      </c>
      <c r="Z376" s="2954" t="s">
        <v>4674</v>
      </c>
      <c r="AA376" s="375"/>
    </row>
    <row r="377" spans="1:27" ht="12.75" customHeight="1" x14ac:dyDescent="0.2">
      <c r="A377" s="6360"/>
      <c r="B377" s="251" t="str">
        <f t="shared" si="5"/>
        <v>Nigromancia52</v>
      </c>
      <c r="D377" s="272" t="s">
        <v>359</v>
      </c>
      <c r="E377" s="2959" t="s">
        <v>1713</v>
      </c>
      <c r="F377" s="2959">
        <v>52</v>
      </c>
      <c r="G377" s="2962" t="s">
        <v>1381</v>
      </c>
      <c r="H377" s="2962" t="s">
        <v>1234</v>
      </c>
      <c r="I377" s="380" t="s">
        <v>1304</v>
      </c>
      <c r="J377" s="2959">
        <v>10</v>
      </c>
      <c r="K377" s="2959">
        <v>12</v>
      </c>
      <c r="L377" s="2959">
        <v>14</v>
      </c>
      <c r="M377" s="377">
        <v>16</v>
      </c>
      <c r="N377" s="2959">
        <v>100</v>
      </c>
      <c r="O377" s="2959">
        <v>180</v>
      </c>
      <c r="P377" s="2959">
        <v>240</v>
      </c>
      <c r="Q377" s="377">
        <v>300</v>
      </c>
      <c r="R377" s="2959">
        <v>10</v>
      </c>
      <c r="S377" s="2959">
        <v>20</v>
      </c>
      <c r="T377" s="2959">
        <v>25</v>
      </c>
      <c r="U377" s="377">
        <v>30</v>
      </c>
      <c r="V377" s="2954" t="s">
        <v>4675</v>
      </c>
      <c r="W377" s="2954" t="s">
        <v>4676</v>
      </c>
      <c r="X377" s="2954" t="s">
        <v>4677</v>
      </c>
      <c r="Y377" s="2954" t="s">
        <v>4678</v>
      </c>
      <c r="Z377" s="2954" t="s">
        <v>4679</v>
      </c>
      <c r="AA377" s="375"/>
    </row>
    <row r="378" spans="1:27" ht="12.75" customHeight="1" x14ac:dyDescent="0.2">
      <c r="A378" s="6360"/>
      <c r="B378" s="251" t="str">
        <f t="shared" si="5"/>
        <v>Nigromancia56</v>
      </c>
      <c r="D378" s="272" t="s">
        <v>360</v>
      </c>
      <c r="E378" s="2959" t="s">
        <v>1713</v>
      </c>
      <c r="F378" s="2959">
        <v>56</v>
      </c>
      <c r="G378" s="2962" t="s">
        <v>1381</v>
      </c>
      <c r="H378" s="2962" t="s">
        <v>1234</v>
      </c>
      <c r="I378" s="380" t="s">
        <v>1304</v>
      </c>
      <c r="J378" s="2959">
        <v>9</v>
      </c>
      <c r="K378" s="2959">
        <v>11</v>
      </c>
      <c r="L378" s="2959">
        <v>13</v>
      </c>
      <c r="M378" s="377">
        <v>16</v>
      </c>
      <c r="N378" s="2959">
        <v>100</v>
      </c>
      <c r="O378" s="2959">
        <v>200</v>
      </c>
      <c r="P378" s="2959">
        <v>300</v>
      </c>
      <c r="Q378" s="377">
        <v>400</v>
      </c>
      <c r="R378" s="2959">
        <v>10</v>
      </c>
      <c r="S378" s="2959">
        <v>20</v>
      </c>
      <c r="T378" s="2959">
        <v>30</v>
      </c>
      <c r="U378" s="377">
        <v>40</v>
      </c>
      <c r="V378" s="2954" t="s">
        <v>3613</v>
      </c>
      <c r="W378" s="2954" t="s">
        <v>3614</v>
      </c>
      <c r="X378" s="2954" t="s">
        <v>3615</v>
      </c>
      <c r="Y378" s="2954" t="s">
        <v>4680</v>
      </c>
      <c r="Z378" s="2954" t="s">
        <v>4681</v>
      </c>
      <c r="AA378" s="375"/>
    </row>
    <row r="379" spans="1:27" ht="12.75" customHeight="1" x14ac:dyDescent="0.2">
      <c r="A379" s="6360"/>
      <c r="B379" s="251" t="str">
        <f t="shared" si="5"/>
        <v>Nigromancia58</v>
      </c>
      <c r="D379" s="272" t="s">
        <v>361</v>
      </c>
      <c r="E379" s="2959" t="s">
        <v>1713</v>
      </c>
      <c r="F379" s="2959">
        <v>58</v>
      </c>
      <c r="G379" s="2962" t="s">
        <v>1381</v>
      </c>
      <c r="H379" s="2962" t="s">
        <v>1234</v>
      </c>
      <c r="I379" s="380" t="s">
        <v>1304</v>
      </c>
      <c r="J379" s="2959">
        <v>9</v>
      </c>
      <c r="K379" s="2959">
        <v>12</v>
      </c>
      <c r="L379" s="2959">
        <v>14</v>
      </c>
      <c r="M379" s="377">
        <v>16</v>
      </c>
      <c r="N379" s="2959">
        <v>100</v>
      </c>
      <c r="O379" s="2959">
        <v>140</v>
      </c>
      <c r="P379" s="2959">
        <v>160</v>
      </c>
      <c r="Q379" s="377">
        <v>180</v>
      </c>
      <c r="R379" s="2959"/>
      <c r="S379" s="2959"/>
      <c r="T379" s="2959"/>
      <c r="U379" s="377"/>
      <c r="V379" s="2954" t="s">
        <v>4682</v>
      </c>
      <c r="W379" s="2954" t="s">
        <v>4683</v>
      </c>
      <c r="X379" s="2954" t="s">
        <v>4684</v>
      </c>
      <c r="Y379" s="2954" t="s">
        <v>4685</v>
      </c>
      <c r="Z379" s="2954" t="s">
        <v>4686</v>
      </c>
      <c r="AA379" s="375"/>
    </row>
    <row r="380" spans="1:27" ht="12.75" customHeight="1" x14ac:dyDescent="0.2">
      <c r="A380" s="6360"/>
      <c r="B380" s="251" t="str">
        <f t="shared" si="5"/>
        <v>Nigromancia60</v>
      </c>
      <c r="D380" s="272" t="s">
        <v>362</v>
      </c>
      <c r="E380" s="2959" t="s">
        <v>1713</v>
      </c>
      <c r="F380" s="2959">
        <v>60</v>
      </c>
      <c r="G380" s="2962" t="s">
        <v>2088</v>
      </c>
      <c r="H380" s="2962" t="s">
        <v>1234</v>
      </c>
      <c r="I380" s="380" t="s">
        <v>1304</v>
      </c>
      <c r="J380" s="2959">
        <v>10</v>
      </c>
      <c r="K380" s="2959">
        <v>12</v>
      </c>
      <c r="L380" s="2959">
        <v>14</v>
      </c>
      <c r="M380" s="377">
        <v>16</v>
      </c>
      <c r="N380" s="2959">
        <v>200</v>
      </c>
      <c r="O380" s="2959">
        <v>240</v>
      </c>
      <c r="P380" s="2959">
        <v>280</v>
      </c>
      <c r="Q380" s="377">
        <v>320</v>
      </c>
      <c r="R380" s="2959">
        <v>20</v>
      </c>
      <c r="S380" s="2959">
        <v>25</v>
      </c>
      <c r="T380" s="2959">
        <v>30</v>
      </c>
      <c r="U380" s="377">
        <v>35</v>
      </c>
      <c r="V380" s="2954" t="s">
        <v>4687</v>
      </c>
      <c r="W380" s="2954" t="s">
        <v>4688</v>
      </c>
      <c r="X380" s="2954" t="s">
        <v>4689</v>
      </c>
      <c r="Y380" s="2954" t="s">
        <v>4690</v>
      </c>
      <c r="Z380" s="2954" t="s">
        <v>4691</v>
      </c>
      <c r="AA380" s="375"/>
    </row>
    <row r="381" spans="1:27" ht="12.75" customHeight="1" x14ac:dyDescent="0.2">
      <c r="A381" s="6360"/>
      <c r="B381" s="251" t="str">
        <f t="shared" si="5"/>
        <v>Nigromancia62</v>
      </c>
      <c r="D381" s="272" t="s">
        <v>363</v>
      </c>
      <c r="E381" s="2959" t="s">
        <v>1713</v>
      </c>
      <c r="F381" s="2959">
        <v>62</v>
      </c>
      <c r="G381" s="2962" t="s">
        <v>1381</v>
      </c>
      <c r="H381" s="2962" t="s">
        <v>1233</v>
      </c>
      <c r="I381" s="380" t="s">
        <v>1304</v>
      </c>
      <c r="J381" s="2959">
        <v>9</v>
      </c>
      <c r="K381" s="2959">
        <v>12</v>
      </c>
      <c r="L381" s="2959">
        <v>15</v>
      </c>
      <c r="M381" s="377">
        <v>18</v>
      </c>
      <c r="N381" s="2959">
        <v>180</v>
      </c>
      <c r="O381" s="2959">
        <v>240</v>
      </c>
      <c r="P381" s="2959">
        <v>300</v>
      </c>
      <c r="Q381" s="377">
        <v>360</v>
      </c>
      <c r="R381" s="2959"/>
      <c r="S381" s="2959"/>
      <c r="T381" s="2959"/>
      <c r="U381" s="377"/>
      <c r="V381" s="2954" t="s">
        <v>3628</v>
      </c>
      <c r="W381" s="2954" t="s">
        <v>4692</v>
      </c>
      <c r="X381" s="2954" t="s">
        <v>3487</v>
      </c>
      <c r="Y381" s="2954" t="s">
        <v>4693</v>
      </c>
      <c r="Z381" s="2954" t="s">
        <v>4694</v>
      </c>
      <c r="AA381" s="375"/>
    </row>
    <row r="382" spans="1:27" ht="12.75" customHeight="1" x14ac:dyDescent="0.2">
      <c r="A382" s="6360"/>
      <c r="B382" s="251" t="str">
        <f t="shared" si="5"/>
        <v>Nigromancia66</v>
      </c>
      <c r="D382" s="272" t="s">
        <v>364</v>
      </c>
      <c r="E382" s="2959" t="s">
        <v>1713</v>
      </c>
      <c r="F382" s="2959">
        <v>66</v>
      </c>
      <c r="G382" s="2962" t="s">
        <v>1381</v>
      </c>
      <c r="H382" s="2962" t="s">
        <v>1233</v>
      </c>
      <c r="I382" s="380" t="s">
        <v>1304</v>
      </c>
      <c r="J382" s="2959">
        <v>10</v>
      </c>
      <c r="K382" s="2959">
        <v>12</v>
      </c>
      <c r="L382" s="2959">
        <v>14</v>
      </c>
      <c r="M382" s="377">
        <v>16</v>
      </c>
      <c r="N382" s="2959">
        <v>100</v>
      </c>
      <c r="O382" s="2959">
        <v>140</v>
      </c>
      <c r="P382" s="2959">
        <v>180</v>
      </c>
      <c r="Q382" s="377">
        <v>220</v>
      </c>
      <c r="R382" s="2959"/>
      <c r="S382" s="2959"/>
      <c r="T382" s="2959"/>
      <c r="U382" s="377"/>
      <c r="V382" s="2954" t="s">
        <v>4695</v>
      </c>
      <c r="W382" s="2954" t="s">
        <v>4696</v>
      </c>
      <c r="X382" s="2954" t="s">
        <v>3797</v>
      </c>
      <c r="Y382" s="2954" t="s">
        <v>3798</v>
      </c>
      <c r="Z382" s="2954" t="s">
        <v>4697</v>
      </c>
      <c r="AA382" s="375"/>
    </row>
    <row r="383" spans="1:27" ht="12.75" customHeight="1" x14ac:dyDescent="0.2">
      <c r="A383" s="6360"/>
      <c r="B383" s="251" t="str">
        <f t="shared" si="5"/>
        <v>Nigromancia68</v>
      </c>
      <c r="D383" s="272" t="s">
        <v>365</v>
      </c>
      <c r="E383" s="2959" t="s">
        <v>1713</v>
      </c>
      <c r="F383" s="2959">
        <v>68</v>
      </c>
      <c r="G383" s="2962" t="s">
        <v>1381</v>
      </c>
      <c r="H383" s="2962" t="s">
        <v>1232</v>
      </c>
      <c r="I383" s="380" t="s">
        <v>1304</v>
      </c>
      <c r="J383" s="2959">
        <v>9</v>
      </c>
      <c r="K383" s="2959">
        <v>11</v>
      </c>
      <c r="L383" s="2959">
        <v>13</v>
      </c>
      <c r="M383" s="377">
        <v>16</v>
      </c>
      <c r="N383" s="2959">
        <v>140</v>
      </c>
      <c r="O383" s="2959">
        <v>260</v>
      </c>
      <c r="P383" s="2959">
        <v>380</v>
      </c>
      <c r="Q383" s="377">
        <v>500</v>
      </c>
      <c r="R383" s="2959"/>
      <c r="S383" s="2959"/>
      <c r="T383" s="2959"/>
      <c r="U383" s="377"/>
      <c r="V383" s="2954" t="s">
        <v>3746</v>
      </c>
      <c r="W383" s="2954" t="s">
        <v>3747</v>
      </c>
      <c r="X383" s="2954" t="s">
        <v>3778</v>
      </c>
      <c r="Y383" s="2954" t="s">
        <v>4698</v>
      </c>
      <c r="Z383" s="2954" t="s">
        <v>4699</v>
      </c>
      <c r="AA383" s="375"/>
    </row>
    <row r="384" spans="1:27" ht="12.75" customHeight="1" x14ac:dyDescent="0.2">
      <c r="A384" s="6360"/>
      <c r="B384" s="251" t="str">
        <f t="shared" si="5"/>
        <v>Nigromancia70</v>
      </c>
      <c r="D384" s="272" t="s">
        <v>366</v>
      </c>
      <c r="E384" s="2959" t="s">
        <v>1713</v>
      </c>
      <c r="F384" s="2959">
        <v>70</v>
      </c>
      <c r="G384" s="2962" t="s">
        <v>2088</v>
      </c>
      <c r="H384" s="2962" t="s">
        <v>1234</v>
      </c>
      <c r="I384" s="380" t="s">
        <v>1304</v>
      </c>
      <c r="J384" s="2959">
        <v>9</v>
      </c>
      <c r="K384" s="2959">
        <v>12</v>
      </c>
      <c r="L384" s="2959">
        <v>15</v>
      </c>
      <c r="M384" s="377">
        <v>17</v>
      </c>
      <c r="N384" s="2959">
        <v>250</v>
      </c>
      <c r="O384" s="2959">
        <v>360</v>
      </c>
      <c r="P384" s="2959">
        <v>500</v>
      </c>
      <c r="Q384" s="377">
        <v>800</v>
      </c>
      <c r="R384" s="2959">
        <v>50</v>
      </c>
      <c r="S384" s="2959">
        <v>80</v>
      </c>
      <c r="T384" s="2959">
        <v>100</v>
      </c>
      <c r="U384" s="377">
        <v>160</v>
      </c>
      <c r="V384" s="2954" t="s">
        <v>3618</v>
      </c>
      <c r="W384" s="2954" t="s">
        <v>4369</v>
      </c>
      <c r="X384" s="2954" t="s">
        <v>4370</v>
      </c>
      <c r="Y384" s="2954" t="s">
        <v>4700</v>
      </c>
      <c r="Z384" s="2954" t="s">
        <v>4701</v>
      </c>
      <c r="AA384" s="375"/>
    </row>
    <row r="385" spans="1:27" ht="12.75" customHeight="1" x14ac:dyDescent="0.2">
      <c r="A385" s="6360"/>
      <c r="B385" s="251" t="str">
        <f t="shared" si="5"/>
        <v>Nigromancia72</v>
      </c>
      <c r="D385" s="272" t="s">
        <v>367</v>
      </c>
      <c r="E385" s="2959" t="s">
        <v>1713</v>
      </c>
      <c r="F385" s="2959">
        <v>72</v>
      </c>
      <c r="G385" s="2962" t="s">
        <v>1381</v>
      </c>
      <c r="H385" s="2962" t="s">
        <v>1233</v>
      </c>
      <c r="I385" s="380" t="s">
        <v>1304</v>
      </c>
      <c r="J385" s="2959">
        <v>10</v>
      </c>
      <c r="K385" s="2959">
        <v>13</v>
      </c>
      <c r="L385" s="2959">
        <v>15</v>
      </c>
      <c r="M385" s="377">
        <v>18</v>
      </c>
      <c r="N385" s="2959">
        <v>180</v>
      </c>
      <c r="O385" s="2959">
        <v>240</v>
      </c>
      <c r="P385" s="2959">
        <v>300</v>
      </c>
      <c r="Q385" s="377">
        <v>360</v>
      </c>
      <c r="R385" s="2959"/>
      <c r="S385" s="2959"/>
      <c r="T385" s="2959"/>
      <c r="U385" s="377"/>
      <c r="V385" s="2954" t="s">
        <v>4696</v>
      </c>
      <c r="W385" s="2954" t="s">
        <v>3798</v>
      </c>
      <c r="X385" s="2954" t="s">
        <v>3800</v>
      </c>
      <c r="Y385" s="2954" t="s">
        <v>4702</v>
      </c>
      <c r="Z385" s="2954" t="s">
        <v>4703</v>
      </c>
      <c r="AA385" s="375"/>
    </row>
    <row r="386" spans="1:27" ht="12.75" customHeight="1" x14ac:dyDescent="0.2">
      <c r="A386" s="6360"/>
      <c r="B386" s="251" t="str">
        <f t="shared" si="5"/>
        <v>Nigromancia76</v>
      </c>
      <c r="D386" s="272" t="s">
        <v>368</v>
      </c>
      <c r="E386" s="2959" t="s">
        <v>1713</v>
      </c>
      <c r="F386" s="2959">
        <v>76</v>
      </c>
      <c r="G386" s="2962" t="s">
        <v>1381</v>
      </c>
      <c r="H386" s="2962" t="s">
        <v>1233</v>
      </c>
      <c r="I386" s="380" t="s">
        <v>1304</v>
      </c>
      <c r="J386" s="2959">
        <v>10</v>
      </c>
      <c r="K386" s="2959">
        <v>13</v>
      </c>
      <c r="L386" s="2959">
        <v>15</v>
      </c>
      <c r="M386" s="377">
        <v>18</v>
      </c>
      <c r="N386" s="2959">
        <v>250</v>
      </c>
      <c r="O386" s="2959">
        <v>360</v>
      </c>
      <c r="P386" s="2959">
        <v>450</v>
      </c>
      <c r="Q386" s="377">
        <v>540</v>
      </c>
      <c r="R386" s="2959"/>
      <c r="S386" s="2959"/>
      <c r="T386" s="2959"/>
      <c r="U386" s="377"/>
      <c r="V386" s="2954" t="s">
        <v>4696</v>
      </c>
      <c r="W386" s="2954" t="s">
        <v>3798</v>
      </c>
      <c r="X386" s="2954" t="s">
        <v>3800</v>
      </c>
      <c r="Y386" s="2954" t="s">
        <v>4702</v>
      </c>
      <c r="Z386" s="2954" t="s">
        <v>4704</v>
      </c>
      <c r="AA386" s="375"/>
    </row>
    <row r="387" spans="1:27" ht="12.75" customHeight="1" x14ac:dyDescent="0.2">
      <c r="A387" s="6360"/>
      <c r="B387" s="251" t="str">
        <f t="shared" si="5"/>
        <v>Nigromancia78</v>
      </c>
      <c r="D387" s="272" t="s">
        <v>369</v>
      </c>
      <c r="E387" s="2959" t="s">
        <v>1713</v>
      </c>
      <c r="F387" s="2959">
        <v>78</v>
      </c>
      <c r="G387" s="2962" t="s">
        <v>1381</v>
      </c>
      <c r="H387" s="2962" t="s">
        <v>1233</v>
      </c>
      <c r="I387" s="380" t="s">
        <v>1304</v>
      </c>
      <c r="J387" s="2959">
        <v>10</v>
      </c>
      <c r="K387" s="2959">
        <v>12</v>
      </c>
      <c r="L387" s="2959">
        <v>14</v>
      </c>
      <c r="M387" s="377">
        <v>16</v>
      </c>
      <c r="N387" s="2959">
        <v>200</v>
      </c>
      <c r="O387" s="2959">
        <v>240</v>
      </c>
      <c r="P387" s="2959">
        <v>280</v>
      </c>
      <c r="Q387" s="377">
        <v>320</v>
      </c>
      <c r="R387" s="2959"/>
      <c r="S387" s="2959"/>
      <c r="T387" s="2959"/>
      <c r="U387" s="377"/>
      <c r="V387" s="2954" t="s">
        <v>3590</v>
      </c>
      <c r="W387" s="2954" t="s">
        <v>3591</v>
      </c>
      <c r="X387" s="2954" t="s">
        <v>3487</v>
      </c>
      <c r="Y387" s="2954" t="s">
        <v>3322</v>
      </c>
      <c r="Z387" s="2954" t="s">
        <v>4705</v>
      </c>
      <c r="AA387" s="375"/>
    </row>
    <row r="388" spans="1:27" ht="12.75" customHeight="1" x14ac:dyDescent="0.2">
      <c r="A388" s="6360"/>
      <c r="B388" s="251" t="str">
        <f t="shared" si="5"/>
        <v>Nigromancia80</v>
      </c>
      <c r="D388" s="272" t="s">
        <v>370</v>
      </c>
      <c r="E388" s="2959" t="s">
        <v>1713</v>
      </c>
      <c r="F388" s="2959">
        <v>80</v>
      </c>
      <c r="G388" s="2962" t="s">
        <v>1381</v>
      </c>
      <c r="H388" s="2962" t="s">
        <v>1234</v>
      </c>
      <c r="I388" s="380" t="s">
        <v>1304</v>
      </c>
      <c r="J388" s="2959">
        <v>10</v>
      </c>
      <c r="K388" s="2959">
        <v>13</v>
      </c>
      <c r="L388" s="2959">
        <v>15</v>
      </c>
      <c r="M388" s="377">
        <v>17</v>
      </c>
      <c r="N388" s="2959">
        <v>250</v>
      </c>
      <c r="O388" s="2959">
        <v>500</v>
      </c>
      <c r="P388" s="2959">
        <v>1000</v>
      </c>
      <c r="Q388" s="377">
        <v>2500</v>
      </c>
      <c r="R388" s="2959"/>
      <c r="S388" s="2959"/>
      <c r="T388" s="2959"/>
      <c r="U388" s="377" t="s">
        <v>3583</v>
      </c>
      <c r="V388" s="2954" t="s">
        <v>4706</v>
      </c>
      <c r="W388" s="2954" t="s">
        <v>4707</v>
      </c>
      <c r="X388" s="2954" t="s">
        <v>4708</v>
      </c>
      <c r="Y388" s="2954" t="s">
        <v>4709</v>
      </c>
      <c r="Z388" s="2954" t="s">
        <v>4710</v>
      </c>
      <c r="AA388" s="375"/>
    </row>
    <row r="389" spans="1:27" ht="12.75" customHeight="1" x14ac:dyDescent="0.2">
      <c r="A389" s="6360"/>
      <c r="B389" s="251" t="str">
        <f t="shared" si="5"/>
        <v>Nigromancia82</v>
      </c>
      <c r="D389" s="272" t="s">
        <v>371</v>
      </c>
      <c r="E389" s="2959" t="s">
        <v>1713</v>
      </c>
      <c r="F389" s="2959">
        <v>82</v>
      </c>
      <c r="G389" s="2962" t="s">
        <v>1381</v>
      </c>
      <c r="H389" s="2962" t="s">
        <v>1234</v>
      </c>
      <c r="I389" s="380" t="s">
        <v>1304</v>
      </c>
      <c r="J389" s="2959">
        <v>9</v>
      </c>
      <c r="K389" s="2959">
        <v>12</v>
      </c>
      <c r="L389" s="2959">
        <v>14</v>
      </c>
      <c r="M389" s="377">
        <v>16</v>
      </c>
      <c r="N389" s="2959">
        <v>350</v>
      </c>
      <c r="O389" s="2959">
        <v>500</v>
      </c>
      <c r="P389" s="2959">
        <v>800</v>
      </c>
      <c r="Q389" s="377">
        <v>1200</v>
      </c>
      <c r="R389" s="2959"/>
      <c r="S389" s="2959"/>
      <c r="T389" s="2959"/>
      <c r="U389" s="377"/>
      <c r="V389" s="2954" t="s">
        <v>4682</v>
      </c>
      <c r="W389" s="2954" t="s">
        <v>4683</v>
      </c>
      <c r="X389" s="2954" t="s">
        <v>4684</v>
      </c>
      <c r="Y389" s="2954" t="s">
        <v>4685</v>
      </c>
      <c r="Z389" s="2954" t="s">
        <v>4711</v>
      </c>
      <c r="AA389" s="375"/>
    </row>
    <row r="390" spans="1:27" ht="12.75" customHeight="1" x14ac:dyDescent="0.2">
      <c r="A390" s="6360"/>
      <c r="B390" s="251" t="str">
        <f t="shared" si="5"/>
        <v>Nigromancia86</v>
      </c>
      <c r="D390" s="272" t="s">
        <v>372</v>
      </c>
      <c r="E390" s="2959" t="s">
        <v>1713</v>
      </c>
      <c r="F390" s="2959">
        <v>86</v>
      </c>
      <c r="G390" s="2962" t="s">
        <v>1381</v>
      </c>
      <c r="H390" s="2962" t="s">
        <v>1234</v>
      </c>
      <c r="I390" s="380" t="s">
        <v>1304</v>
      </c>
      <c r="J390" s="2959">
        <v>9</v>
      </c>
      <c r="K390" s="2959">
        <v>12</v>
      </c>
      <c r="L390" s="2959">
        <v>14</v>
      </c>
      <c r="M390" s="377">
        <v>16</v>
      </c>
      <c r="N390" s="2959">
        <v>300</v>
      </c>
      <c r="O390" s="2959">
        <v>400</v>
      </c>
      <c r="P390" s="2959">
        <v>500</v>
      </c>
      <c r="Q390" s="377">
        <v>600</v>
      </c>
      <c r="R390" s="2959">
        <v>15</v>
      </c>
      <c r="S390" s="2959">
        <v>20</v>
      </c>
      <c r="T390" s="2959">
        <v>25</v>
      </c>
      <c r="U390" s="377">
        <v>30</v>
      </c>
      <c r="V390" s="2954" t="s">
        <v>3507</v>
      </c>
      <c r="W390" s="2954" t="s">
        <v>3476</v>
      </c>
      <c r="X390" s="2954" t="s">
        <v>3397</v>
      </c>
      <c r="Y390" s="2954" t="s">
        <v>4712</v>
      </c>
      <c r="Z390" s="2954" t="s">
        <v>4713</v>
      </c>
      <c r="AA390" s="375"/>
    </row>
    <row r="391" spans="1:27" ht="12.75" customHeight="1" x14ac:dyDescent="0.2">
      <c r="A391" s="6360"/>
      <c r="B391" s="251" t="str">
        <f t="shared" si="5"/>
        <v>Nigromancia88</v>
      </c>
      <c r="D391" s="272" t="s">
        <v>373</v>
      </c>
      <c r="E391" s="2959" t="s">
        <v>1713</v>
      </c>
      <c r="F391" s="2959">
        <v>88</v>
      </c>
      <c r="G391" s="2962" t="s">
        <v>2088</v>
      </c>
      <c r="H391" s="2962" t="s">
        <v>1234</v>
      </c>
      <c r="I391" s="380" t="s">
        <v>1304</v>
      </c>
      <c r="J391" s="2959">
        <v>9</v>
      </c>
      <c r="K391" s="2959">
        <v>12</v>
      </c>
      <c r="L391" s="2959">
        <v>14</v>
      </c>
      <c r="M391" s="377">
        <v>16</v>
      </c>
      <c r="N391" s="2959">
        <v>350</v>
      </c>
      <c r="O391" s="2959">
        <v>600</v>
      </c>
      <c r="P391" s="2959">
        <v>900</v>
      </c>
      <c r="Q391" s="377">
        <v>1500</v>
      </c>
      <c r="R391" s="2959">
        <v>35</v>
      </c>
      <c r="S391" s="2959">
        <v>60</v>
      </c>
      <c r="T391" s="2959">
        <v>90</v>
      </c>
      <c r="U391" s="377">
        <v>150</v>
      </c>
      <c r="V391" s="2954" t="s">
        <v>3508</v>
      </c>
      <c r="W391" s="2954" t="s">
        <v>4362</v>
      </c>
      <c r="X391" s="2954" t="s">
        <v>4382</v>
      </c>
      <c r="Y391" s="2954" t="s">
        <v>4714</v>
      </c>
      <c r="Z391" s="2954" t="s">
        <v>4715</v>
      </c>
      <c r="AA391" s="375"/>
    </row>
    <row r="392" spans="1:27" ht="12.75" customHeight="1" x14ac:dyDescent="0.2">
      <c r="A392" s="6360"/>
      <c r="B392" s="251" t="str">
        <f t="shared" ref="B392:B455" si="6">E392&amp;F392</f>
        <v>Nigromancia90</v>
      </c>
      <c r="D392" s="272" t="s">
        <v>374</v>
      </c>
      <c r="E392" s="2959" t="s">
        <v>1713</v>
      </c>
      <c r="F392" s="2959">
        <v>90</v>
      </c>
      <c r="G392" s="2962" t="s">
        <v>1381</v>
      </c>
      <c r="H392" s="2962" t="s">
        <v>1234</v>
      </c>
      <c r="I392" s="380" t="s">
        <v>1304</v>
      </c>
      <c r="J392" s="2959">
        <v>10</v>
      </c>
      <c r="K392" s="2959">
        <v>13</v>
      </c>
      <c r="L392" s="2959">
        <v>16</v>
      </c>
      <c r="M392" s="377">
        <v>18</v>
      </c>
      <c r="N392" s="2959">
        <v>200</v>
      </c>
      <c r="O392" s="2959">
        <v>300</v>
      </c>
      <c r="P392" s="2959">
        <v>400</v>
      </c>
      <c r="Q392" s="377">
        <v>500</v>
      </c>
      <c r="R392" s="2959"/>
      <c r="S392" s="2959"/>
      <c r="T392" s="2959"/>
      <c r="U392" s="377"/>
      <c r="V392" s="2954" t="s">
        <v>4716</v>
      </c>
      <c r="W392" s="2954" t="s">
        <v>4717</v>
      </c>
      <c r="X392" s="2954" t="s">
        <v>4718</v>
      </c>
      <c r="Y392" s="2954" t="s">
        <v>4719</v>
      </c>
      <c r="Z392" s="2954" t="s">
        <v>4720</v>
      </c>
      <c r="AA392" s="375"/>
    </row>
    <row r="393" spans="1:27" ht="12.75" customHeight="1" x14ac:dyDescent="0.2">
      <c r="A393" s="6360"/>
      <c r="B393" s="251" t="str">
        <f t="shared" si="6"/>
        <v>Nigromancia92</v>
      </c>
      <c r="D393" s="272" t="s">
        <v>375</v>
      </c>
      <c r="E393" s="2959" t="s">
        <v>1713</v>
      </c>
      <c r="F393" s="2959">
        <v>92</v>
      </c>
      <c r="G393" s="2962" t="s">
        <v>1381</v>
      </c>
      <c r="H393" s="2962" t="s">
        <v>1234</v>
      </c>
      <c r="I393" s="380" t="s">
        <v>1304</v>
      </c>
      <c r="J393" s="2959">
        <v>12</v>
      </c>
      <c r="K393" s="2959">
        <v>14</v>
      </c>
      <c r="L393" s="2959">
        <v>16</v>
      </c>
      <c r="M393" s="377">
        <v>18</v>
      </c>
      <c r="N393" s="2959">
        <v>350</v>
      </c>
      <c r="O393" s="2959">
        <v>500</v>
      </c>
      <c r="P393" s="2959">
        <v>900</v>
      </c>
      <c r="Q393" s="377">
        <v>1500</v>
      </c>
      <c r="R393" s="2959"/>
      <c r="S393" s="2959"/>
      <c r="T393" s="2959"/>
      <c r="U393" s="377"/>
      <c r="V393" s="2954" t="s">
        <v>4721</v>
      </c>
      <c r="W393" s="2954" t="s">
        <v>4722</v>
      </c>
      <c r="X393" s="2954" t="s">
        <v>4723</v>
      </c>
      <c r="Y393" s="2954" t="s">
        <v>4724</v>
      </c>
      <c r="Z393" s="2954" t="s">
        <v>4725</v>
      </c>
      <c r="AA393" s="375"/>
    </row>
    <row r="394" spans="1:27" ht="12.75" customHeight="1" x14ac:dyDescent="0.2">
      <c r="A394" s="6360"/>
      <c r="B394" s="251" t="str">
        <f t="shared" si="6"/>
        <v>Nigromancia96</v>
      </c>
      <c r="D394" s="272" t="s">
        <v>376</v>
      </c>
      <c r="E394" s="2959" t="s">
        <v>1713</v>
      </c>
      <c r="F394" s="2959">
        <v>96</v>
      </c>
      <c r="G394" s="2962" t="s">
        <v>2088</v>
      </c>
      <c r="H394" s="2962" t="s">
        <v>3210</v>
      </c>
      <c r="I394" s="380" t="s">
        <v>1304</v>
      </c>
      <c r="J394" s="2959">
        <v>12</v>
      </c>
      <c r="K394" s="2959">
        <v>14</v>
      </c>
      <c r="L394" s="2959">
        <v>16</v>
      </c>
      <c r="M394" s="377">
        <v>18</v>
      </c>
      <c r="N394" s="2959">
        <v>300</v>
      </c>
      <c r="O394" s="2959">
        <v>600</v>
      </c>
      <c r="P394" s="2959">
        <v>1000</v>
      </c>
      <c r="Q394" s="377">
        <v>2000</v>
      </c>
      <c r="R394" s="2959">
        <v>30</v>
      </c>
      <c r="S394" s="2959">
        <v>60</v>
      </c>
      <c r="T394" s="2959">
        <v>100</v>
      </c>
      <c r="U394" s="377">
        <v>200</v>
      </c>
      <c r="V394" s="2954" t="s">
        <v>4387</v>
      </c>
      <c r="W394" s="2954" t="s">
        <v>4726</v>
      </c>
      <c r="X394" s="2954" t="s">
        <v>4727</v>
      </c>
      <c r="Y394" s="2954" t="s">
        <v>4728</v>
      </c>
      <c r="Z394" s="2954" t="s">
        <v>4729</v>
      </c>
      <c r="AA394" s="375"/>
    </row>
    <row r="395" spans="1:27" ht="12.75" customHeight="1" x14ac:dyDescent="0.2">
      <c r="A395" s="6360"/>
      <c r="B395" s="251" t="str">
        <f t="shared" si="6"/>
        <v>Nigromancia98</v>
      </c>
      <c r="D395" s="272" t="s">
        <v>377</v>
      </c>
      <c r="E395" s="2959" t="s">
        <v>1713</v>
      </c>
      <c r="F395" s="2959">
        <v>98</v>
      </c>
      <c r="G395" s="2962" t="s">
        <v>1381</v>
      </c>
      <c r="H395" s="2962" t="s">
        <v>3210</v>
      </c>
      <c r="I395" s="380" t="s">
        <v>1304</v>
      </c>
      <c r="J395" s="2959">
        <v>16</v>
      </c>
      <c r="K395" s="2959">
        <v>17</v>
      </c>
      <c r="L395" s="2959">
        <v>18</v>
      </c>
      <c r="M395" s="377">
        <v>19</v>
      </c>
      <c r="N395" s="2959">
        <v>400</v>
      </c>
      <c r="O395" s="2959">
        <v>800</v>
      </c>
      <c r="P395" s="2959">
        <v>1600</v>
      </c>
      <c r="Q395" s="377">
        <v>3200</v>
      </c>
      <c r="R395" s="2959"/>
      <c r="S395" s="2959"/>
      <c r="T395" s="2959"/>
      <c r="U395" s="377" t="s">
        <v>3583</v>
      </c>
      <c r="V395" s="2954" t="s">
        <v>4730</v>
      </c>
      <c r="W395" s="2954" t="s">
        <v>4731</v>
      </c>
      <c r="X395" s="2954" t="s">
        <v>4732</v>
      </c>
      <c r="Y395" s="2954" t="s">
        <v>4733</v>
      </c>
      <c r="Z395" s="2954" t="s">
        <v>4734</v>
      </c>
      <c r="AA395" s="375"/>
    </row>
    <row r="396" spans="1:27" ht="12.75" customHeight="1" x14ac:dyDescent="0.2">
      <c r="A396" s="6360"/>
      <c r="B396" s="251" t="str">
        <f t="shared" si="6"/>
        <v>Nigromancia100</v>
      </c>
      <c r="D396" s="272" t="s">
        <v>378</v>
      </c>
      <c r="E396" s="2959" t="s">
        <v>1713</v>
      </c>
      <c r="F396" s="2959">
        <v>100</v>
      </c>
      <c r="G396" s="2962" t="s">
        <v>1381</v>
      </c>
      <c r="H396" s="2962" t="s">
        <v>3210</v>
      </c>
      <c r="I396" s="380" t="s">
        <v>1304</v>
      </c>
      <c r="J396" s="2959">
        <v>17</v>
      </c>
      <c r="K396" s="2959">
        <v>18</v>
      </c>
      <c r="L396" s="2959">
        <v>19</v>
      </c>
      <c r="M396" s="377">
        <v>20</v>
      </c>
      <c r="N396" s="2959">
        <v>900</v>
      </c>
      <c r="O396" s="2959">
        <v>2000</v>
      </c>
      <c r="P396" s="2959">
        <v>3500</v>
      </c>
      <c r="Q396" s="377">
        <v>5000</v>
      </c>
      <c r="R396" s="2959">
        <v>45</v>
      </c>
      <c r="S396" s="2959">
        <v>100</v>
      </c>
      <c r="T396" s="2959">
        <v>175</v>
      </c>
      <c r="U396" s="377">
        <v>250</v>
      </c>
      <c r="V396" s="2954" t="s">
        <v>3619</v>
      </c>
      <c r="W396" s="2954" t="s">
        <v>3620</v>
      </c>
      <c r="X396" s="2954" t="s">
        <v>3621</v>
      </c>
      <c r="Y396" s="2954" t="s">
        <v>4735</v>
      </c>
      <c r="Z396" s="2954" t="s">
        <v>4736</v>
      </c>
      <c r="AA396" s="375"/>
    </row>
    <row r="397" spans="1:27" ht="12.75" customHeight="1" x14ac:dyDescent="0.2">
      <c r="A397" s="6360"/>
      <c r="B397" s="251" t="str">
        <f t="shared" si="6"/>
        <v/>
      </c>
      <c r="D397" s="272" t="s">
        <v>379</v>
      </c>
      <c r="E397" s="2959"/>
      <c r="F397" s="2959"/>
      <c r="G397" s="2962"/>
      <c r="H397" s="2962"/>
      <c r="I397" s="380"/>
      <c r="J397" s="2959"/>
      <c r="K397" s="2959"/>
      <c r="L397" s="2959"/>
      <c r="M397" s="377"/>
      <c r="N397" s="2959"/>
      <c r="O397" s="2959"/>
      <c r="P397" s="2959"/>
      <c r="Q397" s="377"/>
      <c r="R397" s="2959"/>
      <c r="S397" s="2959"/>
      <c r="T397" s="2959"/>
      <c r="U397" s="377"/>
      <c r="V397" s="2954"/>
      <c r="W397" s="2954"/>
      <c r="X397" s="2954"/>
      <c r="Y397" s="2954"/>
      <c r="Z397" s="2954"/>
      <c r="AA397" s="375"/>
    </row>
    <row r="398" spans="1:27" ht="12.75" customHeight="1" x14ac:dyDescent="0.2">
      <c r="A398" s="6360"/>
      <c r="B398" s="222" t="str">
        <f t="shared" si="6"/>
        <v>Libre acceso2</v>
      </c>
      <c r="C398" s="222"/>
      <c r="D398" s="272" t="s">
        <v>380</v>
      </c>
      <c r="E398" s="2959" t="s">
        <v>381</v>
      </c>
      <c r="F398" s="2959">
        <v>2</v>
      </c>
      <c r="G398" s="2962" t="s">
        <v>1381</v>
      </c>
      <c r="H398" s="2962" t="s">
        <v>1234</v>
      </c>
      <c r="I398" s="380" t="s">
        <v>1304</v>
      </c>
      <c r="J398" s="2959">
        <v>5</v>
      </c>
      <c r="K398" s="2959">
        <v>8</v>
      </c>
      <c r="L398" s="2959">
        <v>10</v>
      </c>
      <c r="M398" s="377">
        <v>12</v>
      </c>
      <c r="N398" s="2959">
        <v>30</v>
      </c>
      <c r="O398" s="2959">
        <v>70</v>
      </c>
      <c r="P398" s="2959">
        <v>100</v>
      </c>
      <c r="Q398" s="377">
        <v>140</v>
      </c>
      <c r="R398" s="2959"/>
      <c r="S398" s="2959"/>
      <c r="T398" s="2959"/>
      <c r="U398" s="377"/>
      <c r="V398" s="2954" t="s">
        <v>4737</v>
      </c>
      <c r="W398" s="2954" t="s">
        <v>4738</v>
      </c>
      <c r="X398" s="2954" t="s">
        <v>4739</v>
      </c>
      <c r="Y398" s="2954" t="s">
        <v>4740</v>
      </c>
      <c r="Z398" s="2954" t="s">
        <v>4741</v>
      </c>
      <c r="AA398" s="375" t="s">
        <v>10427</v>
      </c>
    </row>
    <row r="399" spans="1:27" ht="12.75" customHeight="1" x14ac:dyDescent="0.2">
      <c r="A399" s="6360"/>
      <c r="B399" s="251" t="str">
        <f t="shared" si="6"/>
        <v>Libre acceso2</v>
      </c>
      <c r="D399" s="272" t="s">
        <v>382</v>
      </c>
      <c r="E399" s="2959" t="s">
        <v>381</v>
      </c>
      <c r="F399" s="2959">
        <v>2</v>
      </c>
      <c r="G399" s="2962" t="s">
        <v>1381</v>
      </c>
      <c r="H399" s="2962" t="s">
        <v>1234</v>
      </c>
      <c r="I399" s="380" t="s">
        <v>1304</v>
      </c>
      <c r="J399" s="2959">
        <v>5</v>
      </c>
      <c r="K399" s="2959">
        <v>8</v>
      </c>
      <c r="L399" s="2959">
        <v>10</v>
      </c>
      <c r="M399" s="377">
        <v>12</v>
      </c>
      <c r="N399" s="2959">
        <v>30</v>
      </c>
      <c r="O399" s="2959">
        <v>70</v>
      </c>
      <c r="P399" s="2959">
        <v>90</v>
      </c>
      <c r="Q399" s="377">
        <v>120</v>
      </c>
      <c r="R399" s="2959">
        <v>5</v>
      </c>
      <c r="S399" s="2959">
        <v>10</v>
      </c>
      <c r="T399" s="2959">
        <v>10</v>
      </c>
      <c r="U399" s="377">
        <v>15</v>
      </c>
      <c r="V399" s="2954" t="s">
        <v>4742</v>
      </c>
      <c r="W399" s="2954" t="s">
        <v>4743</v>
      </c>
      <c r="X399" s="2954" t="s">
        <v>4744</v>
      </c>
      <c r="Y399" s="2954" t="s">
        <v>4745</v>
      </c>
      <c r="Z399" s="2954" t="s">
        <v>4746</v>
      </c>
      <c r="AA399" s="375" t="s">
        <v>10426</v>
      </c>
    </row>
    <row r="400" spans="1:27" ht="12.75" customHeight="1" x14ac:dyDescent="0.2">
      <c r="A400" s="6360"/>
      <c r="B400" s="251" t="str">
        <f t="shared" si="6"/>
        <v>Libre acceso2</v>
      </c>
      <c r="D400" s="272" t="s">
        <v>383</v>
      </c>
      <c r="E400" s="2959" t="s">
        <v>381</v>
      </c>
      <c r="F400" s="2959">
        <v>2</v>
      </c>
      <c r="G400" s="2962" t="s">
        <v>1381</v>
      </c>
      <c r="H400" s="2962" t="s">
        <v>1234</v>
      </c>
      <c r="I400" s="380" t="s">
        <v>1304</v>
      </c>
      <c r="J400" s="2959">
        <v>5</v>
      </c>
      <c r="K400" s="2959">
        <v>8</v>
      </c>
      <c r="L400" s="2959">
        <v>10</v>
      </c>
      <c r="M400" s="377">
        <v>12</v>
      </c>
      <c r="N400" s="2959">
        <v>30</v>
      </c>
      <c r="O400" s="2959">
        <v>60</v>
      </c>
      <c r="P400" s="2959">
        <v>100</v>
      </c>
      <c r="Q400" s="377">
        <v>140</v>
      </c>
      <c r="R400" s="2959"/>
      <c r="S400" s="2959"/>
      <c r="T400" s="2959"/>
      <c r="U400" s="377"/>
      <c r="V400" s="2954" t="s">
        <v>3542</v>
      </c>
      <c r="W400" s="2954" t="s">
        <v>3404</v>
      </c>
      <c r="X400" s="2954" t="s">
        <v>3575</v>
      </c>
      <c r="Y400" s="2954" t="s">
        <v>4307</v>
      </c>
      <c r="Z400" s="2954" t="s">
        <v>4747</v>
      </c>
      <c r="AA400" s="375"/>
    </row>
    <row r="401" spans="1:27" ht="12.75" customHeight="1" x14ac:dyDescent="0.2">
      <c r="A401" s="6360"/>
      <c r="B401" s="251" t="str">
        <f t="shared" si="6"/>
        <v>Libre acceso2</v>
      </c>
      <c r="D401" s="272" t="s">
        <v>384</v>
      </c>
      <c r="E401" s="2959" t="s">
        <v>381</v>
      </c>
      <c r="F401" s="2959">
        <v>2</v>
      </c>
      <c r="G401" s="2962" t="s">
        <v>1381</v>
      </c>
      <c r="H401" s="2962" t="s">
        <v>1234</v>
      </c>
      <c r="I401" s="380" t="s">
        <v>1304</v>
      </c>
      <c r="J401" s="2959">
        <v>5</v>
      </c>
      <c r="K401" s="2959">
        <v>8</v>
      </c>
      <c r="L401" s="2959">
        <v>10</v>
      </c>
      <c r="M401" s="377">
        <v>12</v>
      </c>
      <c r="N401" s="2959">
        <v>40</v>
      </c>
      <c r="O401" s="2959">
        <v>80</v>
      </c>
      <c r="P401" s="2959">
        <v>120</v>
      </c>
      <c r="Q401" s="377">
        <v>150</v>
      </c>
      <c r="R401" s="2959">
        <v>5</v>
      </c>
      <c r="S401" s="2959">
        <v>5</v>
      </c>
      <c r="T401" s="2959">
        <v>10</v>
      </c>
      <c r="U401" s="377">
        <v>10</v>
      </c>
      <c r="V401" s="2954" t="s">
        <v>4774</v>
      </c>
      <c r="W401" s="2954" t="s">
        <v>4775</v>
      </c>
      <c r="X401" s="2954" t="s">
        <v>4776</v>
      </c>
      <c r="Y401" s="2954" t="s">
        <v>4777</v>
      </c>
      <c r="Z401" s="2954" t="s">
        <v>4778</v>
      </c>
      <c r="AA401" s="375" t="s">
        <v>1700</v>
      </c>
    </row>
    <row r="402" spans="1:27" ht="12.75" customHeight="1" x14ac:dyDescent="0.2">
      <c r="A402" s="6360"/>
      <c r="B402" s="251" t="str">
        <f t="shared" si="6"/>
        <v>Libre acceso2</v>
      </c>
      <c r="D402" s="272" t="s">
        <v>385</v>
      </c>
      <c r="E402" s="2959" t="s">
        <v>381</v>
      </c>
      <c r="F402" s="2959">
        <v>2</v>
      </c>
      <c r="G402" s="2962" t="s">
        <v>1381</v>
      </c>
      <c r="H402" s="2962" t="s">
        <v>1234</v>
      </c>
      <c r="I402" s="380" t="s">
        <v>1304</v>
      </c>
      <c r="J402" s="2959">
        <v>5</v>
      </c>
      <c r="K402" s="2959">
        <v>8</v>
      </c>
      <c r="L402" s="2959">
        <v>10</v>
      </c>
      <c r="M402" s="377">
        <v>12</v>
      </c>
      <c r="N402" s="2959">
        <v>50</v>
      </c>
      <c r="O402" s="2959">
        <v>80</v>
      </c>
      <c r="P402" s="2959">
        <v>100</v>
      </c>
      <c r="Q402" s="377">
        <v>120</v>
      </c>
      <c r="R402" s="2959">
        <v>5</v>
      </c>
      <c r="S402" s="2959">
        <v>5</v>
      </c>
      <c r="T402" s="2959">
        <v>5</v>
      </c>
      <c r="U402" s="377">
        <v>10</v>
      </c>
      <c r="V402" s="2954" t="s">
        <v>4749</v>
      </c>
      <c r="W402" s="2954" t="s">
        <v>4750</v>
      </c>
      <c r="X402" s="2954" t="s">
        <v>4751</v>
      </c>
      <c r="Y402" s="2954" t="s">
        <v>4752</v>
      </c>
      <c r="Z402" s="2954" t="s">
        <v>4753</v>
      </c>
      <c r="AA402" s="375" t="s">
        <v>1707</v>
      </c>
    </row>
    <row r="403" spans="1:27" ht="12.75" customHeight="1" x14ac:dyDescent="0.2">
      <c r="A403" s="6360"/>
      <c r="B403" s="251" t="str">
        <f t="shared" si="6"/>
        <v>Libre acceso2</v>
      </c>
      <c r="D403" s="272" t="s">
        <v>386</v>
      </c>
      <c r="E403" s="2959" t="s">
        <v>381</v>
      </c>
      <c r="F403" s="2959">
        <v>2</v>
      </c>
      <c r="G403" s="2962" t="s">
        <v>1381</v>
      </c>
      <c r="H403" s="2962" t="s">
        <v>1234</v>
      </c>
      <c r="I403" s="380" t="s">
        <v>1304</v>
      </c>
      <c r="J403" s="2959">
        <v>5</v>
      </c>
      <c r="K403" s="2959">
        <v>8</v>
      </c>
      <c r="L403" s="2959">
        <v>10</v>
      </c>
      <c r="M403" s="377">
        <v>12</v>
      </c>
      <c r="N403" s="2959">
        <v>40</v>
      </c>
      <c r="O403" s="2959">
        <v>80</v>
      </c>
      <c r="P403" s="2959">
        <v>120</v>
      </c>
      <c r="Q403" s="377">
        <v>160</v>
      </c>
      <c r="R403" s="2959"/>
      <c r="S403" s="2959"/>
      <c r="T403" s="2959"/>
      <c r="U403" s="377"/>
      <c r="V403" s="2954" t="s">
        <v>4754</v>
      </c>
      <c r="W403" s="2954" t="s">
        <v>4755</v>
      </c>
      <c r="X403" s="2954" t="s">
        <v>4756</v>
      </c>
      <c r="Y403" s="2954" t="s">
        <v>4757</v>
      </c>
      <c r="Z403" s="2954" t="s">
        <v>4758</v>
      </c>
      <c r="AA403" s="375" t="s">
        <v>10428</v>
      </c>
    </row>
    <row r="404" spans="1:27" ht="12.75" customHeight="1" x14ac:dyDescent="0.2">
      <c r="A404" s="6360"/>
      <c r="B404" s="251" t="str">
        <f t="shared" si="6"/>
        <v>Libre acceso2</v>
      </c>
      <c r="D404" s="272" t="s">
        <v>9998</v>
      </c>
      <c r="E404" s="2959" t="s">
        <v>381</v>
      </c>
      <c r="F404" s="2959">
        <v>2</v>
      </c>
      <c r="G404" s="2962" t="s">
        <v>1381</v>
      </c>
      <c r="H404" s="2962" t="s">
        <v>1234</v>
      </c>
      <c r="I404" s="380" t="s">
        <v>1304</v>
      </c>
      <c r="J404" s="2959">
        <v>5</v>
      </c>
      <c r="K404" s="2959">
        <v>8</v>
      </c>
      <c r="L404" s="2959">
        <v>10</v>
      </c>
      <c r="M404" s="377">
        <v>12</v>
      </c>
      <c r="N404" s="2959">
        <v>40</v>
      </c>
      <c r="O404" s="2959">
        <v>80</v>
      </c>
      <c r="P404" s="2959">
        <v>110</v>
      </c>
      <c r="Q404" s="377">
        <v>130</v>
      </c>
      <c r="R404" s="2959">
        <v>5</v>
      </c>
      <c r="S404" s="2959">
        <v>10</v>
      </c>
      <c r="T404" s="2959">
        <v>10</v>
      </c>
      <c r="U404" s="377">
        <v>15</v>
      </c>
      <c r="V404" s="2954" t="s">
        <v>3530</v>
      </c>
      <c r="W404" s="2954" t="s">
        <v>4759</v>
      </c>
      <c r="X404" s="2954" t="s">
        <v>4760</v>
      </c>
      <c r="Y404" s="2954" t="s">
        <v>4761</v>
      </c>
      <c r="Z404" s="2954" t="s">
        <v>4762</v>
      </c>
      <c r="AA404" s="375" t="s">
        <v>1606</v>
      </c>
    </row>
    <row r="405" spans="1:27" ht="12.75" customHeight="1" x14ac:dyDescent="0.2">
      <c r="A405" s="6360"/>
      <c r="B405" s="251" t="str">
        <f t="shared" si="6"/>
        <v>Libre acceso2</v>
      </c>
      <c r="D405" s="272" t="s">
        <v>387</v>
      </c>
      <c r="E405" s="2959" t="s">
        <v>381</v>
      </c>
      <c r="F405" s="2959">
        <v>2</v>
      </c>
      <c r="G405" s="2962" t="s">
        <v>1381</v>
      </c>
      <c r="H405" s="2962" t="s">
        <v>1234</v>
      </c>
      <c r="I405" s="380" t="s">
        <v>1304</v>
      </c>
      <c r="J405" s="2959">
        <v>5</v>
      </c>
      <c r="K405" s="2959">
        <v>8</v>
      </c>
      <c r="L405" s="2959">
        <v>10</v>
      </c>
      <c r="M405" s="377">
        <v>12</v>
      </c>
      <c r="N405" s="2959">
        <v>40</v>
      </c>
      <c r="O405" s="2959">
        <v>80</v>
      </c>
      <c r="P405" s="2959">
        <v>120</v>
      </c>
      <c r="Q405" s="377">
        <v>160</v>
      </c>
      <c r="R405" s="2959"/>
      <c r="S405" s="2959"/>
      <c r="T405" s="2959"/>
      <c r="U405" s="377" t="s">
        <v>3583</v>
      </c>
      <c r="V405" s="2954" t="s">
        <v>4763</v>
      </c>
      <c r="W405" s="2954" t="s">
        <v>4764</v>
      </c>
      <c r="X405" s="2954" t="s">
        <v>4765</v>
      </c>
      <c r="Y405" s="2954" t="s">
        <v>4766</v>
      </c>
      <c r="Z405" s="2954" t="s">
        <v>4767</v>
      </c>
      <c r="AA405" s="375" t="s">
        <v>1706</v>
      </c>
    </row>
    <row r="406" spans="1:27" ht="12.75" customHeight="1" x14ac:dyDescent="0.2">
      <c r="A406" s="6360"/>
      <c r="B406" s="251" t="str">
        <f t="shared" si="6"/>
        <v>Libre acceso2</v>
      </c>
      <c r="D406" s="272" t="s">
        <v>388</v>
      </c>
      <c r="E406" s="2959" t="s">
        <v>381</v>
      </c>
      <c r="F406" s="2959">
        <v>2</v>
      </c>
      <c r="G406" s="2962" t="s">
        <v>1381</v>
      </c>
      <c r="H406" s="2962" t="s">
        <v>1234</v>
      </c>
      <c r="I406" s="380" t="s">
        <v>1305</v>
      </c>
      <c r="J406" s="2959">
        <v>5</v>
      </c>
      <c r="K406" s="2959">
        <v>8</v>
      </c>
      <c r="L406" s="2959">
        <v>10</v>
      </c>
      <c r="M406" s="377">
        <v>12</v>
      </c>
      <c r="N406" s="2959">
        <v>40</v>
      </c>
      <c r="O406" s="2959">
        <v>80</v>
      </c>
      <c r="P406" s="2959">
        <v>160</v>
      </c>
      <c r="Q406" s="377">
        <v>240</v>
      </c>
      <c r="R406" s="2959">
        <v>5</v>
      </c>
      <c r="S406" s="2959">
        <v>15</v>
      </c>
      <c r="T406" s="2959">
        <v>20</v>
      </c>
      <c r="U406" s="377">
        <v>25</v>
      </c>
      <c r="V406" s="2954" t="s">
        <v>9637</v>
      </c>
      <c r="W406" s="2954" t="s">
        <v>9638</v>
      </c>
      <c r="X406" s="2954" t="s">
        <v>9639</v>
      </c>
      <c r="Y406" s="2954" t="s">
        <v>9640</v>
      </c>
      <c r="Z406" s="2954" t="s">
        <v>4768</v>
      </c>
      <c r="AA406" s="375" t="s">
        <v>1704</v>
      </c>
    </row>
    <row r="407" spans="1:27" ht="12.75" customHeight="1" x14ac:dyDescent="0.2">
      <c r="A407" s="6360"/>
      <c r="B407" s="251" t="str">
        <f t="shared" si="6"/>
        <v>Libre acceso2</v>
      </c>
      <c r="D407" s="272" t="s">
        <v>389</v>
      </c>
      <c r="E407" s="2959" t="s">
        <v>381</v>
      </c>
      <c r="F407" s="2959">
        <v>2</v>
      </c>
      <c r="G407" s="2962" t="s">
        <v>2088</v>
      </c>
      <c r="H407" s="2962" t="s">
        <v>1234</v>
      </c>
      <c r="I407" s="380" t="s">
        <v>1304</v>
      </c>
      <c r="J407" s="2959">
        <v>5</v>
      </c>
      <c r="K407" s="2959">
        <v>8</v>
      </c>
      <c r="L407" s="2959">
        <v>10</v>
      </c>
      <c r="M407" s="377">
        <v>12</v>
      </c>
      <c r="N407" s="2959">
        <v>30</v>
      </c>
      <c r="O407" s="2959">
        <v>70</v>
      </c>
      <c r="P407" s="2959">
        <v>120</v>
      </c>
      <c r="Q407" s="377">
        <v>180</v>
      </c>
      <c r="R407" s="2959">
        <v>5</v>
      </c>
      <c r="S407" s="2959">
        <v>10</v>
      </c>
      <c r="T407" s="2959">
        <v>15</v>
      </c>
      <c r="U407" s="377">
        <v>20</v>
      </c>
      <c r="V407" s="2954" t="s">
        <v>4769</v>
      </c>
      <c r="W407" s="2954" t="s">
        <v>4770</v>
      </c>
      <c r="X407" s="2954" t="s">
        <v>4771</v>
      </c>
      <c r="Y407" s="2954" t="s">
        <v>4772</v>
      </c>
      <c r="Z407" s="2954" t="s">
        <v>4773</v>
      </c>
      <c r="AA407" s="375" t="s">
        <v>1707</v>
      </c>
    </row>
    <row r="408" spans="1:27" ht="12.75" customHeight="1" x14ac:dyDescent="0.2">
      <c r="A408" s="6360"/>
      <c r="B408" s="251" t="str">
        <f t="shared" si="6"/>
        <v>Libre acceso2</v>
      </c>
      <c r="D408" s="272" t="s">
        <v>1419</v>
      </c>
      <c r="E408" s="2959" t="s">
        <v>381</v>
      </c>
      <c r="F408" s="2959">
        <v>2</v>
      </c>
      <c r="G408" s="2962" t="s">
        <v>1381</v>
      </c>
      <c r="H408" s="2962" t="s">
        <v>1234</v>
      </c>
      <c r="I408" s="380" t="s">
        <v>1304</v>
      </c>
      <c r="J408" s="2959">
        <v>5</v>
      </c>
      <c r="K408" s="2959">
        <v>8</v>
      </c>
      <c r="L408" s="2959">
        <v>10</v>
      </c>
      <c r="M408" s="377">
        <v>12</v>
      </c>
      <c r="N408" s="2959">
        <v>50</v>
      </c>
      <c r="O408" s="2959">
        <v>80</v>
      </c>
      <c r="P408" s="2959">
        <v>100</v>
      </c>
      <c r="Q408" s="377">
        <v>140</v>
      </c>
      <c r="R408" s="2959">
        <v>5</v>
      </c>
      <c r="S408" s="2959">
        <v>10</v>
      </c>
      <c r="T408" s="2959">
        <v>10</v>
      </c>
      <c r="U408" s="377">
        <v>15</v>
      </c>
      <c r="V408" s="2960" t="s">
        <v>8649</v>
      </c>
      <c r="W408" s="2960" t="s">
        <v>8648</v>
      </c>
      <c r="X408" s="2960" t="s">
        <v>8650</v>
      </c>
      <c r="Y408" s="2960" t="s">
        <v>8651</v>
      </c>
      <c r="Z408" s="2954" t="s">
        <v>4748</v>
      </c>
      <c r="AA408" s="375" t="s">
        <v>1704</v>
      </c>
    </row>
    <row r="409" spans="1:27" ht="12.75" customHeight="1" x14ac:dyDescent="0.2">
      <c r="A409" s="6360"/>
      <c r="B409" s="251" t="str">
        <f t="shared" si="6"/>
        <v>Libre acceso2</v>
      </c>
      <c r="D409" s="272" t="s">
        <v>390</v>
      </c>
      <c r="E409" s="2959" t="s">
        <v>381</v>
      </c>
      <c r="F409" s="2959">
        <v>2</v>
      </c>
      <c r="G409" s="2962" t="s">
        <v>2088</v>
      </c>
      <c r="H409" s="2962" t="s">
        <v>1233</v>
      </c>
      <c r="I409" s="380" t="s">
        <v>1304</v>
      </c>
      <c r="J409" s="2959">
        <v>5</v>
      </c>
      <c r="K409" s="2959">
        <v>8</v>
      </c>
      <c r="L409" s="2959">
        <v>10</v>
      </c>
      <c r="M409" s="377">
        <v>12</v>
      </c>
      <c r="N409" s="2959">
        <v>30</v>
      </c>
      <c r="O409" s="2959">
        <v>80</v>
      </c>
      <c r="P409" s="2959">
        <v>100</v>
      </c>
      <c r="Q409" s="377">
        <v>120</v>
      </c>
      <c r="R409" s="2959">
        <v>5</v>
      </c>
      <c r="S409" s="2959">
        <v>5</v>
      </c>
      <c r="T409" s="2959">
        <v>5</v>
      </c>
      <c r="U409" s="377">
        <v>10</v>
      </c>
      <c r="V409" s="2954" t="s">
        <v>4779</v>
      </c>
      <c r="W409" s="2954" t="s">
        <v>4270</v>
      </c>
      <c r="X409" s="2954" t="s">
        <v>4780</v>
      </c>
      <c r="Y409" s="2954" t="s">
        <v>4781</v>
      </c>
      <c r="Z409" s="2954" t="s">
        <v>4782</v>
      </c>
      <c r="AA409" s="375" t="s">
        <v>1707</v>
      </c>
    </row>
    <row r="410" spans="1:27" ht="12.75" customHeight="1" x14ac:dyDescent="0.2">
      <c r="A410" s="6360"/>
      <c r="B410" s="251" t="str">
        <f t="shared" si="6"/>
        <v>Libre acceso</v>
      </c>
      <c r="D410" s="272" t="s">
        <v>391</v>
      </c>
      <c r="E410" s="2959" t="s">
        <v>381</v>
      </c>
      <c r="F410" s="2959"/>
      <c r="G410" s="2962"/>
      <c r="H410" s="2962" t="s">
        <v>1234</v>
      </c>
      <c r="I410" s="380"/>
      <c r="J410" s="2959"/>
      <c r="K410" s="2959"/>
      <c r="L410" s="2959"/>
      <c r="M410" s="377"/>
      <c r="N410" s="2959"/>
      <c r="O410" s="2959"/>
      <c r="P410" s="2959"/>
      <c r="Q410" s="377"/>
      <c r="R410" s="2959"/>
      <c r="S410" s="2959"/>
      <c r="T410" s="2959"/>
      <c r="U410" s="377"/>
      <c r="V410" s="2954"/>
      <c r="W410" s="2954"/>
      <c r="X410" s="2954"/>
      <c r="Y410" s="2954"/>
      <c r="Z410" s="2954"/>
      <c r="AA410" s="375"/>
    </row>
    <row r="411" spans="1:27" ht="12.75" customHeight="1" x14ac:dyDescent="0.2">
      <c r="A411" s="6360"/>
      <c r="B411" s="251" t="str">
        <f t="shared" si="6"/>
        <v>Libre acceso12</v>
      </c>
      <c r="D411" s="272" t="s">
        <v>392</v>
      </c>
      <c r="E411" s="2959" t="s">
        <v>381</v>
      </c>
      <c r="F411" s="2959">
        <f>F398+10</f>
        <v>12</v>
      </c>
      <c r="G411" s="2964" t="s">
        <v>1381</v>
      </c>
      <c r="H411" s="2962" t="s">
        <v>1234</v>
      </c>
      <c r="I411" s="380" t="s">
        <v>1304</v>
      </c>
      <c r="J411" s="2959">
        <v>6</v>
      </c>
      <c r="K411" s="2959">
        <v>9</v>
      </c>
      <c r="L411" s="2959">
        <v>11</v>
      </c>
      <c r="M411" s="377">
        <v>13</v>
      </c>
      <c r="N411" s="2959">
        <v>40</v>
      </c>
      <c r="O411" s="2959">
        <v>80</v>
      </c>
      <c r="P411" s="2959">
        <v>120</v>
      </c>
      <c r="Q411" s="377">
        <v>160</v>
      </c>
      <c r="R411" s="2959">
        <v>5</v>
      </c>
      <c r="S411" s="2959">
        <v>10</v>
      </c>
      <c r="T411" s="2959">
        <v>15</v>
      </c>
      <c r="U411" s="377">
        <v>20</v>
      </c>
      <c r="V411" s="2954" t="s">
        <v>4783</v>
      </c>
      <c r="W411" s="2954" t="s">
        <v>4784</v>
      </c>
      <c r="X411" s="2954" t="s">
        <v>4785</v>
      </c>
      <c r="Y411" s="2954" t="s">
        <v>4786</v>
      </c>
      <c r="Z411" s="2954" t="s">
        <v>4787</v>
      </c>
      <c r="AA411" s="375" t="s">
        <v>1707</v>
      </c>
    </row>
    <row r="412" spans="1:27" ht="12.75" customHeight="1" x14ac:dyDescent="0.2">
      <c r="A412" s="6360"/>
      <c r="B412" s="251" t="str">
        <f t="shared" si="6"/>
        <v>Libre acceso12</v>
      </c>
      <c r="D412" s="272" t="s">
        <v>393</v>
      </c>
      <c r="E412" s="2959" t="s">
        <v>381</v>
      </c>
      <c r="F412" s="2959">
        <f t="shared" ref="F412:F422" si="7">F399+10</f>
        <v>12</v>
      </c>
      <c r="G412" s="2964" t="s">
        <v>1381</v>
      </c>
      <c r="H412" s="2962" t="s">
        <v>1234</v>
      </c>
      <c r="I412" s="380" t="s">
        <v>1304</v>
      </c>
      <c r="J412" s="2959">
        <v>6</v>
      </c>
      <c r="K412" s="2959">
        <v>9</v>
      </c>
      <c r="L412" s="2959">
        <v>11</v>
      </c>
      <c r="M412" s="377">
        <v>13</v>
      </c>
      <c r="N412" s="2959">
        <v>40</v>
      </c>
      <c r="O412" s="2959">
        <v>70</v>
      </c>
      <c r="P412" s="2959">
        <v>100</v>
      </c>
      <c r="Q412" s="377">
        <v>130</v>
      </c>
      <c r="R412" s="2959">
        <v>5</v>
      </c>
      <c r="S412" s="2959">
        <v>10</v>
      </c>
      <c r="T412" s="2959">
        <v>10</v>
      </c>
      <c r="U412" s="377">
        <v>15</v>
      </c>
      <c r="V412" s="2954" t="s">
        <v>4788</v>
      </c>
      <c r="W412" s="2954" t="s">
        <v>4789</v>
      </c>
      <c r="X412" s="2954" t="s">
        <v>4790</v>
      </c>
      <c r="Y412" s="2954" t="s">
        <v>4791</v>
      </c>
      <c r="Z412" s="2954" t="s">
        <v>4792</v>
      </c>
      <c r="AA412" s="375" t="s">
        <v>1707</v>
      </c>
    </row>
    <row r="413" spans="1:27" ht="12.75" customHeight="1" x14ac:dyDescent="0.2">
      <c r="A413" s="6360"/>
      <c r="B413" s="251" t="str">
        <f t="shared" si="6"/>
        <v>Libre acceso12</v>
      </c>
      <c r="D413" s="272" t="s">
        <v>394</v>
      </c>
      <c r="E413" s="2959" t="s">
        <v>381</v>
      </c>
      <c r="F413" s="2959">
        <f t="shared" si="7"/>
        <v>12</v>
      </c>
      <c r="G413" s="2962" t="s">
        <v>2088</v>
      </c>
      <c r="H413" s="2962" t="s">
        <v>1234</v>
      </c>
      <c r="I413" s="380" t="s">
        <v>1304</v>
      </c>
      <c r="J413" s="2959">
        <v>6</v>
      </c>
      <c r="K413" s="2959">
        <v>9</v>
      </c>
      <c r="L413" s="2959">
        <v>11</v>
      </c>
      <c r="M413" s="377">
        <v>13</v>
      </c>
      <c r="N413" s="2959">
        <v>50</v>
      </c>
      <c r="O413" s="2959">
        <v>80</v>
      </c>
      <c r="P413" s="2959">
        <v>110</v>
      </c>
      <c r="Q413" s="377">
        <v>130</v>
      </c>
      <c r="R413" s="2959">
        <v>5</v>
      </c>
      <c r="S413" s="2959">
        <v>5</v>
      </c>
      <c r="T413" s="2959">
        <v>10</v>
      </c>
      <c r="U413" s="377">
        <v>10</v>
      </c>
      <c r="V413" s="2954" t="s">
        <v>3542</v>
      </c>
      <c r="W413" s="2954" t="s">
        <v>3653</v>
      </c>
      <c r="X413" s="2954" t="s">
        <v>4793</v>
      </c>
      <c r="Y413" s="2954" t="s">
        <v>3575</v>
      </c>
      <c r="Z413" s="2954" t="s">
        <v>4794</v>
      </c>
      <c r="AA413" s="375"/>
    </row>
    <row r="414" spans="1:27" ht="12.75" customHeight="1" x14ac:dyDescent="0.2">
      <c r="A414" s="6360"/>
      <c r="B414" s="251" t="str">
        <f t="shared" si="6"/>
        <v>Libre acceso12</v>
      </c>
      <c r="D414" s="272" t="s">
        <v>395</v>
      </c>
      <c r="E414" s="2959" t="s">
        <v>381</v>
      </c>
      <c r="F414" s="2959">
        <f t="shared" si="7"/>
        <v>12</v>
      </c>
      <c r="G414" s="2964" t="s">
        <v>1381</v>
      </c>
      <c r="H414" s="2962" t="s">
        <v>1234</v>
      </c>
      <c r="I414" s="380" t="s">
        <v>1304</v>
      </c>
      <c r="J414" s="2959">
        <v>6</v>
      </c>
      <c r="K414" s="2959">
        <v>9</v>
      </c>
      <c r="L414" s="2959">
        <v>11</v>
      </c>
      <c r="M414" s="377">
        <v>13</v>
      </c>
      <c r="N414" s="2959">
        <v>50</v>
      </c>
      <c r="O414" s="2959">
        <v>100</v>
      </c>
      <c r="P414" s="2959">
        <v>160</v>
      </c>
      <c r="Q414" s="377">
        <v>240</v>
      </c>
      <c r="R414" s="2959">
        <v>5</v>
      </c>
      <c r="S414" s="2959">
        <v>10</v>
      </c>
      <c r="T414" s="2959">
        <v>10</v>
      </c>
      <c r="U414" s="377">
        <v>15</v>
      </c>
      <c r="V414" s="2954" t="s">
        <v>3394</v>
      </c>
      <c r="W414" s="2954" t="s">
        <v>3395</v>
      </c>
      <c r="X414" s="2954" t="s">
        <v>3507</v>
      </c>
      <c r="Y414" s="2954" t="s">
        <v>4795</v>
      </c>
      <c r="Z414" s="2954" t="s">
        <v>4796</v>
      </c>
      <c r="AA414" s="375" t="s">
        <v>1610</v>
      </c>
    </row>
    <row r="415" spans="1:27" ht="12.75" customHeight="1" x14ac:dyDescent="0.2">
      <c r="A415" s="6360"/>
      <c r="B415" s="251" t="str">
        <f t="shared" si="6"/>
        <v>Libre acceso12</v>
      </c>
      <c r="D415" s="272" t="s">
        <v>396</v>
      </c>
      <c r="E415" s="2959" t="s">
        <v>381</v>
      </c>
      <c r="F415" s="2959">
        <f t="shared" si="7"/>
        <v>12</v>
      </c>
      <c r="G415" s="2964" t="s">
        <v>1381</v>
      </c>
      <c r="H415" s="2962" t="s">
        <v>1234</v>
      </c>
      <c r="I415" s="380" t="s">
        <v>1304</v>
      </c>
      <c r="J415" s="2959">
        <v>6</v>
      </c>
      <c r="K415" s="2959">
        <v>9</v>
      </c>
      <c r="L415" s="2959">
        <v>11</v>
      </c>
      <c r="M415" s="377">
        <v>13</v>
      </c>
      <c r="N415" s="2959">
        <v>60</v>
      </c>
      <c r="O415" s="2959">
        <v>90</v>
      </c>
      <c r="P415" s="2959">
        <v>120</v>
      </c>
      <c r="Q415" s="377">
        <v>150</v>
      </c>
      <c r="R415" s="2959"/>
      <c r="S415" s="2959"/>
      <c r="T415" s="2959"/>
      <c r="U415" s="377"/>
      <c r="V415" s="2954" t="s">
        <v>3541</v>
      </c>
      <c r="W415" s="2954" t="s">
        <v>3543</v>
      </c>
      <c r="X415" s="2954" t="s">
        <v>4797</v>
      </c>
      <c r="Y415" s="2954" t="s">
        <v>4793</v>
      </c>
      <c r="Z415" s="2954" t="s">
        <v>4798</v>
      </c>
      <c r="AA415" s="375" t="s">
        <v>10428</v>
      </c>
    </row>
    <row r="416" spans="1:27" ht="12.75" customHeight="1" x14ac:dyDescent="0.2">
      <c r="A416" s="6360"/>
      <c r="B416" s="251" t="str">
        <f t="shared" si="6"/>
        <v>Libre acceso12</v>
      </c>
      <c r="D416" s="272" t="s">
        <v>1416</v>
      </c>
      <c r="E416" s="2959" t="s">
        <v>381</v>
      </c>
      <c r="F416" s="2959">
        <f t="shared" si="7"/>
        <v>12</v>
      </c>
      <c r="G416" s="2964" t="s">
        <v>1381</v>
      </c>
      <c r="H416" s="2962" t="s">
        <v>1234</v>
      </c>
      <c r="I416" s="380" t="s">
        <v>1304</v>
      </c>
      <c r="J416" s="2959">
        <v>6</v>
      </c>
      <c r="K416" s="2959">
        <v>9</v>
      </c>
      <c r="L416" s="2959">
        <v>11</v>
      </c>
      <c r="M416" s="377">
        <v>13</v>
      </c>
      <c r="N416" s="2959">
        <v>50</v>
      </c>
      <c r="O416" s="2959">
        <v>80</v>
      </c>
      <c r="P416" s="2959">
        <v>120</v>
      </c>
      <c r="Q416" s="377">
        <v>160</v>
      </c>
      <c r="R416" s="2959">
        <v>5</v>
      </c>
      <c r="S416" s="2959">
        <v>10</v>
      </c>
      <c r="T416" s="2959">
        <v>15</v>
      </c>
      <c r="U416" s="377">
        <v>20</v>
      </c>
      <c r="V416" s="2954" t="s">
        <v>4799</v>
      </c>
      <c r="W416" s="2954" t="s">
        <v>4800</v>
      </c>
      <c r="X416" s="2954" t="s">
        <v>4801</v>
      </c>
      <c r="Y416" s="2954" t="s">
        <v>4802</v>
      </c>
      <c r="Z416" s="2954" t="s">
        <v>4803</v>
      </c>
      <c r="AA416" s="375" t="s">
        <v>1603</v>
      </c>
    </row>
    <row r="417" spans="1:27" ht="12.75" customHeight="1" x14ac:dyDescent="0.2">
      <c r="A417" s="6360"/>
      <c r="B417" s="251" t="str">
        <f t="shared" si="6"/>
        <v>Libre acceso12</v>
      </c>
      <c r="D417" s="272" t="s">
        <v>397</v>
      </c>
      <c r="E417" s="2959" t="s">
        <v>381</v>
      </c>
      <c r="F417" s="2959">
        <f t="shared" si="7"/>
        <v>12</v>
      </c>
      <c r="G417" s="2962" t="s">
        <v>2088</v>
      </c>
      <c r="H417" s="2962" t="s">
        <v>1234</v>
      </c>
      <c r="I417" s="380" t="s">
        <v>1304</v>
      </c>
      <c r="J417" s="2959">
        <v>5</v>
      </c>
      <c r="K417" s="2959">
        <v>8</v>
      </c>
      <c r="L417" s="2959">
        <v>10</v>
      </c>
      <c r="M417" s="377">
        <v>12</v>
      </c>
      <c r="N417" s="2959">
        <v>40</v>
      </c>
      <c r="O417" s="2959">
        <v>80</v>
      </c>
      <c r="P417" s="2959">
        <v>100</v>
      </c>
      <c r="Q417" s="377">
        <v>120</v>
      </c>
      <c r="R417" s="2959">
        <v>5</v>
      </c>
      <c r="S417" s="2959">
        <v>10</v>
      </c>
      <c r="T417" s="2959">
        <v>10</v>
      </c>
      <c r="U417" s="377">
        <v>15</v>
      </c>
      <c r="V417" s="2954" t="s">
        <v>4804</v>
      </c>
      <c r="W417" s="2954" t="s">
        <v>4805</v>
      </c>
      <c r="X417" s="2954" t="s">
        <v>4806</v>
      </c>
      <c r="Y417" s="2954" t="s">
        <v>4807</v>
      </c>
      <c r="Z417" s="2954" t="s">
        <v>4808</v>
      </c>
      <c r="AA417" s="375"/>
    </row>
    <row r="418" spans="1:27" ht="12.75" customHeight="1" x14ac:dyDescent="0.2">
      <c r="A418" s="6360"/>
      <c r="B418" s="251" t="str">
        <f t="shared" si="6"/>
        <v>Libre acceso12</v>
      </c>
      <c r="D418" s="272" t="s">
        <v>398</v>
      </c>
      <c r="E418" s="2959" t="s">
        <v>381</v>
      </c>
      <c r="F418" s="2959">
        <f t="shared" si="7"/>
        <v>12</v>
      </c>
      <c r="G418" s="2964" t="s">
        <v>1381</v>
      </c>
      <c r="H418" s="2962" t="s">
        <v>1234</v>
      </c>
      <c r="I418" s="380" t="s">
        <v>1304</v>
      </c>
      <c r="J418" s="2959">
        <v>6</v>
      </c>
      <c r="K418" s="2959">
        <v>9</v>
      </c>
      <c r="L418" s="2959">
        <v>11</v>
      </c>
      <c r="M418" s="377">
        <v>13</v>
      </c>
      <c r="N418" s="2959">
        <v>30</v>
      </c>
      <c r="O418" s="2959">
        <v>80</v>
      </c>
      <c r="P418" s="2959">
        <v>140</v>
      </c>
      <c r="Q418" s="377">
        <v>180</v>
      </c>
      <c r="R418" s="2959">
        <v>5</v>
      </c>
      <c r="S418" s="2959">
        <v>5</v>
      </c>
      <c r="T418" s="2959">
        <v>10</v>
      </c>
      <c r="U418" s="377">
        <v>15</v>
      </c>
      <c r="V418" s="2954" t="s">
        <v>4809</v>
      </c>
      <c r="W418" s="2954" t="s">
        <v>4810</v>
      </c>
      <c r="X418" s="2954" t="s">
        <v>4811</v>
      </c>
      <c r="Y418" s="2954" t="s">
        <v>4812</v>
      </c>
      <c r="Z418" s="2954" t="s">
        <v>4813</v>
      </c>
      <c r="AA418" s="375"/>
    </row>
    <row r="419" spans="1:27" ht="12.75" customHeight="1" x14ac:dyDescent="0.2">
      <c r="A419" s="6360"/>
      <c r="B419" s="251" t="str">
        <f t="shared" si="6"/>
        <v>Libre acceso12</v>
      </c>
      <c r="D419" s="272" t="s">
        <v>399</v>
      </c>
      <c r="E419" s="2959" t="s">
        <v>381</v>
      </c>
      <c r="F419" s="2959">
        <f t="shared" si="7"/>
        <v>12</v>
      </c>
      <c r="G419" s="2962" t="s">
        <v>2088</v>
      </c>
      <c r="H419" s="2962" t="s">
        <v>1234</v>
      </c>
      <c r="I419" s="380" t="s">
        <v>1304</v>
      </c>
      <c r="J419" s="2959">
        <v>6</v>
      </c>
      <c r="K419" s="2959">
        <v>9</v>
      </c>
      <c r="L419" s="2959">
        <v>11</v>
      </c>
      <c r="M419" s="377">
        <v>13</v>
      </c>
      <c r="N419" s="2959">
        <v>40</v>
      </c>
      <c r="O419" s="2959">
        <v>80</v>
      </c>
      <c r="P419" s="2959">
        <v>120</v>
      </c>
      <c r="Q419" s="377">
        <v>160</v>
      </c>
      <c r="R419" s="2959">
        <v>5</v>
      </c>
      <c r="S419" s="2959">
        <v>10</v>
      </c>
      <c r="T419" s="2959">
        <v>10</v>
      </c>
      <c r="U419" s="377">
        <v>15</v>
      </c>
      <c r="V419" s="2954" t="s">
        <v>3653</v>
      </c>
      <c r="W419" s="2954" t="s">
        <v>3405</v>
      </c>
      <c r="X419" s="2954" t="s">
        <v>3837</v>
      </c>
      <c r="Y419" s="2954" t="s">
        <v>4814</v>
      </c>
      <c r="Z419" s="2954" t="s">
        <v>4815</v>
      </c>
      <c r="AA419" s="375" t="s">
        <v>10429</v>
      </c>
    </row>
    <row r="420" spans="1:27" ht="12.75" customHeight="1" x14ac:dyDescent="0.2">
      <c r="A420" s="6360"/>
      <c r="B420" s="251" t="str">
        <f t="shared" si="6"/>
        <v>Libre acceso12</v>
      </c>
      <c r="D420" s="272" t="s">
        <v>1682</v>
      </c>
      <c r="E420" s="2959" t="s">
        <v>381</v>
      </c>
      <c r="F420" s="2959">
        <f t="shared" si="7"/>
        <v>12</v>
      </c>
      <c r="G420" s="2962" t="s">
        <v>2088</v>
      </c>
      <c r="H420" s="2962" t="s">
        <v>1234</v>
      </c>
      <c r="I420" s="380" t="s">
        <v>1304</v>
      </c>
      <c r="J420" s="2959">
        <v>6</v>
      </c>
      <c r="K420" s="2959">
        <v>9</v>
      </c>
      <c r="L420" s="2959">
        <v>11</v>
      </c>
      <c r="M420" s="377">
        <v>13</v>
      </c>
      <c r="N420" s="2959">
        <v>50</v>
      </c>
      <c r="O420" s="2959">
        <v>80</v>
      </c>
      <c r="P420" s="2959">
        <v>110</v>
      </c>
      <c r="Q420" s="377">
        <v>150</v>
      </c>
      <c r="R420" s="2959">
        <v>5</v>
      </c>
      <c r="S420" s="2959">
        <v>5</v>
      </c>
      <c r="T420" s="2959">
        <v>10</v>
      </c>
      <c r="U420" s="377">
        <v>15</v>
      </c>
      <c r="V420" s="2954" t="s">
        <v>4816</v>
      </c>
      <c r="W420" s="2954" t="s">
        <v>4817</v>
      </c>
      <c r="X420" s="2954" t="s">
        <v>4818</v>
      </c>
      <c r="Y420" s="2954" t="s">
        <v>4819</v>
      </c>
      <c r="Z420" s="2954" t="s">
        <v>4820</v>
      </c>
      <c r="AA420" s="375"/>
    </row>
    <row r="421" spans="1:27" ht="12.75" customHeight="1" x14ac:dyDescent="0.2">
      <c r="A421" s="6360"/>
      <c r="B421" s="251" t="str">
        <f t="shared" si="6"/>
        <v>Libre acceso12</v>
      </c>
      <c r="D421" s="272" t="s">
        <v>400</v>
      </c>
      <c r="E421" s="2959" t="s">
        <v>381</v>
      </c>
      <c r="F421" s="2959">
        <f t="shared" si="7"/>
        <v>12</v>
      </c>
      <c r="G421" s="2962" t="s">
        <v>2088</v>
      </c>
      <c r="H421" s="2962" t="s">
        <v>1234</v>
      </c>
      <c r="I421" s="380" t="s">
        <v>1304</v>
      </c>
      <c r="J421" s="2959">
        <v>6</v>
      </c>
      <c r="K421" s="2959">
        <v>9</v>
      </c>
      <c r="L421" s="2959">
        <v>11</v>
      </c>
      <c r="M421" s="377">
        <v>13</v>
      </c>
      <c r="N421" s="2959">
        <v>60</v>
      </c>
      <c r="O421" s="2959">
        <v>140</v>
      </c>
      <c r="P421" s="2959">
        <v>220</v>
      </c>
      <c r="Q421" s="377">
        <v>340</v>
      </c>
      <c r="R421" s="2959">
        <v>10</v>
      </c>
      <c r="S421" s="2959">
        <v>15</v>
      </c>
      <c r="T421" s="2959">
        <v>25</v>
      </c>
      <c r="U421" s="377">
        <v>35</v>
      </c>
      <c r="V421" s="2954" t="s">
        <v>3575</v>
      </c>
      <c r="W421" s="2954" t="s">
        <v>3654</v>
      </c>
      <c r="X421" s="2954" t="s">
        <v>4821</v>
      </c>
      <c r="Y421" s="2954" t="s">
        <v>4822</v>
      </c>
      <c r="Z421" s="2954" t="s">
        <v>4823</v>
      </c>
      <c r="AA421" s="375" t="s">
        <v>1699</v>
      </c>
    </row>
    <row r="422" spans="1:27" ht="12.75" customHeight="1" x14ac:dyDescent="0.2">
      <c r="A422" s="6360"/>
      <c r="B422" s="251" t="str">
        <f t="shared" si="6"/>
        <v>Libre acceso12</v>
      </c>
      <c r="D422" s="272" t="s">
        <v>401</v>
      </c>
      <c r="E422" s="2959" t="s">
        <v>381</v>
      </c>
      <c r="F422" s="2959">
        <f t="shared" si="7"/>
        <v>12</v>
      </c>
      <c r="G422" s="2962" t="s">
        <v>2088</v>
      </c>
      <c r="H422" s="2962" t="s">
        <v>1233</v>
      </c>
      <c r="I422" s="380" t="s">
        <v>1304</v>
      </c>
      <c r="J422" s="2959">
        <v>6</v>
      </c>
      <c r="K422" s="2959">
        <v>9</v>
      </c>
      <c r="L422" s="2959">
        <v>11</v>
      </c>
      <c r="M422" s="377">
        <v>13</v>
      </c>
      <c r="N422" s="2959">
        <v>60</v>
      </c>
      <c r="O422" s="2959">
        <v>120</v>
      </c>
      <c r="P422" s="2959">
        <v>180</v>
      </c>
      <c r="Q422" s="377">
        <v>240</v>
      </c>
      <c r="R422" s="2959">
        <v>10</v>
      </c>
      <c r="S422" s="2959">
        <v>20</v>
      </c>
      <c r="T422" s="2959">
        <v>20</v>
      </c>
      <c r="U422" s="377">
        <v>25</v>
      </c>
      <c r="V422" s="2954" t="s">
        <v>3396</v>
      </c>
      <c r="W422" s="2954" t="s">
        <v>3476</v>
      </c>
      <c r="X422" s="2954" t="s">
        <v>3397</v>
      </c>
      <c r="Y422" s="2954" t="s">
        <v>3508</v>
      </c>
      <c r="Z422" s="2954" t="s">
        <v>4824</v>
      </c>
      <c r="AA422" s="375" t="s">
        <v>1610</v>
      </c>
    </row>
    <row r="423" spans="1:27" ht="12.75" customHeight="1" x14ac:dyDescent="0.2">
      <c r="A423" s="6360"/>
      <c r="B423" s="251" t="str">
        <f t="shared" si="6"/>
        <v/>
      </c>
      <c r="D423" s="272" t="s">
        <v>402</v>
      </c>
      <c r="E423" s="2959"/>
      <c r="F423" s="2959"/>
      <c r="G423" s="2962"/>
      <c r="H423" s="2962"/>
      <c r="I423" s="380"/>
      <c r="J423" s="2959"/>
      <c r="K423" s="2959"/>
      <c r="L423" s="2959"/>
      <c r="M423" s="377"/>
      <c r="N423" s="2959"/>
      <c r="O423" s="2959"/>
      <c r="P423" s="2959"/>
      <c r="Q423" s="377"/>
      <c r="R423" s="2959"/>
      <c r="S423" s="2959"/>
      <c r="T423" s="2959"/>
      <c r="U423" s="377"/>
      <c r="V423" s="2954"/>
      <c r="W423" s="2954"/>
      <c r="X423" s="2954"/>
      <c r="Y423" s="2954"/>
      <c r="Z423" s="2954"/>
      <c r="AA423" s="375"/>
    </row>
    <row r="424" spans="1:27" ht="12.75" customHeight="1" x14ac:dyDescent="0.2">
      <c r="A424" s="6360"/>
      <c r="B424" s="251" t="str">
        <f t="shared" si="6"/>
        <v>Libre acceso22</v>
      </c>
      <c r="D424" s="272" t="s">
        <v>403</v>
      </c>
      <c r="E424" s="2959" t="s">
        <v>381</v>
      </c>
      <c r="F424" s="2959">
        <f>F411+10</f>
        <v>22</v>
      </c>
      <c r="G424" s="2962" t="s">
        <v>1381</v>
      </c>
      <c r="H424" s="2962" t="s">
        <v>4020</v>
      </c>
      <c r="I424" s="380" t="s">
        <v>1304</v>
      </c>
      <c r="J424" s="2959">
        <v>10</v>
      </c>
      <c r="K424" s="2959">
        <v>12</v>
      </c>
      <c r="L424" s="2959">
        <v>14</v>
      </c>
      <c r="M424" s="377">
        <v>16</v>
      </c>
      <c r="N424" s="2959">
        <v>100</v>
      </c>
      <c r="O424" s="2959">
        <v>120</v>
      </c>
      <c r="P424" s="2959">
        <v>140</v>
      </c>
      <c r="Q424" s="377">
        <v>160</v>
      </c>
      <c r="R424" s="2959">
        <v>10</v>
      </c>
      <c r="S424" s="2959">
        <v>15</v>
      </c>
      <c r="T424" s="2959">
        <v>15</v>
      </c>
      <c r="U424" s="377">
        <v>20</v>
      </c>
      <c r="V424" s="2954" t="s">
        <v>4825</v>
      </c>
      <c r="W424" s="2954" t="s">
        <v>4826</v>
      </c>
      <c r="X424" s="2954" t="s">
        <v>3787</v>
      </c>
      <c r="Y424" s="2954" t="s">
        <v>4632</v>
      </c>
      <c r="Z424" s="2954" t="s">
        <v>4827</v>
      </c>
      <c r="AA424" s="375" t="s">
        <v>1699</v>
      </c>
    </row>
    <row r="425" spans="1:27" ht="12.75" customHeight="1" x14ac:dyDescent="0.2">
      <c r="A425" s="6360"/>
      <c r="B425" s="251" t="str">
        <f t="shared" si="6"/>
        <v>Libre acceso22</v>
      </c>
      <c r="D425" s="272" t="s">
        <v>404</v>
      </c>
      <c r="E425" s="2959" t="s">
        <v>381</v>
      </c>
      <c r="F425" s="2959">
        <f t="shared" ref="F425:F435" si="8">F412+10</f>
        <v>22</v>
      </c>
      <c r="G425" s="2962" t="s">
        <v>1381</v>
      </c>
      <c r="H425" s="2962" t="s">
        <v>4020</v>
      </c>
      <c r="I425" s="380" t="s">
        <v>1304</v>
      </c>
      <c r="J425" s="2959">
        <v>6</v>
      </c>
      <c r="K425" s="2959">
        <v>9</v>
      </c>
      <c r="L425" s="2959">
        <v>11</v>
      </c>
      <c r="M425" s="377">
        <v>13</v>
      </c>
      <c r="N425" s="2959">
        <v>50</v>
      </c>
      <c r="O425" s="2959">
        <v>70</v>
      </c>
      <c r="P425" s="2959">
        <v>100</v>
      </c>
      <c r="Q425" s="377">
        <v>130</v>
      </c>
      <c r="R425" s="2959">
        <v>5</v>
      </c>
      <c r="S425" s="2959">
        <v>10</v>
      </c>
      <c r="T425" s="2959">
        <v>10</v>
      </c>
      <c r="U425" s="377">
        <v>15</v>
      </c>
      <c r="V425" s="2954" t="s">
        <v>3590</v>
      </c>
      <c r="W425" s="2954" t="s">
        <v>3591</v>
      </c>
      <c r="X425" s="2954" t="s">
        <v>3487</v>
      </c>
      <c r="Y425" s="2954" t="s">
        <v>3322</v>
      </c>
      <c r="Z425" s="2954" t="s">
        <v>4828</v>
      </c>
      <c r="AA425" s="375" t="s">
        <v>10430</v>
      </c>
    </row>
    <row r="426" spans="1:27" ht="12.75" customHeight="1" x14ac:dyDescent="0.2">
      <c r="A426" s="6360"/>
      <c r="B426" s="251" t="str">
        <f t="shared" si="6"/>
        <v>Libre acceso22</v>
      </c>
      <c r="D426" s="272" t="s">
        <v>405</v>
      </c>
      <c r="E426" s="2959" t="s">
        <v>381</v>
      </c>
      <c r="F426" s="2959">
        <f t="shared" si="8"/>
        <v>22</v>
      </c>
      <c r="G426" s="2962" t="s">
        <v>1381</v>
      </c>
      <c r="H426" s="2962" t="s">
        <v>1234</v>
      </c>
      <c r="I426" s="380" t="s">
        <v>1304</v>
      </c>
      <c r="J426" s="2959">
        <v>6</v>
      </c>
      <c r="K426" s="2959">
        <v>9</v>
      </c>
      <c r="L426" s="2959">
        <v>11</v>
      </c>
      <c r="M426" s="377">
        <v>13</v>
      </c>
      <c r="N426" s="2959">
        <v>100</v>
      </c>
      <c r="O426" s="2959">
        <v>120</v>
      </c>
      <c r="P426" s="2959">
        <v>140</v>
      </c>
      <c r="Q426" s="377">
        <v>160</v>
      </c>
      <c r="R426" s="2959"/>
      <c r="S426" s="2959"/>
      <c r="T426" s="2959"/>
      <c r="U426" s="377"/>
      <c r="V426" s="2954" t="s">
        <v>4829</v>
      </c>
      <c r="W426" s="2954" t="s">
        <v>4830</v>
      </c>
      <c r="X426" s="2954" t="s">
        <v>4831</v>
      </c>
      <c r="Y426" s="2954" t="s">
        <v>4832</v>
      </c>
      <c r="Z426" s="2954" t="s">
        <v>4833</v>
      </c>
      <c r="AA426" s="375" t="s">
        <v>1707</v>
      </c>
    </row>
    <row r="427" spans="1:27" ht="12.75" customHeight="1" x14ac:dyDescent="0.2">
      <c r="A427" s="6360"/>
      <c r="B427" s="251" t="str">
        <f t="shared" si="6"/>
        <v>Libre acceso22</v>
      </c>
      <c r="D427" s="272" t="s">
        <v>406</v>
      </c>
      <c r="E427" s="2959" t="s">
        <v>381</v>
      </c>
      <c r="F427" s="2959">
        <f t="shared" si="8"/>
        <v>22</v>
      </c>
      <c r="G427" s="2962" t="s">
        <v>1381</v>
      </c>
      <c r="H427" s="2962" t="s">
        <v>1565</v>
      </c>
      <c r="I427" s="380" t="s">
        <v>1305</v>
      </c>
      <c r="J427" s="2959">
        <v>6</v>
      </c>
      <c r="K427" s="2959">
        <v>9</v>
      </c>
      <c r="L427" s="2959">
        <v>11</v>
      </c>
      <c r="M427" s="377">
        <v>13</v>
      </c>
      <c r="N427" s="2959">
        <v>60</v>
      </c>
      <c r="O427" s="2959">
        <v>120</v>
      </c>
      <c r="P427" s="2959">
        <v>180</v>
      </c>
      <c r="Q427" s="377">
        <v>240</v>
      </c>
      <c r="R427" s="2959">
        <v>10</v>
      </c>
      <c r="S427" s="2959">
        <v>20</v>
      </c>
      <c r="T427" s="2959">
        <v>20</v>
      </c>
      <c r="U427" s="377">
        <v>25</v>
      </c>
      <c r="V427" s="2954" t="s">
        <v>3879</v>
      </c>
      <c r="W427" s="2954" t="s">
        <v>4834</v>
      </c>
      <c r="X427" s="2954" t="s">
        <v>4835</v>
      </c>
      <c r="Y427" s="2954" t="s">
        <v>4836</v>
      </c>
      <c r="Z427" s="2954" t="s">
        <v>4837</v>
      </c>
      <c r="AA427" s="375" t="s">
        <v>1707</v>
      </c>
    </row>
    <row r="428" spans="1:27" ht="12.75" customHeight="1" x14ac:dyDescent="0.2">
      <c r="A428" s="6360"/>
      <c r="B428" s="251" t="str">
        <f t="shared" si="6"/>
        <v>Libre acceso22</v>
      </c>
      <c r="D428" s="272" t="s">
        <v>407</v>
      </c>
      <c r="E428" s="2959" t="s">
        <v>381</v>
      </c>
      <c r="F428" s="2959">
        <f t="shared" si="8"/>
        <v>22</v>
      </c>
      <c r="G428" s="2962" t="s">
        <v>1381</v>
      </c>
      <c r="H428" s="2962" t="s">
        <v>1234</v>
      </c>
      <c r="I428" s="380" t="s">
        <v>1304</v>
      </c>
      <c r="J428" s="2959">
        <v>6</v>
      </c>
      <c r="K428" s="2959">
        <v>9</v>
      </c>
      <c r="L428" s="2959">
        <v>12</v>
      </c>
      <c r="M428" s="377">
        <v>15</v>
      </c>
      <c r="N428" s="2959">
        <v>60</v>
      </c>
      <c r="O428" s="2959">
        <v>90</v>
      </c>
      <c r="P428" s="2959">
        <v>120</v>
      </c>
      <c r="Q428" s="377">
        <v>150</v>
      </c>
      <c r="R428" s="2959">
        <v>10</v>
      </c>
      <c r="S428" s="2959">
        <v>10</v>
      </c>
      <c r="T428" s="2959">
        <v>15</v>
      </c>
      <c r="U428" s="377">
        <v>15</v>
      </c>
      <c r="V428" s="2954" t="s">
        <v>4298</v>
      </c>
      <c r="W428" s="2954" t="s">
        <v>4299</v>
      </c>
      <c r="X428" s="2954" t="s">
        <v>4300</v>
      </c>
      <c r="Y428" s="2954" t="s">
        <v>4301</v>
      </c>
      <c r="Z428" s="2954" t="s">
        <v>4838</v>
      </c>
      <c r="AA428" s="375" t="s">
        <v>1707</v>
      </c>
    </row>
    <row r="429" spans="1:27" ht="12.75" customHeight="1" x14ac:dyDescent="0.2">
      <c r="A429" s="6360"/>
      <c r="B429" s="251" t="str">
        <f t="shared" si="6"/>
        <v>Libre acceso22</v>
      </c>
      <c r="D429" s="272" t="s">
        <v>408</v>
      </c>
      <c r="E429" s="2959" t="s">
        <v>381</v>
      </c>
      <c r="F429" s="2959">
        <f t="shared" si="8"/>
        <v>22</v>
      </c>
      <c r="G429" s="2962" t="s">
        <v>2088</v>
      </c>
      <c r="H429" s="2962" t="s">
        <v>1234</v>
      </c>
      <c r="I429" s="380" t="s">
        <v>1304</v>
      </c>
      <c r="J429" s="2959">
        <v>7</v>
      </c>
      <c r="K429" s="2959">
        <v>10</v>
      </c>
      <c r="L429" s="2959">
        <v>12</v>
      </c>
      <c r="M429" s="377">
        <v>15</v>
      </c>
      <c r="N429" s="2959">
        <v>100</v>
      </c>
      <c r="O429" s="2959">
        <v>160</v>
      </c>
      <c r="P429" s="2959">
        <v>200</v>
      </c>
      <c r="Q429" s="377">
        <v>240</v>
      </c>
      <c r="R429" s="2959">
        <v>20</v>
      </c>
      <c r="S429" s="2959">
        <v>35</v>
      </c>
      <c r="T429" s="2959">
        <v>40</v>
      </c>
      <c r="U429" s="377">
        <v>50</v>
      </c>
      <c r="V429" s="2954" t="s">
        <v>4839</v>
      </c>
      <c r="W429" s="2954" t="s">
        <v>4840</v>
      </c>
      <c r="X429" s="2954" t="s">
        <v>4841</v>
      </c>
      <c r="Y429" s="2954" t="s">
        <v>4842</v>
      </c>
      <c r="Z429" s="2954" t="s">
        <v>4843</v>
      </c>
      <c r="AA429" s="375"/>
    </row>
    <row r="430" spans="1:27" ht="12.75" customHeight="1" x14ac:dyDescent="0.2">
      <c r="A430" s="6360"/>
      <c r="B430" s="251" t="str">
        <f t="shared" si="6"/>
        <v>Libre acceso22</v>
      </c>
      <c r="D430" s="272" t="s">
        <v>409</v>
      </c>
      <c r="E430" s="2959" t="s">
        <v>381</v>
      </c>
      <c r="F430" s="2959">
        <f t="shared" si="8"/>
        <v>22</v>
      </c>
      <c r="G430" s="2962" t="s">
        <v>2088</v>
      </c>
      <c r="H430" s="2962" t="s">
        <v>1234</v>
      </c>
      <c r="I430" s="380" t="s">
        <v>1304</v>
      </c>
      <c r="J430" s="2959">
        <v>6</v>
      </c>
      <c r="K430" s="2959">
        <v>9</v>
      </c>
      <c r="L430" s="2959">
        <v>11</v>
      </c>
      <c r="M430" s="377">
        <v>13</v>
      </c>
      <c r="N430" s="2959">
        <v>80</v>
      </c>
      <c r="O430" s="2959">
        <v>140</v>
      </c>
      <c r="P430" s="2959">
        <v>200</v>
      </c>
      <c r="Q430" s="377">
        <v>260</v>
      </c>
      <c r="R430" s="2959">
        <v>10</v>
      </c>
      <c r="S430" s="2959">
        <v>15</v>
      </c>
      <c r="T430" s="2959">
        <v>20</v>
      </c>
      <c r="U430" s="377">
        <v>30</v>
      </c>
      <c r="V430" s="2954" t="s">
        <v>3396</v>
      </c>
      <c r="W430" s="2954" t="s">
        <v>3476</v>
      </c>
      <c r="X430" s="2954" t="s">
        <v>3397</v>
      </c>
      <c r="Y430" s="2954" t="s">
        <v>3508</v>
      </c>
      <c r="Z430" s="2954" t="s">
        <v>4844</v>
      </c>
      <c r="AA430" s="375" t="s">
        <v>10429</v>
      </c>
    </row>
    <row r="431" spans="1:27" ht="12.75" customHeight="1" x14ac:dyDescent="0.2">
      <c r="A431" s="6360"/>
      <c r="B431" s="251" t="str">
        <f t="shared" si="6"/>
        <v>Libre acceso22</v>
      </c>
      <c r="D431" s="272" t="s">
        <v>2162</v>
      </c>
      <c r="E431" s="2959" t="s">
        <v>381</v>
      </c>
      <c r="F431" s="2959">
        <f t="shared" si="8"/>
        <v>22</v>
      </c>
      <c r="G431" s="2962" t="s">
        <v>1381</v>
      </c>
      <c r="H431" s="2962" t="s">
        <v>4845</v>
      </c>
      <c r="I431" s="380" t="s">
        <v>1304</v>
      </c>
      <c r="J431" s="2959">
        <v>6</v>
      </c>
      <c r="K431" s="2959">
        <v>9</v>
      </c>
      <c r="L431" s="2959">
        <v>12</v>
      </c>
      <c r="M431" s="377">
        <v>15</v>
      </c>
      <c r="N431" s="2959">
        <v>60</v>
      </c>
      <c r="O431" s="2959">
        <v>90</v>
      </c>
      <c r="P431" s="2959">
        <v>120</v>
      </c>
      <c r="Q431" s="377">
        <v>150</v>
      </c>
      <c r="R431" s="2959">
        <v>5</v>
      </c>
      <c r="S431" s="2959">
        <v>5</v>
      </c>
      <c r="T431" s="2959">
        <v>10</v>
      </c>
      <c r="U431" s="377">
        <v>10</v>
      </c>
      <c r="V431" s="2954" t="s">
        <v>4846</v>
      </c>
      <c r="W431" s="2954" t="s">
        <v>4847</v>
      </c>
      <c r="X431" s="2954" t="s">
        <v>4848</v>
      </c>
      <c r="Y431" s="2954" t="s">
        <v>4849</v>
      </c>
      <c r="Z431" s="2954" t="s">
        <v>4850</v>
      </c>
      <c r="AA431" s="375"/>
    </row>
    <row r="432" spans="1:27" ht="12.75" customHeight="1" x14ac:dyDescent="0.2">
      <c r="A432" s="6360"/>
      <c r="B432" s="251" t="str">
        <f t="shared" si="6"/>
        <v>Libre acceso22</v>
      </c>
      <c r="D432" s="272" t="s">
        <v>410</v>
      </c>
      <c r="E432" s="2959" t="s">
        <v>381</v>
      </c>
      <c r="F432" s="2959">
        <f t="shared" si="8"/>
        <v>22</v>
      </c>
      <c r="G432" s="2962" t="s">
        <v>1381</v>
      </c>
      <c r="H432" s="2962" t="s">
        <v>1234</v>
      </c>
      <c r="I432" s="380" t="s">
        <v>1304</v>
      </c>
      <c r="J432" s="2959">
        <v>6</v>
      </c>
      <c r="K432" s="2959">
        <v>9</v>
      </c>
      <c r="L432" s="2959">
        <v>11</v>
      </c>
      <c r="M432" s="377">
        <v>13</v>
      </c>
      <c r="N432" s="2959">
        <v>80</v>
      </c>
      <c r="O432" s="2959">
        <v>100</v>
      </c>
      <c r="P432" s="2959">
        <v>120</v>
      </c>
      <c r="Q432" s="377">
        <v>140</v>
      </c>
      <c r="R432" s="2959"/>
      <c r="S432" s="2959"/>
      <c r="T432" s="2959"/>
      <c r="U432" s="377"/>
      <c r="V432" s="2954" t="s">
        <v>4851</v>
      </c>
      <c r="W432" s="2954" t="s">
        <v>4852</v>
      </c>
      <c r="X432" s="2954" t="s">
        <v>4853</v>
      </c>
      <c r="Y432" s="2954" t="s">
        <v>4854</v>
      </c>
      <c r="Z432" s="2954" t="s">
        <v>4855</v>
      </c>
      <c r="AA432" s="375"/>
    </row>
    <row r="433" spans="1:27" ht="12.75" customHeight="1" x14ac:dyDescent="0.2">
      <c r="A433" s="6360"/>
      <c r="B433" s="251" t="str">
        <f t="shared" si="6"/>
        <v>Libre acceso22</v>
      </c>
      <c r="D433" s="272" t="s">
        <v>411</v>
      </c>
      <c r="E433" s="2959" t="s">
        <v>381</v>
      </c>
      <c r="F433" s="2959">
        <f t="shared" si="8"/>
        <v>22</v>
      </c>
      <c r="G433" s="2962" t="s">
        <v>1381</v>
      </c>
      <c r="H433" s="2962" t="s">
        <v>1234</v>
      </c>
      <c r="I433" s="380" t="s">
        <v>1304</v>
      </c>
      <c r="J433" s="2959">
        <v>6</v>
      </c>
      <c r="K433" s="2959">
        <v>9</v>
      </c>
      <c r="L433" s="2959">
        <v>11</v>
      </c>
      <c r="M433" s="377">
        <v>13</v>
      </c>
      <c r="N433" s="2959">
        <v>80</v>
      </c>
      <c r="O433" s="2959">
        <v>120</v>
      </c>
      <c r="P433" s="2959">
        <v>160</v>
      </c>
      <c r="Q433" s="377">
        <v>200</v>
      </c>
      <c r="R433" s="2959">
        <v>10</v>
      </c>
      <c r="S433" s="2959">
        <v>10</v>
      </c>
      <c r="T433" s="2959">
        <v>15</v>
      </c>
      <c r="U433" s="377">
        <v>15</v>
      </c>
      <c r="V433" s="2954" t="s">
        <v>4856</v>
      </c>
      <c r="W433" s="2954" t="s">
        <v>4857</v>
      </c>
      <c r="X433" s="2954" t="s">
        <v>4858</v>
      </c>
      <c r="Y433" s="2954" t="s">
        <v>4859</v>
      </c>
      <c r="Z433" s="2954" t="s">
        <v>4860</v>
      </c>
      <c r="AA433" s="375" t="s">
        <v>1704</v>
      </c>
    </row>
    <row r="434" spans="1:27" ht="12.75" customHeight="1" x14ac:dyDescent="0.2">
      <c r="A434" s="6360"/>
      <c r="B434" s="251" t="str">
        <f t="shared" si="6"/>
        <v>Libre acceso22</v>
      </c>
      <c r="D434" s="272" t="s">
        <v>1624</v>
      </c>
      <c r="E434" s="2959" t="s">
        <v>381</v>
      </c>
      <c r="F434" s="2959">
        <f t="shared" si="8"/>
        <v>22</v>
      </c>
      <c r="G434" s="2962" t="s">
        <v>1381</v>
      </c>
      <c r="H434" s="2962" t="s">
        <v>1234</v>
      </c>
      <c r="I434" s="380" t="s">
        <v>1304</v>
      </c>
      <c r="J434" s="2959">
        <v>6</v>
      </c>
      <c r="K434" s="2959">
        <v>9</v>
      </c>
      <c r="L434" s="2959">
        <v>11</v>
      </c>
      <c r="M434" s="377">
        <v>13</v>
      </c>
      <c r="N434" s="2959">
        <v>50</v>
      </c>
      <c r="O434" s="2959">
        <v>80</v>
      </c>
      <c r="P434" s="2959">
        <v>100</v>
      </c>
      <c r="Q434" s="377">
        <v>120</v>
      </c>
      <c r="R434" s="2959">
        <v>5</v>
      </c>
      <c r="S434" s="2959">
        <v>10</v>
      </c>
      <c r="T434" s="2959">
        <v>10</v>
      </c>
      <c r="U434" s="377">
        <v>15</v>
      </c>
      <c r="V434" s="2954" t="s">
        <v>4861</v>
      </c>
      <c r="W434" s="2954" t="s">
        <v>4862</v>
      </c>
      <c r="X434" s="2954" t="s">
        <v>4863</v>
      </c>
      <c r="Y434" s="2954" t="s">
        <v>4864</v>
      </c>
      <c r="Z434" s="2954" t="s">
        <v>4865</v>
      </c>
      <c r="AA434" s="375" t="s">
        <v>1704</v>
      </c>
    </row>
    <row r="435" spans="1:27" ht="12.75" customHeight="1" x14ac:dyDescent="0.2">
      <c r="A435" s="6360"/>
      <c r="B435" s="251" t="str">
        <f t="shared" si="6"/>
        <v>Libre acceso22</v>
      </c>
      <c r="D435" s="272" t="s">
        <v>412</v>
      </c>
      <c r="E435" s="2959" t="s">
        <v>381</v>
      </c>
      <c r="F435" s="2959">
        <f t="shared" si="8"/>
        <v>22</v>
      </c>
      <c r="G435" s="2962" t="s">
        <v>2088</v>
      </c>
      <c r="H435" s="2962" t="s">
        <v>1235</v>
      </c>
      <c r="I435" s="380" t="s">
        <v>1304</v>
      </c>
      <c r="J435" s="2959">
        <v>6</v>
      </c>
      <c r="K435" s="2959">
        <v>9</v>
      </c>
      <c r="L435" s="2959">
        <v>12</v>
      </c>
      <c r="M435" s="377">
        <v>15</v>
      </c>
      <c r="N435" s="2959">
        <v>60</v>
      </c>
      <c r="O435" s="2959">
        <v>90</v>
      </c>
      <c r="P435" s="2959">
        <v>120</v>
      </c>
      <c r="Q435" s="377">
        <v>150</v>
      </c>
      <c r="R435" s="2959">
        <v>5</v>
      </c>
      <c r="S435" s="2959">
        <v>5</v>
      </c>
      <c r="T435" s="2959">
        <v>10</v>
      </c>
      <c r="U435" s="377">
        <v>10</v>
      </c>
      <c r="V435" s="2954" t="s">
        <v>3404</v>
      </c>
      <c r="W435" s="2954" t="s">
        <v>3654</v>
      </c>
      <c r="X435" s="2954" t="s">
        <v>4866</v>
      </c>
      <c r="Y435" s="2954" t="s">
        <v>4867</v>
      </c>
      <c r="Z435" s="2954" t="s">
        <v>4868</v>
      </c>
      <c r="AA435" s="375"/>
    </row>
    <row r="436" spans="1:27" ht="12.75" customHeight="1" x14ac:dyDescent="0.2">
      <c r="A436" s="6360"/>
      <c r="B436" s="251" t="str">
        <f t="shared" si="6"/>
        <v/>
      </c>
      <c r="D436" s="272" t="s">
        <v>413</v>
      </c>
      <c r="E436" s="2959"/>
      <c r="F436" s="2959"/>
      <c r="G436" s="2962"/>
      <c r="H436" s="2962"/>
      <c r="I436" s="380"/>
      <c r="J436" s="2959"/>
      <c r="K436" s="2959"/>
      <c r="L436" s="2959"/>
      <c r="M436" s="377"/>
      <c r="N436" s="2959"/>
      <c r="O436" s="2959"/>
      <c r="P436" s="2959"/>
      <c r="Q436" s="377"/>
      <c r="R436" s="2959"/>
      <c r="S436" s="2959"/>
      <c r="T436" s="2959"/>
      <c r="U436" s="377"/>
      <c r="V436" s="2954"/>
      <c r="W436" s="2954"/>
      <c r="X436" s="2954"/>
      <c r="Y436" s="2954"/>
      <c r="Z436" s="2954"/>
      <c r="AA436" s="375"/>
    </row>
    <row r="437" spans="1:27" ht="12.75" customHeight="1" x14ac:dyDescent="0.2">
      <c r="A437" s="6360"/>
      <c r="B437" s="251" t="str">
        <f t="shared" si="6"/>
        <v>Libre acceso32</v>
      </c>
      <c r="D437" s="272" t="s">
        <v>414</v>
      </c>
      <c r="E437" s="2959" t="s">
        <v>381</v>
      </c>
      <c r="F437" s="2959">
        <f>F424+10</f>
        <v>32</v>
      </c>
      <c r="G437" s="2962" t="s">
        <v>2088</v>
      </c>
      <c r="H437" s="2962" t="s">
        <v>1234</v>
      </c>
      <c r="I437" s="380" t="s">
        <v>1304</v>
      </c>
      <c r="J437" s="2959">
        <v>6</v>
      </c>
      <c r="K437" s="2959">
        <v>9</v>
      </c>
      <c r="L437" s="2959">
        <v>11</v>
      </c>
      <c r="M437" s="377">
        <v>14</v>
      </c>
      <c r="N437" s="2959">
        <v>60</v>
      </c>
      <c r="O437" s="2959">
        <v>90</v>
      </c>
      <c r="P437" s="2959">
        <v>120</v>
      </c>
      <c r="Q437" s="377">
        <v>150</v>
      </c>
      <c r="R437" s="2959">
        <v>10</v>
      </c>
      <c r="S437" s="2959">
        <v>10</v>
      </c>
      <c r="T437" s="2959">
        <v>15</v>
      </c>
      <c r="U437" s="377">
        <v>15</v>
      </c>
      <c r="V437" s="2954" t="s">
        <v>4869</v>
      </c>
      <c r="W437" s="2954" t="s">
        <v>4870</v>
      </c>
      <c r="X437" s="2954" t="s">
        <v>4871</v>
      </c>
      <c r="Y437" s="2954" t="s">
        <v>4872</v>
      </c>
      <c r="Z437" s="2954" t="s">
        <v>4873</v>
      </c>
      <c r="AA437" s="375" t="s">
        <v>1709</v>
      </c>
    </row>
    <row r="438" spans="1:27" ht="12.75" customHeight="1" x14ac:dyDescent="0.2">
      <c r="A438" s="6360"/>
      <c r="B438" s="251" t="str">
        <f t="shared" si="6"/>
        <v>Libre acceso32</v>
      </c>
      <c r="D438" s="272" t="s">
        <v>415</v>
      </c>
      <c r="E438" s="2959" t="s">
        <v>381</v>
      </c>
      <c r="F438" s="2959">
        <f t="shared" ref="F438:F448" si="9">F425+10</f>
        <v>32</v>
      </c>
      <c r="G438" s="2962" t="s">
        <v>1381</v>
      </c>
      <c r="H438" s="2962" t="s">
        <v>1234</v>
      </c>
      <c r="I438" s="380" t="s">
        <v>1304</v>
      </c>
      <c r="J438" s="2959">
        <v>7</v>
      </c>
      <c r="K438" s="2959">
        <v>10</v>
      </c>
      <c r="L438" s="2959">
        <v>12</v>
      </c>
      <c r="M438" s="377">
        <v>14</v>
      </c>
      <c r="N438" s="2959">
        <v>150</v>
      </c>
      <c r="O438" s="2959">
        <v>200</v>
      </c>
      <c r="P438" s="2959">
        <v>240</v>
      </c>
      <c r="Q438" s="377">
        <v>280</v>
      </c>
      <c r="R438" s="2959"/>
      <c r="S438" s="2959"/>
      <c r="T438" s="2959"/>
      <c r="U438" s="377" t="s">
        <v>3583</v>
      </c>
      <c r="V438" s="2954" t="s">
        <v>4874</v>
      </c>
      <c r="W438" s="2954" t="s">
        <v>4875</v>
      </c>
      <c r="X438" s="2954" t="s">
        <v>4876</v>
      </c>
      <c r="Y438" s="2954" t="s">
        <v>4877</v>
      </c>
      <c r="Z438" s="2954" t="s">
        <v>4878</v>
      </c>
      <c r="AA438" s="375" t="s">
        <v>1706</v>
      </c>
    </row>
    <row r="439" spans="1:27" ht="12.75" customHeight="1" x14ac:dyDescent="0.2">
      <c r="A439" s="6360"/>
      <c r="B439" s="251" t="str">
        <f t="shared" si="6"/>
        <v>Libre acceso32</v>
      </c>
      <c r="D439" s="272" t="s">
        <v>416</v>
      </c>
      <c r="E439" s="2959" t="s">
        <v>381</v>
      </c>
      <c r="F439" s="2959">
        <f t="shared" si="9"/>
        <v>32</v>
      </c>
      <c r="G439" s="2962" t="s">
        <v>2088</v>
      </c>
      <c r="H439" s="2962" t="s">
        <v>1234</v>
      </c>
      <c r="I439" s="380" t="s">
        <v>1304</v>
      </c>
      <c r="J439" s="2959">
        <v>7</v>
      </c>
      <c r="K439" s="2959">
        <v>10</v>
      </c>
      <c r="L439" s="2959">
        <v>12</v>
      </c>
      <c r="M439" s="377">
        <v>15</v>
      </c>
      <c r="N439" s="2959">
        <v>100</v>
      </c>
      <c r="O439" s="2959">
        <v>150</v>
      </c>
      <c r="P439" s="2959">
        <v>200</v>
      </c>
      <c r="Q439" s="377">
        <v>250</v>
      </c>
      <c r="R439" s="2959">
        <v>10</v>
      </c>
      <c r="S439" s="2959">
        <v>15</v>
      </c>
      <c r="T439" s="2959">
        <v>20</v>
      </c>
      <c r="U439" s="377">
        <v>25</v>
      </c>
      <c r="V439" s="2954" t="s">
        <v>4879</v>
      </c>
      <c r="W439" s="2954" t="s">
        <v>4880</v>
      </c>
      <c r="X439" s="2954" t="s">
        <v>4881</v>
      </c>
      <c r="Y439" s="2954" t="s">
        <v>4882</v>
      </c>
      <c r="Z439" s="2954" t="s">
        <v>4883</v>
      </c>
      <c r="AA439" s="375"/>
    </row>
    <row r="440" spans="1:27" ht="12.75" customHeight="1" x14ac:dyDescent="0.2">
      <c r="A440" s="6360"/>
      <c r="B440" s="251" t="str">
        <f t="shared" si="6"/>
        <v>Libre acceso32</v>
      </c>
      <c r="D440" s="272" t="s">
        <v>417</v>
      </c>
      <c r="E440" s="2959" t="s">
        <v>381</v>
      </c>
      <c r="F440" s="2959">
        <f t="shared" si="9"/>
        <v>32</v>
      </c>
      <c r="G440" s="2962" t="s">
        <v>1381</v>
      </c>
      <c r="H440" s="2962" t="s">
        <v>1235</v>
      </c>
      <c r="I440" s="380" t="s">
        <v>1304</v>
      </c>
      <c r="J440" s="2959">
        <v>7</v>
      </c>
      <c r="K440" s="2959">
        <v>10</v>
      </c>
      <c r="L440" s="2959">
        <v>12</v>
      </c>
      <c r="M440" s="377">
        <v>14</v>
      </c>
      <c r="N440" s="2959">
        <v>80</v>
      </c>
      <c r="O440" s="2959">
        <v>120</v>
      </c>
      <c r="P440" s="2959">
        <v>160</v>
      </c>
      <c r="Q440" s="377">
        <v>200</v>
      </c>
      <c r="R440" s="2959">
        <v>10</v>
      </c>
      <c r="S440" s="2959">
        <v>10</v>
      </c>
      <c r="T440" s="2959">
        <v>15</v>
      </c>
      <c r="U440" s="377">
        <v>15</v>
      </c>
      <c r="V440" s="2954" t="s">
        <v>4884</v>
      </c>
      <c r="W440" s="2954" t="s">
        <v>4885</v>
      </c>
      <c r="X440" s="2954" t="s">
        <v>4886</v>
      </c>
      <c r="Y440" s="2954" t="s">
        <v>4887</v>
      </c>
      <c r="Z440" s="2954" t="s">
        <v>4888</v>
      </c>
      <c r="AA440" s="375" t="s">
        <v>1699</v>
      </c>
    </row>
    <row r="441" spans="1:27" ht="12.75" customHeight="1" x14ac:dyDescent="0.2">
      <c r="A441" s="6360"/>
      <c r="B441" s="251" t="str">
        <f t="shared" si="6"/>
        <v>Libre acceso32</v>
      </c>
      <c r="D441" s="272" t="s">
        <v>418</v>
      </c>
      <c r="E441" s="2959" t="s">
        <v>381</v>
      </c>
      <c r="F441" s="2959">
        <f t="shared" si="9"/>
        <v>32</v>
      </c>
      <c r="G441" s="2962" t="s">
        <v>1381</v>
      </c>
      <c r="H441" s="2962" t="s">
        <v>1234</v>
      </c>
      <c r="I441" s="380" t="s">
        <v>1304</v>
      </c>
      <c r="J441" s="2959">
        <v>7</v>
      </c>
      <c r="K441" s="2959">
        <v>10</v>
      </c>
      <c r="L441" s="2959">
        <v>12</v>
      </c>
      <c r="M441" s="377">
        <v>14</v>
      </c>
      <c r="N441" s="2959">
        <v>80</v>
      </c>
      <c r="O441" s="2959">
        <v>100</v>
      </c>
      <c r="P441" s="2959">
        <v>120</v>
      </c>
      <c r="Q441" s="377">
        <v>140</v>
      </c>
      <c r="R441" s="2959"/>
      <c r="S441" s="2959"/>
      <c r="T441" s="2959"/>
      <c r="U441" s="377" t="s">
        <v>3583</v>
      </c>
      <c r="V441" s="2954" t="s">
        <v>4889</v>
      </c>
      <c r="W441" s="2954" t="s">
        <v>4890</v>
      </c>
      <c r="X441" s="2954" t="s">
        <v>4891</v>
      </c>
      <c r="Y441" s="2954" t="s">
        <v>4892</v>
      </c>
      <c r="Z441" s="2954" t="s">
        <v>4893</v>
      </c>
      <c r="AA441" s="375" t="s">
        <v>1706</v>
      </c>
    </row>
    <row r="442" spans="1:27" ht="12.75" customHeight="1" x14ac:dyDescent="0.2">
      <c r="A442" s="6360"/>
      <c r="B442" s="251" t="str">
        <f t="shared" si="6"/>
        <v>Libre acceso32</v>
      </c>
      <c r="D442" s="272" t="s">
        <v>419</v>
      </c>
      <c r="E442" s="2959" t="s">
        <v>381</v>
      </c>
      <c r="F442" s="2959">
        <f t="shared" si="9"/>
        <v>32</v>
      </c>
      <c r="G442" s="2962" t="s">
        <v>1381</v>
      </c>
      <c r="H442" s="2962" t="s">
        <v>1234</v>
      </c>
      <c r="I442" s="380" t="s">
        <v>1304</v>
      </c>
      <c r="J442" s="2959">
        <v>8</v>
      </c>
      <c r="K442" s="2959">
        <v>11</v>
      </c>
      <c r="L442" s="2959">
        <v>13</v>
      </c>
      <c r="M442" s="377">
        <v>16</v>
      </c>
      <c r="N442" s="2959">
        <v>80</v>
      </c>
      <c r="O442" s="2959">
        <v>140</v>
      </c>
      <c r="P442" s="2959">
        <v>200</v>
      </c>
      <c r="Q442" s="377">
        <v>300</v>
      </c>
      <c r="R442" s="2959"/>
      <c r="S442" s="2959"/>
      <c r="T442" s="2959"/>
      <c r="U442" s="377" t="s">
        <v>3583</v>
      </c>
      <c r="V442" s="2954" t="s">
        <v>4894</v>
      </c>
      <c r="W442" s="2954" t="s">
        <v>4895</v>
      </c>
      <c r="X442" s="2954" t="s">
        <v>4896</v>
      </c>
      <c r="Y442" s="2954" t="s">
        <v>4897</v>
      </c>
      <c r="Z442" s="2954" t="s">
        <v>4898</v>
      </c>
      <c r="AA442" s="375"/>
    </row>
    <row r="443" spans="1:27" ht="12.75" customHeight="1" x14ac:dyDescent="0.2">
      <c r="A443" s="6360"/>
      <c r="B443" s="251" t="str">
        <f t="shared" si="6"/>
        <v>Libre acceso32</v>
      </c>
      <c r="D443" s="272" t="s">
        <v>420</v>
      </c>
      <c r="E443" s="2959" t="s">
        <v>381</v>
      </c>
      <c r="F443" s="2959">
        <f t="shared" si="9"/>
        <v>32</v>
      </c>
      <c r="G443" s="2962" t="s">
        <v>1381</v>
      </c>
      <c r="H443" s="2962" t="s">
        <v>1232</v>
      </c>
      <c r="I443" s="380" t="s">
        <v>1304</v>
      </c>
      <c r="J443" s="2959">
        <v>6</v>
      </c>
      <c r="K443" s="2959">
        <v>9</v>
      </c>
      <c r="L443" s="2959">
        <v>11</v>
      </c>
      <c r="M443" s="377">
        <v>14</v>
      </c>
      <c r="N443" s="2959">
        <v>60</v>
      </c>
      <c r="O443" s="2959">
        <v>90</v>
      </c>
      <c r="P443" s="2959">
        <v>120</v>
      </c>
      <c r="Q443" s="377">
        <v>150</v>
      </c>
      <c r="R443" s="2959"/>
      <c r="S443" s="2959"/>
      <c r="T443" s="2959"/>
      <c r="U443" s="377"/>
      <c r="V443" s="2954" t="s">
        <v>4899</v>
      </c>
      <c r="W443" s="2954" t="s">
        <v>4900</v>
      </c>
      <c r="X443" s="2954" t="s">
        <v>4640</v>
      </c>
      <c r="Y443" s="2954" t="s">
        <v>3746</v>
      </c>
      <c r="Z443" s="2954" t="s">
        <v>4901</v>
      </c>
      <c r="AA443" s="375" t="s">
        <v>1706</v>
      </c>
    </row>
    <row r="444" spans="1:27" ht="12.75" customHeight="1" x14ac:dyDescent="0.2">
      <c r="A444" s="6360"/>
      <c r="B444" s="251" t="str">
        <f t="shared" si="6"/>
        <v>Libre acceso32</v>
      </c>
      <c r="D444" s="272" t="s">
        <v>421</v>
      </c>
      <c r="E444" s="2959" t="s">
        <v>381</v>
      </c>
      <c r="F444" s="2959">
        <f t="shared" si="9"/>
        <v>32</v>
      </c>
      <c r="G444" s="2963" t="s">
        <v>2088</v>
      </c>
      <c r="H444" s="2962" t="s">
        <v>1234</v>
      </c>
      <c r="I444" s="380" t="s">
        <v>1304</v>
      </c>
      <c r="J444" s="2959">
        <v>7</v>
      </c>
      <c r="K444" s="2959">
        <v>10</v>
      </c>
      <c r="L444" s="2959">
        <v>12</v>
      </c>
      <c r="M444" s="377">
        <v>14</v>
      </c>
      <c r="N444" s="2959">
        <v>80</v>
      </c>
      <c r="O444" s="2959">
        <v>160</v>
      </c>
      <c r="P444" s="2959">
        <v>200</v>
      </c>
      <c r="Q444" s="377">
        <v>240</v>
      </c>
      <c r="R444" s="2959">
        <v>5</v>
      </c>
      <c r="S444" s="2959">
        <v>10</v>
      </c>
      <c r="T444" s="2959">
        <v>10</v>
      </c>
      <c r="U444" s="377">
        <v>15</v>
      </c>
      <c r="V444" s="2954" t="s">
        <v>3540</v>
      </c>
      <c r="W444" s="2954" t="s">
        <v>3542</v>
      </c>
      <c r="X444" s="2954" t="s">
        <v>3653</v>
      </c>
      <c r="Y444" s="2954" t="s">
        <v>3404</v>
      </c>
      <c r="Z444" s="2954" t="s">
        <v>4902</v>
      </c>
      <c r="AA444" s="375"/>
    </row>
    <row r="445" spans="1:27" ht="12.75" customHeight="1" x14ac:dyDescent="0.2">
      <c r="A445" s="6360"/>
      <c r="B445" s="251" t="str">
        <f t="shared" si="6"/>
        <v>Libre acceso32</v>
      </c>
      <c r="D445" s="272" t="s">
        <v>422</v>
      </c>
      <c r="E445" s="2959" t="s">
        <v>381</v>
      </c>
      <c r="F445" s="2959">
        <f t="shared" si="9"/>
        <v>32</v>
      </c>
      <c r="G445" s="2962" t="s">
        <v>2088</v>
      </c>
      <c r="H445" s="2962" t="s">
        <v>4020</v>
      </c>
      <c r="I445" s="380" t="s">
        <v>1304</v>
      </c>
      <c r="J445" s="2959">
        <v>6</v>
      </c>
      <c r="K445" s="2959">
        <v>9</v>
      </c>
      <c r="L445" s="2959">
        <v>11</v>
      </c>
      <c r="M445" s="377">
        <v>14</v>
      </c>
      <c r="N445" s="2959">
        <v>50</v>
      </c>
      <c r="O445" s="2959">
        <v>100</v>
      </c>
      <c r="P445" s="2959">
        <v>150</v>
      </c>
      <c r="Q445" s="377">
        <v>200</v>
      </c>
      <c r="R445" s="2959">
        <v>5</v>
      </c>
      <c r="S445" s="2959">
        <v>10</v>
      </c>
      <c r="T445" s="2959">
        <v>15</v>
      </c>
      <c r="U445" s="377">
        <v>15</v>
      </c>
      <c r="V445" s="2954" t="s">
        <v>3590</v>
      </c>
      <c r="W445" s="2954" t="s">
        <v>3487</v>
      </c>
      <c r="X445" s="2954" t="s">
        <v>3488</v>
      </c>
      <c r="Y445" s="2954" t="s">
        <v>3489</v>
      </c>
      <c r="Z445" s="2954" t="s">
        <v>4903</v>
      </c>
      <c r="AA445" s="375" t="s">
        <v>10431</v>
      </c>
    </row>
    <row r="446" spans="1:27" ht="12.75" customHeight="1" x14ac:dyDescent="0.2">
      <c r="A446" s="6360"/>
      <c r="B446" s="251" t="str">
        <f t="shared" si="6"/>
        <v>Libre acceso32</v>
      </c>
      <c r="D446" s="272" t="s">
        <v>201</v>
      </c>
      <c r="E446" s="2959" t="s">
        <v>381</v>
      </c>
      <c r="F446" s="2959">
        <f t="shared" si="9"/>
        <v>32</v>
      </c>
      <c r="G446" s="2962" t="s">
        <v>1381</v>
      </c>
      <c r="H446" s="2962" t="s">
        <v>1236</v>
      </c>
      <c r="I446" s="380" t="s">
        <v>1304</v>
      </c>
      <c r="J446" s="2959">
        <v>7</v>
      </c>
      <c r="K446" s="2959">
        <v>10</v>
      </c>
      <c r="L446" s="2959">
        <v>13</v>
      </c>
      <c r="M446" s="377">
        <v>16</v>
      </c>
      <c r="N446" s="2959">
        <v>60</v>
      </c>
      <c r="O446" s="2959">
        <v>90</v>
      </c>
      <c r="P446" s="2959">
        <v>120</v>
      </c>
      <c r="Q446" s="377">
        <v>150</v>
      </c>
      <c r="R446" s="2959">
        <v>5</v>
      </c>
      <c r="S446" s="2959">
        <v>5</v>
      </c>
      <c r="T446" s="2959">
        <v>10</v>
      </c>
      <c r="U446" s="377">
        <v>10</v>
      </c>
      <c r="V446" s="2954" t="s">
        <v>4904</v>
      </c>
      <c r="W446" s="2954" t="s">
        <v>4905</v>
      </c>
      <c r="X446" s="2954" t="s">
        <v>4906</v>
      </c>
      <c r="Y446" s="2954" t="s">
        <v>4907</v>
      </c>
      <c r="Z446" s="2954" t="s">
        <v>4908</v>
      </c>
      <c r="AA446" s="375"/>
    </row>
    <row r="447" spans="1:27" ht="12.75" customHeight="1" x14ac:dyDescent="0.2">
      <c r="A447" s="6360"/>
      <c r="B447" s="251" t="str">
        <f t="shared" si="6"/>
        <v>Libre acceso32</v>
      </c>
      <c r="D447" s="272" t="s">
        <v>423</v>
      </c>
      <c r="E447" s="2959" t="s">
        <v>381</v>
      </c>
      <c r="F447" s="2959">
        <f t="shared" si="9"/>
        <v>32</v>
      </c>
      <c r="G447" s="2962" t="s">
        <v>1381</v>
      </c>
      <c r="H447" s="2962" t="s">
        <v>4020</v>
      </c>
      <c r="I447" s="380" t="s">
        <v>1304</v>
      </c>
      <c r="J447" s="2959">
        <v>7</v>
      </c>
      <c r="K447" s="2959">
        <v>10</v>
      </c>
      <c r="L447" s="2959">
        <v>12</v>
      </c>
      <c r="M447" s="377">
        <v>14</v>
      </c>
      <c r="N447" s="2959">
        <v>80</v>
      </c>
      <c r="O447" s="2959">
        <v>100</v>
      </c>
      <c r="P447" s="2959">
        <v>140</v>
      </c>
      <c r="Q447" s="377">
        <v>180</v>
      </c>
      <c r="R447" s="2959">
        <v>10</v>
      </c>
      <c r="S447" s="2959">
        <v>10</v>
      </c>
      <c r="T447" s="2959">
        <v>15</v>
      </c>
      <c r="U447" s="377">
        <v>20</v>
      </c>
      <c r="V447" s="2954" t="s">
        <v>4909</v>
      </c>
      <c r="W447" s="2954" t="s">
        <v>4910</v>
      </c>
      <c r="X447" s="2954" t="s">
        <v>4911</v>
      </c>
      <c r="Y447" s="2954" t="s">
        <v>4912</v>
      </c>
      <c r="Z447" s="2954" t="s">
        <v>4913</v>
      </c>
      <c r="AA447" s="375" t="s">
        <v>1707</v>
      </c>
    </row>
    <row r="448" spans="1:27" ht="12.75" customHeight="1" x14ac:dyDescent="0.2">
      <c r="A448" s="6360"/>
      <c r="B448" s="251" t="str">
        <f t="shared" si="6"/>
        <v>Libre acceso32</v>
      </c>
      <c r="D448" s="272" t="s">
        <v>424</v>
      </c>
      <c r="E448" s="2959" t="s">
        <v>381</v>
      </c>
      <c r="F448" s="2959">
        <f t="shared" si="9"/>
        <v>32</v>
      </c>
      <c r="G448" s="2962" t="s">
        <v>2088</v>
      </c>
      <c r="H448" s="2962" t="s">
        <v>4914</v>
      </c>
      <c r="I448" s="380" t="s">
        <v>1304</v>
      </c>
      <c r="J448" s="2959">
        <v>7</v>
      </c>
      <c r="K448" s="2959">
        <v>10</v>
      </c>
      <c r="L448" s="2959">
        <v>12</v>
      </c>
      <c r="M448" s="377">
        <v>14</v>
      </c>
      <c r="N448" s="2959">
        <v>80</v>
      </c>
      <c r="O448" s="2959">
        <v>100</v>
      </c>
      <c r="P448" s="2959">
        <v>120</v>
      </c>
      <c r="Q448" s="377">
        <v>140</v>
      </c>
      <c r="R448" s="2959">
        <v>10</v>
      </c>
      <c r="S448" s="2959">
        <v>10</v>
      </c>
      <c r="T448" s="2959">
        <v>15</v>
      </c>
      <c r="U448" s="377">
        <v>15</v>
      </c>
      <c r="V448" s="2954" t="s">
        <v>3628</v>
      </c>
      <c r="W448" s="2954" t="s">
        <v>4915</v>
      </c>
      <c r="X448" s="2954" t="s">
        <v>3590</v>
      </c>
      <c r="Y448" s="2954" t="s">
        <v>4692</v>
      </c>
      <c r="Z448" s="2954" t="s">
        <v>4916</v>
      </c>
      <c r="AA448" s="375" t="s">
        <v>1707</v>
      </c>
    </row>
    <row r="449" spans="1:27" ht="12.75" customHeight="1" x14ac:dyDescent="0.2">
      <c r="A449" s="6360"/>
      <c r="B449" s="251" t="str">
        <f t="shared" si="6"/>
        <v/>
      </c>
      <c r="D449" s="272" t="s">
        <v>425</v>
      </c>
      <c r="E449" s="2959"/>
      <c r="F449" s="2959"/>
      <c r="G449" s="2962"/>
      <c r="H449" s="2962"/>
      <c r="I449" s="380"/>
      <c r="J449" s="2959"/>
      <c r="K449" s="2959"/>
      <c r="L449" s="2959"/>
      <c r="M449" s="377"/>
      <c r="N449" s="2959"/>
      <c r="O449" s="2959"/>
      <c r="P449" s="2959"/>
      <c r="Q449" s="377"/>
      <c r="R449" s="2959"/>
      <c r="S449" s="2959"/>
      <c r="T449" s="2959"/>
      <c r="U449" s="377"/>
      <c r="V449" s="2954"/>
      <c r="W449" s="2954"/>
      <c r="X449" s="2954"/>
      <c r="Y449" s="2954"/>
      <c r="Z449" s="2954"/>
      <c r="AA449" s="375"/>
    </row>
    <row r="450" spans="1:27" ht="12.75" customHeight="1" x14ac:dyDescent="0.2">
      <c r="A450" s="6360"/>
      <c r="B450" s="251" t="str">
        <f t="shared" si="6"/>
        <v>Libre acceso42</v>
      </c>
      <c r="D450" s="272" t="s">
        <v>426</v>
      </c>
      <c r="E450" s="2959" t="s">
        <v>381</v>
      </c>
      <c r="F450" s="2959">
        <f>F437+10</f>
        <v>42</v>
      </c>
      <c r="G450" s="2962" t="s">
        <v>1381</v>
      </c>
      <c r="H450" s="2962" t="s">
        <v>1234</v>
      </c>
      <c r="I450" s="380" t="s">
        <v>1304</v>
      </c>
      <c r="J450" s="2959">
        <v>6</v>
      </c>
      <c r="K450" s="2959">
        <v>9</v>
      </c>
      <c r="L450" s="2959">
        <v>12</v>
      </c>
      <c r="M450" s="377">
        <v>15</v>
      </c>
      <c r="N450" s="2959">
        <v>60</v>
      </c>
      <c r="O450" s="2959">
        <v>90</v>
      </c>
      <c r="P450" s="2959">
        <v>120</v>
      </c>
      <c r="Q450" s="377">
        <v>150</v>
      </c>
      <c r="R450" s="2959"/>
      <c r="S450" s="2959"/>
      <c r="T450" s="2959"/>
      <c r="U450" s="377"/>
      <c r="V450" s="2954" t="s">
        <v>4880</v>
      </c>
      <c r="W450" s="2954" t="s">
        <v>4917</v>
      </c>
      <c r="X450" s="2954" t="s">
        <v>4918</v>
      </c>
      <c r="Y450" s="2954" t="s">
        <v>4919</v>
      </c>
      <c r="Z450" s="2954" t="s">
        <v>4920</v>
      </c>
      <c r="AA450" s="375" t="s">
        <v>1704</v>
      </c>
    </row>
    <row r="451" spans="1:27" ht="12.75" customHeight="1" x14ac:dyDescent="0.2">
      <c r="A451" s="6360"/>
      <c r="B451" s="251" t="str">
        <f t="shared" si="6"/>
        <v>Libre acceso42</v>
      </c>
      <c r="D451" s="272" t="s">
        <v>427</v>
      </c>
      <c r="E451" s="2959" t="s">
        <v>381</v>
      </c>
      <c r="F451" s="2959">
        <f t="shared" ref="F451:F461" si="10">F438+10</f>
        <v>42</v>
      </c>
      <c r="G451" s="2962" t="s">
        <v>1381</v>
      </c>
      <c r="H451" s="2962" t="s">
        <v>1235</v>
      </c>
      <c r="I451" s="380" t="s">
        <v>1304</v>
      </c>
      <c r="J451" s="2959">
        <v>8</v>
      </c>
      <c r="K451" s="2959">
        <v>10</v>
      </c>
      <c r="L451" s="2959">
        <v>12</v>
      </c>
      <c r="M451" s="377">
        <v>15</v>
      </c>
      <c r="N451" s="2959">
        <v>120</v>
      </c>
      <c r="O451" s="2959">
        <v>180</v>
      </c>
      <c r="P451" s="2959">
        <v>240</v>
      </c>
      <c r="Q451" s="377">
        <v>300</v>
      </c>
      <c r="R451" s="2959"/>
      <c r="S451" s="2959"/>
      <c r="T451" s="2959"/>
      <c r="U451" s="377"/>
      <c r="V451" s="2954" t="s">
        <v>9694</v>
      </c>
      <c r="W451" s="2954" t="s">
        <v>9684</v>
      </c>
      <c r="X451" s="2954" t="s">
        <v>9685</v>
      </c>
      <c r="Y451" s="2954" t="s">
        <v>9686</v>
      </c>
      <c r="Z451" s="2954" t="s">
        <v>4921</v>
      </c>
      <c r="AA451" s="375"/>
    </row>
    <row r="452" spans="1:27" ht="12.75" customHeight="1" x14ac:dyDescent="0.2">
      <c r="A452" s="6360"/>
      <c r="B452" s="251" t="str">
        <f t="shared" si="6"/>
        <v>Libre acceso42</v>
      </c>
      <c r="D452" s="272" t="s">
        <v>428</v>
      </c>
      <c r="E452" s="2959" t="s">
        <v>381</v>
      </c>
      <c r="F452" s="2959">
        <f t="shared" si="10"/>
        <v>42</v>
      </c>
      <c r="G452" s="2962" t="s">
        <v>2088</v>
      </c>
      <c r="H452" s="2962" t="s">
        <v>4020</v>
      </c>
      <c r="I452" s="380" t="s">
        <v>1304</v>
      </c>
      <c r="J452" s="2959">
        <v>8</v>
      </c>
      <c r="K452" s="2959">
        <v>10</v>
      </c>
      <c r="L452" s="2959">
        <v>13</v>
      </c>
      <c r="M452" s="377">
        <v>16</v>
      </c>
      <c r="N452" s="2959">
        <v>200</v>
      </c>
      <c r="O452" s="2959">
        <v>350</v>
      </c>
      <c r="P452" s="2959">
        <v>500</v>
      </c>
      <c r="Q452" s="377">
        <v>700</v>
      </c>
      <c r="R452" s="2959">
        <v>10</v>
      </c>
      <c r="S452" s="2959">
        <v>20</v>
      </c>
      <c r="T452" s="2959">
        <v>25</v>
      </c>
      <c r="U452" s="377">
        <v>35</v>
      </c>
      <c r="V452" s="2954" t="s">
        <v>4922</v>
      </c>
      <c r="W452" s="2954" t="s">
        <v>4923</v>
      </c>
      <c r="X452" s="2954" t="s">
        <v>4924</v>
      </c>
      <c r="Y452" s="2954" t="s">
        <v>4925</v>
      </c>
      <c r="Z452" s="2954" t="s">
        <v>4926</v>
      </c>
      <c r="AA452" s="375"/>
    </row>
    <row r="453" spans="1:27" ht="12.75" customHeight="1" x14ac:dyDescent="0.2">
      <c r="A453" s="6360"/>
      <c r="B453" s="251" t="str">
        <f t="shared" si="6"/>
        <v>Libre acceso42</v>
      </c>
      <c r="D453" s="272" t="s">
        <v>429</v>
      </c>
      <c r="E453" s="2959" t="s">
        <v>381</v>
      </c>
      <c r="F453" s="2959">
        <f t="shared" si="10"/>
        <v>42</v>
      </c>
      <c r="G453" s="2962" t="s">
        <v>1381</v>
      </c>
      <c r="H453" s="2962" t="s">
        <v>1235</v>
      </c>
      <c r="I453" s="380" t="s">
        <v>1304</v>
      </c>
      <c r="J453" s="2959">
        <v>6</v>
      </c>
      <c r="K453" s="2959">
        <v>9</v>
      </c>
      <c r="L453" s="2959">
        <v>12</v>
      </c>
      <c r="M453" s="377">
        <v>15</v>
      </c>
      <c r="N453" s="2959">
        <v>60</v>
      </c>
      <c r="O453" s="2959">
        <v>90</v>
      </c>
      <c r="P453" s="2959">
        <v>120</v>
      </c>
      <c r="Q453" s="377">
        <v>150</v>
      </c>
      <c r="R453" s="2959">
        <v>5</v>
      </c>
      <c r="S453" s="2959">
        <v>5</v>
      </c>
      <c r="T453" s="2959">
        <v>10</v>
      </c>
      <c r="U453" s="377">
        <v>10</v>
      </c>
      <c r="V453" s="2954" t="s">
        <v>4927</v>
      </c>
      <c r="W453" s="2954" t="s">
        <v>4928</v>
      </c>
      <c r="X453" s="2954" t="s">
        <v>4929</v>
      </c>
      <c r="Y453" s="2954" t="s">
        <v>4930</v>
      </c>
      <c r="Z453" s="2954" t="s">
        <v>4931</v>
      </c>
      <c r="AA453" s="375" t="s">
        <v>1700</v>
      </c>
    </row>
    <row r="454" spans="1:27" ht="12.75" customHeight="1" x14ac:dyDescent="0.2">
      <c r="A454" s="6360"/>
      <c r="B454" s="251" t="str">
        <f t="shared" si="6"/>
        <v>Libre acceso42</v>
      </c>
      <c r="D454" s="272" t="s">
        <v>430</v>
      </c>
      <c r="E454" s="2959" t="s">
        <v>381</v>
      </c>
      <c r="F454" s="2959">
        <f t="shared" si="10"/>
        <v>42</v>
      </c>
      <c r="G454" s="2962" t="s">
        <v>1381</v>
      </c>
      <c r="H454" s="2962" t="s">
        <v>1234</v>
      </c>
      <c r="I454" s="380" t="s">
        <v>1304</v>
      </c>
      <c r="J454" s="2959">
        <v>8</v>
      </c>
      <c r="K454" s="2959">
        <v>10</v>
      </c>
      <c r="L454" s="2959">
        <v>12</v>
      </c>
      <c r="M454" s="377">
        <v>15</v>
      </c>
      <c r="N454" s="2959">
        <v>100</v>
      </c>
      <c r="O454" s="2959">
        <v>140</v>
      </c>
      <c r="P454" s="2959">
        <v>180</v>
      </c>
      <c r="Q454" s="377">
        <v>240</v>
      </c>
      <c r="R454" s="2959"/>
      <c r="S454" s="2959"/>
      <c r="T454" s="2959"/>
      <c r="U454" s="377" t="s">
        <v>3583</v>
      </c>
      <c r="V454" s="2954" t="s">
        <v>4932</v>
      </c>
      <c r="W454" s="2954" t="s">
        <v>4933</v>
      </c>
      <c r="X454" s="2954" t="s">
        <v>4934</v>
      </c>
      <c r="Y454" s="2954" t="s">
        <v>4935</v>
      </c>
      <c r="Z454" s="2954" t="s">
        <v>4936</v>
      </c>
      <c r="AA454" s="375" t="s">
        <v>1706</v>
      </c>
    </row>
    <row r="455" spans="1:27" ht="12.75" customHeight="1" x14ac:dyDescent="0.2">
      <c r="A455" s="6360"/>
      <c r="B455" s="251" t="str">
        <f t="shared" si="6"/>
        <v>Libre acceso42</v>
      </c>
      <c r="D455" s="272" t="s">
        <v>431</v>
      </c>
      <c r="E455" s="2959" t="s">
        <v>381</v>
      </c>
      <c r="F455" s="2959">
        <f t="shared" si="10"/>
        <v>42</v>
      </c>
      <c r="G455" s="2962" t="s">
        <v>1381</v>
      </c>
      <c r="H455" s="2962" t="s">
        <v>1233</v>
      </c>
      <c r="I455" s="380" t="s">
        <v>1304</v>
      </c>
      <c r="J455" s="2959">
        <v>8</v>
      </c>
      <c r="K455" s="2959">
        <v>10</v>
      </c>
      <c r="L455" s="2959">
        <v>12</v>
      </c>
      <c r="M455" s="377">
        <v>15</v>
      </c>
      <c r="N455" s="2959">
        <v>60</v>
      </c>
      <c r="O455" s="2959">
        <v>100</v>
      </c>
      <c r="P455" s="2959">
        <v>140</v>
      </c>
      <c r="Q455" s="377">
        <v>200</v>
      </c>
      <c r="R455" s="2959"/>
      <c r="S455" s="2959"/>
      <c r="T455" s="2959"/>
      <c r="U455" s="377"/>
      <c r="V455" s="2954" t="s">
        <v>4937</v>
      </c>
      <c r="W455" s="2954" t="s">
        <v>4938</v>
      </c>
      <c r="X455" s="2954" t="s">
        <v>4939</v>
      </c>
      <c r="Y455" s="2954" t="s">
        <v>4940</v>
      </c>
      <c r="Z455" s="2954" t="s">
        <v>4941</v>
      </c>
      <c r="AA455" s="375" t="s">
        <v>10432</v>
      </c>
    </row>
    <row r="456" spans="1:27" ht="12.75" customHeight="1" x14ac:dyDescent="0.2">
      <c r="A456" s="6360"/>
      <c r="B456" s="251" t="str">
        <f t="shared" ref="B456:B519" si="11">E456&amp;F456</f>
        <v>Libre acceso42</v>
      </c>
      <c r="D456" s="272" t="s">
        <v>432</v>
      </c>
      <c r="E456" s="2959" t="s">
        <v>381</v>
      </c>
      <c r="F456" s="2959">
        <f t="shared" si="10"/>
        <v>42</v>
      </c>
      <c r="G456" s="2962" t="s">
        <v>1381</v>
      </c>
      <c r="H456" s="2962" t="s">
        <v>1235</v>
      </c>
      <c r="I456" s="380" t="s">
        <v>1304</v>
      </c>
      <c r="J456" s="2959">
        <v>8</v>
      </c>
      <c r="K456" s="2959">
        <v>10</v>
      </c>
      <c r="L456" s="2959">
        <v>12</v>
      </c>
      <c r="M456" s="377">
        <v>14</v>
      </c>
      <c r="N456" s="2959">
        <v>150</v>
      </c>
      <c r="O456" s="2959">
        <v>200</v>
      </c>
      <c r="P456" s="2959">
        <v>240</v>
      </c>
      <c r="Q456" s="377">
        <v>280</v>
      </c>
      <c r="R456" s="2959">
        <v>10</v>
      </c>
      <c r="S456" s="2959">
        <v>10</v>
      </c>
      <c r="T456" s="2959">
        <v>15</v>
      </c>
      <c r="U456" s="377">
        <v>15</v>
      </c>
      <c r="V456" s="2954" t="s">
        <v>4942</v>
      </c>
      <c r="W456" s="2954" t="s">
        <v>4943</v>
      </c>
      <c r="X456" s="2954" t="s">
        <v>4944</v>
      </c>
      <c r="Y456" s="2954" t="s">
        <v>4945</v>
      </c>
      <c r="Z456" s="2954" t="s">
        <v>4946</v>
      </c>
      <c r="AA456" s="375" t="s">
        <v>1706</v>
      </c>
    </row>
    <row r="457" spans="1:27" ht="12.75" customHeight="1" x14ac:dyDescent="0.2">
      <c r="A457" s="6360"/>
      <c r="B457" s="251" t="str">
        <f t="shared" si="11"/>
        <v>Libre acceso42</v>
      </c>
      <c r="D457" s="272" t="s">
        <v>433</v>
      </c>
      <c r="E457" s="2959" t="s">
        <v>381</v>
      </c>
      <c r="F457" s="2959">
        <f t="shared" si="10"/>
        <v>42</v>
      </c>
      <c r="G457" s="2962" t="s">
        <v>1381</v>
      </c>
      <c r="H457" s="2962" t="s">
        <v>1233</v>
      </c>
      <c r="I457" s="380" t="s">
        <v>1304</v>
      </c>
      <c r="J457" s="2959">
        <v>8</v>
      </c>
      <c r="K457" s="2959">
        <v>10</v>
      </c>
      <c r="L457" s="2959">
        <v>12</v>
      </c>
      <c r="M457" s="377">
        <v>15</v>
      </c>
      <c r="N457" s="2959">
        <v>100</v>
      </c>
      <c r="O457" s="2959">
        <v>160</v>
      </c>
      <c r="P457" s="2959">
        <v>200</v>
      </c>
      <c r="Q457" s="377">
        <v>240</v>
      </c>
      <c r="R457" s="2959">
        <v>10</v>
      </c>
      <c r="S457" s="2959">
        <v>20</v>
      </c>
      <c r="T457" s="2959">
        <v>20</v>
      </c>
      <c r="U457" s="377">
        <v>25</v>
      </c>
      <c r="V457" s="2954" t="s">
        <v>4947</v>
      </c>
      <c r="W457" s="2954" t="s">
        <v>3604</v>
      </c>
      <c r="X457" s="2954" t="s">
        <v>4583</v>
      </c>
      <c r="Y457" s="2954" t="s">
        <v>4584</v>
      </c>
      <c r="Z457" s="2954" t="s">
        <v>4948</v>
      </c>
      <c r="AA457" s="375" t="s">
        <v>1700</v>
      </c>
    </row>
    <row r="458" spans="1:27" ht="12.75" customHeight="1" x14ac:dyDescent="0.2">
      <c r="A458" s="6360"/>
      <c r="B458" s="251" t="str">
        <f t="shared" si="11"/>
        <v>Libre acceso42</v>
      </c>
      <c r="D458" s="272" t="s">
        <v>434</v>
      </c>
      <c r="E458" s="2959" t="s">
        <v>381</v>
      </c>
      <c r="F458" s="2959">
        <f t="shared" si="10"/>
        <v>42</v>
      </c>
      <c r="G458" s="2962" t="s">
        <v>1381</v>
      </c>
      <c r="H458" s="2962" t="s">
        <v>1233</v>
      </c>
      <c r="I458" s="380" t="s">
        <v>1304</v>
      </c>
      <c r="J458" s="2959">
        <v>8</v>
      </c>
      <c r="K458" s="2959">
        <v>10</v>
      </c>
      <c r="L458" s="2959">
        <v>12</v>
      </c>
      <c r="M458" s="377">
        <v>15</v>
      </c>
      <c r="N458" s="2959">
        <v>60</v>
      </c>
      <c r="O458" s="2959">
        <v>90</v>
      </c>
      <c r="P458" s="2959">
        <v>120</v>
      </c>
      <c r="Q458" s="377">
        <v>150</v>
      </c>
      <c r="R458" s="2959">
        <v>10</v>
      </c>
      <c r="S458" s="2959">
        <v>10</v>
      </c>
      <c r="T458" s="2959">
        <v>15</v>
      </c>
      <c r="U458" s="377">
        <v>15</v>
      </c>
      <c r="V458" s="2954" t="s">
        <v>4949</v>
      </c>
      <c r="W458" s="2954" t="s">
        <v>4950</v>
      </c>
      <c r="X458" s="2954" t="s">
        <v>4951</v>
      </c>
      <c r="Y458" s="2954" t="s">
        <v>4952</v>
      </c>
      <c r="Z458" s="2954" t="s">
        <v>4953</v>
      </c>
      <c r="AA458" s="375" t="s">
        <v>1603</v>
      </c>
    </row>
    <row r="459" spans="1:27" ht="12.75" customHeight="1" x14ac:dyDescent="0.2">
      <c r="A459" s="6360"/>
      <c r="B459" s="251" t="str">
        <f t="shared" si="11"/>
        <v>Libre acceso42</v>
      </c>
      <c r="D459" s="272" t="s">
        <v>435</v>
      </c>
      <c r="E459" s="2959" t="s">
        <v>381</v>
      </c>
      <c r="F459" s="2959">
        <f t="shared" si="10"/>
        <v>42</v>
      </c>
      <c r="G459" s="2962" t="s">
        <v>2088</v>
      </c>
      <c r="H459" s="2962" t="s">
        <v>1233</v>
      </c>
      <c r="I459" s="380" t="s">
        <v>1304</v>
      </c>
      <c r="J459" s="2959">
        <v>8</v>
      </c>
      <c r="K459" s="2959">
        <v>10</v>
      </c>
      <c r="L459" s="2959">
        <v>12</v>
      </c>
      <c r="M459" s="377">
        <v>14</v>
      </c>
      <c r="N459" s="2959">
        <v>80</v>
      </c>
      <c r="O459" s="2959">
        <v>120</v>
      </c>
      <c r="P459" s="2959">
        <v>180</v>
      </c>
      <c r="Q459" s="377">
        <v>220</v>
      </c>
      <c r="R459" s="2959">
        <v>10</v>
      </c>
      <c r="S459" s="2959">
        <v>15</v>
      </c>
      <c r="T459" s="2959">
        <v>20</v>
      </c>
      <c r="U459" s="377">
        <v>25</v>
      </c>
      <c r="V459" s="2954" t="s">
        <v>3604</v>
      </c>
      <c r="W459" s="2954" t="s">
        <v>4583</v>
      </c>
      <c r="X459" s="2954" t="s">
        <v>3605</v>
      </c>
      <c r="Y459" s="2954" t="s">
        <v>4584</v>
      </c>
      <c r="Z459" s="2954" t="s">
        <v>4954</v>
      </c>
      <c r="AA459" s="375" t="s">
        <v>1700</v>
      </c>
    </row>
    <row r="460" spans="1:27" ht="12.75" customHeight="1" x14ac:dyDescent="0.2">
      <c r="A460" s="6360"/>
      <c r="B460" s="251" t="str">
        <f t="shared" si="11"/>
        <v>Libre acceso42</v>
      </c>
      <c r="D460" s="272" t="s">
        <v>436</v>
      </c>
      <c r="E460" s="2959" t="s">
        <v>381</v>
      </c>
      <c r="F460" s="2959">
        <f t="shared" si="10"/>
        <v>42</v>
      </c>
      <c r="G460" s="2962" t="s">
        <v>1381</v>
      </c>
      <c r="H460" s="2962" t="s">
        <v>1234</v>
      </c>
      <c r="I460" s="380" t="s">
        <v>1304</v>
      </c>
      <c r="J460" s="2959">
        <v>8</v>
      </c>
      <c r="K460" s="2959">
        <v>10</v>
      </c>
      <c r="L460" s="2959">
        <v>12</v>
      </c>
      <c r="M460" s="377">
        <v>16</v>
      </c>
      <c r="N460" s="2959">
        <v>80</v>
      </c>
      <c r="O460" s="2959">
        <v>180</v>
      </c>
      <c r="P460" s="2959">
        <v>320</v>
      </c>
      <c r="Q460" s="377">
        <v>500</v>
      </c>
      <c r="R460" s="2959"/>
      <c r="S460" s="2959"/>
      <c r="T460" s="2959"/>
      <c r="U460" s="377" t="s">
        <v>3583</v>
      </c>
      <c r="V460" s="2954" t="s">
        <v>4955</v>
      </c>
      <c r="W460" s="2954" t="s">
        <v>4956</v>
      </c>
      <c r="X460" s="2954" t="s">
        <v>4957</v>
      </c>
      <c r="Y460" s="2954" t="s">
        <v>4958</v>
      </c>
      <c r="Z460" s="2954" t="s">
        <v>4959</v>
      </c>
      <c r="AA460" s="375"/>
    </row>
    <row r="461" spans="1:27" ht="12.75" customHeight="1" x14ac:dyDescent="0.2">
      <c r="A461" s="6360"/>
      <c r="B461" s="251" t="str">
        <f t="shared" si="11"/>
        <v>Libre acceso42</v>
      </c>
      <c r="D461" s="272" t="s">
        <v>437</v>
      </c>
      <c r="E461" s="2959" t="s">
        <v>381</v>
      </c>
      <c r="F461" s="2959">
        <f t="shared" si="10"/>
        <v>42</v>
      </c>
      <c r="G461" s="2962" t="s">
        <v>2088</v>
      </c>
      <c r="H461" s="2962" t="s">
        <v>1233</v>
      </c>
      <c r="I461" s="380" t="s">
        <v>1304</v>
      </c>
      <c r="J461" s="2959">
        <v>8</v>
      </c>
      <c r="K461" s="2959">
        <v>10</v>
      </c>
      <c r="L461" s="2959">
        <v>12</v>
      </c>
      <c r="M461" s="377">
        <v>14</v>
      </c>
      <c r="N461" s="2959">
        <v>100</v>
      </c>
      <c r="O461" s="2959">
        <v>160</v>
      </c>
      <c r="P461" s="2959">
        <v>200</v>
      </c>
      <c r="Q461" s="377">
        <v>240</v>
      </c>
      <c r="R461" s="2959">
        <v>10</v>
      </c>
      <c r="S461" s="2959">
        <v>20</v>
      </c>
      <c r="T461" s="2959">
        <v>20</v>
      </c>
      <c r="U461" s="377">
        <v>25</v>
      </c>
      <c r="V461" s="2954" t="s">
        <v>4960</v>
      </c>
      <c r="W461" s="2954" t="s">
        <v>4961</v>
      </c>
      <c r="X461" s="2954" t="s">
        <v>4962</v>
      </c>
      <c r="Y461" s="2954" t="s">
        <v>4963</v>
      </c>
      <c r="Z461" s="2954" t="s">
        <v>4964</v>
      </c>
      <c r="AA461" s="375" t="s">
        <v>1707</v>
      </c>
    </row>
    <row r="462" spans="1:27" ht="12.75" customHeight="1" x14ac:dyDescent="0.2">
      <c r="A462" s="6360"/>
      <c r="B462" s="251" t="str">
        <f t="shared" si="11"/>
        <v/>
      </c>
      <c r="D462" s="272" t="s">
        <v>438</v>
      </c>
      <c r="E462" s="2959"/>
      <c r="F462" s="2959"/>
      <c r="G462" s="2962"/>
      <c r="H462" s="2962"/>
      <c r="I462" s="380"/>
      <c r="J462" s="2959"/>
      <c r="K462" s="2959"/>
      <c r="L462" s="2959"/>
      <c r="M462" s="377"/>
      <c r="N462" s="2959"/>
      <c r="O462" s="2959"/>
      <c r="P462" s="2959"/>
      <c r="Q462" s="377"/>
      <c r="R462" s="2959"/>
      <c r="S462" s="2959"/>
      <c r="T462" s="2959"/>
      <c r="U462" s="377"/>
      <c r="V462" s="2954"/>
      <c r="W462" s="2954"/>
      <c r="X462" s="2954"/>
      <c r="Y462" s="2954"/>
      <c r="Z462" s="2954"/>
      <c r="AA462" s="375"/>
    </row>
    <row r="463" spans="1:27" ht="12.75" customHeight="1" x14ac:dyDescent="0.2">
      <c r="A463" s="6360"/>
      <c r="B463" s="251" t="str">
        <f t="shared" si="11"/>
        <v>Libre acceso52</v>
      </c>
      <c r="D463" s="272" t="s">
        <v>439</v>
      </c>
      <c r="E463" s="2959" t="s">
        <v>381</v>
      </c>
      <c r="F463" s="2959">
        <f>F450+10</f>
        <v>52</v>
      </c>
      <c r="G463" s="2962" t="s">
        <v>2088</v>
      </c>
      <c r="H463" s="2962" t="s">
        <v>4020</v>
      </c>
      <c r="I463" s="380" t="s">
        <v>1304</v>
      </c>
      <c r="J463" s="2959">
        <v>8</v>
      </c>
      <c r="K463" s="2959">
        <v>10</v>
      </c>
      <c r="L463" s="2959">
        <v>12</v>
      </c>
      <c r="M463" s="377">
        <v>14</v>
      </c>
      <c r="N463" s="2959">
        <v>80</v>
      </c>
      <c r="O463" s="2959">
        <v>120</v>
      </c>
      <c r="P463" s="2959">
        <v>160</v>
      </c>
      <c r="Q463" s="377">
        <v>200</v>
      </c>
      <c r="R463" s="2959">
        <v>10</v>
      </c>
      <c r="S463" s="2959">
        <v>10</v>
      </c>
      <c r="T463" s="2959">
        <v>15</v>
      </c>
      <c r="U463" s="377">
        <v>15</v>
      </c>
      <c r="V463" s="2954" t="s">
        <v>4965</v>
      </c>
      <c r="W463" s="2954" t="s">
        <v>4966</v>
      </c>
      <c r="X463" s="2954" t="s">
        <v>3449</v>
      </c>
      <c r="Y463" s="2954" t="s">
        <v>3450</v>
      </c>
      <c r="Z463" s="2954" t="s">
        <v>7062</v>
      </c>
      <c r="AA463" s="375"/>
    </row>
    <row r="464" spans="1:27" ht="12.75" customHeight="1" x14ac:dyDescent="0.2">
      <c r="A464" s="6360"/>
      <c r="B464" s="251" t="str">
        <f t="shared" si="11"/>
        <v>Libre acceso52</v>
      </c>
      <c r="D464" s="272" t="s">
        <v>440</v>
      </c>
      <c r="E464" s="2959" t="s">
        <v>381</v>
      </c>
      <c r="F464" s="2959">
        <f t="shared" ref="F464:F474" si="12">F451+10</f>
        <v>52</v>
      </c>
      <c r="G464" s="2962" t="s">
        <v>1381</v>
      </c>
      <c r="H464" s="2962" t="s">
        <v>4020</v>
      </c>
      <c r="I464" s="380" t="s">
        <v>1304</v>
      </c>
      <c r="J464" s="2959">
        <v>8</v>
      </c>
      <c r="K464" s="2959">
        <v>10</v>
      </c>
      <c r="L464" s="2959">
        <v>13</v>
      </c>
      <c r="M464" s="377">
        <v>15</v>
      </c>
      <c r="N464" s="2959">
        <v>80</v>
      </c>
      <c r="O464" s="2959">
        <v>120</v>
      </c>
      <c r="P464" s="2959">
        <v>160</v>
      </c>
      <c r="Q464" s="377">
        <v>200</v>
      </c>
      <c r="R464" s="2959">
        <v>10</v>
      </c>
      <c r="S464" s="2959">
        <v>15</v>
      </c>
      <c r="T464" s="2959">
        <v>20</v>
      </c>
      <c r="U464" s="377">
        <v>20</v>
      </c>
      <c r="V464" s="2954" t="s">
        <v>4967</v>
      </c>
      <c r="W464" s="2954" t="s">
        <v>4927</v>
      </c>
      <c r="X464" s="2954" t="s">
        <v>4968</v>
      </c>
      <c r="Y464" s="2954" t="s">
        <v>4969</v>
      </c>
      <c r="Z464" s="2954" t="s">
        <v>4970</v>
      </c>
      <c r="AA464" s="375" t="s">
        <v>10433</v>
      </c>
    </row>
    <row r="465" spans="1:27" ht="12.75" customHeight="1" x14ac:dyDescent="0.2">
      <c r="A465" s="6360"/>
      <c r="B465" s="251" t="str">
        <f t="shared" si="11"/>
        <v>Libre acceso52</v>
      </c>
      <c r="D465" s="272" t="s">
        <v>441</v>
      </c>
      <c r="E465" s="2959" t="s">
        <v>381</v>
      </c>
      <c r="F465" s="2959">
        <f t="shared" si="12"/>
        <v>52</v>
      </c>
      <c r="G465" s="2962" t="s">
        <v>1381</v>
      </c>
      <c r="H465" s="2962" t="s">
        <v>4020</v>
      </c>
      <c r="I465" s="380" t="s">
        <v>1304</v>
      </c>
      <c r="J465" s="2959">
        <v>8</v>
      </c>
      <c r="K465" s="2959">
        <v>10</v>
      </c>
      <c r="L465" s="2959">
        <v>13</v>
      </c>
      <c r="M465" s="377">
        <v>15</v>
      </c>
      <c r="N465" s="2959">
        <v>80</v>
      </c>
      <c r="O465" s="2959">
        <v>100</v>
      </c>
      <c r="P465" s="2959">
        <v>120</v>
      </c>
      <c r="Q465" s="377">
        <v>140</v>
      </c>
      <c r="R465" s="2959">
        <v>5</v>
      </c>
      <c r="S465" s="2959">
        <v>5</v>
      </c>
      <c r="T465" s="2959">
        <v>10</v>
      </c>
      <c r="U465" s="377">
        <v>10</v>
      </c>
      <c r="V465" s="2954" t="s">
        <v>4971</v>
      </c>
      <c r="W465" s="2954" t="s">
        <v>3261</v>
      </c>
      <c r="X465" s="2954" t="s">
        <v>4928</v>
      </c>
      <c r="Y465" s="2954" t="s">
        <v>4972</v>
      </c>
      <c r="Z465" s="2954" t="s">
        <v>4973</v>
      </c>
      <c r="AA465" s="375" t="s">
        <v>1706</v>
      </c>
    </row>
    <row r="466" spans="1:27" ht="12.75" customHeight="1" x14ac:dyDescent="0.2">
      <c r="A466" s="6360"/>
      <c r="B466" s="251" t="str">
        <f t="shared" si="11"/>
        <v>Libre acceso52</v>
      </c>
      <c r="D466" s="272" t="s">
        <v>442</v>
      </c>
      <c r="E466" s="2959" t="s">
        <v>381</v>
      </c>
      <c r="F466" s="2959">
        <f t="shared" si="12"/>
        <v>52</v>
      </c>
      <c r="G466" s="2962" t="s">
        <v>1381</v>
      </c>
      <c r="H466" s="2962" t="s">
        <v>4020</v>
      </c>
      <c r="I466" s="380" t="s">
        <v>1304</v>
      </c>
      <c r="J466" s="2959">
        <v>8</v>
      </c>
      <c r="K466" s="2959">
        <v>10</v>
      </c>
      <c r="L466" s="2959">
        <v>12</v>
      </c>
      <c r="M466" s="377">
        <v>14</v>
      </c>
      <c r="N466" s="2959">
        <v>80</v>
      </c>
      <c r="O466" s="2959">
        <v>100</v>
      </c>
      <c r="P466" s="2959">
        <v>120</v>
      </c>
      <c r="Q466" s="377">
        <v>140</v>
      </c>
      <c r="R466" s="2959">
        <v>5</v>
      </c>
      <c r="S466" s="2959">
        <v>5</v>
      </c>
      <c r="T466" s="2959">
        <v>10</v>
      </c>
      <c r="U466" s="377">
        <v>10</v>
      </c>
      <c r="V466" s="2954" t="s">
        <v>4971</v>
      </c>
      <c r="W466" s="2954" t="s">
        <v>4974</v>
      </c>
      <c r="X466" s="2954" t="s">
        <v>4975</v>
      </c>
      <c r="Y466" s="2954" t="s">
        <v>4976</v>
      </c>
      <c r="Z466" s="2954" t="s">
        <v>4977</v>
      </c>
      <c r="AA466" s="375" t="s">
        <v>1706</v>
      </c>
    </row>
    <row r="467" spans="1:27" ht="12.75" customHeight="1" x14ac:dyDescent="0.2">
      <c r="A467" s="6360"/>
      <c r="B467" s="251" t="str">
        <f t="shared" si="11"/>
        <v>Libre acceso52</v>
      </c>
      <c r="D467" s="272" t="s">
        <v>443</v>
      </c>
      <c r="E467" s="2959" t="s">
        <v>381</v>
      </c>
      <c r="F467" s="2959">
        <f t="shared" si="12"/>
        <v>52</v>
      </c>
      <c r="G467" s="2962" t="s">
        <v>1381</v>
      </c>
      <c r="H467" s="2962" t="s">
        <v>1234</v>
      </c>
      <c r="I467" s="380" t="s">
        <v>1304</v>
      </c>
      <c r="J467" s="2959">
        <v>8</v>
      </c>
      <c r="K467" s="2959">
        <v>10</v>
      </c>
      <c r="L467" s="2959">
        <v>13</v>
      </c>
      <c r="M467" s="377">
        <v>16</v>
      </c>
      <c r="N467" s="2959">
        <v>100</v>
      </c>
      <c r="O467" s="2959">
        <v>140</v>
      </c>
      <c r="P467" s="2959">
        <v>180</v>
      </c>
      <c r="Q467" s="377">
        <v>220</v>
      </c>
      <c r="R467" s="2959"/>
      <c r="S467" s="2959"/>
      <c r="T467" s="2959"/>
      <c r="U467" s="377"/>
      <c r="V467" s="2954" t="s">
        <v>4978</v>
      </c>
      <c r="W467" s="2954" t="s">
        <v>4979</v>
      </c>
      <c r="X467" s="2954" t="s">
        <v>4980</v>
      </c>
      <c r="Y467" s="2954" t="s">
        <v>4981</v>
      </c>
      <c r="Z467" s="2954" t="s">
        <v>4982</v>
      </c>
      <c r="AA467" s="375" t="s">
        <v>1707</v>
      </c>
    </row>
    <row r="468" spans="1:27" ht="12.75" customHeight="1" x14ac:dyDescent="0.2">
      <c r="A468" s="6360"/>
      <c r="B468" s="251" t="str">
        <f t="shared" si="11"/>
        <v>Libre acceso52</v>
      </c>
      <c r="D468" s="272" t="s">
        <v>444</v>
      </c>
      <c r="E468" s="2959" t="s">
        <v>381</v>
      </c>
      <c r="F468" s="2959">
        <f t="shared" si="12"/>
        <v>52</v>
      </c>
      <c r="G468" s="2962" t="s">
        <v>1381</v>
      </c>
      <c r="H468" s="2962" t="s">
        <v>1234</v>
      </c>
      <c r="I468" s="380" t="s">
        <v>1304</v>
      </c>
      <c r="J468" s="2959">
        <v>8</v>
      </c>
      <c r="K468" s="2959">
        <v>10</v>
      </c>
      <c r="L468" s="2959">
        <v>13</v>
      </c>
      <c r="M468" s="377">
        <v>15</v>
      </c>
      <c r="N468" s="2959">
        <v>60</v>
      </c>
      <c r="O468" s="2959">
        <v>90</v>
      </c>
      <c r="P468" s="2959">
        <v>120</v>
      </c>
      <c r="Q468" s="377">
        <v>150</v>
      </c>
      <c r="R468" s="2959"/>
      <c r="S468" s="2959"/>
      <c r="T468" s="2959"/>
      <c r="U468" s="377"/>
      <c r="V468" s="2954" t="s">
        <v>4983</v>
      </c>
      <c r="W468" s="2954" t="s">
        <v>4382</v>
      </c>
      <c r="X468" s="2954" t="s">
        <v>4984</v>
      </c>
      <c r="Y468" s="2954" t="s">
        <v>4714</v>
      </c>
      <c r="Z468" s="2954" t="s">
        <v>4985</v>
      </c>
      <c r="AA468" s="375" t="s">
        <v>1700</v>
      </c>
    </row>
    <row r="469" spans="1:27" ht="12.75" customHeight="1" x14ac:dyDescent="0.2">
      <c r="A469" s="6360"/>
      <c r="B469" s="251" t="str">
        <f t="shared" si="11"/>
        <v>Libre acceso52</v>
      </c>
      <c r="D469" s="272" t="s">
        <v>445</v>
      </c>
      <c r="E469" s="2959" t="s">
        <v>381</v>
      </c>
      <c r="F469" s="2959">
        <f t="shared" si="12"/>
        <v>52</v>
      </c>
      <c r="G469" s="2962" t="s">
        <v>2088</v>
      </c>
      <c r="H469" s="2962" t="s">
        <v>1234</v>
      </c>
      <c r="I469" s="380" t="s">
        <v>1304</v>
      </c>
      <c r="J469" s="2959">
        <v>6</v>
      </c>
      <c r="K469" s="2959">
        <v>9</v>
      </c>
      <c r="L469" s="2959">
        <v>12</v>
      </c>
      <c r="M469" s="377">
        <v>15</v>
      </c>
      <c r="N469" s="2959">
        <v>60</v>
      </c>
      <c r="O469" s="2959">
        <v>90</v>
      </c>
      <c r="P469" s="2959">
        <v>120</v>
      </c>
      <c r="Q469" s="377">
        <v>150</v>
      </c>
      <c r="R469" s="2959">
        <v>15</v>
      </c>
      <c r="S469" s="2959">
        <v>20</v>
      </c>
      <c r="T469" s="2959">
        <v>25</v>
      </c>
      <c r="U469" s="377">
        <v>30</v>
      </c>
      <c r="V469" s="2954" t="s">
        <v>3404</v>
      </c>
      <c r="W469" s="2954" t="s">
        <v>3654</v>
      </c>
      <c r="X469" s="2954" t="s">
        <v>4986</v>
      </c>
      <c r="Y469" s="2954" t="s">
        <v>4814</v>
      </c>
      <c r="Z469" s="2954" t="s">
        <v>4987</v>
      </c>
      <c r="AA469" s="375" t="s">
        <v>1707</v>
      </c>
    </row>
    <row r="470" spans="1:27" ht="12.75" customHeight="1" x14ac:dyDescent="0.2">
      <c r="A470" s="6360"/>
      <c r="B470" s="251" t="str">
        <f t="shared" si="11"/>
        <v>Libre acceso52</v>
      </c>
      <c r="D470" s="272" t="s">
        <v>446</v>
      </c>
      <c r="E470" s="2959" t="s">
        <v>381</v>
      </c>
      <c r="F470" s="2959">
        <f t="shared" si="12"/>
        <v>52</v>
      </c>
      <c r="G470" s="2962" t="s">
        <v>1381</v>
      </c>
      <c r="H470" s="2962" t="s">
        <v>1234</v>
      </c>
      <c r="I470" s="380" t="s">
        <v>1304</v>
      </c>
      <c r="J470" s="2959">
        <v>8</v>
      </c>
      <c r="K470" s="2959">
        <v>10</v>
      </c>
      <c r="L470" s="2959">
        <v>12</v>
      </c>
      <c r="M470" s="377">
        <v>15</v>
      </c>
      <c r="N470" s="2959">
        <v>60</v>
      </c>
      <c r="O470" s="2959">
        <v>80</v>
      </c>
      <c r="P470" s="2959">
        <v>100</v>
      </c>
      <c r="Q470" s="377">
        <v>120</v>
      </c>
      <c r="R470" s="2959">
        <v>5</v>
      </c>
      <c r="S470" s="2959">
        <v>5</v>
      </c>
      <c r="T470" s="2959">
        <v>10</v>
      </c>
      <c r="U470" s="377">
        <v>10</v>
      </c>
      <c r="V470" s="2954" t="s">
        <v>4988</v>
      </c>
      <c r="W470" s="2954" t="s">
        <v>4989</v>
      </c>
      <c r="X470" s="2954" t="s">
        <v>4990</v>
      </c>
      <c r="Y470" s="2954" t="s">
        <v>4991</v>
      </c>
      <c r="Z470" s="2954" t="s">
        <v>4992</v>
      </c>
      <c r="AA470" s="375" t="s">
        <v>1606</v>
      </c>
    </row>
    <row r="471" spans="1:27" ht="12.75" customHeight="1" x14ac:dyDescent="0.2">
      <c r="A471" s="6360"/>
      <c r="B471" s="251" t="str">
        <f t="shared" si="11"/>
        <v>Libre acceso52</v>
      </c>
      <c r="D471" s="272" t="s">
        <v>447</v>
      </c>
      <c r="E471" s="2959" t="s">
        <v>381</v>
      </c>
      <c r="F471" s="2959">
        <f t="shared" si="12"/>
        <v>52</v>
      </c>
      <c r="G471" s="2962" t="s">
        <v>1381</v>
      </c>
      <c r="H471" s="2962" t="s">
        <v>1234</v>
      </c>
      <c r="I471" s="380" t="s">
        <v>1304</v>
      </c>
      <c r="J471" s="2959">
        <v>8</v>
      </c>
      <c r="K471" s="2959">
        <v>10</v>
      </c>
      <c r="L471" s="2959">
        <v>12</v>
      </c>
      <c r="M471" s="377">
        <v>14</v>
      </c>
      <c r="N471" s="2959">
        <v>80</v>
      </c>
      <c r="O471" s="2959">
        <v>100</v>
      </c>
      <c r="P471" s="2959">
        <v>120</v>
      </c>
      <c r="Q471" s="377">
        <v>140</v>
      </c>
      <c r="R471" s="2959"/>
      <c r="S471" s="2959"/>
      <c r="T471" s="2959"/>
      <c r="U471" s="377"/>
      <c r="V471" s="2954" t="s">
        <v>4993</v>
      </c>
      <c r="W471" s="2954" t="s">
        <v>4994</v>
      </c>
      <c r="X471" s="2954" t="s">
        <v>4995</v>
      </c>
      <c r="Y471" s="2954" t="s">
        <v>4996</v>
      </c>
      <c r="Z471" s="2954" t="s">
        <v>4997</v>
      </c>
      <c r="AA471" s="375" t="s">
        <v>1700</v>
      </c>
    </row>
    <row r="472" spans="1:27" ht="12.75" customHeight="1" x14ac:dyDescent="0.2">
      <c r="A472" s="6360"/>
      <c r="B472" s="251" t="str">
        <f t="shared" si="11"/>
        <v>Libre acceso52</v>
      </c>
      <c r="D472" s="272" t="s">
        <v>448</v>
      </c>
      <c r="E472" s="2959" t="s">
        <v>381</v>
      </c>
      <c r="F472" s="2959">
        <f t="shared" si="12"/>
        <v>52</v>
      </c>
      <c r="G472" s="2962" t="s">
        <v>2088</v>
      </c>
      <c r="H472" s="2962" t="s">
        <v>1234</v>
      </c>
      <c r="I472" s="380" t="s">
        <v>1304</v>
      </c>
      <c r="J472" s="2959">
        <v>8</v>
      </c>
      <c r="K472" s="2959">
        <v>10</v>
      </c>
      <c r="L472" s="2959">
        <v>12</v>
      </c>
      <c r="M472" s="377">
        <v>15</v>
      </c>
      <c r="N472" s="2959">
        <v>100</v>
      </c>
      <c r="O472" s="2959">
        <v>140</v>
      </c>
      <c r="P472" s="2959">
        <v>180</v>
      </c>
      <c r="Q472" s="377">
        <v>220</v>
      </c>
      <c r="R472" s="2959">
        <v>10</v>
      </c>
      <c r="S472" s="2959">
        <v>15</v>
      </c>
      <c r="T472" s="2959">
        <v>15</v>
      </c>
      <c r="U472" s="377">
        <v>20</v>
      </c>
      <c r="V472" s="2954" t="s">
        <v>4998</v>
      </c>
      <c r="W472" s="2954" t="s">
        <v>4999</v>
      </c>
      <c r="X472" s="2954" t="s">
        <v>5000</v>
      </c>
      <c r="Y472" s="2954" t="s">
        <v>5001</v>
      </c>
      <c r="Z472" s="2954" t="s">
        <v>5002</v>
      </c>
      <c r="AA472" s="375" t="s">
        <v>1711</v>
      </c>
    </row>
    <row r="473" spans="1:27" ht="12.75" customHeight="1" x14ac:dyDescent="0.2">
      <c r="A473" s="6360"/>
      <c r="B473" s="251" t="str">
        <f t="shared" si="11"/>
        <v>Libre acceso52</v>
      </c>
      <c r="D473" s="272" t="s">
        <v>449</v>
      </c>
      <c r="E473" s="2959" t="s">
        <v>381</v>
      </c>
      <c r="F473" s="2959">
        <f t="shared" si="12"/>
        <v>52</v>
      </c>
      <c r="G473" s="2962" t="s">
        <v>1381</v>
      </c>
      <c r="H473" s="2962" t="s">
        <v>1235</v>
      </c>
      <c r="I473" s="380" t="s">
        <v>1304</v>
      </c>
      <c r="J473" s="2959">
        <v>8</v>
      </c>
      <c r="K473" s="2959">
        <v>10</v>
      </c>
      <c r="L473" s="2959">
        <v>13</v>
      </c>
      <c r="M473" s="377">
        <v>16</v>
      </c>
      <c r="N473" s="2959">
        <v>100</v>
      </c>
      <c r="O473" s="2959">
        <v>160</v>
      </c>
      <c r="P473" s="2959">
        <v>240</v>
      </c>
      <c r="Q473" s="377">
        <v>320</v>
      </c>
      <c r="R473" s="2959">
        <v>10</v>
      </c>
      <c r="S473" s="2959">
        <v>20</v>
      </c>
      <c r="T473" s="2959">
        <v>25</v>
      </c>
      <c r="U473" s="377">
        <v>35</v>
      </c>
      <c r="V473" s="2954" t="s">
        <v>5003</v>
      </c>
      <c r="W473" s="2954" t="s">
        <v>5004</v>
      </c>
      <c r="X473" s="2954" t="s">
        <v>5005</v>
      </c>
      <c r="Y473" s="2954" t="s">
        <v>5006</v>
      </c>
      <c r="Z473" s="2954" t="s">
        <v>5007</v>
      </c>
      <c r="AA473" s="375" t="s">
        <v>1704</v>
      </c>
    </row>
    <row r="474" spans="1:27" ht="12.75" customHeight="1" x14ac:dyDescent="0.2">
      <c r="A474" s="6360"/>
      <c r="B474" s="251" t="str">
        <f t="shared" si="11"/>
        <v>Libre acceso52</v>
      </c>
      <c r="D474" s="272" t="s">
        <v>450</v>
      </c>
      <c r="E474" s="2959" t="s">
        <v>381</v>
      </c>
      <c r="F474" s="2959">
        <f t="shared" si="12"/>
        <v>52</v>
      </c>
      <c r="G474" s="2962" t="s">
        <v>1381</v>
      </c>
      <c r="H474" s="2962" t="s">
        <v>1235</v>
      </c>
      <c r="I474" s="380" t="s">
        <v>1304</v>
      </c>
      <c r="J474" s="2959">
        <v>8</v>
      </c>
      <c r="K474" s="2959">
        <v>10</v>
      </c>
      <c r="L474" s="2959">
        <v>12</v>
      </c>
      <c r="M474" s="377">
        <v>14</v>
      </c>
      <c r="N474" s="2959">
        <v>80</v>
      </c>
      <c r="O474" s="2959">
        <v>100</v>
      </c>
      <c r="P474" s="2959">
        <v>120</v>
      </c>
      <c r="Q474" s="377">
        <v>140</v>
      </c>
      <c r="R474" s="2959">
        <v>10</v>
      </c>
      <c r="S474" s="2959">
        <v>10</v>
      </c>
      <c r="T474" s="2959">
        <v>15</v>
      </c>
      <c r="U474" s="377">
        <v>15</v>
      </c>
      <c r="V474" s="2954" t="s">
        <v>5008</v>
      </c>
      <c r="W474" s="2954" t="s">
        <v>5009</v>
      </c>
      <c r="X474" s="2954" t="s">
        <v>5010</v>
      </c>
      <c r="Y474" s="2954" t="s">
        <v>5011</v>
      </c>
      <c r="Z474" s="2954" t="s">
        <v>5012</v>
      </c>
      <c r="AA474" s="375" t="s">
        <v>1706</v>
      </c>
    </row>
    <row r="475" spans="1:27" ht="12.75" customHeight="1" x14ac:dyDescent="0.2">
      <c r="A475" s="6360"/>
      <c r="B475" s="251" t="str">
        <f t="shared" si="11"/>
        <v/>
      </c>
      <c r="D475" s="272" t="s">
        <v>451</v>
      </c>
      <c r="E475" s="2959"/>
      <c r="F475" s="2959"/>
      <c r="G475" s="2962"/>
      <c r="H475" s="2962"/>
      <c r="I475" s="380"/>
      <c r="J475" s="2959"/>
      <c r="K475" s="2959"/>
      <c r="L475" s="2959"/>
      <c r="M475" s="377"/>
      <c r="N475" s="2959"/>
      <c r="O475" s="2959"/>
      <c r="P475" s="2959"/>
      <c r="Q475" s="377"/>
      <c r="R475" s="2959"/>
      <c r="S475" s="2959"/>
      <c r="T475" s="2959"/>
      <c r="U475" s="377"/>
      <c r="V475" s="2954"/>
      <c r="W475" s="2954"/>
      <c r="X475" s="2954"/>
      <c r="Y475" s="2954"/>
      <c r="Z475" s="2954"/>
      <c r="AA475" s="375"/>
    </row>
    <row r="476" spans="1:27" ht="12.75" customHeight="1" x14ac:dyDescent="0.2">
      <c r="A476" s="6360"/>
      <c r="B476" s="251" t="str">
        <f t="shared" si="11"/>
        <v>Libre acceso62</v>
      </c>
      <c r="D476" s="272" t="s">
        <v>452</v>
      </c>
      <c r="E476" s="2959" t="s">
        <v>381</v>
      </c>
      <c r="F476" s="2959">
        <f>F463+10</f>
        <v>62</v>
      </c>
      <c r="G476" s="2962" t="s">
        <v>1381</v>
      </c>
      <c r="H476" s="2962" t="s">
        <v>4020</v>
      </c>
      <c r="I476" s="380" t="s">
        <v>1304</v>
      </c>
      <c r="J476" s="2959">
        <v>8</v>
      </c>
      <c r="K476" s="2959">
        <v>9</v>
      </c>
      <c r="L476" s="2959">
        <v>13</v>
      </c>
      <c r="M476" s="377">
        <v>16</v>
      </c>
      <c r="N476" s="2959">
        <v>140</v>
      </c>
      <c r="O476" s="2959">
        <v>200</v>
      </c>
      <c r="P476" s="2959">
        <v>240</v>
      </c>
      <c r="Q476" s="377">
        <v>280</v>
      </c>
      <c r="R476" s="2959">
        <v>15</v>
      </c>
      <c r="S476" s="2959">
        <v>20</v>
      </c>
      <c r="T476" s="2959">
        <v>25</v>
      </c>
      <c r="U476" s="377">
        <v>30</v>
      </c>
      <c r="V476" s="2954" t="s">
        <v>5013</v>
      </c>
      <c r="W476" s="2954" t="s">
        <v>5014</v>
      </c>
      <c r="X476" s="2954" t="s">
        <v>5015</v>
      </c>
      <c r="Y476" s="2954" t="s">
        <v>5016</v>
      </c>
      <c r="Z476" s="2954" t="s">
        <v>5017</v>
      </c>
      <c r="AA476" s="375" t="s">
        <v>1603</v>
      </c>
    </row>
    <row r="477" spans="1:27" ht="12.75" customHeight="1" x14ac:dyDescent="0.2">
      <c r="A477" s="6360"/>
      <c r="B477" s="251" t="str">
        <f t="shared" si="11"/>
        <v>Libre acceso62</v>
      </c>
      <c r="D477" s="272" t="s">
        <v>453</v>
      </c>
      <c r="E477" s="2959" t="s">
        <v>381</v>
      </c>
      <c r="F477" s="2959">
        <f t="shared" ref="F477:F487" si="13">F464+10</f>
        <v>62</v>
      </c>
      <c r="G477" s="2962" t="s">
        <v>1381</v>
      </c>
      <c r="H477" s="2962" t="s">
        <v>4020</v>
      </c>
      <c r="I477" s="380" t="s">
        <v>1304</v>
      </c>
      <c r="J477" s="2959">
        <v>9</v>
      </c>
      <c r="K477" s="2959">
        <v>11</v>
      </c>
      <c r="L477" s="2959">
        <v>14</v>
      </c>
      <c r="M477" s="377">
        <v>16</v>
      </c>
      <c r="N477" s="2959">
        <v>80</v>
      </c>
      <c r="O477" s="2959">
        <v>100</v>
      </c>
      <c r="P477" s="2959">
        <v>120</v>
      </c>
      <c r="Q477" s="377">
        <v>140</v>
      </c>
      <c r="R477" s="2959">
        <v>10</v>
      </c>
      <c r="S477" s="2959">
        <v>10</v>
      </c>
      <c r="T477" s="2959">
        <v>15</v>
      </c>
      <c r="U477" s="377">
        <v>15</v>
      </c>
      <c r="V477" s="2954" t="s">
        <v>3590</v>
      </c>
      <c r="W477" s="2954" t="s">
        <v>3591</v>
      </c>
      <c r="X477" s="2954" t="s">
        <v>3487</v>
      </c>
      <c r="Y477" s="2954" t="s">
        <v>3322</v>
      </c>
      <c r="Z477" s="2954" t="s">
        <v>5018</v>
      </c>
      <c r="AA477" s="375" t="s">
        <v>1706</v>
      </c>
    </row>
    <row r="478" spans="1:27" ht="12.75" customHeight="1" x14ac:dyDescent="0.2">
      <c r="A478" s="6360"/>
      <c r="B478" s="251" t="str">
        <f t="shared" si="11"/>
        <v>Libre acceso62</v>
      </c>
      <c r="D478" s="272" t="s">
        <v>454</v>
      </c>
      <c r="E478" s="2959" t="s">
        <v>381</v>
      </c>
      <c r="F478" s="2959">
        <f t="shared" si="13"/>
        <v>62</v>
      </c>
      <c r="G478" s="2962" t="s">
        <v>2088</v>
      </c>
      <c r="H478" s="2962" t="s">
        <v>1234</v>
      </c>
      <c r="I478" s="380" t="s">
        <v>1304</v>
      </c>
      <c r="J478" s="2959">
        <v>9</v>
      </c>
      <c r="K478" s="2959">
        <v>11</v>
      </c>
      <c r="L478" s="2959">
        <v>14</v>
      </c>
      <c r="M478" s="377">
        <v>16</v>
      </c>
      <c r="N478" s="2959">
        <v>140</v>
      </c>
      <c r="O478" s="2959">
        <v>200</v>
      </c>
      <c r="P478" s="2959">
        <v>240</v>
      </c>
      <c r="Q478" s="377">
        <v>280</v>
      </c>
      <c r="R478" s="2959">
        <v>15</v>
      </c>
      <c r="S478" s="2959">
        <v>20</v>
      </c>
      <c r="T478" s="2959">
        <v>25</v>
      </c>
      <c r="U478" s="377">
        <v>30</v>
      </c>
      <c r="V478" s="2954" t="s">
        <v>5019</v>
      </c>
      <c r="W478" s="2954" t="s">
        <v>5020</v>
      </c>
      <c r="X478" s="2954" t="s">
        <v>5021</v>
      </c>
      <c r="Y478" s="2954" t="s">
        <v>5022</v>
      </c>
      <c r="Z478" s="2954" t="s">
        <v>5023</v>
      </c>
      <c r="AA478" s="375" t="s">
        <v>1707</v>
      </c>
    </row>
    <row r="479" spans="1:27" ht="12.75" customHeight="1" x14ac:dyDescent="0.2">
      <c r="A479" s="6360"/>
      <c r="B479" s="251" t="str">
        <f t="shared" si="11"/>
        <v>Libre acceso62</v>
      </c>
      <c r="D479" s="272" t="s">
        <v>455</v>
      </c>
      <c r="E479" s="2959" t="s">
        <v>381</v>
      </c>
      <c r="F479" s="2959">
        <f t="shared" si="13"/>
        <v>62</v>
      </c>
      <c r="G479" s="2962" t="s">
        <v>1381</v>
      </c>
      <c r="H479" s="2962" t="s">
        <v>1234</v>
      </c>
      <c r="I479" s="380" t="s">
        <v>1305</v>
      </c>
      <c r="J479" s="2959">
        <v>8</v>
      </c>
      <c r="K479" s="2959">
        <v>11</v>
      </c>
      <c r="L479" s="2959">
        <v>13</v>
      </c>
      <c r="M479" s="377">
        <v>16</v>
      </c>
      <c r="N479" s="2959">
        <v>80</v>
      </c>
      <c r="O479" s="2959">
        <v>100</v>
      </c>
      <c r="P479" s="2959">
        <v>120</v>
      </c>
      <c r="Q479" s="377">
        <v>140</v>
      </c>
      <c r="R479" s="2959">
        <v>20</v>
      </c>
      <c r="S479" s="2959">
        <v>20</v>
      </c>
      <c r="T479" s="2959">
        <v>25</v>
      </c>
      <c r="U479" s="377">
        <v>30</v>
      </c>
      <c r="V479" s="2954" t="s">
        <v>5024</v>
      </c>
      <c r="W479" s="2954" t="s">
        <v>5025</v>
      </c>
      <c r="X479" s="2954" t="s">
        <v>5026</v>
      </c>
      <c r="Y479" s="2954" t="s">
        <v>5027</v>
      </c>
      <c r="Z479" s="2954" t="s">
        <v>5028</v>
      </c>
      <c r="AA479" s="375" t="s">
        <v>1707</v>
      </c>
    </row>
    <row r="480" spans="1:27" ht="12.75" customHeight="1" x14ac:dyDescent="0.2">
      <c r="A480" s="6360"/>
      <c r="B480" s="251" t="str">
        <f t="shared" si="11"/>
        <v>Libre acceso62</v>
      </c>
      <c r="D480" s="272" t="s">
        <v>456</v>
      </c>
      <c r="E480" s="2959" t="s">
        <v>381</v>
      </c>
      <c r="F480" s="2959">
        <f t="shared" si="13"/>
        <v>62</v>
      </c>
      <c r="G480" s="2962" t="s">
        <v>1381</v>
      </c>
      <c r="H480" s="2962" t="s">
        <v>1234</v>
      </c>
      <c r="I480" s="380" t="s">
        <v>1304</v>
      </c>
      <c r="J480" s="2959">
        <v>9</v>
      </c>
      <c r="K480" s="2959">
        <v>11</v>
      </c>
      <c r="L480" s="2959">
        <v>14</v>
      </c>
      <c r="M480" s="377">
        <v>16</v>
      </c>
      <c r="N480" s="2959">
        <v>80</v>
      </c>
      <c r="O480" s="2959">
        <v>160</v>
      </c>
      <c r="P480" s="2959">
        <v>240</v>
      </c>
      <c r="Q480" s="377">
        <v>320</v>
      </c>
      <c r="R480" s="2959">
        <v>5</v>
      </c>
      <c r="S480" s="2959">
        <v>10</v>
      </c>
      <c r="T480" s="2959">
        <v>15</v>
      </c>
      <c r="U480" s="377">
        <v>20</v>
      </c>
      <c r="V480" s="2954" t="s">
        <v>5029</v>
      </c>
      <c r="W480" s="2954" t="s">
        <v>4000</v>
      </c>
      <c r="X480" s="2954" t="s">
        <v>5030</v>
      </c>
      <c r="Y480" s="2954" t="s">
        <v>4001</v>
      </c>
      <c r="Z480" s="2954" t="s">
        <v>5031</v>
      </c>
      <c r="AA480" s="375" t="s">
        <v>1707</v>
      </c>
    </row>
    <row r="481" spans="1:27" ht="12.75" customHeight="1" x14ac:dyDescent="0.2">
      <c r="A481" s="6360"/>
      <c r="B481" s="251" t="str">
        <f t="shared" si="11"/>
        <v>Libre acceso62</v>
      </c>
      <c r="D481" s="272" t="s">
        <v>457</v>
      </c>
      <c r="E481" s="2959" t="s">
        <v>381</v>
      </c>
      <c r="F481" s="2959">
        <f t="shared" si="13"/>
        <v>62</v>
      </c>
      <c r="G481" s="2962" t="s">
        <v>2088</v>
      </c>
      <c r="H481" s="2962" t="s">
        <v>1234</v>
      </c>
      <c r="I481" s="380" t="s">
        <v>1304</v>
      </c>
      <c r="J481" s="2959">
        <v>8</v>
      </c>
      <c r="K481" s="2959">
        <v>11</v>
      </c>
      <c r="L481" s="2959">
        <v>13</v>
      </c>
      <c r="M481" s="377">
        <v>16</v>
      </c>
      <c r="N481" s="2959">
        <v>80</v>
      </c>
      <c r="O481" s="2959">
        <v>120</v>
      </c>
      <c r="P481" s="2959">
        <v>180</v>
      </c>
      <c r="Q481" s="377">
        <v>220</v>
      </c>
      <c r="R481" s="2959">
        <v>5</v>
      </c>
      <c r="S481" s="2959">
        <v>5</v>
      </c>
      <c r="T481" s="2959">
        <v>10</v>
      </c>
      <c r="U481" s="377">
        <v>15</v>
      </c>
      <c r="V481" s="2954" t="s">
        <v>5032</v>
      </c>
      <c r="W481" s="2954" t="s">
        <v>5033</v>
      </c>
      <c r="X481" s="2954" t="s">
        <v>5034</v>
      </c>
      <c r="Y481" s="2954" t="s">
        <v>5035</v>
      </c>
      <c r="Z481" s="2954" t="s">
        <v>5036</v>
      </c>
      <c r="AA481" s="375" t="s">
        <v>10435</v>
      </c>
    </row>
    <row r="482" spans="1:27" ht="12.75" customHeight="1" x14ac:dyDescent="0.2">
      <c r="A482" s="6360"/>
      <c r="B482" s="251" t="str">
        <f t="shared" si="11"/>
        <v>Libre acceso62</v>
      </c>
      <c r="D482" s="272" t="s">
        <v>458</v>
      </c>
      <c r="E482" s="2959" t="s">
        <v>381</v>
      </c>
      <c r="F482" s="2959">
        <f t="shared" si="13"/>
        <v>62</v>
      </c>
      <c r="G482" s="2962" t="s">
        <v>1381</v>
      </c>
      <c r="H482" s="2962" t="s">
        <v>1235</v>
      </c>
      <c r="I482" s="380" t="s">
        <v>1304</v>
      </c>
      <c r="J482" s="2959">
        <v>8</v>
      </c>
      <c r="K482" s="2959">
        <v>11</v>
      </c>
      <c r="L482" s="2959">
        <v>13</v>
      </c>
      <c r="M482" s="377">
        <v>16</v>
      </c>
      <c r="N482" s="2959">
        <v>140</v>
      </c>
      <c r="O482" s="2959">
        <v>200</v>
      </c>
      <c r="P482" s="2959">
        <v>240</v>
      </c>
      <c r="Q482" s="377">
        <v>280</v>
      </c>
      <c r="R482" s="2959"/>
      <c r="S482" s="2959"/>
      <c r="T482" s="2959"/>
      <c r="U482" s="377" t="s">
        <v>3583</v>
      </c>
      <c r="V482" s="2954" t="s">
        <v>5037</v>
      </c>
      <c r="W482" s="2954" t="s">
        <v>5038</v>
      </c>
      <c r="X482" s="2954" t="s">
        <v>5039</v>
      </c>
      <c r="Y482" s="2954" t="s">
        <v>5040</v>
      </c>
      <c r="Z482" s="2954" t="s">
        <v>5041</v>
      </c>
      <c r="AA482" s="375" t="s">
        <v>1711</v>
      </c>
    </row>
    <row r="483" spans="1:27" ht="12.75" customHeight="1" x14ac:dyDescent="0.2">
      <c r="A483" s="6360"/>
      <c r="B483" s="251" t="str">
        <f t="shared" si="11"/>
        <v>Libre acceso62</v>
      </c>
      <c r="D483" s="272" t="s">
        <v>459</v>
      </c>
      <c r="E483" s="2959" t="s">
        <v>381</v>
      </c>
      <c r="F483" s="2959">
        <f t="shared" si="13"/>
        <v>62</v>
      </c>
      <c r="G483" s="2962" t="s">
        <v>1381</v>
      </c>
      <c r="H483" s="2962" t="s">
        <v>1234</v>
      </c>
      <c r="I483" s="380" t="s">
        <v>1304</v>
      </c>
      <c r="J483" s="2959">
        <v>8</v>
      </c>
      <c r="K483" s="2959">
        <v>11</v>
      </c>
      <c r="L483" s="2959">
        <v>13</v>
      </c>
      <c r="M483" s="377">
        <v>16</v>
      </c>
      <c r="N483" s="2959">
        <v>100</v>
      </c>
      <c r="O483" s="2959">
        <v>120</v>
      </c>
      <c r="P483" s="2959">
        <v>140</v>
      </c>
      <c r="Q483" s="377">
        <v>160</v>
      </c>
      <c r="R483" s="2959">
        <v>10</v>
      </c>
      <c r="S483" s="2959">
        <v>15</v>
      </c>
      <c r="T483" s="2959">
        <v>15</v>
      </c>
      <c r="U483" s="377">
        <v>20</v>
      </c>
      <c r="V483" s="2954" t="s">
        <v>5042</v>
      </c>
      <c r="W483" s="2954" t="s">
        <v>5043</v>
      </c>
      <c r="X483" s="2954" t="s">
        <v>5044</v>
      </c>
      <c r="Y483" s="2954" t="s">
        <v>5045</v>
      </c>
      <c r="Z483" s="2954" t="s">
        <v>5046</v>
      </c>
      <c r="AA483" s="375" t="s">
        <v>1704</v>
      </c>
    </row>
    <row r="484" spans="1:27" ht="12.75" customHeight="1" x14ac:dyDescent="0.2">
      <c r="A484" s="6360"/>
      <c r="B484" s="251" t="str">
        <f t="shared" si="11"/>
        <v>Libre acceso62</v>
      </c>
      <c r="D484" s="272" t="s">
        <v>460</v>
      </c>
      <c r="E484" s="2959" t="s">
        <v>381</v>
      </c>
      <c r="F484" s="2959">
        <f t="shared" si="13"/>
        <v>62</v>
      </c>
      <c r="G484" s="2962" t="s">
        <v>1381</v>
      </c>
      <c r="H484" s="2962" t="s">
        <v>1234</v>
      </c>
      <c r="I484" s="380" t="s">
        <v>1304</v>
      </c>
      <c r="J484" s="2959">
        <v>9</v>
      </c>
      <c r="K484" s="2959">
        <v>11</v>
      </c>
      <c r="L484" s="2959">
        <v>14</v>
      </c>
      <c r="M484" s="377">
        <v>16</v>
      </c>
      <c r="N484" s="2959">
        <v>100</v>
      </c>
      <c r="O484" s="2959">
        <v>120</v>
      </c>
      <c r="P484" s="2959">
        <v>140</v>
      </c>
      <c r="Q484" s="377">
        <v>160</v>
      </c>
      <c r="R484" s="2959">
        <v>10</v>
      </c>
      <c r="S484" s="2959">
        <v>10</v>
      </c>
      <c r="T484" s="2959">
        <v>15</v>
      </c>
      <c r="U484" s="377">
        <v>20</v>
      </c>
      <c r="V484" s="2954" t="s">
        <v>5047</v>
      </c>
      <c r="W484" s="2954" t="s">
        <v>5048</v>
      </c>
      <c r="X484" s="2954" t="s">
        <v>5049</v>
      </c>
      <c r="Y484" s="2954" t="s">
        <v>5050</v>
      </c>
      <c r="Z484" s="2954" t="s">
        <v>5051</v>
      </c>
      <c r="AA484" s="375" t="s">
        <v>1707</v>
      </c>
    </row>
    <row r="485" spans="1:27" ht="12.75" customHeight="1" x14ac:dyDescent="0.2">
      <c r="A485" s="6360"/>
      <c r="B485" s="251" t="str">
        <f t="shared" si="11"/>
        <v>Libre acceso62</v>
      </c>
      <c r="D485" s="272" t="s">
        <v>1908</v>
      </c>
      <c r="E485" s="2959" t="s">
        <v>381</v>
      </c>
      <c r="F485" s="2959">
        <f t="shared" si="13"/>
        <v>62</v>
      </c>
      <c r="G485" s="2962" t="s">
        <v>1381</v>
      </c>
      <c r="H485" s="2962" t="s">
        <v>4020</v>
      </c>
      <c r="I485" s="380" t="s">
        <v>1304</v>
      </c>
      <c r="J485" s="2959">
        <v>8</v>
      </c>
      <c r="K485" s="2959">
        <v>11</v>
      </c>
      <c r="L485" s="2959">
        <v>13</v>
      </c>
      <c r="M485" s="377">
        <v>16</v>
      </c>
      <c r="N485" s="2959">
        <v>120</v>
      </c>
      <c r="O485" s="2959">
        <v>160</v>
      </c>
      <c r="P485" s="2959">
        <v>200</v>
      </c>
      <c r="Q485" s="377">
        <v>240</v>
      </c>
      <c r="R485" s="2959"/>
      <c r="S485" s="2959"/>
      <c r="T485" s="2959"/>
      <c r="U485" s="377"/>
      <c r="V485" s="2954" t="s">
        <v>3604</v>
      </c>
      <c r="W485" s="2954" t="s">
        <v>4583</v>
      </c>
      <c r="X485" s="2954" t="s">
        <v>3605</v>
      </c>
      <c r="Y485" s="2954" t="s">
        <v>4584</v>
      </c>
      <c r="Z485" s="2954" t="s">
        <v>5052</v>
      </c>
      <c r="AA485" s="375" t="s">
        <v>1709</v>
      </c>
    </row>
    <row r="486" spans="1:27" ht="12.75" customHeight="1" x14ac:dyDescent="0.2">
      <c r="A486" s="6360"/>
      <c r="B486" s="251" t="str">
        <f t="shared" si="11"/>
        <v>Libre acceso62</v>
      </c>
      <c r="D486" s="272" t="s">
        <v>461</v>
      </c>
      <c r="E486" s="2959" t="s">
        <v>381</v>
      </c>
      <c r="F486" s="2959">
        <f t="shared" si="13"/>
        <v>62</v>
      </c>
      <c r="G486" s="2962" t="s">
        <v>2088</v>
      </c>
      <c r="H486" s="2962" t="s">
        <v>4020</v>
      </c>
      <c r="I486" s="380" t="s">
        <v>1304</v>
      </c>
      <c r="J486" s="2959">
        <v>8</v>
      </c>
      <c r="K486" s="2959">
        <v>11</v>
      </c>
      <c r="L486" s="2959">
        <v>13</v>
      </c>
      <c r="M486" s="377">
        <v>16</v>
      </c>
      <c r="N486" s="2959">
        <v>120</v>
      </c>
      <c r="O486" s="2959">
        <v>180</v>
      </c>
      <c r="P486" s="2959">
        <v>220</v>
      </c>
      <c r="Q486" s="377">
        <v>280</v>
      </c>
      <c r="R486" s="2959">
        <v>15</v>
      </c>
      <c r="S486" s="2959">
        <v>20</v>
      </c>
      <c r="T486" s="2959">
        <v>25</v>
      </c>
      <c r="U486" s="377">
        <v>30</v>
      </c>
      <c r="V486" s="2954" t="s">
        <v>3604</v>
      </c>
      <c r="W486" s="2954" t="s">
        <v>4583</v>
      </c>
      <c r="X486" s="2954" t="s">
        <v>3605</v>
      </c>
      <c r="Y486" s="2954" t="s">
        <v>4584</v>
      </c>
      <c r="Z486" s="2954" t="s">
        <v>5053</v>
      </c>
      <c r="AA486" s="375" t="s">
        <v>1711</v>
      </c>
    </row>
    <row r="487" spans="1:27" ht="12.75" customHeight="1" x14ac:dyDescent="0.2">
      <c r="A487" s="6360"/>
      <c r="B487" s="251" t="str">
        <f t="shared" si="11"/>
        <v>Libre acceso62</v>
      </c>
      <c r="D487" s="272" t="s">
        <v>10434</v>
      </c>
      <c r="E487" s="2959" t="s">
        <v>381</v>
      </c>
      <c r="F487" s="2959">
        <f t="shared" si="13"/>
        <v>62</v>
      </c>
      <c r="G487" s="2962" t="s">
        <v>1381</v>
      </c>
      <c r="H487" s="2962" t="s">
        <v>1234</v>
      </c>
      <c r="I487" s="380" t="s">
        <v>1304</v>
      </c>
      <c r="J487" s="2959">
        <v>9</v>
      </c>
      <c r="K487" s="2959">
        <v>11</v>
      </c>
      <c r="L487" s="2959">
        <v>14</v>
      </c>
      <c r="M487" s="377">
        <v>16</v>
      </c>
      <c r="N487" s="2959">
        <v>100</v>
      </c>
      <c r="O487" s="2959">
        <v>120</v>
      </c>
      <c r="P487" s="2959">
        <v>140</v>
      </c>
      <c r="Q487" s="377">
        <v>160</v>
      </c>
      <c r="R487" s="2959">
        <v>10</v>
      </c>
      <c r="S487" s="2959">
        <v>15</v>
      </c>
      <c r="T487" s="2959">
        <v>15</v>
      </c>
      <c r="U487" s="377">
        <v>20</v>
      </c>
      <c r="V487" s="2954" t="s">
        <v>5047</v>
      </c>
      <c r="W487" s="2954" t="s">
        <v>5048</v>
      </c>
      <c r="X487" s="2954" t="s">
        <v>5049</v>
      </c>
      <c r="Y487" s="2954" t="s">
        <v>5050</v>
      </c>
      <c r="Z487" s="2954" t="s">
        <v>5054</v>
      </c>
      <c r="AA487" s="375" t="s">
        <v>1707</v>
      </c>
    </row>
    <row r="488" spans="1:27" ht="12.75" customHeight="1" x14ac:dyDescent="0.2">
      <c r="A488" s="6360"/>
      <c r="B488" s="251" t="str">
        <f t="shared" si="11"/>
        <v/>
      </c>
      <c r="D488" s="272" t="s">
        <v>462</v>
      </c>
      <c r="E488" s="2959"/>
      <c r="F488" s="2959"/>
      <c r="G488" s="2962"/>
      <c r="H488" s="2962"/>
      <c r="I488" s="380"/>
      <c r="J488" s="2959"/>
      <c r="K488" s="2959"/>
      <c r="L488" s="2959"/>
      <c r="M488" s="377"/>
      <c r="N488" s="2959"/>
      <c r="O488" s="2959"/>
      <c r="P488" s="2959"/>
      <c r="Q488" s="377"/>
      <c r="R488" s="2959"/>
      <c r="S488" s="2959"/>
      <c r="T488" s="2959"/>
      <c r="U488" s="377"/>
      <c r="V488" s="2954"/>
      <c r="W488" s="2954"/>
      <c r="X488" s="2954"/>
      <c r="Y488" s="2954"/>
      <c r="Z488" s="2954"/>
      <c r="AA488" s="375"/>
    </row>
    <row r="489" spans="1:27" ht="12.75" customHeight="1" x14ac:dyDescent="0.2">
      <c r="A489" s="6360"/>
      <c r="B489" s="251" t="str">
        <f t="shared" si="11"/>
        <v>Libre acceso72</v>
      </c>
      <c r="D489" s="272" t="s">
        <v>463</v>
      </c>
      <c r="E489" s="2959" t="s">
        <v>381</v>
      </c>
      <c r="F489" s="2959">
        <f>F476+10</f>
        <v>72</v>
      </c>
      <c r="G489" s="2962" t="s">
        <v>2088</v>
      </c>
      <c r="H489" s="2962" t="s">
        <v>4020</v>
      </c>
      <c r="I489" s="380" t="s">
        <v>1304</v>
      </c>
      <c r="J489" s="2959">
        <v>8</v>
      </c>
      <c r="K489" s="2959">
        <v>11</v>
      </c>
      <c r="L489" s="2959">
        <v>13</v>
      </c>
      <c r="M489" s="377">
        <v>16</v>
      </c>
      <c r="N489" s="2959">
        <v>150</v>
      </c>
      <c r="O489" s="2959">
        <v>200</v>
      </c>
      <c r="P489" s="2959">
        <v>250</v>
      </c>
      <c r="Q489" s="377">
        <v>300</v>
      </c>
      <c r="R489" s="2959">
        <v>15</v>
      </c>
      <c r="S489" s="2959">
        <v>20</v>
      </c>
      <c r="T489" s="2959">
        <v>25</v>
      </c>
      <c r="U489" s="377">
        <v>30</v>
      </c>
      <c r="V489" s="2954" t="s">
        <v>5055</v>
      </c>
      <c r="W489" s="2954" t="s">
        <v>5056</v>
      </c>
      <c r="X489" s="2954" t="s">
        <v>5057</v>
      </c>
      <c r="Y489" s="2954" t="s">
        <v>5058</v>
      </c>
      <c r="Z489" s="2954" t="s">
        <v>5059</v>
      </c>
      <c r="AA489" s="375" t="s">
        <v>10436</v>
      </c>
    </row>
    <row r="490" spans="1:27" ht="12.75" customHeight="1" x14ac:dyDescent="0.2">
      <c r="A490" s="6360"/>
      <c r="B490" s="251" t="str">
        <f t="shared" si="11"/>
        <v>Libre acceso72</v>
      </c>
      <c r="D490" s="272" t="s">
        <v>464</v>
      </c>
      <c r="E490" s="2959" t="s">
        <v>381</v>
      </c>
      <c r="F490" s="2959">
        <f t="shared" ref="F490:F500" si="14">F477+10</f>
        <v>72</v>
      </c>
      <c r="G490" s="2962" t="s">
        <v>1381</v>
      </c>
      <c r="H490" s="2962" t="s">
        <v>1234</v>
      </c>
      <c r="I490" s="380" t="s">
        <v>1304</v>
      </c>
      <c r="J490" s="2959">
        <v>9</v>
      </c>
      <c r="K490" s="2959">
        <v>11</v>
      </c>
      <c r="L490" s="2959">
        <v>13</v>
      </c>
      <c r="M490" s="377">
        <v>16</v>
      </c>
      <c r="N490" s="2959">
        <v>150</v>
      </c>
      <c r="O490" s="2959">
        <v>200</v>
      </c>
      <c r="P490" s="2959">
        <v>250</v>
      </c>
      <c r="Q490" s="377">
        <v>300</v>
      </c>
      <c r="R490" s="2959"/>
      <c r="S490" s="2959"/>
      <c r="T490" s="2959"/>
      <c r="U490" s="377"/>
      <c r="V490" s="2954" t="s">
        <v>5060</v>
      </c>
      <c r="W490" s="2954" t="s">
        <v>5061</v>
      </c>
      <c r="X490" s="2954" t="s">
        <v>5062</v>
      </c>
      <c r="Y490" s="2954" t="s">
        <v>5063</v>
      </c>
      <c r="Z490" s="2954" t="s">
        <v>5064</v>
      </c>
      <c r="AA490" s="375" t="s">
        <v>1603</v>
      </c>
    </row>
    <row r="491" spans="1:27" ht="12.75" customHeight="1" x14ac:dyDescent="0.2">
      <c r="A491" s="6360"/>
      <c r="B491" s="251" t="str">
        <f t="shared" si="11"/>
        <v>Libre acceso72</v>
      </c>
      <c r="D491" s="272" t="s">
        <v>465</v>
      </c>
      <c r="E491" s="2959" t="s">
        <v>381</v>
      </c>
      <c r="F491" s="2959">
        <f t="shared" si="14"/>
        <v>72</v>
      </c>
      <c r="G491" s="2962" t="s">
        <v>1381</v>
      </c>
      <c r="H491" s="2962" t="s">
        <v>4020</v>
      </c>
      <c r="I491" s="380" t="s">
        <v>1304</v>
      </c>
      <c r="J491" s="2959">
        <v>8</v>
      </c>
      <c r="K491" s="2959">
        <v>11</v>
      </c>
      <c r="L491" s="2959">
        <v>13</v>
      </c>
      <c r="M491" s="377">
        <v>16</v>
      </c>
      <c r="N491" s="2959">
        <v>120</v>
      </c>
      <c r="O491" s="2959">
        <v>180</v>
      </c>
      <c r="P491" s="2959">
        <v>240</v>
      </c>
      <c r="Q491" s="377">
        <v>300</v>
      </c>
      <c r="R491" s="2959">
        <v>15</v>
      </c>
      <c r="S491" s="2959">
        <v>20</v>
      </c>
      <c r="T491" s="2959">
        <v>25</v>
      </c>
      <c r="U491" s="377">
        <v>30</v>
      </c>
      <c r="V491" s="2954" t="s">
        <v>3590</v>
      </c>
      <c r="W491" s="2954" t="s">
        <v>3591</v>
      </c>
      <c r="X491" s="2954" t="s">
        <v>3322</v>
      </c>
      <c r="Y491" s="2954" t="s">
        <v>3776</v>
      </c>
      <c r="Z491" s="2954" t="s">
        <v>5065</v>
      </c>
      <c r="AA491" s="375" t="s">
        <v>1606</v>
      </c>
    </row>
    <row r="492" spans="1:27" ht="12.75" customHeight="1" x14ac:dyDescent="0.2">
      <c r="A492" s="6360"/>
      <c r="B492" s="251" t="str">
        <f t="shared" si="11"/>
        <v>Libre acceso72</v>
      </c>
      <c r="D492" s="272" t="s">
        <v>466</v>
      </c>
      <c r="E492" s="2959" t="s">
        <v>381</v>
      </c>
      <c r="F492" s="2959">
        <f t="shared" si="14"/>
        <v>72</v>
      </c>
      <c r="G492" s="2962" t="s">
        <v>1381</v>
      </c>
      <c r="H492" s="2962" t="s">
        <v>5079</v>
      </c>
      <c r="I492" s="380" t="s">
        <v>1305</v>
      </c>
      <c r="J492" s="2959">
        <v>9</v>
      </c>
      <c r="K492" s="2959">
        <v>11</v>
      </c>
      <c r="L492" s="2959">
        <v>13</v>
      </c>
      <c r="M492" s="377">
        <v>16</v>
      </c>
      <c r="N492" s="2959">
        <v>100</v>
      </c>
      <c r="O492" s="2959">
        <v>160</v>
      </c>
      <c r="P492" s="2959">
        <v>220</v>
      </c>
      <c r="Q492" s="377">
        <v>300</v>
      </c>
      <c r="R492" s="2959"/>
      <c r="S492" s="2959"/>
      <c r="T492" s="2959"/>
      <c r="U492" s="377"/>
      <c r="V492" s="2954" t="s">
        <v>3591</v>
      </c>
      <c r="W492" s="2954" t="s">
        <v>3487</v>
      </c>
      <c r="X492" s="2954" t="s">
        <v>3488</v>
      </c>
      <c r="Y492" s="2954" t="s">
        <v>3489</v>
      </c>
      <c r="Z492" s="2954" t="s">
        <v>5080</v>
      </c>
      <c r="AA492" s="375" t="s">
        <v>1610</v>
      </c>
    </row>
    <row r="493" spans="1:27" ht="12.75" customHeight="1" x14ac:dyDescent="0.2">
      <c r="A493" s="6360"/>
      <c r="B493" s="251" t="str">
        <f t="shared" si="11"/>
        <v>Libre acceso72</v>
      </c>
      <c r="D493" s="272" t="s">
        <v>3</v>
      </c>
      <c r="E493" s="2959" t="s">
        <v>381</v>
      </c>
      <c r="F493" s="2959">
        <f t="shared" si="14"/>
        <v>72</v>
      </c>
      <c r="G493" s="2962" t="s">
        <v>1381</v>
      </c>
      <c r="H493" s="2962" t="s">
        <v>1234</v>
      </c>
      <c r="I493" s="380" t="s">
        <v>1304</v>
      </c>
      <c r="J493" s="2959">
        <v>9</v>
      </c>
      <c r="K493" s="2959">
        <v>11</v>
      </c>
      <c r="L493" s="2959">
        <v>13</v>
      </c>
      <c r="M493" s="377">
        <v>16</v>
      </c>
      <c r="N493" s="2959">
        <v>160</v>
      </c>
      <c r="O493" s="2959">
        <v>200</v>
      </c>
      <c r="P493" s="2959">
        <v>240</v>
      </c>
      <c r="Q493" s="377">
        <v>280</v>
      </c>
      <c r="R493" s="2959">
        <v>20</v>
      </c>
      <c r="S493" s="2959">
        <v>20</v>
      </c>
      <c r="T493" s="2959">
        <v>25</v>
      </c>
      <c r="U493" s="377">
        <v>30</v>
      </c>
      <c r="V493" s="2954" t="s">
        <v>5073</v>
      </c>
      <c r="W493" s="2954" t="s">
        <v>5074</v>
      </c>
      <c r="X493" s="2954" t="s">
        <v>5075</v>
      </c>
      <c r="Y493" s="2954" t="s">
        <v>5076</v>
      </c>
      <c r="Z493" s="2954" t="s">
        <v>5077</v>
      </c>
      <c r="AA493" s="375" t="s">
        <v>1709</v>
      </c>
    </row>
    <row r="494" spans="1:27" ht="12.75" customHeight="1" x14ac:dyDescent="0.2">
      <c r="A494" s="6360"/>
      <c r="B494" s="251" t="str">
        <f t="shared" si="11"/>
        <v>Libre acceso72</v>
      </c>
      <c r="D494" s="272" t="s">
        <v>467</v>
      </c>
      <c r="E494" s="2959" t="s">
        <v>381</v>
      </c>
      <c r="F494" s="2959">
        <f t="shared" si="14"/>
        <v>72</v>
      </c>
      <c r="G494" s="2962" t="s">
        <v>1381</v>
      </c>
      <c r="H494" s="2962" t="s">
        <v>4020</v>
      </c>
      <c r="I494" s="380" t="s">
        <v>1304</v>
      </c>
      <c r="J494" s="2959">
        <v>9</v>
      </c>
      <c r="K494" s="2959">
        <v>11</v>
      </c>
      <c r="L494" s="2959">
        <v>13</v>
      </c>
      <c r="M494" s="377">
        <v>16</v>
      </c>
      <c r="N494" s="2959">
        <v>160</v>
      </c>
      <c r="O494" s="2959">
        <v>200</v>
      </c>
      <c r="P494" s="2959">
        <v>240</v>
      </c>
      <c r="Q494" s="377">
        <v>280</v>
      </c>
      <c r="R494" s="2959">
        <v>20</v>
      </c>
      <c r="S494" s="2959">
        <v>20</v>
      </c>
      <c r="T494" s="2959">
        <v>25</v>
      </c>
      <c r="U494" s="377">
        <v>30</v>
      </c>
      <c r="V494" s="2954" t="s">
        <v>3603</v>
      </c>
      <c r="W494" s="2954" t="s">
        <v>3604</v>
      </c>
      <c r="X494" s="2954" t="s">
        <v>4583</v>
      </c>
      <c r="Y494" s="2954" t="s">
        <v>3605</v>
      </c>
      <c r="Z494" s="2954" t="s">
        <v>5078</v>
      </c>
      <c r="AA494" s="375"/>
    </row>
    <row r="495" spans="1:27" ht="12.75" customHeight="1" x14ac:dyDescent="0.2">
      <c r="A495" s="6360"/>
      <c r="B495" s="251" t="str">
        <f t="shared" si="11"/>
        <v>Libre acceso72</v>
      </c>
      <c r="D495" s="272" t="s">
        <v>5066</v>
      </c>
      <c r="E495" s="2959" t="s">
        <v>381</v>
      </c>
      <c r="F495" s="2959">
        <f t="shared" si="14"/>
        <v>72</v>
      </c>
      <c r="G495" s="2962" t="s">
        <v>2088</v>
      </c>
      <c r="H495" s="2962" t="s">
        <v>5067</v>
      </c>
      <c r="I495" s="380" t="s">
        <v>1304</v>
      </c>
      <c r="J495" s="2959">
        <v>9</v>
      </c>
      <c r="K495" s="2959">
        <v>11</v>
      </c>
      <c r="L495" s="2959">
        <v>14</v>
      </c>
      <c r="M495" s="377">
        <v>16</v>
      </c>
      <c r="N495" s="2959">
        <v>100</v>
      </c>
      <c r="O495" s="2959">
        <v>120</v>
      </c>
      <c r="P495" s="2959">
        <v>140</v>
      </c>
      <c r="Q495" s="377">
        <v>160</v>
      </c>
      <c r="R495" s="2959">
        <v>10</v>
      </c>
      <c r="S495" s="2959">
        <v>15</v>
      </c>
      <c r="T495" s="2959">
        <v>15</v>
      </c>
      <c r="U495" s="377">
        <v>20</v>
      </c>
      <c r="V495" s="2954" t="s">
        <v>5068</v>
      </c>
      <c r="W495" s="2954" t="s">
        <v>5069</v>
      </c>
      <c r="X495" s="2954" t="s">
        <v>5070</v>
      </c>
      <c r="Y495" s="2954" t="s">
        <v>5071</v>
      </c>
      <c r="Z495" s="2954" t="s">
        <v>5072</v>
      </c>
      <c r="AA495" s="375" t="s">
        <v>1700</v>
      </c>
    </row>
    <row r="496" spans="1:27" ht="12.75" customHeight="1" x14ac:dyDescent="0.2">
      <c r="A496" s="6360"/>
      <c r="B496" s="251" t="str">
        <f t="shared" si="11"/>
        <v>Libre acceso72</v>
      </c>
      <c r="D496" s="272" t="s">
        <v>10105</v>
      </c>
      <c r="E496" s="2959" t="s">
        <v>381</v>
      </c>
      <c r="F496" s="2959">
        <f t="shared" si="14"/>
        <v>72</v>
      </c>
      <c r="G496" s="2962" t="s">
        <v>1381</v>
      </c>
      <c r="H496" s="2962" t="s">
        <v>1234</v>
      </c>
      <c r="I496" s="380" t="s">
        <v>1304</v>
      </c>
      <c r="J496" s="2959">
        <v>8</v>
      </c>
      <c r="K496" s="2959">
        <v>11</v>
      </c>
      <c r="L496" s="2959">
        <v>13</v>
      </c>
      <c r="M496" s="377">
        <v>16</v>
      </c>
      <c r="N496" s="2959">
        <v>100</v>
      </c>
      <c r="O496" s="2959">
        <v>120</v>
      </c>
      <c r="P496" s="2959">
        <v>140</v>
      </c>
      <c r="Q496" s="377">
        <v>160</v>
      </c>
      <c r="R496" s="2959">
        <v>5</v>
      </c>
      <c r="S496" s="2959">
        <v>10</v>
      </c>
      <c r="T496" s="2959">
        <v>10</v>
      </c>
      <c r="U496" s="377">
        <v>10</v>
      </c>
      <c r="V496" s="2954" t="s">
        <v>5081</v>
      </c>
      <c r="W496" s="2954" t="s">
        <v>5082</v>
      </c>
      <c r="X496" s="2954" t="s">
        <v>5083</v>
      </c>
      <c r="Y496" s="2954" t="s">
        <v>2673</v>
      </c>
      <c r="Z496" s="2954" t="s">
        <v>5084</v>
      </c>
      <c r="AA496" s="375" t="s">
        <v>1704</v>
      </c>
    </row>
    <row r="497" spans="1:27" ht="12.75" customHeight="1" x14ac:dyDescent="0.2">
      <c r="A497" s="6360"/>
      <c r="B497" s="251" t="str">
        <f t="shared" si="11"/>
        <v>Libre acceso72</v>
      </c>
      <c r="D497" s="272" t="s">
        <v>1752</v>
      </c>
      <c r="E497" s="2959" t="s">
        <v>381</v>
      </c>
      <c r="F497" s="2959">
        <f t="shared" si="14"/>
        <v>72</v>
      </c>
      <c r="G497" s="2962" t="s">
        <v>1381</v>
      </c>
      <c r="H497" s="2962" t="s">
        <v>1234</v>
      </c>
      <c r="I497" s="380" t="s">
        <v>1304</v>
      </c>
      <c r="J497" s="2959">
        <v>9</v>
      </c>
      <c r="K497" s="2959">
        <v>11</v>
      </c>
      <c r="L497" s="2959">
        <v>13</v>
      </c>
      <c r="M497" s="377">
        <v>16</v>
      </c>
      <c r="N497" s="2959">
        <v>80</v>
      </c>
      <c r="O497" s="2959">
        <v>120</v>
      </c>
      <c r="P497" s="2959">
        <v>160</v>
      </c>
      <c r="Q497" s="377">
        <v>200</v>
      </c>
      <c r="R497" s="2959">
        <v>10</v>
      </c>
      <c r="S497" s="2959">
        <v>10</v>
      </c>
      <c r="T497" s="2959">
        <v>15</v>
      </c>
      <c r="U497" s="377">
        <v>15</v>
      </c>
      <c r="V497" s="2954" t="s">
        <v>5085</v>
      </c>
      <c r="W497" s="2954" t="s">
        <v>5086</v>
      </c>
      <c r="X497" s="2954" t="s">
        <v>5087</v>
      </c>
      <c r="Y497" s="2954" t="s">
        <v>5088</v>
      </c>
      <c r="Z497" s="2954" t="s">
        <v>5089</v>
      </c>
      <c r="AA497" s="375" t="s">
        <v>1706</v>
      </c>
    </row>
    <row r="498" spans="1:27" ht="12.75" customHeight="1" x14ac:dyDescent="0.2">
      <c r="A498" s="6360"/>
      <c r="B498" s="251" t="str">
        <f t="shared" si="11"/>
        <v>Libre acceso72</v>
      </c>
      <c r="D498" s="272" t="s">
        <v>1749</v>
      </c>
      <c r="E498" s="2959" t="s">
        <v>381</v>
      </c>
      <c r="F498" s="2959">
        <f t="shared" si="14"/>
        <v>72</v>
      </c>
      <c r="G498" s="2962" t="s">
        <v>1381</v>
      </c>
      <c r="H498" s="2962" t="s">
        <v>1234</v>
      </c>
      <c r="I498" s="380" t="s">
        <v>1304</v>
      </c>
      <c r="J498" s="2959">
        <v>9</v>
      </c>
      <c r="K498" s="2959">
        <v>11</v>
      </c>
      <c r="L498" s="2959">
        <v>13</v>
      </c>
      <c r="M498" s="377">
        <v>16</v>
      </c>
      <c r="N498" s="2959">
        <v>80</v>
      </c>
      <c r="O498" s="2959">
        <v>120</v>
      </c>
      <c r="P498" s="2959">
        <v>160</v>
      </c>
      <c r="Q498" s="377">
        <v>200</v>
      </c>
      <c r="R498" s="2959">
        <v>10</v>
      </c>
      <c r="S498" s="2959">
        <v>10</v>
      </c>
      <c r="T498" s="2959">
        <v>15</v>
      </c>
      <c r="U498" s="377">
        <v>15</v>
      </c>
      <c r="V498" s="2954" t="s">
        <v>5090</v>
      </c>
      <c r="W498" s="2954" t="s">
        <v>5091</v>
      </c>
      <c r="X498" s="2954" t="s">
        <v>5092</v>
      </c>
      <c r="Y498" s="2954" t="s">
        <v>5093</v>
      </c>
      <c r="Z498" s="2954" t="s">
        <v>5094</v>
      </c>
      <c r="AA498" s="375" t="s">
        <v>1707</v>
      </c>
    </row>
    <row r="499" spans="1:27" ht="12.75" customHeight="1" x14ac:dyDescent="0.2">
      <c r="A499" s="6360"/>
      <c r="B499" s="251" t="str">
        <f t="shared" si="11"/>
        <v>Libre acceso72</v>
      </c>
      <c r="D499" s="272" t="s">
        <v>468</v>
      </c>
      <c r="E499" s="2959" t="s">
        <v>381</v>
      </c>
      <c r="F499" s="2959">
        <f t="shared" si="14"/>
        <v>72</v>
      </c>
      <c r="G499" s="2962" t="s">
        <v>2088</v>
      </c>
      <c r="H499" s="2962" t="s">
        <v>1235</v>
      </c>
      <c r="I499" s="380" t="s">
        <v>1304</v>
      </c>
      <c r="J499" s="2959">
        <v>9</v>
      </c>
      <c r="K499" s="2959">
        <v>11</v>
      </c>
      <c r="L499" s="2959">
        <v>14</v>
      </c>
      <c r="M499" s="377">
        <v>16</v>
      </c>
      <c r="N499" s="2959">
        <v>200</v>
      </c>
      <c r="O499" s="2959">
        <v>240</v>
      </c>
      <c r="P499" s="2959">
        <v>280</v>
      </c>
      <c r="Q499" s="377">
        <v>320</v>
      </c>
      <c r="R499" s="2959">
        <v>40</v>
      </c>
      <c r="S499" s="2959">
        <v>50</v>
      </c>
      <c r="T499" s="2959">
        <v>60</v>
      </c>
      <c r="U499" s="377">
        <v>65</v>
      </c>
      <c r="V499" s="2954" t="s">
        <v>4631</v>
      </c>
      <c r="W499" s="2954" t="s">
        <v>3787</v>
      </c>
      <c r="X499" s="2954" t="s">
        <v>4632</v>
      </c>
      <c r="Y499" s="2954" t="s">
        <v>4633</v>
      </c>
      <c r="Z499" s="2954" t="s">
        <v>5095</v>
      </c>
      <c r="AA499" s="375"/>
    </row>
    <row r="500" spans="1:27" ht="12.75" customHeight="1" x14ac:dyDescent="0.2">
      <c r="A500" s="6360"/>
      <c r="B500" s="251" t="str">
        <f t="shared" si="11"/>
        <v>Libre acceso72</v>
      </c>
      <c r="D500" s="272" t="s">
        <v>469</v>
      </c>
      <c r="E500" s="2959" t="s">
        <v>381</v>
      </c>
      <c r="F500" s="2959">
        <f t="shared" si="14"/>
        <v>72</v>
      </c>
      <c r="G500" s="2962" t="s">
        <v>1381</v>
      </c>
      <c r="H500" s="2962" t="s">
        <v>1234</v>
      </c>
      <c r="I500" s="380" t="s">
        <v>1304</v>
      </c>
      <c r="J500" s="2959">
        <v>9</v>
      </c>
      <c r="K500" s="2959">
        <v>11</v>
      </c>
      <c r="L500" s="2959">
        <v>13</v>
      </c>
      <c r="M500" s="377">
        <v>16</v>
      </c>
      <c r="N500" s="2959">
        <v>80</v>
      </c>
      <c r="O500" s="2959">
        <v>100</v>
      </c>
      <c r="P500" s="2959">
        <v>120</v>
      </c>
      <c r="Q500" s="377">
        <v>140</v>
      </c>
      <c r="R500" s="2959"/>
      <c r="S500" s="2959"/>
      <c r="T500" s="2959"/>
      <c r="U500" s="377"/>
      <c r="V500" s="2954" t="s">
        <v>5096</v>
      </c>
      <c r="W500" s="2954" t="s">
        <v>5097</v>
      </c>
      <c r="X500" s="2954" t="s">
        <v>5098</v>
      </c>
      <c r="Y500" s="2954" t="s">
        <v>5099</v>
      </c>
      <c r="Z500" s="2954" t="s">
        <v>5100</v>
      </c>
      <c r="AA500" s="375"/>
    </row>
    <row r="501" spans="1:27" ht="12.75" customHeight="1" x14ac:dyDescent="0.2">
      <c r="A501" s="6360"/>
      <c r="B501" s="251" t="str">
        <f t="shared" si="11"/>
        <v/>
      </c>
      <c r="D501" s="272" t="s">
        <v>470</v>
      </c>
      <c r="E501" s="2959"/>
      <c r="F501" s="2959"/>
      <c r="G501" s="2962"/>
      <c r="H501" s="2962"/>
      <c r="I501" s="380"/>
      <c r="J501" s="2959"/>
      <c r="K501" s="2959"/>
      <c r="L501" s="2959"/>
      <c r="M501" s="377"/>
      <c r="N501" s="2959"/>
      <c r="O501" s="2959"/>
      <c r="P501" s="2959"/>
      <c r="Q501" s="377"/>
      <c r="R501" s="2959"/>
      <c r="S501" s="2959"/>
      <c r="T501" s="2959"/>
      <c r="U501" s="377"/>
      <c r="V501" s="2954"/>
      <c r="W501" s="2954"/>
      <c r="X501" s="2954"/>
      <c r="Y501" s="2954"/>
      <c r="Z501" s="2954"/>
      <c r="AA501" s="375"/>
    </row>
    <row r="502" spans="1:27" ht="12.75" customHeight="1" x14ac:dyDescent="0.2">
      <c r="A502" s="6360"/>
      <c r="B502" s="251" t="str">
        <f t="shared" si="11"/>
        <v>Libre acceso82</v>
      </c>
      <c r="D502" s="272" t="s">
        <v>471</v>
      </c>
      <c r="E502" s="2959" t="s">
        <v>381</v>
      </c>
      <c r="F502" s="2959">
        <f>F489+10</f>
        <v>82</v>
      </c>
      <c r="G502" s="2962" t="s">
        <v>2088</v>
      </c>
      <c r="H502" s="2962" t="s">
        <v>1234</v>
      </c>
      <c r="I502" s="380" t="s">
        <v>1304</v>
      </c>
      <c r="J502" s="2959">
        <v>10</v>
      </c>
      <c r="K502" s="2959">
        <v>13</v>
      </c>
      <c r="L502" s="2959">
        <v>15</v>
      </c>
      <c r="M502" s="377">
        <v>17</v>
      </c>
      <c r="N502" s="2959">
        <v>300</v>
      </c>
      <c r="O502" s="2959">
        <v>400</v>
      </c>
      <c r="P502" s="2959">
        <v>500</v>
      </c>
      <c r="Q502" s="377">
        <v>600</v>
      </c>
      <c r="R502" s="2959">
        <v>15</v>
      </c>
      <c r="S502" s="2959">
        <v>20</v>
      </c>
      <c r="T502" s="2959">
        <v>25</v>
      </c>
      <c r="U502" s="377">
        <v>30</v>
      </c>
      <c r="V502" s="2954" t="s">
        <v>3919</v>
      </c>
      <c r="W502" s="2954" t="s">
        <v>5101</v>
      </c>
      <c r="X502" s="2954" t="s">
        <v>5102</v>
      </c>
      <c r="Y502" s="2954" t="s">
        <v>5103</v>
      </c>
      <c r="Z502" s="2954" t="s">
        <v>5104</v>
      </c>
      <c r="AA502" s="375" t="s">
        <v>1707</v>
      </c>
    </row>
    <row r="503" spans="1:27" ht="12.75" customHeight="1" x14ac:dyDescent="0.2">
      <c r="A503" s="6360"/>
      <c r="B503" s="251" t="str">
        <f t="shared" si="11"/>
        <v>Libre acceso82</v>
      </c>
      <c r="D503" s="272" t="s">
        <v>1328</v>
      </c>
      <c r="E503" s="2959" t="s">
        <v>381</v>
      </c>
      <c r="F503" s="2959">
        <f t="shared" ref="F503:F513" si="15">F490+10</f>
        <v>82</v>
      </c>
      <c r="G503" s="2962" t="s">
        <v>1381</v>
      </c>
      <c r="H503" s="2962" t="s">
        <v>1236</v>
      </c>
      <c r="I503" s="380" t="s">
        <v>1304</v>
      </c>
      <c r="J503" s="2959">
        <v>10</v>
      </c>
      <c r="K503" s="2959">
        <v>12</v>
      </c>
      <c r="L503" s="2959">
        <v>14</v>
      </c>
      <c r="M503" s="377">
        <v>16</v>
      </c>
      <c r="N503" s="2959">
        <v>300</v>
      </c>
      <c r="O503" s="2959">
        <v>360</v>
      </c>
      <c r="P503" s="2959">
        <v>420</v>
      </c>
      <c r="Q503" s="377">
        <v>480</v>
      </c>
      <c r="R503" s="2959"/>
      <c r="S503" s="2959"/>
      <c r="T503" s="2959"/>
      <c r="U503" s="377"/>
      <c r="V503" s="2954" t="s">
        <v>5105</v>
      </c>
      <c r="W503" s="2954" t="s">
        <v>5106</v>
      </c>
      <c r="X503" s="2954" t="s">
        <v>5107</v>
      </c>
      <c r="Y503" s="2954" t="s">
        <v>5108</v>
      </c>
      <c r="Z503" s="2954" t="s">
        <v>5109</v>
      </c>
      <c r="AA503" s="375" t="s">
        <v>1700</v>
      </c>
    </row>
    <row r="504" spans="1:27" ht="12.75" customHeight="1" x14ac:dyDescent="0.2">
      <c r="A504" s="6360"/>
      <c r="B504" s="251" t="str">
        <f t="shared" si="11"/>
        <v>Libre acceso82</v>
      </c>
      <c r="D504" s="272" t="s">
        <v>472</v>
      </c>
      <c r="E504" s="2959" t="s">
        <v>381</v>
      </c>
      <c r="F504" s="2959">
        <f t="shared" si="15"/>
        <v>82</v>
      </c>
      <c r="G504" s="2962" t="s">
        <v>1381</v>
      </c>
      <c r="H504" s="2962" t="s">
        <v>1234</v>
      </c>
      <c r="I504" s="380" t="s">
        <v>1304</v>
      </c>
      <c r="J504" s="2959">
        <v>10</v>
      </c>
      <c r="K504" s="2959">
        <v>13</v>
      </c>
      <c r="L504" s="2959">
        <v>15</v>
      </c>
      <c r="M504" s="377">
        <v>17</v>
      </c>
      <c r="N504" s="2959">
        <v>200</v>
      </c>
      <c r="O504" s="2959">
        <v>250</v>
      </c>
      <c r="P504" s="2959">
        <v>320</v>
      </c>
      <c r="Q504" s="377">
        <v>400</v>
      </c>
      <c r="R504" s="2959"/>
      <c r="S504" s="2959"/>
      <c r="T504" s="2959"/>
      <c r="U504" s="377"/>
      <c r="V504" s="2954" t="s">
        <v>3404</v>
      </c>
      <c r="W504" s="2954" t="s">
        <v>3405</v>
      </c>
      <c r="X504" s="2954" t="s">
        <v>3575</v>
      </c>
      <c r="Y504" s="2954" t="s">
        <v>4307</v>
      </c>
      <c r="Z504" s="2954" t="s">
        <v>5110</v>
      </c>
      <c r="AA504" s="375" t="s">
        <v>1706</v>
      </c>
    </row>
    <row r="505" spans="1:27" ht="12.75" customHeight="1" x14ac:dyDescent="0.2">
      <c r="A505" s="6360"/>
      <c r="B505" s="251" t="str">
        <f t="shared" si="11"/>
        <v>Libre acceso82</v>
      </c>
      <c r="D505" s="272" t="s">
        <v>473</v>
      </c>
      <c r="E505" s="2959" t="s">
        <v>381</v>
      </c>
      <c r="F505" s="2959">
        <f t="shared" si="15"/>
        <v>82</v>
      </c>
      <c r="G505" s="2962" t="s">
        <v>2088</v>
      </c>
      <c r="H505" s="2962" t="s">
        <v>1234</v>
      </c>
      <c r="I505" s="380" t="s">
        <v>1304</v>
      </c>
      <c r="J505" s="2959">
        <v>10</v>
      </c>
      <c r="K505" s="2959">
        <v>12</v>
      </c>
      <c r="L505" s="2959">
        <v>14</v>
      </c>
      <c r="M505" s="377">
        <v>16</v>
      </c>
      <c r="N505" s="2959">
        <v>300</v>
      </c>
      <c r="O505" s="2959">
        <v>360</v>
      </c>
      <c r="P505" s="2959">
        <v>420</v>
      </c>
      <c r="Q505" s="377">
        <v>480</v>
      </c>
      <c r="R505" s="2959">
        <v>15</v>
      </c>
      <c r="S505" s="2959">
        <v>20</v>
      </c>
      <c r="T505" s="2959">
        <v>25</v>
      </c>
      <c r="U505" s="377">
        <v>25</v>
      </c>
      <c r="V505" s="2954" t="s">
        <v>3919</v>
      </c>
      <c r="W505" s="2954" t="s">
        <v>5111</v>
      </c>
      <c r="X505" s="2954" t="s">
        <v>5112</v>
      </c>
      <c r="Y505" s="2954" t="s">
        <v>5113</v>
      </c>
      <c r="Z505" s="2954" t="s">
        <v>7063</v>
      </c>
      <c r="AA505" s="375" t="s">
        <v>1709</v>
      </c>
    </row>
    <row r="506" spans="1:27" ht="12.75" customHeight="1" x14ac:dyDescent="0.2">
      <c r="A506" s="6360"/>
      <c r="B506" s="251" t="str">
        <f t="shared" si="11"/>
        <v>Libre acceso82</v>
      </c>
      <c r="D506" s="272" t="s">
        <v>474</v>
      </c>
      <c r="E506" s="2959" t="s">
        <v>381</v>
      </c>
      <c r="F506" s="2959">
        <f t="shared" si="15"/>
        <v>82</v>
      </c>
      <c r="G506" s="2962" t="s">
        <v>2088</v>
      </c>
      <c r="H506" s="2962" t="s">
        <v>1234</v>
      </c>
      <c r="I506" s="380" t="s">
        <v>1304</v>
      </c>
      <c r="J506" s="2959">
        <v>10</v>
      </c>
      <c r="K506" s="2959">
        <v>12</v>
      </c>
      <c r="L506" s="2959">
        <v>14</v>
      </c>
      <c r="M506" s="377">
        <v>16</v>
      </c>
      <c r="N506" s="2959">
        <v>200</v>
      </c>
      <c r="O506" s="2959">
        <v>240</v>
      </c>
      <c r="P506" s="2959">
        <v>280</v>
      </c>
      <c r="Q506" s="377">
        <v>320</v>
      </c>
      <c r="R506" s="2959">
        <v>10</v>
      </c>
      <c r="S506" s="2959">
        <v>15</v>
      </c>
      <c r="T506" s="2959">
        <v>15</v>
      </c>
      <c r="U506" s="377">
        <v>20</v>
      </c>
      <c r="V506" s="2954" t="s">
        <v>3653</v>
      </c>
      <c r="W506" s="2954" t="s">
        <v>3404</v>
      </c>
      <c r="X506" s="2954" t="s">
        <v>3405</v>
      </c>
      <c r="Y506" s="2954" t="s">
        <v>3575</v>
      </c>
      <c r="Z506" s="2954" t="s">
        <v>5114</v>
      </c>
      <c r="AA506" s="375" t="s">
        <v>1709</v>
      </c>
    </row>
    <row r="507" spans="1:27" ht="12.75" customHeight="1" x14ac:dyDescent="0.2">
      <c r="A507" s="6360"/>
      <c r="B507" s="251" t="str">
        <f t="shared" si="11"/>
        <v>Libre acceso82</v>
      </c>
      <c r="D507" s="272" t="s">
        <v>475</v>
      </c>
      <c r="E507" s="2959" t="s">
        <v>381</v>
      </c>
      <c r="F507" s="2959">
        <f t="shared" si="15"/>
        <v>82</v>
      </c>
      <c r="G507" s="2962" t="s">
        <v>2088</v>
      </c>
      <c r="H507" s="2962" t="s">
        <v>1234</v>
      </c>
      <c r="I507" s="380" t="s">
        <v>1304</v>
      </c>
      <c r="J507" s="2959">
        <v>10</v>
      </c>
      <c r="K507" s="2959">
        <v>12</v>
      </c>
      <c r="L507" s="2959">
        <v>14</v>
      </c>
      <c r="M507" s="377">
        <v>16</v>
      </c>
      <c r="N507" s="2959">
        <v>200</v>
      </c>
      <c r="O507" s="2959">
        <v>300</v>
      </c>
      <c r="P507" s="2959">
        <v>360</v>
      </c>
      <c r="Q507" s="377">
        <v>420</v>
      </c>
      <c r="R507" s="2959">
        <v>20</v>
      </c>
      <c r="S507" s="2959">
        <v>30</v>
      </c>
      <c r="T507" s="2959">
        <v>40</v>
      </c>
      <c r="U507" s="377">
        <v>45</v>
      </c>
      <c r="V507" s="2954" t="s">
        <v>5115</v>
      </c>
      <c r="W507" s="2954" t="s">
        <v>5116</v>
      </c>
      <c r="X507" s="2954" t="s">
        <v>5117</v>
      </c>
      <c r="Y507" s="2954" t="s">
        <v>5118</v>
      </c>
      <c r="Z507" s="2954" t="s">
        <v>5119</v>
      </c>
      <c r="AA507" s="375"/>
    </row>
    <row r="508" spans="1:27" ht="12.75" customHeight="1" x14ac:dyDescent="0.2">
      <c r="A508" s="6360"/>
      <c r="B508" s="251" t="str">
        <f t="shared" si="11"/>
        <v>Libre acceso82</v>
      </c>
      <c r="D508" s="272" t="s">
        <v>476</v>
      </c>
      <c r="E508" s="2959" t="s">
        <v>381</v>
      </c>
      <c r="F508" s="2959">
        <f t="shared" si="15"/>
        <v>82</v>
      </c>
      <c r="G508" s="2962" t="s">
        <v>1381</v>
      </c>
      <c r="H508" s="2962" t="s">
        <v>1235</v>
      </c>
      <c r="I508" s="380" t="s">
        <v>1304</v>
      </c>
      <c r="J508" s="2959">
        <v>10</v>
      </c>
      <c r="K508" s="2959">
        <v>12</v>
      </c>
      <c r="L508" s="2959">
        <v>14</v>
      </c>
      <c r="M508" s="377">
        <v>16</v>
      </c>
      <c r="N508" s="2959">
        <v>200</v>
      </c>
      <c r="O508" s="2959">
        <v>280</v>
      </c>
      <c r="P508" s="2959">
        <v>340</v>
      </c>
      <c r="Q508" s="377">
        <v>400</v>
      </c>
      <c r="R508" s="2959"/>
      <c r="S508" s="2959"/>
      <c r="T508" s="2959"/>
      <c r="U508" s="377" t="s">
        <v>3583</v>
      </c>
      <c r="V508" s="2954" t="s">
        <v>5120</v>
      </c>
      <c r="W508" s="2954" t="s">
        <v>5121</v>
      </c>
      <c r="X508" s="2954" t="s">
        <v>5122</v>
      </c>
      <c r="Y508" s="2954" t="s">
        <v>5123</v>
      </c>
      <c r="Z508" s="2954" t="s">
        <v>5124</v>
      </c>
      <c r="AA508" s="375"/>
    </row>
    <row r="509" spans="1:27" ht="12.75" customHeight="1" x14ac:dyDescent="0.2">
      <c r="A509" s="6360"/>
      <c r="B509" s="251" t="str">
        <f t="shared" si="11"/>
        <v>Libre acceso82</v>
      </c>
      <c r="D509" s="272" t="s">
        <v>477</v>
      </c>
      <c r="E509" s="2959" t="s">
        <v>381</v>
      </c>
      <c r="F509" s="2959">
        <f t="shared" si="15"/>
        <v>82</v>
      </c>
      <c r="G509" s="2962" t="s">
        <v>2088</v>
      </c>
      <c r="H509" s="2962" t="s">
        <v>1234</v>
      </c>
      <c r="I509" s="380" t="s">
        <v>1304</v>
      </c>
      <c r="J509" s="2959">
        <v>10</v>
      </c>
      <c r="K509" s="2959">
        <v>13</v>
      </c>
      <c r="L509" s="2959">
        <v>15</v>
      </c>
      <c r="M509" s="377">
        <v>17</v>
      </c>
      <c r="N509" s="2959">
        <v>350</v>
      </c>
      <c r="O509" s="2959">
        <v>420</v>
      </c>
      <c r="P509" s="2959">
        <v>480</v>
      </c>
      <c r="Q509" s="377">
        <v>540</v>
      </c>
      <c r="R509" s="2959">
        <v>70</v>
      </c>
      <c r="S509" s="2959">
        <v>85</v>
      </c>
      <c r="T509" s="2959">
        <v>100</v>
      </c>
      <c r="U509" s="377">
        <v>110</v>
      </c>
      <c r="V509" s="2954" t="s">
        <v>4876</v>
      </c>
      <c r="W509" s="2954" t="s">
        <v>5125</v>
      </c>
      <c r="X509" s="2954" t="s">
        <v>5126</v>
      </c>
      <c r="Y509" s="2954" t="s">
        <v>5127</v>
      </c>
      <c r="Z509" s="2954" t="s">
        <v>5128</v>
      </c>
      <c r="AA509" s="375"/>
    </row>
    <row r="510" spans="1:27" ht="12.75" customHeight="1" x14ac:dyDescent="0.2">
      <c r="A510" s="6360"/>
      <c r="B510" s="251" t="str">
        <f t="shared" si="11"/>
        <v>Libre acceso82</v>
      </c>
      <c r="D510" s="272" t="s">
        <v>478</v>
      </c>
      <c r="E510" s="2959" t="s">
        <v>381</v>
      </c>
      <c r="F510" s="2959">
        <f t="shared" si="15"/>
        <v>82</v>
      </c>
      <c r="G510" s="2962" t="s">
        <v>2088</v>
      </c>
      <c r="H510" s="2962" t="s">
        <v>1234</v>
      </c>
      <c r="I510" s="380" t="s">
        <v>1304</v>
      </c>
      <c r="J510" s="2959">
        <v>10</v>
      </c>
      <c r="K510" s="2959">
        <v>12</v>
      </c>
      <c r="L510" s="2959">
        <v>14</v>
      </c>
      <c r="M510" s="377">
        <v>16</v>
      </c>
      <c r="N510" s="2959">
        <v>200</v>
      </c>
      <c r="O510" s="2959">
        <v>240</v>
      </c>
      <c r="P510" s="2959">
        <v>280</v>
      </c>
      <c r="Q510" s="377">
        <v>320</v>
      </c>
      <c r="R510" s="2959">
        <v>10</v>
      </c>
      <c r="S510" s="2959">
        <v>15</v>
      </c>
      <c r="T510" s="2959">
        <v>20</v>
      </c>
      <c r="U510" s="377">
        <v>20</v>
      </c>
      <c r="V510" s="2954" t="s">
        <v>5129</v>
      </c>
      <c r="W510" s="2954" t="s">
        <v>5130</v>
      </c>
      <c r="X510" s="2954" t="s">
        <v>5131</v>
      </c>
      <c r="Y510" s="2954" t="s">
        <v>5132</v>
      </c>
      <c r="Z510" s="2954" t="s">
        <v>5133</v>
      </c>
      <c r="AA510" s="375" t="s">
        <v>1707</v>
      </c>
    </row>
    <row r="511" spans="1:27" ht="12.75" customHeight="1" x14ac:dyDescent="0.2">
      <c r="A511" s="6360"/>
      <c r="B511" s="251" t="str">
        <f t="shared" si="11"/>
        <v>Libre acceso82</v>
      </c>
      <c r="D511" s="272" t="s">
        <v>479</v>
      </c>
      <c r="E511" s="2959" t="s">
        <v>381</v>
      </c>
      <c r="F511" s="2959">
        <f t="shared" si="15"/>
        <v>82</v>
      </c>
      <c r="G511" s="2962" t="s">
        <v>1381</v>
      </c>
      <c r="H511" s="2962" t="s">
        <v>1235</v>
      </c>
      <c r="I511" s="380" t="s">
        <v>1305</v>
      </c>
      <c r="J511" s="2959">
        <v>10</v>
      </c>
      <c r="K511" s="2959">
        <v>12</v>
      </c>
      <c r="L511" s="2959">
        <v>14</v>
      </c>
      <c r="M511" s="377">
        <v>16</v>
      </c>
      <c r="N511" s="2959">
        <v>150</v>
      </c>
      <c r="O511" s="2959">
        <v>200</v>
      </c>
      <c r="P511" s="2959">
        <v>240</v>
      </c>
      <c r="Q511" s="377">
        <v>280</v>
      </c>
      <c r="R511" s="2959"/>
      <c r="S511" s="2959"/>
      <c r="T511" s="2959"/>
      <c r="U511" s="377" t="s">
        <v>3583</v>
      </c>
      <c r="V511" s="2954" t="s">
        <v>5134</v>
      </c>
      <c r="W511" s="2954" t="s">
        <v>5135</v>
      </c>
      <c r="X511" s="2954" t="s">
        <v>5136</v>
      </c>
      <c r="Y511" s="2954" t="s">
        <v>5137</v>
      </c>
      <c r="Z511" s="2954" t="s">
        <v>5138</v>
      </c>
      <c r="AA511" s="375"/>
    </row>
    <row r="512" spans="1:27" ht="12.75" customHeight="1" x14ac:dyDescent="0.2">
      <c r="A512" s="6360"/>
      <c r="B512" s="251" t="str">
        <f t="shared" si="11"/>
        <v>Libre acceso82</v>
      </c>
      <c r="D512" s="272" t="s">
        <v>115</v>
      </c>
      <c r="E512" s="2959" t="s">
        <v>381</v>
      </c>
      <c r="F512" s="2959">
        <f t="shared" si="15"/>
        <v>82</v>
      </c>
      <c r="G512" s="2962" t="s">
        <v>1381</v>
      </c>
      <c r="H512" s="2962" t="s">
        <v>1234</v>
      </c>
      <c r="I512" s="380" t="s">
        <v>1304</v>
      </c>
      <c r="J512" s="2959">
        <v>10</v>
      </c>
      <c r="K512" s="2959">
        <v>12</v>
      </c>
      <c r="L512" s="2959">
        <v>14</v>
      </c>
      <c r="M512" s="377">
        <v>16</v>
      </c>
      <c r="N512" s="2959">
        <v>300</v>
      </c>
      <c r="O512" s="2959">
        <v>480</v>
      </c>
      <c r="P512" s="2959">
        <v>560</v>
      </c>
      <c r="Q512" s="377">
        <v>640</v>
      </c>
      <c r="R512" s="2959"/>
      <c r="S512" s="2959"/>
      <c r="T512" s="2959"/>
      <c r="U512" s="377" t="s">
        <v>3583</v>
      </c>
      <c r="V512" s="2954" t="s">
        <v>5139</v>
      </c>
      <c r="W512" s="2954" t="s">
        <v>5140</v>
      </c>
      <c r="X512" s="2954" t="s">
        <v>5141</v>
      </c>
      <c r="Y512" s="2954" t="s">
        <v>5142</v>
      </c>
      <c r="Z512" s="2954" t="s">
        <v>5143</v>
      </c>
      <c r="AA512" s="375" t="s">
        <v>1704</v>
      </c>
    </row>
    <row r="513" spans="1:27" ht="12.75" customHeight="1" x14ac:dyDescent="0.2">
      <c r="A513" s="6360"/>
      <c r="B513" s="251" t="str">
        <f t="shared" si="11"/>
        <v>Libre acceso82</v>
      </c>
      <c r="D513" s="272" t="s">
        <v>480</v>
      </c>
      <c r="E513" s="2959" t="s">
        <v>381</v>
      </c>
      <c r="F513" s="2959">
        <f t="shared" si="15"/>
        <v>82</v>
      </c>
      <c r="G513" s="2962" t="s">
        <v>2088</v>
      </c>
      <c r="H513" s="2962" t="s">
        <v>1234</v>
      </c>
      <c r="I513" s="380" t="s">
        <v>1304</v>
      </c>
      <c r="J513" s="2959">
        <v>10</v>
      </c>
      <c r="K513" s="2959">
        <v>12</v>
      </c>
      <c r="L513" s="2959">
        <v>14</v>
      </c>
      <c r="M513" s="377">
        <v>16</v>
      </c>
      <c r="N513" s="2959">
        <v>500</v>
      </c>
      <c r="O513" s="2959">
        <v>600</v>
      </c>
      <c r="P513" s="2959">
        <v>700</v>
      </c>
      <c r="Q513" s="377">
        <v>800</v>
      </c>
      <c r="R513" s="2959">
        <v>25</v>
      </c>
      <c r="S513" s="2959">
        <v>30</v>
      </c>
      <c r="T513" s="2959">
        <v>35</v>
      </c>
      <c r="U513" s="377">
        <v>40</v>
      </c>
      <c r="V513" s="2954" t="s">
        <v>5144</v>
      </c>
      <c r="W513" s="2954" t="s">
        <v>5145</v>
      </c>
      <c r="X513" s="2954" t="s">
        <v>5146</v>
      </c>
      <c r="Y513" s="2954" t="s">
        <v>5147</v>
      </c>
      <c r="Z513" s="2954" t="s">
        <v>5148</v>
      </c>
      <c r="AA513" s="375"/>
    </row>
    <row r="514" spans="1:27" ht="12.75" customHeight="1" x14ac:dyDescent="0.2">
      <c r="A514" s="6360"/>
      <c r="B514" s="251" t="str">
        <f t="shared" si="11"/>
        <v/>
      </c>
      <c r="D514" s="272" t="s">
        <v>481</v>
      </c>
      <c r="E514" s="2959"/>
      <c r="F514" s="2959"/>
      <c r="G514" s="2962"/>
      <c r="H514" s="2962"/>
      <c r="I514" s="380"/>
      <c r="J514" s="2959"/>
      <c r="K514" s="2959"/>
      <c r="L514" s="2959"/>
      <c r="M514" s="377"/>
      <c r="N514" s="2959"/>
      <c r="O514" s="2959"/>
      <c r="P514" s="2959"/>
      <c r="Q514" s="377"/>
      <c r="R514" s="2959"/>
      <c r="S514" s="2959"/>
      <c r="T514" s="2959"/>
      <c r="U514" s="377"/>
      <c r="V514" s="2954"/>
      <c r="W514" s="2954"/>
      <c r="X514" s="2954"/>
      <c r="Y514" s="2954"/>
      <c r="Z514" s="2954"/>
      <c r="AA514" s="375"/>
    </row>
    <row r="515" spans="1:27" ht="12.75" customHeight="1" x14ac:dyDescent="0.2">
      <c r="A515" s="6360"/>
      <c r="B515" s="251" t="str">
        <f t="shared" si="11"/>
        <v>Libre acceso92</v>
      </c>
      <c r="D515" s="272" t="s">
        <v>482</v>
      </c>
      <c r="E515" s="2959" t="s">
        <v>381</v>
      </c>
      <c r="F515" s="2959">
        <f>F502+10</f>
        <v>92</v>
      </c>
      <c r="G515" s="2962" t="s">
        <v>1381</v>
      </c>
      <c r="H515" s="2962" t="s">
        <v>5149</v>
      </c>
      <c r="I515" s="380" t="s">
        <v>1304</v>
      </c>
      <c r="J515" s="2959">
        <v>10</v>
      </c>
      <c r="K515" s="2959">
        <v>12</v>
      </c>
      <c r="L515" s="2959">
        <v>14</v>
      </c>
      <c r="M515" s="377">
        <v>16</v>
      </c>
      <c r="N515" s="2959">
        <v>200</v>
      </c>
      <c r="O515" s="2959">
        <v>300</v>
      </c>
      <c r="P515" s="2959">
        <v>360</v>
      </c>
      <c r="Q515" s="377">
        <v>420</v>
      </c>
      <c r="R515" s="2959"/>
      <c r="S515" s="2959"/>
      <c r="T515" s="2959"/>
      <c r="U515" s="377" t="s">
        <v>3583</v>
      </c>
      <c r="V515" s="2954" t="s">
        <v>4876</v>
      </c>
      <c r="W515" s="2954" t="s">
        <v>5150</v>
      </c>
      <c r="X515" s="2954" t="s">
        <v>5151</v>
      </c>
      <c r="Y515" s="2954" t="s">
        <v>5152</v>
      </c>
      <c r="Z515" s="2954" t="s">
        <v>5153</v>
      </c>
      <c r="AA515" s="375" t="s">
        <v>1707</v>
      </c>
    </row>
    <row r="516" spans="1:27" ht="12.75" customHeight="1" x14ac:dyDescent="0.2">
      <c r="A516" s="6360"/>
      <c r="B516" s="251" t="str">
        <f t="shared" si="11"/>
        <v>Libre acceso92</v>
      </c>
      <c r="D516" s="272" t="s">
        <v>483</v>
      </c>
      <c r="E516" s="2959" t="s">
        <v>381</v>
      </c>
      <c r="F516" s="2959">
        <f t="shared" ref="F516:F526" si="16">F503+10</f>
        <v>92</v>
      </c>
      <c r="G516" s="2962" t="s">
        <v>2088</v>
      </c>
      <c r="H516" s="2962" t="s">
        <v>1234</v>
      </c>
      <c r="I516" s="380" t="s">
        <v>1304</v>
      </c>
      <c r="J516" s="2959">
        <v>11</v>
      </c>
      <c r="K516" s="2959">
        <v>13</v>
      </c>
      <c r="L516" s="2959">
        <v>15</v>
      </c>
      <c r="M516" s="377">
        <v>17</v>
      </c>
      <c r="N516" s="2959">
        <v>300</v>
      </c>
      <c r="O516" s="2959">
        <v>400</v>
      </c>
      <c r="P516" s="2959">
        <v>500</v>
      </c>
      <c r="Q516" s="377">
        <v>600</v>
      </c>
      <c r="R516" s="2959">
        <v>30</v>
      </c>
      <c r="S516" s="2959">
        <v>40</v>
      </c>
      <c r="T516" s="2959">
        <v>50</v>
      </c>
      <c r="U516" s="377">
        <v>60</v>
      </c>
      <c r="V516" s="2954" t="s">
        <v>5154</v>
      </c>
      <c r="W516" s="2954" t="s">
        <v>5155</v>
      </c>
      <c r="X516" s="2954" t="s">
        <v>5156</v>
      </c>
      <c r="Y516" s="2954" t="s">
        <v>5157</v>
      </c>
      <c r="Z516" s="2954" t="s">
        <v>5158</v>
      </c>
      <c r="AA516" s="375"/>
    </row>
    <row r="517" spans="1:27" ht="12.75" customHeight="1" x14ac:dyDescent="0.2">
      <c r="A517" s="6360"/>
      <c r="B517" s="251" t="str">
        <f t="shared" si="11"/>
        <v>Libre acceso92</v>
      </c>
      <c r="D517" s="272" t="s">
        <v>484</v>
      </c>
      <c r="E517" s="2959" t="s">
        <v>381</v>
      </c>
      <c r="F517" s="2959">
        <f t="shared" si="16"/>
        <v>92</v>
      </c>
      <c r="G517" s="2962" t="s">
        <v>1381</v>
      </c>
      <c r="H517" s="2962" t="s">
        <v>1234</v>
      </c>
      <c r="I517" s="380" t="s">
        <v>1304</v>
      </c>
      <c r="J517" s="2959">
        <v>11</v>
      </c>
      <c r="K517" s="2959">
        <v>13</v>
      </c>
      <c r="L517" s="2959">
        <v>15</v>
      </c>
      <c r="M517" s="377">
        <v>17</v>
      </c>
      <c r="N517" s="2959">
        <v>200</v>
      </c>
      <c r="O517" s="2959">
        <v>300</v>
      </c>
      <c r="P517" s="2959">
        <v>400</v>
      </c>
      <c r="Q517" s="377">
        <v>500</v>
      </c>
      <c r="R517" s="2959">
        <v>10</v>
      </c>
      <c r="S517" s="2959">
        <v>15</v>
      </c>
      <c r="T517" s="2959">
        <v>20</v>
      </c>
      <c r="U517" s="377">
        <v>25</v>
      </c>
      <c r="V517" s="2954" t="s">
        <v>5159</v>
      </c>
      <c r="W517" s="2954" t="s">
        <v>5160</v>
      </c>
      <c r="X517" s="2954" t="s">
        <v>5161</v>
      </c>
      <c r="Y517" s="2954" t="s">
        <v>5162</v>
      </c>
      <c r="Z517" s="2954" t="s">
        <v>5163</v>
      </c>
      <c r="AA517" s="375" t="s">
        <v>1700</v>
      </c>
    </row>
    <row r="518" spans="1:27" ht="12.75" customHeight="1" x14ac:dyDescent="0.2">
      <c r="A518" s="6360"/>
      <c r="B518" s="251" t="str">
        <f t="shared" si="11"/>
        <v>Libre acceso92</v>
      </c>
      <c r="D518" s="272" t="s">
        <v>485</v>
      </c>
      <c r="E518" s="2959" t="s">
        <v>381</v>
      </c>
      <c r="F518" s="2959">
        <f t="shared" si="16"/>
        <v>92</v>
      </c>
      <c r="G518" s="2962" t="s">
        <v>1381</v>
      </c>
      <c r="H518" s="2962" t="s">
        <v>1234</v>
      </c>
      <c r="I518" s="380" t="s">
        <v>1304</v>
      </c>
      <c r="J518" s="2959">
        <v>11</v>
      </c>
      <c r="K518" s="2959">
        <v>13</v>
      </c>
      <c r="L518" s="2959">
        <v>15</v>
      </c>
      <c r="M518" s="377">
        <v>17</v>
      </c>
      <c r="N518" s="2959">
        <v>200</v>
      </c>
      <c r="O518" s="2959">
        <v>360</v>
      </c>
      <c r="P518" s="2959">
        <v>420</v>
      </c>
      <c r="Q518" s="377">
        <v>480</v>
      </c>
      <c r="R518" s="2959"/>
      <c r="S518" s="2959"/>
      <c r="T518" s="2959"/>
      <c r="U518" s="377" t="s">
        <v>3583</v>
      </c>
      <c r="V518" s="2954" t="s">
        <v>5164</v>
      </c>
      <c r="W518" s="2954" t="s">
        <v>5165</v>
      </c>
      <c r="X518" s="2954" t="s">
        <v>5166</v>
      </c>
      <c r="Y518" s="2954" t="s">
        <v>5167</v>
      </c>
      <c r="Z518" s="2954" t="s">
        <v>5168</v>
      </c>
      <c r="AA518" s="375"/>
    </row>
    <row r="519" spans="1:27" ht="12.75" customHeight="1" x14ac:dyDescent="0.2">
      <c r="A519" s="6360"/>
      <c r="B519" s="251" t="str">
        <f t="shared" si="11"/>
        <v>Libre acceso92</v>
      </c>
      <c r="D519" s="272" t="s">
        <v>486</v>
      </c>
      <c r="E519" s="2959" t="s">
        <v>381</v>
      </c>
      <c r="F519" s="2959">
        <f t="shared" si="16"/>
        <v>92</v>
      </c>
      <c r="G519" s="2962" t="s">
        <v>1381</v>
      </c>
      <c r="H519" s="2962" t="s">
        <v>4020</v>
      </c>
      <c r="I519" s="380" t="s">
        <v>1304</v>
      </c>
      <c r="J519" s="2959">
        <v>10</v>
      </c>
      <c r="K519" s="2959">
        <v>12</v>
      </c>
      <c r="L519" s="2959">
        <v>14</v>
      </c>
      <c r="M519" s="377">
        <v>16</v>
      </c>
      <c r="N519" s="2959">
        <v>100</v>
      </c>
      <c r="O519" s="2959">
        <v>150</v>
      </c>
      <c r="P519" s="2959">
        <v>200</v>
      </c>
      <c r="Q519" s="377">
        <v>250</v>
      </c>
      <c r="R519" s="2959"/>
      <c r="S519" s="2959"/>
      <c r="T519" s="2959"/>
      <c r="U519" s="377"/>
      <c r="V519" s="2954" t="s">
        <v>3590</v>
      </c>
      <c r="W519" s="2954" t="s">
        <v>3591</v>
      </c>
      <c r="X519" s="2954" t="s">
        <v>3487</v>
      </c>
      <c r="Y519" s="2954" t="s">
        <v>3322</v>
      </c>
      <c r="Z519" s="2954" t="s">
        <v>5169</v>
      </c>
      <c r="AA519" s="375"/>
    </row>
    <row r="520" spans="1:27" ht="12.75" customHeight="1" x14ac:dyDescent="0.2">
      <c r="A520" s="6360"/>
      <c r="B520" s="251" t="str">
        <f t="shared" ref="B520:B583" si="17">E520&amp;F520</f>
        <v>Libre acceso92</v>
      </c>
      <c r="D520" s="272" t="s">
        <v>487</v>
      </c>
      <c r="E520" s="2959" t="s">
        <v>381</v>
      </c>
      <c r="F520" s="2959">
        <f t="shared" si="16"/>
        <v>92</v>
      </c>
      <c r="G520" s="2962" t="s">
        <v>2088</v>
      </c>
      <c r="H520" s="2962" t="s">
        <v>1234</v>
      </c>
      <c r="I520" s="380" t="s">
        <v>1304</v>
      </c>
      <c r="J520" s="2959">
        <v>11</v>
      </c>
      <c r="K520" s="2959">
        <v>13</v>
      </c>
      <c r="L520" s="2959">
        <v>15</v>
      </c>
      <c r="M520" s="377">
        <v>17</v>
      </c>
      <c r="N520" s="2959">
        <v>200</v>
      </c>
      <c r="O520" s="2959">
        <v>360</v>
      </c>
      <c r="P520" s="2959">
        <v>480</v>
      </c>
      <c r="Q520" s="377">
        <v>600</v>
      </c>
      <c r="R520" s="2959">
        <v>20</v>
      </c>
      <c r="S520" s="2959">
        <v>40</v>
      </c>
      <c r="T520" s="2959">
        <v>50</v>
      </c>
      <c r="U520" s="377">
        <v>60</v>
      </c>
      <c r="V520" s="2954" t="s">
        <v>5170</v>
      </c>
      <c r="W520" s="2954" t="s">
        <v>5171</v>
      </c>
      <c r="X520" s="2954" t="s">
        <v>5172</v>
      </c>
      <c r="Y520" s="2954" t="s">
        <v>5173</v>
      </c>
      <c r="Z520" s="2954" t="s">
        <v>5174</v>
      </c>
      <c r="AA520" s="375" t="s">
        <v>1707</v>
      </c>
    </row>
    <row r="521" spans="1:27" ht="12.75" customHeight="1" x14ac:dyDescent="0.2">
      <c r="A521" s="6360"/>
      <c r="B521" s="251" t="str">
        <f t="shared" si="17"/>
        <v>Libre acceso92</v>
      </c>
      <c r="D521" s="272" t="s">
        <v>488</v>
      </c>
      <c r="E521" s="2959" t="s">
        <v>381</v>
      </c>
      <c r="F521" s="2959">
        <f t="shared" si="16"/>
        <v>92</v>
      </c>
      <c r="G521" s="2962" t="s">
        <v>2088</v>
      </c>
      <c r="H521" s="2962" t="s">
        <v>1234</v>
      </c>
      <c r="I521" s="380" t="s">
        <v>1304</v>
      </c>
      <c r="J521" s="2959">
        <v>10</v>
      </c>
      <c r="K521" s="2959">
        <v>12</v>
      </c>
      <c r="L521" s="2959">
        <v>14</v>
      </c>
      <c r="M521" s="377">
        <v>16</v>
      </c>
      <c r="N521" s="2959">
        <v>200</v>
      </c>
      <c r="O521" s="2959">
        <v>300</v>
      </c>
      <c r="P521" s="2959">
        <v>400</v>
      </c>
      <c r="Q521" s="377">
        <v>500</v>
      </c>
      <c r="R521" s="2959">
        <v>30</v>
      </c>
      <c r="S521" s="2959">
        <v>45</v>
      </c>
      <c r="T521" s="2959">
        <v>60</v>
      </c>
      <c r="U521" s="377">
        <v>75</v>
      </c>
      <c r="V521" s="2954" t="s">
        <v>5175</v>
      </c>
      <c r="W521" s="2954" t="s">
        <v>5176</v>
      </c>
      <c r="X521" s="2954" t="s">
        <v>5177</v>
      </c>
      <c r="Y521" s="2954" t="s">
        <v>5178</v>
      </c>
      <c r="Z521" s="2954" t="s">
        <v>5179</v>
      </c>
      <c r="AA521" s="375" t="s">
        <v>1707</v>
      </c>
    </row>
    <row r="522" spans="1:27" ht="12.75" customHeight="1" x14ac:dyDescent="0.2">
      <c r="A522" s="6360"/>
      <c r="B522" s="251" t="str">
        <f t="shared" si="17"/>
        <v>Libre acceso92</v>
      </c>
      <c r="D522" s="272" t="s">
        <v>489</v>
      </c>
      <c r="E522" s="2959" t="s">
        <v>381</v>
      </c>
      <c r="F522" s="2959">
        <f t="shared" si="16"/>
        <v>92</v>
      </c>
      <c r="G522" s="2962" t="s">
        <v>2088</v>
      </c>
      <c r="H522" s="2962" t="s">
        <v>4020</v>
      </c>
      <c r="I522" s="380" t="s">
        <v>1304</v>
      </c>
      <c r="J522" s="2959">
        <v>10</v>
      </c>
      <c r="K522" s="2959">
        <v>12</v>
      </c>
      <c r="L522" s="2959">
        <v>14</v>
      </c>
      <c r="M522" s="377">
        <v>16</v>
      </c>
      <c r="N522" s="2959">
        <v>300</v>
      </c>
      <c r="O522" s="2959">
        <v>400</v>
      </c>
      <c r="P522" s="2959">
        <v>500</v>
      </c>
      <c r="Q522" s="377">
        <v>600</v>
      </c>
      <c r="R522" s="2959">
        <v>30</v>
      </c>
      <c r="S522" s="2959">
        <v>40</v>
      </c>
      <c r="T522" s="2959">
        <v>50</v>
      </c>
      <c r="U522" s="377">
        <v>60</v>
      </c>
      <c r="V522" s="2954" t="s">
        <v>3590</v>
      </c>
      <c r="W522" s="2954" t="s">
        <v>3591</v>
      </c>
      <c r="X522" s="2954" t="s">
        <v>3322</v>
      </c>
      <c r="Y522" s="2954" t="s">
        <v>3776</v>
      </c>
      <c r="Z522" s="2954" t="s">
        <v>5180</v>
      </c>
      <c r="AA522" s="375"/>
    </row>
    <row r="523" spans="1:27" ht="12.75" customHeight="1" x14ac:dyDescent="0.2">
      <c r="A523" s="6360"/>
      <c r="B523" s="251" t="str">
        <f t="shared" si="17"/>
        <v>Libre acceso92</v>
      </c>
      <c r="D523" s="272" t="s">
        <v>490</v>
      </c>
      <c r="E523" s="2959" t="s">
        <v>381</v>
      </c>
      <c r="F523" s="2959">
        <f t="shared" si="16"/>
        <v>92</v>
      </c>
      <c r="G523" s="2962" t="s">
        <v>2088</v>
      </c>
      <c r="H523" s="2962" t="s">
        <v>1235</v>
      </c>
      <c r="I523" s="380" t="s">
        <v>1304</v>
      </c>
      <c r="J523" s="2959">
        <v>11</v>
      </c>
      <c r="K523" s="2959">
        <v>13</v>
      </c>
      <c r="L523" s="2959">
        <v>15</v>
      </c>
      <c r="M523" s="377">
        <v>17</v>
      </c>
      <c r="N523" s="2959">
        <v>300</v>
      </c>
      <c r="O523" s="2959">
        <v>360</v>
      </c>
      <c r="P523" s="2959">
        <v>420</v>
      </c>
      <c r="Q523" s="377">
        <v>480</v>
      </c>
      <c r="R523" s="2959">
        <v>30</v>
      </c>
      <c r="S523" s="2959">
        <v>40</v>
      </c>
      <c r="T523" s="2959">
        <v>45</v>
      </c>
      <c r="U523" s="377">
        <v>50</v>
      </c>
      <c r="V523" s="2954" t="s">
        <v>5181</v>
      </c>
      <c r="W523" s="2954" t="s">
        <v>5182</v>
      </c>
      <c r="X523" s="2954" t="s">
        <v>5183</v>
      </c>
      <c r="Y523" s="2954" t="s">
        <v>5184</v>
      </c>
      <c r="Z523" s="2954" t="s">
        <v>5185</v>
      </c>
      <c r="AA523" s="375" t="s">
        <v>1706</v>
      </c>
    </row>
    <row r="524" spans="1:27" ht="12.75" customHeight="1" x14ac:dyDescent="0.2">
      <c r="A524" s="6360"/>
      <c r="B524" s="251" t="str">
        <f t="shared" si="17"/>
        <v>Libre acceso92</v>
      </c>
      <c r="D524" s="272" t="s">
        <v>491</v>
      </c>
      <c r="E524" s="2959" t="s">
        <v>381</v>
      </c>
      <c r="F524" s="2959">
        <f t="shared" si="16"/>
        <v>92</v>
      </c>
      <c r="G524" s="2962" t="s">
        <v>2088</v>
      </c>
      <c r="H524" s="2962" t="s">
        <v>1235</v>
      </c>
      <c r="I524" s="380" t="s">
        <v>1304</v>
      </c>
      <c r="J524" s="2959">
        <v>12</v>
      </c>
      <c r="K524" s="2959">
        <v>14</v>
      </c>
      <c r="L524" s="2959">
        <v>16</v>
      </c>
      <c r="M524" s="377">
        <v>18</v>
      </c>
      <c r="N524" s="2959">
        <v>450</v>
      </c>
      <c r="O524" s="2959">
        <v>600</v>
      </c>
      <c r="P524" s="2959">
        <v>800</v>
      </c>
      <c r="Q524" s="377">
        <v>1000</v>
      </c>
      <c r="R524" s="2959">
        <v>45</v>
      </c>
      <c r="S524" s="2959">
        <v>60</v>
      </c>
      <c r="T524" s="2959">
        <v>80</v>
      </c>
      <c r="U524" s="377">
        <v>100</v>
      </c>
      <c r="V524" s="2954" t="s">
        <v>4659</v>
      </c>
      <c r="W524" s="2954" t="s">
        <v>4633</v>
      </c>
      <c r="X524" s="2954" t="s">
        <v>5186</v>
      </c>
      <c r="Y524" s="2954" t="s">
        <v>5187</v>
      </c>
      <c r="Z524" s="2954" t="s">
        <v>5188</v>
      </c>
      <c r="AA524" s="375"/>
    </row>
    <row r="525" spans="1:27" ht="12.75" customHeight="1" x14ac:dyDescent="0.2">
      <c r="A525" s="6360"/>
      <c r="B525" s="251" t="str">
        <f t="shared" si="17"/>
        <v>Libre acceso92</v>
      </c>
      <c r="D525" s="272" t="s">
        <v>492</v>
      </c>
      <c r="E525" s="2959" t="s">
        <v>381</v>
      </c>
      <c r="F525" s="2959">
        <f t="shared" si="16"/>
        <v>92</v>
      </c>
      <c r="G525" s="2962" t="s">
        <v>2088</v>
      </c>
      <c r="H525" s="2962" t="s">
        <v>1234</v>
      </c>
      <c r="I525" s="380" t="s">
        <v>1304</v>
      </c>
      <c r="J525" s="2959">
        <v>10</v>
      </c>
      <c r="K525" s="2959">
        <v>12</v>
      </c>
      <c r="L525" s="2959">
        <v>14</v>
      </c>
      <c r="M525" s="377">
        <v>16</v>
      </c>
      <c r="N525" s="2959">
        <v>200</v>
      </c>
      <c r="O525" s="2959">
        <v>300</v>
      </c>
      <c r="P525" s="2959">
        <v>400</v>
      </c>
      <c r="Q525" s="377">
        <v>500</v>
      </c>
      <c r="R525" s="2959">
        <v>50</v>
      </c>
      <c r="S525" s="2959">
        <v>60</v>
      </c>
      <c r="T525" s="2959">
        <v>70</v>
      </c>
      <c r="U525" s="377">
        <v>80</v>
      </c>
      <c r="V525" s="2954" t="s">
        <v>5189</v>
      </c>
      <c r="W525" s="2954" t="s">
        <v>5190</v>
      </c>
      <c r="X525" s="2954" t="s">
        <v>5191</v>
      </c>
      <c r="Y525" s="2954" t="s">
        <v>5192</v>
      </c>
      <c r="Z525" s="2954" t="s">
        <v>5193</v>
      </c>
      <c r="AA525" s="375"/>
    </row>
    <row r="526" spans="1:27" ht="12.75" customHeight="1" x14ac:dyDescent="0.2">
      <c r="A526" s="6360"/>
      <c r="B526" s="251" t="str">
        <f t="shared" si="17"/>
        <v>Libre acceso92</v>
      </c>
      <c r="D526" s="272" t="s">
        <v>493</v>
      </c>
      <c r="E526" s="2959" t="s">
        <v>381</v>
      </c>
      <c r="F526" s="2959">
        <f t="shared" si="16"/>
        <v>92</v>
      </c>
      <c r="G526" s="2962" t="s">
        <v>1381</v>
      </c>
      <c r="H526" s="2962" t="s">
        <v>1235</v>
      </c>
      <c r="I526" s="380" t="s">
        <v>1304</v>
      </c>
      <c r="J526" s="2959">
        <v>12</v>
      </c>
      <c r="K526" s="2959">
        <v>15</v>
      </c>
      <c r="L526" s="2959">
        <v>17</v>
      </c>
      <c r="M526" s="377">
        <v>19</v>
      </c>
      <c r="N526" s="2959">
        <v>600</v>
      </c>
      <c r="O526" s="2959">
        <v>900</v>
      </c>
      <c r="P526" s="2959">
        <v>1200</v>
      </c>
      <c r="Q526" s="377">
        <v>1500</v>
      </c>
      <c r="R526" s="2959"/>
      <c r="S526" s="2959"/>
      <c r="T526" s="2959"/>
      <c r="U526" s="377"/>
      <c r="V526" s="2954" t="s">
        <v>3591</v>
      </c>
      <c r="W526" s="2954" t="s">
        <v>5194</v>
      </c>
      <c r="X526" s="2954" t="s">
        <v>3488</v>
      </c>
      <c r="Y526" s="2954" t="s">
        <v>3489</v>
      </c>
      <c r="Z526" s="2954" t="s">
        <v>5195</v>
      </c>
      <c r="AA526" s="375"/>
    </row>
    <row r="527" spans="1:27" ht="12.75" customHeight="1" x14ac:dyDescent="0.2">
      <c r="A527" s="6360"/>
      <c r="B527" s="251" t="str">
        <f t="shared" si="17"/>
        <v/>
      </c>
      <c r="D527" s="272" t="s">
        <v>494</v>
      </c>
      <c r="E527" s="2959"/>
      <c r="F527" s="2959"/>
      <c r="G527" s="2962"/>
      <c r="H527" s="2962"/>
      <c r="I527" s="380"/>
      <c r="J527" s="2959"/>
      <c r="K527" s="2959"/>
      <c r="L527" s="2959"/>
      <c r="M527" s="377"/>
      <c r="N527" s="2959"/>
      <c r="O527" s="2959"/>
      <c r="P527" s="2959"/>
      <c r="Q527" s="377"/>
      <c r="R527" s="2959"/>
      <c r="S527" s="2959"/>
      <c r="T527" s="2959"/>
      <c r="U527" s="377"/>
      <c r="V527" s="2954"/>
      <c r="W527" s="2954"/>
      <c r="X527" s="2954"/>
      <c r="Y527" s="2954"/>
      <c r="Z527" s="2954"/>
      <c r="AA527" s="375"/>
    </row>
    <row r="528" spans="1:27" ht="12.75" customHeight="1" x14ac:dyDescent="0.2">
      <c r="A528" s="6360"/>
      <c r="B528" s="251" t="str">
        <f t="shared" si="17"/>
        <v>Caos4</v>
      </c>
      <c r="D528" s="272" t="s">
        <v>495</v>
      </c>
      <c r="E528" s="2959" t="s">
        <v>81</v>
      </c>
      <c r="F528" s="2959">
        <v>4</v>
      </c>
      <c r="G528" s="2962" t="s">
        <v>2584</v>
      </c>
      <c r="H528" s="2962" t="s">
        <v>5196</v>
      </c>
      <c r="I528" s="380" t="s">
        <v>1304</v>
      </c>
      <c r="J528" s="2959">
        <v>5</v>
      </c>
      <c r="K528" s="2959">
        <v>8</v>
      </c>
      <c r="L528" s="2959">
        <v>10</v>
      </c>
      <c r="M528" s="377">
        <v>12</v>
      </c>
      <c r="N528" s="2959">
        <v>50</v>
      </c>
      <c r="O528" s="2959">
        <v>80</v>
      </c>
      <c r="P528" s="2959">
        <v>100</v>
      </c>
      <c r="Q528" s="377">
        <v>120</v>
      </c>
      <c r="R528" s="2959">
        <v>5</v>
      </c>
      <c r="S528" s="2959">
        <v>10</v>
      </c>
      <c r="T528" s="2959">
        <v>10</v>
      </c>
      <c r="U528" s="377">
        <v>12</v>
      </c>
      <c r="V528" s="2954" t="s">
        <v>3507</v>
      </c>
      <c r="W528" s="2954" t="s">
        <v>3396</v>
      </c>
      <c r="X528" s="2954" t="s">
        <v>3476</v>
      </c>
      <c r="Y528" s="2954" t="s">
        <v>5197</v>
      </c>
      <c r="Z528" s="2954" t="s">
        <v>5198</v>
      </c>
      <c r="AA528" s="375"/>
    </row>
    <row r="529" spans="1:27" ht="12.75" customHeight="1" x14ac:dyDescent="0.2">
      <c r="A529" s="6360"/>
      <c r="B529" s="251" t="str">
        <f t="shared" si="17"/>
        <v>Caos14</v>
      </c>
      <c r="D529" s="272" t="s">
        <v>496</v>
      </c>
      <c r="E529" s="2959" t="s">
        <v>81</v>
      </c>
      <c r="F529" s="2959">
        <v>14</v>
      </c>
      <c r="G529" s="2962" t="s">
        <v>1381</v>
      </c>
      <c r="H529" s="2962" t="s">
        <v>1234</v>
      </c>
      <c r="I529" s="380" t="s">
        <v>1304</v>
      </c>
      <c r="J529" s="2959">
        <v>6</v>
      </c>
      <c r="K529" s="2959">
        <v>9</v>
      </c>
      <c r="L529" s="2959">
        <v>12</v>
      </c>
      <c r="M529" s="377">
        <v>15</v>
      </c>
      <c r="N529" s="2959">
        <v>60</v>
      </c>
      <c r="O529" s="2959">
        <v>90</v>
      </c>
      <c r="P529" s="2959">
        <v>120</v>
      </c>
      <c r="Q529" s="377">
        <v>150</v>
      </c>
      <c r="R529" s="2959">
        <v>15</v>
      </c>
      <c r="S529" s="2959">
        <v>20</v>
      </c>
      <c r="T529" s="2959">
        <v>25</v>
      </c>
      <c r="U529" s="377">
        <v>30</v>
      </c>
      <c r="V529" s="2954" t="s">
        <v>5199</v>
      </c>
      <c r="W529" s="2954" t="s">
        <v>5200</v>
      </c>
      <c r="X529" s="2954" t="s">
        <v>5201</v>
      </c>
      <c r="Y529" s="2954" t="s">
        <v>5202</v>
      </c>
      <c r="Z529" s="2954" t="s">
        <v>5203</v>
      </c>
      <c r="AA529" s="375"/>
    </row>
    <row r="530" spans="1:27" ht="12.75" customHeight="1" x14ac:dyDescent="0.2">
      <c r="A530" s="6360"/>
      <c r="B530" s="251" t="str">
        <f t="shared" si="17"/>
        <v>Caos24</v>
      </c>
      <c r="D530" s="272" t="s">
        <v>10251</v>
      </c>
      <c r="E530" s="2959" t="s">
        <v>81</v>
      </c>
      <c r="F530" s="2959">
        <v>24</v>
      </c>
      <c r="G530" s="2962" t="s">
        <v>1381</v>
      </c>
      <c r="H530" s="2962" t="s">
        <v>1233</v>
      </c>
      <c r="I530" s="380" t="s">
        <v>1304</v>
      </c>
      <c r="J530" s="2959">
        <v>8</v>
      </c>
      <c r="K530" s="2959">
        <v>10</v>
      </c>
      <c r="L530" s="2959">
        <v>12</v>
      </c>
      <c r="M530" s="377">
        <v>14</v>
      </c>
      <c r="N530" s="2959">
        <v>80</v>
      </c>
      <c r="O530" s="2959">
        <v>100</v>
      </c>
      <c r="P530" s="2959">
        <v>120</v>
      </c>
      <c r="Q530" s="377">
        <v>140</v>
      </c>
      <c r="R530" s="2959">
        <v>20</v>
      </c>
      <c r="S530" s="2959">
        <v>20</v>
      </c>
      <c r="T530" s="2959">
        <v>25</v>
      </c>
      <c r="U530" s="377">
        <v>30</v>
      </c>
      <c r="V530" s="2960" t="s">
        <v>10252</v>
      </c>
      <c r="W530" s="2960" t="s">
        <v>10253</v>
      </c>
      <c r="X530" s="2960" t="s">
        <v>10254</v>
      </c>
      <c r="Y530" s="2960" t="s">
        <v>10255</v>
      </c>
      <c r="Z530" s="2954" t="s">
        <v>5204</v>
      </c>
      <c r="AA530" s="375"/>
    </row>
    <row r="531" spans="1:27" ht="12.75" customHeight="1" x14ac:dyDescent="0.2">
      <c r="A531" s="6360"/>
      <c r="B531" s="251" t="str">
        <f t="shared" si="17"/>
        <v>Caos34</v>
      </c>
      <c r="D531" s="272" t="s">
        <v>497</v>
      </c>
      <c r="E531" s="2959" t="s">
        <v>81</v>
      </c>
      <c r="F531" s="2959">
        <v>34</v>
      </c>
      <c r="G531" s="2962" t="s">
        <v>1381</v>
      </c>
      <c r="H531" s="2962" t="s">
        <v>1233</v>
      </c>
      <c r="I531" s="380" t="s">
        <v>1304</v>
      </c>
      <c r="J531" s="2959">
        <v>8</v>
      </c>
      <c r="K531" s="2959">
        <v>10</v>
      </c>
      <c r="L531" s="2959">
        <v>12</v>
      </c>
      <c r="M531" s="377">
        <v>14</v>
      </c>
      <c r="N531" s="2959">
        <v>80</v>
      </c>
      <c r="O531" s="2959">
        <v>140</v>
      </c>
      <c r="P531" s="2959">
        <v>250</v>
      </c>
      <c r="Q531" s="377">
        <v>400</v>
      </c>
      <c r="R531" s="2959">
        <v>10</v>
      </c>
      <c r="S531" s="2959">
        <v>10</v>
      </c>
      <c r="T531" s="2959">
        <v>15</v>
      </c>
      <c r="U531" s="377">
        <v>15</v>
      </c>
      <c r="V531" s="2954" t="s">
        <v>3590</v>
      </c>
      <c r="W531" s="2954" t="s">
        <v>5205</v>
      </c>
      <c r="X531" s="2954" t="s">
        <v>5206</v>
      </c>
      <c r="Y531" s="2954" t="s">
        <v>3322</v>
      </c>
      <c r="Z531" s="2954" t="s">
        <v>5207</v>
      </c>
      <c r="AA531" s="375"/>
    </row>
    <row r="532" spans="1:27" ht="12.75" customHeight="1" x14ac:dyDescent="0.2">
      <c r="A532" s="6360"/>
      <c r="B532" s="251" t="str">
        <f t="shared" si="17"/>
        <v>Caos44</v>
      </c>
      <c r="D532" s="272" t="s">
        <v>498</v>
      </c>
      <c r="E532" s="2959" t="s">
        <v>81</v>
      </c>
      <c r="F532" s="2959">
        <v>44</v>
      </c>
      <c r="G532" s="2962" t="s">
        <v>1381</v>
      </c>
      <c r="H532" s="2962" t="s">
        <v>1233</v>
      </c>
      <c r="I532" s="380" t="s">
        <v>1304</v>
      </c>
      <c r="J532" s="2959">
        <v>7</v>
      </c>
      <c r="K532" s="2959">
        <v>9</v>
      </c>
      <c r="L532" s="2959">
        <v>12</v>
      </c>
      <c r="M532" s="377">
        <v>14</v>
      </c>
      <c r="N532" s="2959">
        <v>120</v>
      </c>
      <c r="O532" s="2959">
        <v>180</v>
      </c>
      <c r="P532" s="2959">
        <v>280</v>
      </c>
      <c r="Q532" s="377">
        <v>400</v>
      </c>
      <c r="R532" s="2959">
        <v>20</v>
      </c>
      <c r="S532" s="2959">
        <v>20</v>
      </c>
      <c r="T532" s="2959">
        <v>25</v>
      </c>
      <c r="U532" s="377">
        <v>30</v>
      </c>
      <c r="V532" s="2954" t="s">
        <v>5208</v>
      </c>
      <c r="W532" s="2954" t="s">
        <v>5209</v>
      </c>
      <c r="X532" s="2954" t="s">
        <v>5210</v>
      </c>
      <c r="Y532" s="2954" t="s">
        <v>5211</v>
      </c>
      <c r="Z532" s="2954" t="s">
        <v>5212</v>
      </c>
      <c r="AA532" s="375"/>
    </row>
    <row r="533" spans="1:27" ht="12.75" customHeight="1" x14ac:dyDescent="0.2">
      <c r="A533" s="6360"/>
      <c r="B533" s="251" t="str">
        <f t="shared" si="17"/>
        <v>Caos54</v>
      </c>
      <c r="D533" s="272" t="s">
        <v>499</v>
      </c>
      <c r="E533" s="2959" t="s">
        <v>81</v>
      </c>
      <c r="F533" s="2959">
        <v>54</v>
      </c>
      <c r="G533" s="2962" t="s">
        <v>1381</v>
      </c>
      <c r="H533" s="2962" t="s">
        <v>1234</v>
      </c>
      <c r="I533" s="380" t="s">
        <v>1304</v>
      </c>
      <c r="J533" s="2959">
        <v>8</v>
      </c>
      <c r="K533" s="2959">
        <v>10</v>
      </c>
      <c r="L533" s="2959">
        <v>12</v>
      </c>
      <c r="M533" s="377">
        <v>15</v>
      </c>
      <c r="N533" s="2959">
        <v>120</v>
      </c>
      <c r="O533" s="2959">
        <v>200</v>
      </c>
      <c r="P533" s="2959">
        <v>300</v>
      </c>
      <c r="Q533" s="377">
        <v>700</v>
      </c>
      <c r="R533" s="2959" t="s">
        <v>1381</v>
      </c>
      <c r="S533" s="2959" t="s">
        <v>1381</v>
      </c>
      <c r="T533" s="2959" t="s">
        <v>1381</v>
      </c>
      <c r="U533" s="377" t="s">
        <v>1381</v>
      </c>
      <c r="V533" s="2954" t="s">
        <v>3618</v>
      </c>
      <c r="W533" s="2954" t="s">
        <v>3619</v>
      </c>
      <c r="X533" s="2954" t="s">
        <v>3620</v>
      </c>
      <c r="Y533" s="2954" t="s">
        <v>3621</v>
      </c>
      <c r="Z533" s="2954" t="s">
        <v>5213</v>
      </c>
      <c r="AA533" s="375"/>
    </row>
    <row r="534" spans="1:27" ht="12.75" customHeight="1" x14ac:dyDescent="0.2">
      <c r="A534" s="6360"/>
      <c r="B534" s="251" t="str">
        <f t="shared" si="17"/>
        <v>Caos64</v>
      </c>
      <c r="D534" s="272" t="s">
        <v>500</v>
      </c>
      <c r="E534" s="2959" t="s">
        <v>81</v>
      </c>
      <c r="F534" s="2959">
        <v>64</v>
      </c>
      <c r="G534" s="2962" t="s">
        <v>1381</v>
      </c>
      <c r="H534" s="2962" t="s">
        <v>1235</v>
      </c>
      <c r="I534" s="380" t="s">
        <v>1305</v>
      </c>
      <c r="J534" s="2959">
        <v>10</v>
      </c>
      <c r="K534" s="2959">
        <v>12</v>
      </c>
      <c r="L534" s="2959">
        <v>14</v>
      </c>
      <c r="M534" s="377">
        <v>16</v>
      </c>
      <c r="N534" s="2959">
        <v>100</v>
      </c>
      <c r="O534" s="2959">
        <v>200</v>
      </c>
      <c r="P534" s="2959">
        <v>300</v>
      </c>
      <c r="Q534" s="377">
        <v>400</v>
      </c>
      <c r="R534" s="2959" t="s">
        <v>1381</v>
      </c>
      <c r="S534" s="2959" t="s">
        <v>1381</v>
      </c>
      <c r="T534" s="2959" t="s">
        <v>1381</v>
      </c>
      <c r="U534" s="377" t="s">
        <v>1381</v>
      </c>
      <c r="V534" s="2954" t="s">
        <v>3591</v>
      </c>
      <c r="W534" s="2954" t="s">
        <v>5214</v>
      </c>
      <c r="X534" s="2954" t="s">
        <v>5215</v>
      </c>
      <c r="Y534" s="2954" t="s">
        <v>5216</v>
      </c>
      <c r="Z534" s="2954" t="s">
        <v>5217</v>
      </c>
      <c r="AA534" s="375"/>
    </row>
    <row r="535" spans="1:27" ht="12.75" customHeight="1" x14ac:dyDescent="0.2">
      <c r="A535" s="6360"/>
      <c r="B535" s="251" t="str">
        <f t="shared" si="17"/>
        <v>Caos74</v>
      </c>
      <c r="D535" s="272" t="s">
        <v>501</v>
      </c>
      <c r="E535" s="2959" t="s">
        <v>81</v>
      </c>
      <c r="F535" s="2959">
        <v>74</v>
      </c>
      <c r="G535" s="2962" t="s">
        <v>1381</v>
      </c>
      <c r="H535" s="2962" t="s">
        <v>1234</v>
      </c>
      <c r="I535" s="380" t="s">
        <v>1304</v>
      </c>
      <c r="J535" s="2959">
        <v>8</v>
      </c>
      <c r="K535" s="2959">
        <v>11</v>
      </c>
      <c r="L535" s="2959">
        <v>13</v>
      </c>
      <c r="M535" s="377">
        <v>15</v>
      </c>
      <c r="N535" s="2959">
        <v>200</v>
      </c>
      <c r="O535" s="2959">
        <v>400</v>
      </c>
      <c r="P535" s="2959">
        <v>800</v>
      </c>
      <c r="Q535" s="377">
        <v>1200</v>
      </c>
      <c r="R535" s="2959" t="s">
        <v>1381</v>
      </c>
      <c r="S535" s="2959" t="s">
        <v>1381</v>
      </c>
      <c r="T535" s="2959" t="s">
        <v>1381</v>
      </c>
      <c r="U535" s="377" t="s">
        <v>1381</v>
      </c>
      <c r="V535" s="2954" t="s">
        <v>5218</v>
      </c>
      <c r="W535" s="2954" t="s">
        <v>5219</v>
      </c>
      <c r="X535" s="2954" t="s">
        <v>5220</v>
      </c>
      <c r="Y535" s="2954" t="s">
        <v>5221</v>
      </c>
      <c r="Z535" s="2954" t="s">
        <v>5222</v>
      </c>
      <c r="AA535" s="375"/>
    </row>
    <row r="536" spans="1:27" ht="12.75" customHeight="1" x14ac:dyDescent="0.2">
      <c r="A536" s="6360"/>
      <c r="B536" s="251" t="str">
        <f t="shared" si="17"/>
        <v>Caos84</v>
      </c>
      <c r="D536" s="272" t="s">
        <v>502</v>
      </c>
      <c r="E536" s="2959" t="s">
        <v>81</v>
      </c>
      <c r="F536" s="2959">
        <v>84</v>
      </c>
      <c r="G536" s="2962" t="s">
        <v>1381</v>
      </c>
      <c r="H536" s="2962" t="s">
        <v>1234</v>
      </c>
      <c r="I536" s="380" t="s">
        <v>1304</v>
      </c>
      <c r="J536" s="2959">
        <v>11</v>
      </c>
      <c r="K536" s="2959">
        <v>13</v>
      </c>
      <c r="L536" s="2959">
        <v>15</v>
      </c>
      <c r="M536" s="377">
        <v>17</v>
      </c>
      <c r="N536" s="2959">
        <v>300</v>
      </c>
      <c r="O536" s="2959">
        <v>500</v>
      </c>
      <c r="P536" s="2959">
        <v>800</v>
      </c>
      <c r="Q536" s="377">
        <v>1200</v>
      </c>
      <c r="R536" s="2959">
        <v>50</v>
      </c>
      <c r="S536" s="2959">
        <v>60</v>
      </c>
      <c r="T536" s="2959">
        <v>67</v>
      </c>
      <c r="U536" s="377">
        <v>75</v>
      </c>
      <c r="V536" s="2954" t="s">
        <v>5223</v>
      </c>
      <c r="W536" s="2954" t="s">
        <v>5224</v>
      </c>
      <c r="X536" s="2954" t="s">
        <v>5225</v>
      </c>
      <c r="Y536" s="2954" t="s">
        <v>5226</v>
      </c>
      <c r="Z536" s="2954" t="s">
        <v>5227</v>
      </c>
      <c r="AA536" s="375"/>
    </row>
    <row r="537" spans="1:27" ht="12.75" customHeight="1" x14ac:dyDescent="0.2">
      <c r="A537" s="6360"/>
      <c r="B537" s="251" t="str">
        <f t="shared" si="17"/>
        <v>Caos94</v>
      </c>
      <c r="D537" s="272" t="s">
        <v>503</v>
      </c>
      <c r="E537" s="2959" t="s">
        <v>81</v>
      </c>
      <c r="F537" s="2959">
        <v>94</v>
      </c>
      <c r="G537" s="2962" t="s">
        <v>2584</v>
      </c>
      <c r="H537" s="2962" t="s">
        <v>1235</v>
      </c>
      <c r="I537" s="380" t="s">
        <v>1304</v>
      </c>
      <c r="J537" s="2959">
        <v>12</v>
      </c>
      <c r="K537" s="2959">
        <v>14</v>
      </c>
      <c r="L537" s="2959">
        <v>16</v>
      </c>
      <c r="M537" s="377">
        <v>18</v>
      </c>
      <c r="N537" s="2959">
        <v>500</v>
      </c>
      <c r="O537" s="2959">
        <v>900</v>
      </c>
      <c r="P537" s="2959">
        <v>1500</v>
      </c>
      <c r="Q537" s="377">
        <v>2400</v>
      </c>
      <c r="R537" s="2959">
        <v>100</v>
      </c>
      <c r="S537" s="2959">
        <v>180</v>
      </c>
      <c r="T537" s="2959">
        <v>300</v>
      </c>
      <c r="U537" s="377">
        <v>480</v>
      </c>
      <c r="V537" s="2954" t="s">
        <v>5228</v>
      </c>
      <c r="W537" s="2954" t="s">
        <v>5229</v>
      </c>
      <c r="X537" s="2954" t="s">
        <v>5230</v>
      </c>
      <c r="Y537" s="2954" t="s">
        <v>5231</v>
      </c>
      <c r="Z537" s="2954" t="s">
        <v>5232</v>
      </c>
      <c r="AA537" s="375"/>
    </row>
    <row r="538" spans="1:27" ht="12.75" customHeight="1" x14ac:dyDescent="0.2">
      <c r="A538" s="6360"/>
      <c r="B538" s="251" t="str">
        <f t="shared" si="17"/>
        <v/>
      </c>
      <c r="D538" s="272" t="s">
        <v>504</v>
      </c>
      <c r="E538" s="2959"/>
      <c r="F538" s="2959"/>
      <c r="G538" s="2962"/>
      <c r="H538" s="2962"/>
      <c r="I538" s="380"/>
      <c r="J538" s="2959"/>
      <c r="K538" s="2959"/>
      <c r="L538" s="2959"/>
      <c r="M538" s="377"/>
      <c r="N538" s="2959"/>
      <c r="O538" s="2959"/>
      <c r="P538" s="2959"/>
      <c r="Q538" s="377"/>
      <c r="R538" s="2959"/>
      <c r="S538" s="2959"/>
      <c r="T538" s="2959"/>
      <c r="U538" s="377"/>
      <c r="V538" s="2954"/>
      <c r="W538" s="2954"/>
      <c r="X538" s="2954"/>
      <c r="Y538" s="2954"/>
      <c r="Z538" s="2954"/>
      <c r="AA538" s="375"/>
    </row>
    <row r="539" spans="1:27" ht="12.75" customHeight="1" x14ac:dyDescent="0.2">
      <c r="A539" s="6360"/>
      <c r="B539" s="251" t="str">
        <f t="shared" si="17"/>
        <v>Guerra4</v>
      </c>
      <c r="D539" s="272" t="s">
        <v>505</v>
      </c>
      <c r="E539" s="2959" t="s">
        <v>82</v>
      </c>
      <c r="F539" s="2959">
        <v>4</v>
      </c>
      <c r="G539" s="2962" t="s">
        <v>1381</v>
      </c>
      <c r="H539" s="2962" t="s">
        <v>1234</v>
      </c>
      <c r="I539" s="380" t="s">
        <v>1304</v>
      </c>
      <c r="J539" s="2959">
        <v>5</v>
      </c>
      <c r="K539" s="2959">
        <v>8</v>
      </c>
      <c r="L539" s="2959">
        <v>11</v>
      </c>
      <c r="M539" s="377">
        <v>13</v>
      </c>
      <c r="N539" s="2959">
        <v>30</v>
      </c>
      <c r="O539" s="2959">
        <v>60</v>
      </c>
      <c r="P539" s="2959">
        <v>90</v>
      </c>
      <c r="Q539" s="377">
        <v>120</v>
      </c>
      <c r="R539" s="2959" t="s">
        <v>1381</v>
      </c>
      <c r="S539" s="2959" t="s">
        <v>1381</v>
      </c>
      <c r="T539" s="2959" t="s">
        <v>1381</v>
      </c>
      <c r="U539" s="377" t="s">
        <v>1381</v>
      </c>
      <c r="V539" s="2954" t="s">
        <v>5233</v>
      </c>
      <c r="W539" s="2954" t="s">
        <v>5234</v>
      </c>
      <c r="X539" s="2954" t="s">
        <v>5235</v>
      </c>
      <c r="Y539" s="2954" t="s">
        <v>5236</v>
      </c>
      <c r="Z539" s="2954" t="s">
        <v>5237</v>
      </c>
      <c r="AA539" s="375"/>
    </row>
    <row r="540" spans="1:27" ht="12.75" customHeight="1" x14ac:dyDescent="0.2">
      <c r="A540" s="6360"/>
      <c r="B540" s="251" t="str">
        <f t="shared" si="17"/>
        <v>Guerra14</v>
      </c>
      <c r="D540" s="272" t="s">
        <v>506</v>
      </c>
      <c r="E540" s="2959" t="s">
        <v>82</v>
      </c>
      <c r="F540" s="2959">
        <v>14</v>
      </c>
      <c r="G540" s="2962" t="s">
        <v>1381</v>
      </c>
      <c r="H540" s="2962" t="s">
        <v>1234</v>
      </c>
      <c r="I540" s="380" t="s">
        <v>1304</v>
      </c>
      <c r="J540" s="2959">
        <v>6</v>
      </c>
      <c r="K540" s="2959">
        <v>9</v>
      </c>
      <c r="L540" s="2959">
        <v>12</v>
      </c>
      <c r="M540" s="377">
        <v>15</v>
      </c>
      <c r="N540" s="2959">
        <v>40</v>
      </c>
      <c r="O540" s="2959">
        <v>70</v>
      </c>
      <c r="P540" s="2959">
        <v>100</v>
      </c>
      <c r="Q540" s="377">
        <v>130</v>
      </c>
      <c r="R540" s="2959">
        <v>5</v>
      </c>
      <c r="S540" s="2959">
        <v>10</v>
      </c>
      <c r="T540" s="2959">
        <v>10</v>
      </c>
      <c r="U540" s="377">
        <v>15</v>
      </c>
      <c r="V540" s="2954" t="s">
        <v>5238</v>
      </c>
      <c r="W540" s="2954" t="s">
        <v>5239</v>
      </c>
      <c r="X540" s="2954" t="s">
        <v>5240</v>
      </c>
      <c r="Y540" s="2954" t="s">
        <v>5241</v>
      </c>
      <c r="Z540" s="2954" t="s">
        <v>5242</v>
      </c>
      <c r="AA540" s="375"/>
    </row>
    <row r="541" spans="1:27" ht="12.75" customHeight="1" x14ac:dyDescent="0.2">
      <c r="A541" s="6360"/>
      <c r="B541" s="251" t="str">
        <f t="shared" si="17"/>
        <v>Guerra24</v>
      </c>
      <c r="D541" s="272" t="s">
        <v>507</v>
      </c>
      <c r="E541" s="2959" t="s">
        <v>82</v>
      </c>
      <c r="F541" s="2959">
        <v>24</v>
      </c>
      <c r="G541" s="2962" t="s">
        <v>1381</v>
      </c>
      <c r="H541" s="2962" t="s">
        <v>1234</v>
      </c>
      <c r="I541" s="380" t="s">
        <v>1304</v>
      </c>
      <c r="J541" s="2959">
        <v>6</v>
      </c>
      <c r="K541" s="2959">
        <v>9</v>
      </c>
      <c r="L541" s="2959">
        <v>12</v>
      </c>
      <c r="M541" s="377">
        <v>15</v>
      </c>
      <c r="N541" s="2959">
        <v>50</v>
      </c>
      <c r="O541" s="2959">
        <v>90</v>
      </c>
      <c r="P541" s="2959">
        <v>120</v>
      </c>
      <c r="Q541" s="377">
        <v>150</v>
      </c>
      <c r="R541" s="2959">
        <v>5</v>
      </c>
      <c r="S541" s="2959">
        <v>10</v>
      </c>
      <c r="T541" s="2959">
        <v>15</v>
      </c>
      <c r="U541" s="377">
        <v>15</v>
      </c>
      <c r="V541" s="2954" t="s">
        <v>5243</v>
      </c>
      <c r="W541" s="2954" t="s">
        <v>5244</v>
      </c>
      <c r="X541" s="2954" t="s">
        <v>5245</v>
      </c>
      <c r="Y541" s="2954" t="s">
        <v>5246</v>
      </c>
      <c r="Z541" s="2954" t="s">
        <v>5247</v>
      </c>
      <c r="AA541" s="375"/>
    </row>
    <row r="542" spans="1:27" ht="12.75" customHeight="1" x14ac:dyDescent="0.2">
      <c r="A542" s="6360"/>
      <c r="B542" s="251" t="str">
        <f t="shared" si="17"/>
        <v>Guerra34</v>
      </c>
      <c r="D542" s="272" t="s">
        <v>508</v>
      </c>
      <c r="E542" s="2959" t="s">
        <v>82</v>
      </c>
      <c r="F542" s="2959">
        <v>34</v>
      </c>
      <c r="G542" s="2962" t="s">
        <v>1381</v>
      </c>
      <c r="H542" s="2962" t="s">
        <v>1234</v>
      </c>
      <c r="I542" s="380" t="s">
        <v>1304</v>
      </c>
      <c r="J542" s="2959">
        <v>7</v>
      </c>
      <c r="K542" s="2959">
        <v>9</v>
      </c>
      <c r="L542" s="2959">
        <v>12</v>
      </c>
      <c r="M542" s="377">
        <v>15</v>
      </c>
      <c r="N542" s="2959">
        <v>80</v>
      </c>
      <c r="O542" s="2959">
        <v>120</v>
      </c>
      <c r="P542" s="2959">
        <v>160</v>
      </c>
      <c r="Q542" s="377">
        <v>200</v>
      </c>
      <c r="R542" s="2959">
        <v>5</v>
      </c>
      <c r="S542" s="2959">
        <v>15</v>
      </c>
      <c r="T542" s="2959">
        <v>20</v>
      </c>
      <c r="U542" s="377">
        <v>20</v>
      </c>
      <c r="V542" s="2954" t="s">
        <v>5249</v>
      </c>
      <c r="W542" s="2954" t="s">
        <v>5248</v>
      </c>
      <c r="X542" s="2954" t="s">
        <v>5250</v>
      </c>
      <c r="Y542" s="2954" t="s">
        <v>5251</v>
      </c>
      <c r="Z542" s="2954" t="s">
        <v>5252</v>
      </c>
      <c r="AA542" s="375"/>
    </row>
    <row r="543" spans="1:27" ht="12.75" customHeight="1" x14ac:dyDescent="0.2">
      <c r="A543" s="6360"/>
      <c r="B543" s="251" t="str">
        <f t="shared" si="17"/>
        <v>Guerra44</v>
      </c>
      <c r="D543" s="272" t="s">
        <v>509</v>
      </c>
      <c r="E543" s="2959" t="s">
        <v>82</v>
      </c>
      <c r="F543" s="2959">
        <v>44</v>
      </c>
      <c r="G543" s="2962" t="s">
        <v>1381</v>
      </c>
      <c r="H543" s="2962" t="s">
        <v>1234</v>
      </c>
      <c r="I543" s="380" t="s">
        <v>1304</v>
      </c>
      <c r="J543" s="2959">
        <v>7</v>
      </c>
      <c r="K543" s="2959">
        <v>9</v>
      </c>
      <c r="L543" s="2959">
        <v>12</v>
      </c>
      <c r="M543" s="377">
        <v>15</v>
      </c>
      <c r="N543" s="2959">
        <v>80</v>
      </c>
      <c r="O543" s="2959">
        <v>120</v>
      </c>
      <c r="P543" s="2959">
        <v>160</v>
      </c>
      <c r="Q543" s="377">
        <v>200</v>
      </c>
      <c r="R543" s="2959">
        <v>5</v>
      </c>
      <c r="S543" s="2959">
        <v>15</v>
      </c>
      <c r="T543" s="2959">
        <v>20</v>
      </c>
      <c r="U543" s="377">
        <v>20</v>
      </c>
      <c r="V543" s="2954" t="s">
        <v>5253</v>
      </c>
      <c r="W543" s="2954" t="s">
        <v>5254</v>
      </c>
      <c r="X543" s="2954" t="s">
        <v>5255</v>
      </c>
      <c r="Y543" s="2954" t="s">
        <v>5256</v>
      </c>
      <c r="Z543" s="2954" t="s">
        <v>5257</v>
      </c>
      <c r="AA543" s="375"/>
    </row>
    <row r="544" spans="1:27" ht="12.75" customHeight="1" x14ac:dyDescent="0.2">
      <c r="A544" s="6360"/>
      <c r="B544" s="251" t="str">
        <f t="shared" si="17"/>
        <v>Guerra54</v>
      </c>
      <c r="D544" s="272" t="s">
        <v>510</v>
      </c>
      <c r="E544" s="2959" t="s">
        <v>82</v>
      </c>
      <c r="F544" s="2959">
        <v>54</v>
      </c>
      <c r="G544" s="2962" t="s">
        <v>2088</v>
      </c>
      <c r="H544" s="2962" t="s">
        <v>1234</v>
      </c>
      <c r="I544" s="380" t="s">
        <v>1304</v>
      </c>
      <c r="J544" s="2959">
        <v>6</v>
      </c>
      <c r="K544" s="2959">
        <v>9</v>
      </c>
      <c r="L544" s="2959">
        <v>12</v>
      </c>
      <c r="M544" s="377">
        <v>15</v>
      </c>
      <c r="N544" s="2959">
        <v>150</v>
      </c>
      <c r="O544" s="2959">
        <v>200</v>
      </c>
      <c r="P544" s="2959">
        <v>250</v>
      </c>
      <c r="Q544" s="377">
        <v>300</v>
      </c>
      <c r="R544" s="2959">
        <v>30</v>
      </c>
      <c r="S544" s="2959">
        <v>40</v>
      </c>
      <c r="T544" s="2959">
        <v>50</v>
      </c>
      <c r="U544" s="377">
        <v>100</v>
      </c>
      <c r="V544" s="2954" t="s">
        <v>5238</v>
      </c>
      <c r="W544" s="2954" t="s">
        <v>5239</v>
      </c>
      <c r="X544" s="2954" t="s">
        <v>5258</v>
      </c>
      <c r="Y544" s="2954" t="s">
        <v>5241</v>
      </c>
      <c r="Z544" s="2954" t="s">
        <v>5259</v>
      </c>
      <c r="AA544" s="375"/>
    </row>
    <row r="545" spans="1:27" ht="12.75" customHeight="1" x14ac:dyDescent="0.2">
      <c r="A545" s="6360"/>
      <c r="B545" s="251" t="str">
        <f t="shared" si="17"/>
        <v>Guerra64</v>
      </c>
      <c r="D545" s="272" t="s">
        <v>511</v>
      </c>
      <c r="E545" s="2959" t="s">
        <v>82</v>
      </c>
      <c r="F545" s="2959">
        <v>64</v>
      </c>
      <c r="G545" s="2962" t="s">
        <v>1381</v>
      </c>
      <c r="H545" s="2962" t="s">
        <v>1234</v>
      </c>
      <c r="I545" s="380" t="s">
        <v>1304</v>
      </c>
      <c r="J545" s="2959">
        <v>10</v>
      </c>
      <c r="K545" s="2959">
        <v>12</v>
      </c>
      <c r="L545" s="2959">
        <v>14</v>
      </c>
      <c r="M545" s="377">
        <v>16</v>
      </c>
      <c r="N545" s="2959">
        <v>140</v>
      </c>
      <c r="O545" s="2959">
        <v>180</v>
      </c>
      <c r="P545" s="2959">
        <v>240</v>
      </c>
      <c r="Q545" s="377">
        <v>350</v>
      </c>
      <c r="R545" s="2959">
        <v>15</v>
      </c>
      <c r="S545" s="2959">
        <v>15</v>
      </c>
      <c r="T545" s="2959">
        <v>20</v>
      </c>
      <c r="U545" s="377">
        <v>30</v>
      </c>
      <c r="V545" s="2954" t="s">
        <v>5260</v>
      </c>
      <c r="W545" s="2954" t="s">
        <v>5261</v>
      </c>
      <c r="X545" s="2954" t="s">
        <v>5262</v>
      </c>
      <c r="Y545" s="2954" t="s">
        <v>5263</v>
      </c>
      <c r="Z545" s="2954" t="s">
        <v>5264</v>
      </c>
      <c r="AA545" s="375"/>
    </row>
    <row r="546" spans="1:27" ht="12.75" customHeight="1" x14ac:dyDescent="0.2">
      <c r="A546" s="6360"/>
      <c r="B546" s="251" t="str">
        <f t="shared" si="17"/>
        <v>Guerra74</v>
      </c>
      <c r="D546" s="272" t="s">
        <v>512</v>
      </c>
      <c r="E546" s="2959" t="s">
        <v>82</v>
      </c>
      <c r="F546" s="2959">
        <v>74</v>
      </c>
      <c r="G546" s="2962" t="s">
        <v>1381</v>
      </c>
      <c r="H546" s="2962" t="s">
        <v>1234</v>
      </c>
      <c r="I546" s="380" t="s">
        <v>1304</v>
      </c>
      <c r="J546" s="2959">
        <v>8</v>
      </c>
      <c r="K546" s="2959">
        <v>10</v>
      </c>
      <c r="L546" s="2959">
        <v>12</v>
      </c>
      <c r="M546" s="377">
        <v>15</v>
      </c>
      <c r="N546" s="2959">
        <v>150</v>
      </c>
      <c r="O546" s="2959">
        <v>200</v>
      </c>
      <c r="P546" s="2959">
        <v>250</v>
      </c>
      <c r="Q546" s="377">
        <v>300</v>
      </c>
      <c r="R546" s="2959" t="s">
        <v>1381</v>
      </c>
      <c r="S546" s="2959" t="s">
        <v>1381</v>
      </c>
      <c r="T546" s="2959" t="s">
        <v>1381</v>
      </c>
      <c r="U546" s="377" t="s">
        <v>1381</v>
      </c>
      <c r="V546" s="2954" t="s">
        <v>5265</v>
      </c>
      <c r="W546" s="2954" t="s">
        <v>5258</v>
      </c>
      <c r="X546" s="2954" t="s">
        <v>5240</v>
      </c>
      <c r="Y546" s="2954" t="s">
        <v>5241</v>
      </c>
      <c r="Z546" s="2954" t="s">
        <v>5266</v>
      </c>
      <c r="AA546" s="375"/>
    </row>
    <row r="547" spans="1:27" ht="12.75" customHeight="1" x14ac:dyDescent="0.2">
      <c r="A547" s="6360"/>
      <c r="B547" s="251" t="str">
        <f t="shared" si="17"/>
        <v>Guerra84</v>
      </c>
      <c r="D547" s="272" t="s">
        <v>513</v>
      </c>
      <c r="E547" s="2959" t="s">
        <v>82</v>
      </c>
      <c r="F547" s="2959">
        <v>84</v>
      </c>
      <c r="G547" s="2962" t="s">
        <v>1381</v>
      </c>
      <c r="H547" s="2962" t="s">
        <v>1234</v>
      </c>
      <c r="I547" s="380" t="s">
        <v>1305</v>
      </c>
      <c r="J547" s="2959">
        <v>10</v>
      </c>
      <c r="K547" s="2959">
        <v>12</v>
      </c>
      <c r="L547" s="2959">
        <v>15</v>
      </c>
      <c r="M547" s="377">
        <v>18</v>
      </c>
      <c r="N547" s="2959">
        <v>200</v>
      </c>
      <c r="O547" s="2959">
        <v>300</v>
      </c>
      <c r="P547" s="2959">
        <v>400</v>
      </c>
      <c r="Q547" s="377">
        <v>500</v>
      </c>
      <c r="R547" s="2959">
        <v>10</v>
      </c>
      <c r="S547" s="2959">
        <v>15</v>
      </c>
      <c r="T547" s="2959">
        <v>20</v>
      </c>
      <c r="U547" s="377">
        <v>25</v>
      </c>
      <c r="V547" s="2954" t="s">
        <v>5267</v>
      </c>
      <c r="W547" s="2954" t="s">
        <v>5268</v>
      </c>
      <c r="X547" s="2954" t="s">
        <v>5269</v>
      </c>
      <c r="Y547" s="2954" t="s">
        <v>5270</v>
      </c>
      <c r="Z547" s="2954" t="s">
        <v>5271</v>
      </c>
      <c r="AA547" s="375"/>
    </row>
    <row r="548" spans="1:27" ht="12.75" customHeight="1" x14ac:dyDescent="0.2">
      <c r="A548" s="6360"/>
      <c r="B548" s="251" t="str">
        <f t="shared" si="17"/>
        <v>Guerra94</v>
      </c>
      <c r="D548" s="272" t="s">
        <v>514</v>
      </c>
      <c r="E548" s="2959" t="s">
        <v>82</v>
      </c>
      <c r="F548" s="2959">
        <v>94</v>
      </c>
      <c r="G548" s="2962" t="s">
        <v>1381</v>
      </c>
      <c r="H548" s="2962" t="s">
        <v>1234</v>
      </c>
      <c r="I548" s="380" t="s">
        <v>1304</v>
      </c>
      <c r="J548" s="2959">
        <v>14</v>
      </c>
      <c r="K548" s="2959">
        <v>16</v>
      </c>
      <c r="L548" s="2959">
        <v>18</v>
      </c>
      <c r="M548" s="377">
        <v>20</v>
      </c>
      <c r="N548" s="2959">
        <v>250</v>
      </c>
      <c r="O548" s="2959">
        <v>500</v>
      </c>
      <c r="P548" s="2959">
        <v>750</v>
      </c>
      <c r="Q548" s="377">
        <v>1000</v>
      </c>
      <c r="R548" s="2959">
        <v>25</v>
      </c>
      <c r="S548" s="2959">
        <v>50</v>
      </c>
      <c r="T548" s="2959">
        <v>75</v>
      </c>
      <c r="U548" s="377">
        <v>100</v>
      </c>
      <c r="V548" s="2954" t="s">
        <v>5265</v>
      </c>
      <c r="W548" s="2954" t="s">
        <v>5239</v>
      </c>
      <c r="X548" s="2954" t="s">
        <v>5240</v>
      </c>
      <c r="Y548" s="2954" t="s">
        <v>5272</v>
      </c>
      <c r="Z548" s="2954" t="s">
        <v>5273</v>
      </c>
      <c r="AA548" s="375"/>
    </row>
    <row r="549" spans="1:27" ht="12.75" customHeight="1" x14ac:dyDescent="0.2">
      <c r="A549" s="6360"/>
      <c r="B549" s="251" t="str">
        <f t="shared" si="17"/>
        <v/>
      </c>
      <c r="D549" s="272" t="s">
        <v>515</v>
      </c>
      <c r="E549" s="2959"/>
      <c r="F549" s="2959"/>
      <c r="G549" s="2962"/>
      <c r="H549" s="2962"/>
      <c r="I549" s="380"/>
      <c r="J549" s="2959"/>
      <c r="K549" s="2959"/>
      <c r="L549" s="2959"/>
      <c r="M549" s="377"/>
      <c r="N549" s="2959"/>
      <c r="O549" s="2959"/>
      <c r="P549" s="2959"/>
      <c r="Q549" s="377"/>
      <c r="R549" s="2959"/>
      <c r="S549" s="2959"/>
      <c r="T549" s="2959"/>
      <c r="U549" s="377"/>
      <c r="V549" s="2954"/>
      <c r="W549" s="2954"/>
      <c r="X549" s="2954"/>
      <c r="Y549" s="2954"/>
      <c r="Z549" s="2954"/>
      <c r="AA549" s="375"/>
    </row>
    <row r="550" spans="1:27" ht="12.75" customHeight="1" x14ac:dyDescent="0.2">
      <c r="A550" s="6360"/>
      <c r="B550" s="251" t="str">
        <f t="shared" si="17"/>
        <v>Literae4</v>
      </c>
      <c r="D550" s="272" t="s">
        <v>516</v>
      </c>
      <c r="E550" s="2959" t="s">
        <v>83</v>
      </c>
      <c r="F550" s="2959">
        <v>4</v>
      </c>
      <c r="G550" s="2962" t="s">
        <v>2088</v>
      </c>
      <c r="H550" s="2962" t="s">
        <v>1234</v>
      </c>
      <c r="I550" s="380" t="s">
        <v>1304</v>
      </c>
      <c r="J550" s="2959">
        <v>5</v>
      </c>
      <c r="K550" s="2959">
        <v>8</v>
      </c>
      <c r="L550" s="2959">
        <v>10</v>
      </c>
      <c r="M550" s="377">
        <v>12</v>
      </c>
      <c r="N550" s="2959">
        <v>30</v>
      </c>
      <c r="O550" s="2959">
        <v>80</v>
      </c>
      <c r="P550" s="2959">
        <v>100</v>
      </c>
      <c r="Q550" s="377">
        <v>120</v>
      </c>
      <c r="R550" s="2959">
        <v>5</v>
      </c>
      <c r="S550" s="2959">
        <v>10</v>
      </c>
      <c r="T550" s="2959">
        <v>10</v>
      </c>
      <c r="U550" s="377">
        <v>15</v>
      </c>
      <c r="V550" s="2954" t="s">
        <v>5274</v>
      </c>
      <c r="W550" s="2954" t="s">
        <v>5275</v>
      </c>
      <c r="X550" s="2954" t="s">
        <v>5276</v>
      </c>
      <c r="Y550" s="2954" t="s">
        <v>5277</v>
      </c>
      <c r="Z550" s="2954" t="s">
        <v>5278</v>
      </c>
      <c r="AA550" s="375"/>
    </row>
    <row r="551" spans="1:27" ht="12.75" customHeight="1" x14ac:dyDescent="0.2">
      <c r="A551" s="6360"/>
      <c r="B551" s="251" t="str">
        <f t="shared" si="17"/>
        <v>Literae14</v>
      </c>
      <c r="D551" s="272" t="s">
        <v>517</v>
      </c>
      <c r="E551" s="2959" t="s">
        <v>83</v>
      </c>
      <c r="F551" s="2959">
        <v>14</v>
      </c>
      <c r="G551" s="2962" t="s">
        <v>1381</v>
      </c>
      <c r="H551" s="2962" t="s">
        <v>1234</v>
      </c>
      <c r="I551" s="380" t="s">
        <v>1304</v>
      </c>
      <c r="J551" s="2959">
        <v>6</v>
      </c>
      <c r="K551" s="2959">
        <v>9</v>
      </c>
      <c r="L551" s="2959">
        <v>12</v>
      </c>
      <c r="M551" s="377">
        <v>15</v>
      </c>
      <c r="N551" s="2959">
        <v>80</v>
      </c>
      <c r="O551" s="2959">
        <v>140</v>
      </c>
      <c r="P551" s="2959">
        <v>200</v>
      </c>
      <c r="Q551" s="377">
        <v>280</v>
      </c>
      <c r="R551" s="2959" t="s">
        <v>1381</v>
      </c>
      <c r="S551" s="2959" t="s">
        <v>1381</v>
      </c>
      <c r="T551" s="2959" t="s">
        <v>1381</v>
      </c>
      <c r="U551" s="377" t="s">
        <v>1381</v>
      </c>
      <c r="V551" s="2954" t="s">
        <v>5279</v>
      </c>
      <c r="W551" s="2954" t="s">
        <v>5280</v>
      </c>
      <c r="X551" s="2954" t="s">
        <v>5281</v>
      </c>
      <c r="Y551" s="2954" t="s">
        <v>5282</v>
      </c>
      <c r="Z551" s="2954" t="s">
        <v>5283</v>
      </c>
      <c r="AA551" s="375"/>
    </row>
    <row r="552" spans="1:27" ht="12.75" customHeight="1" x14ac:dyDescent="0.2">
      <c r="A552" s="6360"/>
      <c r="B552" s="251" t="str">
        <f t="shared" si="17"/>
        <v>Literae24</v>
      </c>
      <c r="D552" s="272" t="s">
        <v>518</v>
      </c>
      <c r="E552" s="2959" t="s">
        <v>83</v>
      </c>
      <c r="F552" s="2959">
        <v>24</v>
      </c>
      <c r="G552" s="2962" t="s">
        <v>2088</v>
      </c>
      <c r="H552" s="2962" t="s">
        <v>1234</v>
      </c>
      <c r="I552" s="380" t="s">
        <v>1304</v>
      </c>
      <c r="J552" s="2959">
        <v>6</v>
      </c>
      <c r="K552" s="2959">
        <v>9</v>
      </c>
      <c r="L552" s="2959">
        <v>12</v>
      </c>
      <c r="M552" s="377">
        <v>15</v>
      </c>
      <c r="N552" s="2959">
        <v>100</v>
      </c>
      <c r="O552" s="2959">
        <v>180</v>
      </c>
      <c r="P552" s="2959">
        <v>240</v>
      </c>
      <c r="Q552" s="377">
        <v>300</v>
      </c>
      <c r="R552" s="2959">
        <v>15</v>
      </c>
      <c r="S552" s="2959">
        <v>20</v>
      </c>
      <c r="T552" s="2959">
        <v>25</v>
      </c>
      <c r="U552" s="377">
        <v>30</v>
      </c>
      <c r="V552" s="2954" t="s">
        <v>1739</v>
      </c>
      <c r="W552" s="2954" t="s">
        <v>1741</v>
      </c>
      <c r="X552" s="2954" t="s">
        <v>1742</v>
      </c>
      <c r="Y552" s="2954" t="s">
        <v>5284</v>
      </c>
      <c r="Z552" s="2954" t="s">
        <v>5285</v>
      </c>
      <c r="AA552" s="375"/>
    </row>
    <row r="553" spans="1:27" ht="12.75" customHeight="1" x14ac:dyDescent="0.2">
      <c r="A553" s="6360"/>
      <c r="B553" s="251" t="str">
        <f t="shared" si="17"/>
        <v>Literae34</v>
      </c>
      <c r="D553" s="272" t="s">
        <v>519</v>
      </c>
      <c r="E553" s="2959" t="s">
        <v>83</v>
      </c>
      <c r="F553" s="2959">
        <v>34</v>
      </c>
      <c r="G553" s="2962" t="s">
        <v>1381</v>
      </c>
      <c r="H553" s="2962" t="s">
        <v>1235</v>
      </c>
      <c r="I553" s="380" t="s">
        <v>1304</v>
      </c>
      <c r="J553" s="2959">
        <v>6</v>
      </c>
      <c r="K553" s="2959">
        <v>9</v>
      </c>
      <c r="L553" s="2959">
        <v>12</v>
      </c>
      <c r="M553" s="377">
        <v>15</v>
      </c>
      <c r="N553" s="2959">
        <v>120</v>
      </c>
      <c r="O553" s="2959">
        <v>240</v>
      </c>
      <c r="P553" s="2959">
        <v>360</v>
      </c>
      <c r="Q553" s="377">
        <v>480</v>
      </c>
      <c r="R553" s="2959" t="s">
        <v>1381</v>
      </c>
      <c r="S553" s="2959" t="s">
        <v>1381</v>
      </c>
      <c r="T553" s="2959" t="s">
        <v>1381</v>
      </c>
      <c r="U553" s="377" t="s">
        <v>1381</v>
      </c>
      <c r="V553" s="2954" t="s">
        <v>3604</v>
      </c>
      <c r="W553" s="2954" t="s">
        <v>4583</v>
      </c>
      <c r="X553" s="2954" t="s">
        <v>3605</v>
      </c>
      <c r="Y553" s="2954" t="s">
        <v>4584</v>
      </c>
      <c r="Z553" s="2954" t="s">
        <v>5286</v>
      </c>
      <c r="AA553" s="375"/>
    </row>
    <row r="554" spans="1:27" ht="12.75" customHeight="1" x14ac:dyDescent="0.2">
      <c r="A554" s="6360"/>
      <c r="B554" s="251" t="str">
        <f t="shared" si="17"/>
        <v>Literae44</v>
      </c>
      <c r="D554" s="272" t="s">
        <v>520</v>
      </c>
      <c r="E554" s="2959" t="s">
        <v>83</v>
      </c>
      <c r="F554" s="2959">
        <v>44</v>
      </c>
      <c r="G554" s="2962" t="s">
        <v>1381</v>
      </c>
      <c r="H554" s="2962" t="s">
        <v>1565</v>
      </c>
      <c r="I554" s="380" t="s">
        <v>1305</v>
      </c>
      <c r="J554" s="2959">
        <v>8</v>
      </c>
      <c r="K554" s="2959">
        <v>10</v>
      </c>
      <c r="L554" s="2959">
        <v>12</v>
      </c>
      <c r="M554" s="377">
        <v>15</v>
      </c>
      <c r="N554" s="2959">
        <v>150</v>
      </c>
      <c r="O554" s="2959">
        <v>200</v>
      </c>
      <c r="P554" s="2959">
        <v>250</v>
      </c>
      <c r="Q554" s="377">
        <v>300</v>
      </c>
      <c r="R554" s="2959">
        <v>15</v>
      </c>
      <c r="S554" s="2959">
        <v>20</v>
      </c>
      <c r="T554" s="2959">
        <v>25</v>
      </c>
      <c r="U554" s="377">
        <v>30</v>
      </c>
      <c r="V554" s="2954" t="s">
        <v>5287</v>
      </c>
      <c r="W554" s="2954" t="s">
        <v>5288</v>
      </c>
      <c r="X554" s="2954" t="s">
        <v>5289</v>
      </c>
      <c r="Y554" s="2954" t="s">
        <v>4305</v>
      </c>
      <c r="Z554" s="2954" t="s">
        <v>5290</v>
      </c>
      <c r="AA554" s="375"/>
    </row>
    <row r="555" spans="1:27" ht="12.75" customHeight="1" x14ac:dyDescent="0.2">
      <c r="A555" s="6360"/>
      <c r="B555" s="251" t="str">
        <f t="shared" si="17"/>
        <v>Literae54</v>
      </c>
      <c r="D555" s="272" t="s">
        <v>521</v>
      </c>
      <c r="E555" s="2959" t="s">
        <v>83</v>
      </c>
      <c r="F555" s="2959">
        <v>54</v>
      </c>
      <c r="G555" s="2962" t="s">
        <v>1381</v>
      </c>
      <c r="H555" s="2962" t="s">
        <v>1235</v>
      </c>
      <c r="I555" s="380" t="s">
        <v>1304</v>
      </c>
      <c r="J555" s="2959">
        <v>6</v>
      </c>
      <c r="K555" s="2959">
        <v>9</v>
      </c>
      <c r="L555" s="2959">
        <v>12</v>
      </c>
      <c r="M555" s="377">
        <v>15</v>
      </c>
      <c r="N555" s="2959">
        <v>240</v>
      </c>
      <c r="O555" s="2959">
        <v>360</v>
      </c>
      <c r="P555" s="2959">
        <v>480</v>
      </c>
      <c r="Q555" s="377">
        <v>600</v>
      </c>
      <c r="R555" s="2959">
        <v>15</v>
      </c>
      <c r="S555" s="2959">
        <v>20</v>
      </c>
      <c r="T555" s="2959">
        <v>25</v>
      </c>
      <c r="U555" s="377">
        <v>30</v>
      </c>
      <c r="V555" s="2954" t="s">
        <v>5291</v>
      </c>
      <c r="W555" s="2954" t="s">
        <v>5292</v>
      </c>
      <c r="X555" s="2954" t="s">
        <v>5293</v>
      </c>
      <c r="Y555" s="2954" t="s">
        <v>5294</v>
      </c>
      <c r="Z555" s="2954" t="s">
        <v>5295</v>
      </c>
      <c r="AA555" s="375"/>
    </row>
    <row r="556" spans="1:27" ht="12.75" customHeight="1" x14ac:dyDescent="0.2">
      <c r="A556" s="6360"/>
      <c r="B556" s="251" t="str">
        <f t="shared" si="17"/>
        <v>Literae64</v>
      </c>
      <c r="D556" s="272" t="s">
        <v>522</v>
      </c>
      <c r="E556" s="2959" t="s">
        <v>83</v>
      </c>
      <c r="F556" s="2959">
        <v>64</v>
      </c>
      <c r="G556" s="2962" t="s">
        <v>2088</v>
      </c>
      <c r="H556" s="2962" t="s">
        <v>1234</v>
      </c>
      <c r="I556" s="380" t="s">
        <v>1304</v>
      </c>
      <c r="J556" s="2959">
        <v>7</v>
      </c>
      <c r="K556" s="2959">
        <v>10</v>
      </c>
      <c r="L556" s="2959">
        <v>13</v>
      </c>
      <c r="M556" s="377">
        <v>15</v>
      </c>
      <c r="N556" s="2959">
        <v>120</v>
      </c>
      <c r="O556" s="2959">
        <v>260</v>
      </c>
      <c r="P556" s="2959">
        <v>380</v>
      </c>
      <c r="Q556" s="377">
        <v>500</v>
      </c>
      <c r="R556" s="2959">
        <v>10</v>
      </c>
      <c r="S556" s="2959">
        <v>20</v>
      </c>
      <c r="T556" s="2959">
        <v>30</v>
      </c>
      <c r="U556" s="377">
        <v>40</v>
      </c>
      <c r="V556" s="2954" t="s">
        <v>5296</v>
      </c>
      <c r="W556" s="2954" t="s">
        <v>5297</v>
      </c>
      <c r="X556" s="2954" t="s">
        <v>5298</v>
      </c>
      <c r="Y556" s="2954" t="s">
        <v>5299</v>
      </c>
      <c r="Z556" s="2954" t="s">
        <v>5300</v>
      </c>
      <c r="AA556" s="375"/>
    </row>
    <row r="557" spans="1:27" ht="12.75" customHeight="1" x14ac:dyDescent="0.2">
      <c r="A557" s="6360"/>
      <c r="B557" s="251" t="str">
        <f t="shared" si="17"/>
        <v>Literae74</v>
      </c>
      <c r="D557" s="272" t="s">
        <v>523</v>
      </c>
      <c r="E557" s="2959" t="s">
        <v>83</v>
      </c>
      <c r="F557" s="2959">
        <v>74</v>
      </c>
      <c r="G557" s="2962" t="s">
        <v>1381</v>
      </c>
      <c r="H557" s="2962" t="s">
        <v>1234</v>
      </c>
      <c r="I557" s="380" t="s">
        <v>1304</v>
      </c>
      <c r="J557" s="2959">
        <v>10</v>
      </c>
      <c r="K557" s="2959">
        <v>12</v>
      </c>
      <c r="L557" s="2959">
        <v>14</v>
      </c>
      <c r="M557" s="377">
        <v>16</v>
      </c>
      <c r="N557" s="2959">
        <v>280</v>
      </c>
      <c r="O557" s="2959">
        <v>320</v>
      </c>
      <c r="P557" s="2959">
        <v>480</v>
      </c>
      <c r="Q557" s="377">
        <v>700</v>
      </c>
      <c r="R557" s="2959" t="s">
        <v>1381</v>
      </c>
      <c r="S557" s="2959" t="s">
        <v>1381</v>
      </c>
      <c r="T557" s="2959" t="s">
        <v>1381</v>
      </c>
      <c r="U557" s="377" t="s">
        <v>1381</v>
      </c>
      <c r="V557" s="2954" t="s">
        <v>3542</v>
      </c>
      <c r="W557" s="2954" t="s">
        <v>3404</v>
      </c>
      <c r="X557" s="2954" t="s">
        <v>3575</v>
      </c>
      <c r="Y557" s="2954" t="s">
        <v>3576</v>
      </c>
      <c r="Z557" s="2954" t="s">
        <v>5301</v>
      </c>
      <c r="AA557" s="375"/>
    </row>
    <row r="558" spans="1:27" ht="12.75" customHeight="1" x14ac:dyDescent="0.2">
      <c r="A558" s="6360"/>
      <c r="B558" s="251" t="str">
        <f t="shared" si="17"/>
        <v>Literae84</v>
      </c>
      <c r="D558" s="272" t="s">
        <v>524</v>
      </c>
      <c r="E558" s="2959" t="s">
        <v>83</v>
      </c>
      <c r="F558" s="2959">
        <v>84</v>
      </c>
      <c r="G558" s="2962" t="s">
        <v>2088</v>
      </c>
      <c r="H558" s="2962" t="s">
        <v>1234</v>
      </c>
      <c r="I558" s="380" t="s">
        <v>1304</v>
      </c>
      <c r="J558" s="2959">
        <v>10</v>
      </c>
      <c r="K558" s="2959">
        <v>12</v>
      </c>
      <c r="L558" s="2959">
        <v>14</v>
      </c>
      <c r="M558" s="377">
        <v>17</v>
      </c>
      <c r="N558" s="2959">
        <v>400</v>
      </c>
      <c r="O558" s="2959">
        <v>600</v>
      </c>
      <c r="P558" s="2959">
        <v>800</v>
      </c>
      <c r="Q558" s="377">
        <v>1200</v>
      </c>
      <c r="R558" s="2959">
        <v>40</v>
      </c>
      <c r="S558" s="2959">
        <v>60</v>
      </c>
      <c r="T558" s="2959">
        <v>80</v>
      </c>
      <c r="U558" s="377">
        <v>120</v>
      </c>
      <c r="V558" s="2954" t="s">
        <v>3618</v>
      </c>
      <c r="W558" s="2954" t="s">
        <v>3658</v>
      </c>
      <c r="X558" s="2954" t="s">
        <v>5302</v>
      </c>
      <c r="Y558" s="2954" t="s">
        <v>4370</v>
      </c>
      <c r="Z558" s="2954" t="s">
        <v>5303</v>
      </c>
      <c r="AA558" s="375"/>
    </row>
    <row r="559" spans="1:27" ht="12.75" customHeight="1" x14ac:dyDescent="0.2">
      <c r="A559" s="6360"/>
      <c r="B559" s="251" t="str">
        <f t="shared" si="17"/>
        <v>Literae94</v>
      </c>
      <c r="D559" s="272" t="s">
        <v>525</v>
      </c>
      <c r="E559" s="2959" t="s">
        <v>83</v>
      </c>
      <c r="F559" s="2959">
        <v>94</v>
      </c>
      <c r="G559" s="2962" t="s">
        <v>1381</v>
      </c>
      <c r="H559" s="2962" t="s">
        <v>1235</v>
      </c>
      <c r="I559" s="380" t="s">
        <v>1304</v>
      </c>
      <c r="J559" s="2959">
        <v>12</v>
      </c>
      <c r="K559" s="2959">
        <v>15</v>
      </c>
      <c r="L559" s="2959">
        <v>17</v>
      </c>
      <c r="M559" s="377">
        <v>19</v>
      </c>
      <c r="N559" s="2959">
        <v>500</v>
      </c>
      <c r="O559" s="2959">
        <v>900</v>
      </c>
      <c r="P559" s="2959">
        <v>1400</v>
      </c>
      <c r="Q559" s="377">
        <v>2500</v>
      </c>
      <c r="R559" s="2959" t="s">
        <v>1381</v>
      </c>
      <c r="S559" s="2959" t="s">
        <v>1381</v>
      </c>
      <c r="T559" s="2959" t="s">
        <v>1381</v>
      </c>
      <c r="U559" s="377" t="s">
        <v>1381</v>
      </c>
      <c r="V559" s="2954" t="s">
        <v>3590</v>
      </c>
      <c r="W559" s="2954" t="s">
        <v>3591</v>
      </c>
      <c r="X559" s="2954" t="s">
        <v>3487</v>
      </c>
      <c r="Y559" s="2954" t="s">
        <v>3322</v>
      </c>
      <c r="Z559" s="2954" t="s">
        <v>5304</v>
      </c>
      <c r="AA559" s="375"/>
    </row>
    <row r="560" spans="1:27" ht="12.75" customHeight="1" x14ac:dyDescent="0.2">
      <c r="A560" s="6360"/>
      <c r="B560" s="251" t="str">
        <f t="shared" si="17"/>
        <v/>
      </c>
      <c r="D560" s="272" t="s">
        <v>526</v>
      </c>
      <c r="E560" s="2959"/>
      <c r="F560" s="2959"/>
      <c r="G560" s="2962"/>
      <c r="H560" s="2962"/>
      <c r="I560" s="380"/>
      <c r="J560" s="2959"/>
      <c r="K560" s="2959"/>
      <c r="L560" s="2959"/>
      <c r="M560" s="377"/>
      <c r="N560" s="2959"/>
      <c r="O560" s="2959"/>
      <c r="P560" s="2959"/>
      <c r="Q560" s="377"/>
      <c r="R560" s="2959"/>
      <c r="S560" s="2959"/>
      <c r="T560" s="2959"/>
      <c r="U560" s="377"/>
      <c r="V560" s="2954"/>
      <c r="W560" s="2954"/>
      <c r="X560" s="2954"/>
      <c r="Y560" s="2954"/>
      <c r="Z560" s="2954"/>
      <c r="AA560" s="375"/>
    </row>
    <row r="561" spans="1:27" ht="12.75" customHeight="1" x14ac:dyDescent="0.2">
      <c r="A561" s="6360"/>
      <c r="B561" s="251" t="str">
        <f t="shared" si="17"/>
        <v>Muerte4</v>
      </c>
      <c r="D561" s="272" t="s">
        <v>527</v>
      </c>
      <c r="E561" s="2959" t="s">
        <v>84</v>
      </c>
      <c r="F561" s="2959">
        <v>4</v>
      </c>
      <c r="G561" s="2962" t="s">
        <v>1381</v>
      </c>
      <c r="H561" s="2962" t="s">
        <v>1234</v>
      </c>
      <c r="I561" s="380" t="s">
        <v>1304</v>
      </c>
      <c r="J561" s="2959">
        <v>4</v>
      </c>
      <c r="K561" s="2959">
        <v>8</v>
      </c>
      <c r="L561" s="2959">
        <v>10</v>
      </c>
      <c r="M561" s="377">
        <v>12</v>
      </c>
      <c r="N561" s="2959">
        <v>50</v>
      </c>
      <c r="O561" s="2959">
        <v>80</v>
      </c>
      <c r="P561" s="2959">
        <v>100</v>
      </c>
      <c r="Q561" s="377">
        <v>120</v>
      </c>
      <c r="R561" s="2959" t="s">
        <v>1381</v>
      </c>
      <c r="S561" s="2959" t="s">
        <v>1381</v>
      </c>
      <c r="T561" s="2959" t="s">
        <v>1381</v>
      </c>
      <c r="U561" s="377" t="s">
        <v>1381</v>
      </c>
      <c r="V561" s="2954" t="s">
        <v>1736</v>
      </c>
      <c r="W561" s="2954" t="s">
        <v>1739</v>
      </c>
      <c r="X561" s="2954" t="s">
        <v>1741</v>
      </c>
      <c r="Y561" s="2954" t="s">
        <v>1742</v>
      </c>
      <c r="Z561" s="2954" t="s">
        <v>5305</v>
      </c>
      <c r="AA561" s="375"/>
    </row>
    <row r="562" spans="1:27" ht="12.75" customHeight="1" x14ac:dyDescent="0.2">
      <c r="A562" s="6360"/>
      <c r="B562" s="251" t="str">
        <f t="shared" si="17"/>
        <v>Muerte14</v>
      </c>
      <c r="D562" s="272" t="s">
        <v>528</v>
      </c>
      <c r="E562" s="2959" t="s">
        <v>84</v>
      </c>
      <c r="F562" s="2959">
        <v>14</v>
      </c>
      <c r="G562" s="2962" t="s">
        <v>2584</v>
      </c>
      <c r="H562" s="2962" t="s">
        <v>1234</v>
      </c>
      <c r="I562" s="380" t="s">
        <v>1305</v>
      </c>
      <c r="J562" s="2959">
        <v>6</v>
      </c>
      <c r="K562" s="2959">
        <v>9</v>
      </c>
      <c r="L562" s="2959">
        <v>12</v>
      </c>
      <c r="M562" s="377">
        <v>14</v>
      </c>
      <c r="N562" s="2959">
        <v>60</v>
      </c>
      <c r="O562" s="2959">
        <v>90</v>
      </c>
      <c r="P562" s="2959">
        <v>120</v>
      </c>
      <c r="Q562" s="377">
        <v>140</v>
      </c>
      <c r="R562" s="2959">
        <v>10</v>
      </c>
      <c r="S562" s="2959">
        <v>10</v>
      </c>
      <c r="T562" s="2959">
        <v>15</v>
      </c>
      <c r="U562" s="377">
        <v>15</v>
      </c>
      <c r="V562" s="2954" t="s">
        <v>5306</v>
      </c>
      <c r="W562" s="2954" t="s">
        <v>5307</v>
      </c>
      <c r="X562" s="2954" t="s">
        <v>5308</v>
      </c>
      <c r="Y562" s="2954" t="s">
        <v>5309</v>
      </c>
      <c r="Z562" s="2954" t="s">
        <v>5310</v>
      </c>
      <c r="AA562" s="375"/>
    </row>
    <row r="563" spans="1:27" ht="12.75" customHeight="1" x14ac:dyDescent="0.2">
      <c r="A563" s="6360"/>
      <c r="B563" s="251" t="str">
        <f t="shared" si="17"/>
        <v>Muerte24</v>
      </c>
      <c r="D563" s="272" t="s">
        <v>529</v>
      </c>
      <c r="E563" s="2959" t="s">
        <v>84</v>
      </c>
      <c r="F563" s="2959">
        <v>24</v>
      </c>
      <c r="G563" s="2962" t="s">
        <v>1381</v>
      </c>
      <c r="H563" s="2962" t="s">
        <v>3924</v>
      </c>
      <c r="I563" s="380" t="s">
        <v>1304</v>
      </c>
      <c r="J563" s="2959">
        <v>7</v>
      </c>
      <c r="K563" s="2959">
        <v>9</v>
      </c>
      <c r="L563" s="2959">
        <v>11</v>
      </c>
      <c r="M563" s="377">
        <v>13</v>
      </c>
      <c r="N563" s="2959">
        <v>80</v>
      </c>
      <c r="O563" s="2959">
        <v>100</v>
      </c>
      <c r="P563" s="2959">
        <v>120</v>
      </c>
      <c r="Q563" s="377">
        <v>140</v>
      </c>
      <c r="R563" s="2959" t="s">
        <v>1381</v>
      </c>
      <c r="S563" s="2959" t="s">
        <v>1381</v>
      </c>
      <c r="T563" s="2959" t="s">
        <v>1381</v>
      </c>
      <c r="U563" s="377" t="s">
        <v>1381</v>
      </c>
      <c r="V563" s="2954" t="s">
        <v>9695</v>
      </c>
      <c r="W563" s="2954" t="s">
        <v>5055</v>
      </c>
      <c r="X563" s="2954" t="s">
        <v>9696</v>
      </c>
      <c r="Y563" s="2954" t="s">
        <v>5311</v>
      </c>
      <c r="Z563" s="2954" t="s">
        <v>5312</v>
      </c>
      <c r="AA563" s="375"/>
    </row>
    <row r="564" spans="1:27" ht="12.75" customHeight="1" x14ac:dyDescent="0.2">
      <c r="A564" s="6360"/>
      <c r="B564" s="251" t="str">
        <f t="shared" si="17"/>
        <v>Muerte34</v>
      </c>
      <c r="D564" s="272" t="s">
        <v>530</v>
      </c>
      <c r="E564" s="2959" t="s">
        <v>84</v>
      </c>
      <c r="F564" s="2959">
        <v>34</v>
      </c>
      <c r="G564" s="2962" t="s">
        <v>1381</v>
      </c>
      <c r="H564" s="2962" t="s">
        <v>1235</v>
      </c>
      <c r="I564" s="380" t="s">
        <v>1304</v>
      </c>
      <c r="J564" s="2959">
        <v>7</v>
      </c>
      <c r="K564" s="2959">
        <v>9</v>
      </c>
      <c r="L564" s="2959">
        <v>11</v>
      </c>
      <c r="M564" s="377">
        <v>13</v>
      </c>
      <c r="N564" s="2959">
        <v>60</v>
      </c>
      <c r="O564" s="2959">
        <v>80</v>
      </c>
      <c r="P564" s="2959">
        <v>100</v>
      </c>
      <c r="Q564" s="377">
        <v>120</v>
      </c>
      <c r="R564" s="2959" t="s">
        <v>1381</v>
      </c>
      <c r="S564" s="2959" t="s">
        <v>1381</v>
      </c>
      <c r="T564" s="2959" t="s">
        <v>1381</v>
      </c>
      <c r="U564" s="377" t="s">
        <v>1381</v>
      </c>
      <c r="V564" s="2954" t="s">
        <v>3591</v>
      </c>
      <c r="W564" s="2954" t="s">
        <v>3487</v>
      </c>
      <c r="X564" s="2954" t="s">
        <v>3322</v>
      </c>
      <c r="Y564" s="2954" t="s">
        <v>3488</v>
      </c>
      <c r="Z564" s="2954" t="s">
        <v>5313</v>
      </c>
      <c r="AA564" s="375"/>
    </row>
    <row r="565" spans="1:27" ht="12.75" customHeight="1" x14ac:dyDescent="0.2">
      <c r="A565" s="6360"/>
      <c r="B565" s="251" t="str">
        <f t="shared" si="17"/>
        <v>Muerte44</v>
      </c>
      <c r="D565" s="272" t="s">
        <v>531</v>
      </c>
      <c r="E565" s="2959" t="s">
        <v>84</v>
      </c>
      <c r="F565" s="2959">
        <v>44</v>
      </c>
      <c r="G565" s="2962" t="s">
        <v>1381</v>
      </c>
      <c r="H565" s="2962" t="s">
        <v>4020</v>
      </c>
      <c r="I565" s="380" t="s">
        <v>1304</v>
      </c>
      <c r="J565" s="2959">
        <v>7</v>
      </c>
      <c r="K565" s="2959">
        <v>10</v>
      </c>
      <c r="L565" s="2959">
        <v>13</v>
      </c>
      <c r="M565" s="377">
        <v>15</v>
      </c>
      <c r="N565" s="2959">
        <v>60</v>
      </c>
      <c r="O565" s="2959">
        <v>90</v>
      </c>
      <c r="P565" s="2959">
        <v>120</v>
      </c>
      <c r="Q565" s="377">
        <v>150</v>
      </c>
      <c r="R565" s="2959" t="s">
        <v>1381</v>
      </c>
      <c r="S565" s="2959" t="s">
        <v>1381</v>
      </c>
      <c r="T565" s="2959" t="s">
        <v>1381</v>
      </c>
      <c r="U565" s="377" t="s">
        <v>1381</v>
      </c>
      <c r="V565" s="2954" t="s">
        <v>5314</v>
      </c>
      <c r="W565" s="2954" t="s">
        <v>5315</v>
      </c>
      <c r="X565" s="2954" t="s">
        <v>5316</v>
      </c>
      <c r="Y565" s="2954" t="s">
        <v>5317</v>
      </c>
      <c r="Z565" s="2954" t="s">
        <v>5318</v>
      </c>
      <c r="AA565" s="375"/>
    </row>
    <row r="566" spans="1:27" ht="12.75" customHeight="1" x14ac:dyDescent="0.2">
      <c r="A566" s="6360"/>
      <c r="B566" s="251" t="str">
        <f t="shared" si="17"/>
        <v>Muerte54</v>
      </c>
      <c r="D566" s="272" t="s">
        <v>9949</v>
      </c>
      <c r="E566" s="2959" t="s">
        <v>84</v>
      </c>
      <c r="F566" s="2959">
        <v>54</v>
      </c>
      <c r="G566" s="2962" t="s">
        <v>1381</v>
      </c>
      <c r="H566" s="2962" t="s">
        <v>1234</v>
      </c>
      <c r="I566" s="380" t="s">
        <v>1304</v>
      </c>
      <c r="J566" s="2959">
        <v>7</v>
      </c>
      <c r="K566" s="2959">
        <v>10</v>
      </c>
      <c r="L566" s="2959">
        <v>13</v>
      </c>
      <c r="M566" s="377">
        <v>15</v>
      </c>
      <c r="N566" s="2959">
        <v>80</v>
      </c>
      <c r="O566" s="2959">
        <v>100</v>
      </c>
      <c r="P566" s="2959">
        <v>120</v>
      </c>
      <c r="Q566" s="377">
        <v>150</v>
      </c>
      <c r="R566" s="2959">
        <v>10</v>
      </c>
      <c r="S566" s="2959">
        <v>10</v>
      </c>
      <c r="T566" s="2959">
        <v>15</v>
      </c>
      <c r="U566" s="377">
        <v>15</v>
      </c>
      <c r="V566" s="2954" t="s">
        <v>9948</v>
      </c>
      <c r="W566" s="2954" t="s">
        <v>5319</v>
      </c>
      <c r="X566" s="2954" t="s">
        <v>5320</v>
      </c>
      <c r="Y566" s="2954" t="s">
        <v>5321</v>
      </c>
      <c r="Z566" s="2954" t="s">
        <v>5322</v>
      </c>
      <c r="AA566" s="375"/>
    </row>
    <row r="567" spans="1:27" ht="12.75" customHeight="1" x14ac:dyDescent="0.2">
      <c r="A567" s="6360"/>
      <c r="B567" s="251" t="str">
        <f t="shared" si="17"/>
        <v>Muerte64</v>
      </c>
      <c r="D567" s="272" t="s">
        <v>532</v>
      </c>
      <c r="E567" s="2959" t="s">
        <v>84</v>
      </c>
      <c r="F567" s="2959">
        <v>64</v>
      </c>
      <c r="G567" s="2962" t="s">
        <v>1381</v>
      </c>
      <c r="H567" s="2962" t="s">
        <v>1233</v>
      </c>
      <c r="I567" s="380" t="s">
        <v>1304</v>
      </c>
      <c r="J567" s="2959">
        <v>8</v>
      </c>
      <c r="K567" s="2959">
        <v>10</v>
      </c>
      <c r="L567" s="2959">
        <v>13</v>
      </c>
      <c r="M567" s="377">
        <v>15</v>
      </c>
      <c r="N567" s="2959">
        <v>120</v>
      </c>
      <c r="O567" s="2959">
        <v>150</v>
      </c>
      <c r="P567" s="2959">
        <v>200</v>
      </c>
      <c r="Q567" s="377">
        <v>260</v>
      </c>
      <c r="R567" s="2959" t="s">
        <v>1381</v>
      </c>
      <c r="S567" s="2959" t="s">
        <v>1381</v>
      </c>
      <c r="T567" s="2959" t="s">
        <v>1381</v>
      </c>
      <c r="U567" s="377" t="s">
        <v>1381</v>
      </c>
      <c r="V567" s="2954" t="s">
        <v>5323</v>
      </c>
      <c r="W567" s="2954" t="s">
        <v>5324</v>
      </c>
      <c r="X567" s="2954" t="s">
        <v>5325</v>
      </c>
      <c r="Y567" s="2954" t="s">
        <v>5326</v>
      </c>
      <c r="Z567" s="2954" t="s">
        <v>5327</v>
      </c>
      <c r="AA567" s="375"/>
    </row>
    <row r="568" spans="1:27" ht="12.75" customHeight="1" x14ac:dyDescent="0.2">
      <c r="A568" s="6360"/>
      <c r="B568" s="251" t="str">
        <f t="shared" si="17"/>
        <v>Muerte74</v>
      </c>
      <c r="D568" s="272" t="s">
        <v>533</v>
      </c>
      <c r="E568" s="2959" t="s">
        <v>84</v>
      </c>
      <c r="F568" s="2959">
        <v>74</v>
      </c>
      <c r="G568" s="2962" t="s">
        <v>2584</v>
      </c>
      <c r="H568" s="2962" t="s">
        <v>5328</v>
      </c>
      <c r="I568" s="380" t="s">
        <v>1304</v>
      </c>
      <c r="J568" s="2959">
        <v>9</v>
      </c>
      <c r="K568" s="2959">
        <v>11</v>
      </c>
      <c r="L568" s="2959">
        <v>13</v>
      </c>
      <c r="M568" s="377">
        <v>15</v>
      </c>
      <c r="N568" s="2959">
        <v>150</v>
      </c>
      <c r="O568" s="2959">
        <v>250</v>
      </c>
      <c r="P568" s="2959">
        <v>350</v>
      </c>
      <c r="Q568" s="377">
        <v>500</v>
      </c>
      <c r="R568" s="2959">
        <v>15</v>
      </c>
      <c r="S568" s="2959">
        <v>25</v>
      </c>
      <c r="T568" s="2959">
        <v>35</v>
      </c>
      <c r="U568" s="377">
        <v>50</v>
      </c>
      <c r="V568" s="2954" t="s">
        <v>3590</v>
      </c>
      <c r="W568" s="2954" t="s">
        <v>3487</v>
      </c>
      <c r="X568" s="2954" t="s">
        <v>3488</v>
      </c>
      <c r="Y568" s="2954" t="s">
        <v>3489</v>
      </c>
      <c r="Z568" s="2954" t="s">
        <v>9697</v>
      </c>
      <c r="AA568" s="375"/>
    </row>
    <row r="569" spans="1:27" ht="12.75" customHeight="1" x14ac:dyDescent="0.2">
      <c r="A569" s="6360"/>
      <c r="B569" s="251" t="str">
        <f t="shared" si="17"/>
        <v>Muerte84</v>
      </c>
      <c r="D569" s="272" t="s">
        <v>534</v>
      </c>
      <c r="E569" s="2959" t="s">
        <v>84</v>
      </c>
      <c r="F569" s="2959">
        <v>84</v>
      </c>
      <c r="G569" s="2962" t="s">
        <v>1381</v>
      </c>
      <c r="H569" s="2962" t="s">
        <v>3924</v>
      </c>
      <c r="I569" s="380" t="s">
        <v>1305</v>
      </c>
      <c r="J569" s="2959">
        <v>10</v>
      </c>
      <c r="K569" s="2959">
        <v>12</v>
      </c>
      <c r="L569" s="2959">
        <v>14</v>
      </c>
      <c r="M569" s="377">
        <v>16</v>
      </c>
      <c r="N569" s="2959">
        <v>350</v>
      </c>
      <c r="O569" s="2959">
        <v>500</v>
      </c>
      <c r="P569" s="2959">
        <v>800</v>
      </c>
      <c r="Q569" s="377">
        <v>1200</v>
      </c>
      <c r="R569" s="2959">
        <v>15</v>
      </c>
      <c r="S569" s="2959">
        <v>25</v>
      </c>
      <c r="T569" s="2959">
        <v>40</v>
      </c>
      <c r="U569" s="377">
        <v>60</v>
      </c>
      <c r="V569" s="2954" t="s">
        <v>5329</v>
      </c>
      <c r="W569" s="2954" t="s">
        <v>5330</v>
      </c>
      <c r="X569" s="2954" t="s">
        <v>5331</v>
      </c>
      <c r="Y569" s="2954" t="s">
        <v>5332</v>
      </c>
      <c r="Z569" s="2954" t="s">
        <v>5333</v>
      </c>
      <c r="AA569" s="375"/>
    </row>
    <row r="570" spans="1:27" ht="12.75" customHeight="1" x14ac:dyDescent="0.2">
      <c r="A570" s="6360"/>
      <c r="B570" s="251" t="str">
        <f t="shared" si="17"/>
        <v>Muerte94</v>
      </c>
      <c r="D570" s="272" t="s">
        <v>535</v>
      </c>
      <c r="E570" s="2959" t="s">
        <v>84</v>
      </c>
      <c r="F570" s="2959">
        <v>94</v>
      </c>
      <c r="G570" s="2962" t="s">
        <v>2584</v>
      </c>
      <c r="H570" s="2962" t="s">
        <v>3950</v>
      </c>
      <c r="I570" s="380" t="s">
        <v>1304</v>
      </c>
      <c r="J570" s="2959">
        <v>12</v>
      </c>
      <c r="K570" s="2959">
        <v>14</v>
      </c>
      <c r="L570" s="2959">
        <v>16</v>
      </c>
      <c r="M570" s="377">
        <v>18</v>
      </c>
      <c r="N570" s="2959">
        <v>400</v>
      </c>
      <c r="O570" s="2959">
        <v>750</v>
      </c>
      <c r="P570" s="2959">
        <v>1200</v>
      </c>
      <c r="Q570" s="377">
        <v>2000</v>
      </c>
      <c r="R570" s="2959">
        <v>40</v>
      </c>
      <c r="S570" s="2959">
        <v>75</v>
      </c>
      <c r="T570" s="2959">
        <v>120</v>
      </c>
      <c r="U570" s="377">
        <v>200</v>
      </c>
      <c r="V570" s="2954" t="s">
        <v>5334</v>
      </c>
      <c r="W570" s="2954" t="s">
        <v>5335</v>
      </c>
      <c r="X570" s="2954" t="s">
        <v>5336</v>
      </c>
      <c r="Y570" s="2954" t="s">
        <v>5337</v>
      </c>
      <c r="Z570" s="2954" t="s">
        <v>5338</v>
      </c>
      <c r="AA570" s="375"/>
    </row>
    <row r="571" spans="1:27" ht="12.75" customHeight="1" x14ac:dyDescent="0.2">
      <c r="A571" s="6360"/>
      <c r="B571" s="251" t="str">
        <f t="shared" si="17"/>
        <v/>
      </c>
      <c r="D571" s="272" t="s">
        <v>536</v>
      </c>
      <c r="E571" s="2959"/>
      <c r="F571" s="2959"/>
      <c r="G571" s="2962"/>
      <c r="H571" s="2962"/>
      <c r="I571" s="380"/>
      <c r="J571" s="2959"/>
      <c r="K571" s="2959"/>
      <c r="L571" s="2959"/>
      <c r="M571" s="377"/>
      <c r="N571" s="2959"/>
      <c r="O571" s="2959"/>
      <c r="P571" s="2959"/>
      <c r="Q571" s="377"/>
      <c r="R571" s="2959"/>
      <c r="S571" s="2959"/>
      <c r="T571" s="2959"/>
      <c r="U571" s="377"/>
      <c r="V571" s="2954"/>
      <c r="W571" s="2954"/>
      <c r="X571" s="2954"/>
      <c r="Y571" s="2954"/>
      <c r="Z571" s="2954"/>
      <c r="AA571" s="375"/>
    </row>
    <row r="572" spans="1:27" ht="12.75" customHeight="1" x14ac:dyDescent="0.2">
      <c r="A572" s="6360"/>
      <c r="B572" s="251" t="str">
        <f t="shared" si="17"/>
        <v>Musical4</v>
      </c>
      <c r="D572" s="272" t="s">
        <v>537</v>
      </c>
      <c r="E572" s="2959" t="s">
        <v>85</v>
      </c>
      <c r="F572" s="2959">
        <v>4</v>
      </c>
      <c r="G572" s="2962" t="s">
        <v>1381</v>
      </c>
      <c r="H572" s="2962" t="s">
        <v>1234</v>
      </c>
      <c r="I572" s="380" t="s">
        <v>1304</v>
      </c>
      <c r="J572" s="2959">
        <v>5</v>
      </c>
      <c r="K572" s="2959">
        <v>8</v>
      </c>
      <c r="L572" s="2959">
        <v>10</v>
      </c>
      <c r="M572" s="377">
        <v>12</v>
      </c>
      <c r="N572" s="2959">
        <v>30</v>
      </c>
      <c r="O572" s="2959">
        <v>50</v>
      </c>
      <c r="P572" s="2959">
        <v>70</v>
      </c>
      <c r="Q572" s="377">
        <v>100</v>
      </c>
      <c r="R572" s="2959" t="s">
        <v>1381</v>
      </c>
      <c r="S572" s="2959" t="s">
        <v>1381</v>
      </c>
      <c r="T572" s="2959" t="s">
        <v>1381</v>
      </c>
      <c r="U572" s="377" t="s">
        <v>1381</v>
      </c>
      <c r="V572" s="2954" t="s">
        <v>5339</v>
      </c>
      <c r="W572" s="2954" t="s">
        <v>5340</v>
      </c>
      <c r="X572" s="2954" t="s">
        <v>5341</v>
      </c>
      <c r="Y572" s="2954" t="s">
        <v>5342</v>
      </c>
      <c r="Z572" s="2954" t="s">
        <v>5343</v>
      </c>
      <c r="AA572" s="375"/>
    </row>
    <row r="573" spans="1:27" ht="12.75" customHeight="1" x14ac:dyDescent="0.2">
      <c r="A573" s="6360"/>
      <c r="B573" s="251" t="str">
        <f t="shared" si="17"/>
        <v>Musical14</v>
      </c>
      <c r="D573" s="272" t="s">
        <v>538</v>
      </c>
      <c r="E573" s="2959" t="s">
        <v>85</v>
      </c>
      <c r="F573" s="2959">
        <v>14</v>
      </c>
      <c r="G573" s="2962" t="s">
        <v>1381</v>
      </c>
      <c r="H573" s="2962" t="s">
        <v>1234</v>
      </c>
      <c r="I573" s="380" t="s">
        <v>1304</v>
      </c>
      <c r="J573" s="2959">
        <v>5</v>
      </c>
      <c r="K573" s="2959">
        <v>8</v>
      </c>
      <c r="L573" s="2959">
        <v>10</v>
      </c>
      <c r="M573" s="377">
        <v>12</v>
      </c>
      <c r="N573" s="2959">
        <v>40</v>
      </c>
      <c r="O573" s="2959">
        <v>60</v>
      </c>
      <c r="P573" s="2959">
        <v>80</v>
      </c>
      <c r="Q573" s="377">
        <v>100</v>
      </c>
      <c r="R573" s="2959">
        <v>5</v>
      </c>
      <c r="S573" s="2959">
        <v>5</v>
      </c>
      <c r="T573" s="2959">
        <v>5</v>
      </c>
      <c r="U573" s="377">
        <v>10</v>
      </c>
      <c r="V573" s="2954" t="s">
        <v>4917</v>
      </c>
      <c r="W573" s="2954" t="s">
        <v>5344</v>
      </c>
      <c r="X573" s="2954" t="s">
        <v>5228</v>
      </c>
      <c r="Y573" s="2954" t="s">
        <v>5345</v>
      </c>
      <c r="Z573" s="2954" t="s">
        <v>5346</v>
      </c>
      <c r="AA573" s="375"/>
    </row>
    <row r="574" spans="1:27" ht="12.75" customHeight="1" x14ac:dyDescent="0.2">
      <c r="A574" s="6360"/>
      <c r="B574" s="251" t="str">
        <f t="shared" si="17"/>
        <v>Musical24</v>
      </c>
      <c r="D574" s="272" t="s">
        <v>539</v>
      </c>
      <c r="E574" s="2959" t="s">
        <v>85</v>
      </c>
      <c r="F574" s="2959">
        <v>24</v>
      </c>
      <c r="G574" s="2962" t="s">
        <v>1381</v>
      </c>
      <c r="H574" s="2962" t="s">
        <v>1234</v>
      </c>
      <c r="I574" s="380" t="s">
        <v>1304</v>
      </c>
      <c r="J574" s="2959">
        <v>6</v>
      </c>
      <c r="K574" s="2959">
        <v>8</v>
      </c>
      <c r="L574" s="2959">
        <v>10</v>
      </c>
      <c r="M574" s="377">
        <v>12</v>
      </c>
      <c r="N574" s="2959">
        <v>50</v>
      </c>
      <c r="O574" s="2959">
        <v>70</v>
      </c>
      <c r="P574" s="2959">
        <v>80</v>
      </c>
      <c r="Q574" s="377">
        <v>120</v>
      </c>
      <c r="R574" s="2959">
        <v>5</v>
      </c>
      <c r="S574" s="2959">
        <v>5</v>
      </c>
      <c r="T574" s="2959">
        <v>5</v>
      </c>
      <c r="U574" s="377">
        <v>10</v>
      </c>
      <c r="V574" s="2954" t="s">
        <v>5347</v>
      </c>
      <c r="W574" s="2954" t="s">
        <v>5348</v>
      </c>
      <c r="X574" s="2954" t="s">
        <v>5349</v>
      </c>
      <c r="Y574" s="2954" t="s">
        <v>5350</v>
      </c>
      <c r="Z574" s="2954" t="s">
        <v>5351</v>
      </c>
      <c r="AA574" s="375"/>
    </row>
    <row r="575" spans="1:27" ht="12.75" customHeight="1" x14ac:dyDescent="0.2">
      <c r="A575" s="6360"/>
      <c r="B575" s="251" t="str">
        <f t="shared" si="17"/>
        <v>Musical34</v>
      </c>
      <c r="D575" s="272" t="s">
        <v>540</v>
      </c>
      <c r="E575" s="2959" t="s">
        <v>85</v>
      </c>
      <c r="F575" s="2959">
        <v>34</v>
      </c>
      <c r="G575" s="2962" t="s">
        <v>1381</v>
      </c>
      <c r="H575" s="2962" t="s">
        <v>1232</v>
      </c>
      <c r="I575" s="380" t="s">
        <v>1304</v>
      </c>
      <c r="J575" s="2959">
        <v>7</v>
      </c>
      <c r="K575" s="2959">
        <v>9</v>
      </c>
      <c r="L575" s="2959">
        <v>11</v>
      </c>
      <c r="M575" s="377">
        <v>13</v>
      </c>
      <c r="N575" s="2959">
        <v>60</v>
      </c>
      <c r="O575" s="2959">
        <v>90</v>
      </c>
      <c r="P575" s="2959">
        <v>120</v>
      </c>
      <c r="Q575" s="377">
        <v>150</v>
      </c>
      <c r="R575" s="2959" t="s">
        <v>1381</v>
      </c>
      <c r="S575" s="2959" t="s">
        <v>1381</v>
      </c>
      <c r="T575" s="2959" t="s">
        <v>1381</v>
      </c>
      <c r="U575" s="377" t="s">
        <v>1381</v>
      </c>
      <c r="V575" s="2954" t="s">
        <v>5352</v>
      </c>
      <c r="W575" s="2954" t="s">
        <v>5353</v>
      </c>
      <c r="X575" s="2954" t="s">
        <v>5354</v>
      </c>
      <c r="Y575" s="2954" t="s">
        <v>4899</v>
      </c>
      <c r="Z575" s="2954" t="s">
        <v>10398</v>
      </c>
      <c r="AA575" s="375"/>
    </row>
    <row r="576" spans="1:27" ht="12.75" customHeight="1" x14ac:dyDescent="0.2">
      <c r="A576" s="6360"/>
      <c r="B576" s="251" t="str">
        <f t="shared" si="17"/>
        <v>Musical44</v>
      </c>
      <c r="D576" s="272" t="s">
        <v>541</v>
      </c>
      <c r="E576" s="2959" t="s">
        <v>85</v>
      </c>
      <c r="F576" s="2959">
        <v>44</v>
      </c>
      <c r="G576" s="2962" t="s">
        <v>1381</v>
      </c>
      <c r="H576" s="2962" t="s">
        <v>1235</v>
      </c>
      <c r="I576" s="380" t="s">
        <v>1304</v>
      </c>
      <c r="J576" s="2959">
        <v>7</v>
      </c>
      <c r="K576" s="2959">
        <v>9</v>
      </c>
      <c r="L576" s="2959">
        <v>11</v>
      </c>
      <c r="M576" s="377">
        <v>13</v>
      </c>
      <c r="N576" s="2959">
        <v>100</v>
      </c>
      <c r="O576" s="2959">
        <v>160</v>
      </c>
      <c r="P576" s="2959">
        <v>220</v>
      </c>
      <c r="Q576" s="377">
        <v>280</v>
      </c>
      <c r="R576" s="2959">
        <v>5</v>
      </c>
      <c r="S576" s="2959">
        <v>10</v>
      </c>
      <c r="T576" s="2959">
        <v>15</v>
      </c>
      <c r="U576" s="377">
        <v>20</v>
      </c>
      <c r="V576" s="2954" t="s">
        <v>5355</v>
      </c>
      <c r="W576" s="2954" t="s">
        <v>5356</v>
      </c>
      <c r="X576" s="2954" t="s">
        <v>5357</v>
      </c>
      <c r="Y576" s="2954" t="s">
        <v>5358</v>
      </c>
      <c r="Z576" s="2954" t="s">
        <v>5359</v>
      </c>
      <c r="AA576" s="375"/>
    </row>
    <row r="577" spans="1:27" ht="12.75" customHeight="1" x14ac:dyDescent="0.2">
      <c r="A577" s="6360"/>
      <c r="B577" s="251" t="str">
        <f t="shared" si="17"/>
        <v>Musical54</v>
      </c>
      <c r="D577" s="272" t="s">
        <v>542</v>
      </c>
      <c r="E577" s="2959" t="s">
        <v>85</v>
      </c>
      <c r="F577" s="2959">
        <v>54</v>
      </c>
      <c r="G577" s="2962" t="s">
        <v>1381</v>
      </c>
      <c r="H577" s="2962" t="s">
        <v>1235</v>
      </c>
      <c r="I577" s="380" t="s">
        <v>1304</v>
      </c>
      <c r="J577" s="2959">
        <v>7</v>
      </c>
      <c r="K577" s="2959">
        <v>9</v>
      </c>
      <c r="L577" s="2959">
        <v>11</v>
      </c>
      <c r="M577" s="377">
        <v>13</v>
      </c>
      <c r="N577" s="2959">
        <v>100</v>
      </c>
      <c r="O577" s="2959">
        <v>160</v>
      </c>
      <c r="P577" s="2959">
        <v>220</v>
      </c>
      <c r="Q577" s="377">
        <v>280</v>
      </c>
      <c r="R577" s="2959">
        <v>5</v>
      </c>
      <c r="S577" s="2959">
        <v>10</v>
      </c>
      <c r="T577" s="2959">
        <v>15</v>
      </c>
      <c r="U577" s="377">
        <v>20</v>
      </c>
      <c r="V577" s="2954" t="s">
        <v>5360</v>
      </c>
      <c r="W577" s="2954" t="s">
        <v>5361</v>
      </c>
      <c r="X577" s="2954" t="s">
        <v>5362</v>
      </c>
      <c r="Y577" s="2954" t="s">
        <v>5363</v>
      </c>
      <c r="Z577" s="2954" t="s">
        <v>5364</v>
      </c>
      <c r="AA577" s="375"/>
    </row>
    <row r="578" spans="1:27" ht="12.75" customHeight="1" x14ac:dyDescent="0.2">
      <c r="A578" s="6360"/>
      <c r="B578" s="251" t="str">
        <f t="shared" si="17"/>
        <v>Musical64</v>
      </c>
      <c r="D578" s="272" t="s">
        <v>543</v>
      </c>
      <c r="E578" s="2959" t="s">
        <v>85</v>
      </c>
      <c r="F578" s="2959">
        <v>64</v>
      </c>
      <c r="G578" s="2962" t="s">
        <v>1381</v>
      </c>
      <c r="H578" s="2962" t="s">
        <v>1234</v>
      </c>
      <c r="I578" s="380" t="s">
        <v>1304</v>
      </c>
      <c r="J578" s="2959">
        <v>8</v>
      </c>
      <c r="K578" s="2959">
        <v>10</v>
      </c>
      <c r="L578" s="2959">
        <v>12</v>
      </c>
      <c r="M578" s="377">
        <v>14</v>
      </c>
      <c r="N578" s="2959">
        <v>120</v>
      </c>
      <c r="O578" s="2959">
        <v>180</v>
      </c>
      <c r="P578" s="2959">
        <v>240</v>
      </c>
      <c r="Q578" s="377">
        <v>300</v>
      </c>
      <c r="R578" s="2959">
        <v>5</v>
      </c>
      <c r="S578" s="2959">
        <v>10</v>
      </c>
      <c r="T578" s="2959">
        <v>15</v>
      </c>
      <c r="U578" s="377">
        <v>20</v>
      </c>
      <c r="V578" s="2954" t="s">
        <v>5365</v>
      </c>
      <c r="W578" s="2954" t="s">
        <v>5366</v>
      </c>
      <c r="X578" s="2954" t="s">
        <v>5367</v>
      </c>
      <c r="Y578" s="2954" t="s">
        <v>5368</v>
      </c>
      <c r="Z578" s="2954" t="s">
        <v>5369</v>
      </c>
      <c r="AA578" s="375"/>
    </row>
    <row r="579" spans="1:27" ht="12.75" customHeight="1" x14ac:dyDescent="0.2">
      <c r="A579" s="6360"/>
      <c r="B579" s="251" t="str">
        <f t="shared" si="17"/>
        <v>Musical74</v>
      </c>
      <c r="D579" s="272" t="s">
        <v>544</v>
      </c>
      <c r="E579" s="2959" t="s">
        <v>85</v>
      </c>
      <c r="F579" s="2959">
        <v>74</v>
      </c>
      <c r="G579" s="2962" t="s">
        <v>1381</v>
      </c>
      <c r="H579" s="2962" t="s">
        <v>1234</v>
      </c>
      <c r="I579" s="380" t="s">
        <v>1304</v>
      </c>
      <c r="J579" s="2959">
        <v>8</v>
      </c>
      <c r="K579" s="2959">
        <v>10</v>
      </c>
      <c r="L579" s="2959">
        <v>12</v>
      </c>
      <c r="M579" s="377">
        <v>14</v>
      </c>
      <c r="N579" s="2959">
        <v>120</v>
      </c>
      <c r="O579" s="2959">
        <v>180</v>
      </c>
      <c r="P579" s="2959">
        <v>240</v>
      </c>
      <c r="Q579" s="377">
        <v>300</v>
      </c>
      <c r="R579" s="2959">
        <v>10</v>
      </c>
      <c r="S579" s="2959">
        <v>15</v>
      </c>
      <c r="T579" s="2959">
        <v>20</v>
      </c>
      <c r="U579" s="377">
        <v>30</v>
      </c>
      <c r="V579" s="2954" t="s">
        <v>4266</v>
      </c>
      <c r="W579" s="2954" t="s">
        <v>3395</v>
      </c>
      <c r="X579" s="2954" t="s">
        <v>3507</v>
      </c>
      <c r="Y579" s="2954" t="s">
        <v>3396</v>
      </c>
      <c r="Z579" s="2954" t="s">
        <v>5370</v>
      </c>
      <c r="AA579" s="375"/>
    </row>
    <row r="580" spans="1:27" ht="12.75" customHeight="1" x14ac:dyDescent="0.2">
      <c r="A580" s="6360"/>
      <c r="B580" s="251" t="str">
        <f t="shared" si="17"/>
        <v>Musical84</v>
      </c>
      <c r="D580" s="272" t="s">
        <v>545</v>
      </c>
      <c r="E580" s="2959" t="s">
        <v>85</v>
      </c>
      <c r="F580" s="2959">
        <v>84</v>
      </c>
      <c r="G580" s="2962" t="s">
        <v>1381</v>
      </c>
      <c r="H580" s="2962" t="s">
        <v>1234</v>
      </c>
      <c r="I580" s="380" t="s">
        <v>1304</v>
      </c>
      <c r="J580" s="2959">
        <v>8</v>
      </c>
      <c r="K580" s="2959">
        <v>10</v>
      </c>
      <c r="L580" s="2959">
        <v>12</v>
      </c>
      <c r="M580" s="377">
        <v>14</v>
      </c>
      <c r="N580" s="2959">
        <v>120</v>
      </c>
      <c r="O580" s="2959">
        <v>180</v>
      </c>
      <c r="P580" s="2959">
        <v>240</v>
      </c>
      <c r="Q580" s="377">
        <v>300</v>
      </c>
      <c r="R580" s="2959">
        <v>5</v>
      </c>
      <c r="S580" s="2959">
        <v>10</v>
      </c>
      <c r="T580" s="2959">
        <v>15</v>
      </c>
      <c r="U580" s="377">
        <v>20</v>
      </c>
      <c r="V580" s="2954" t="s">
        <v>5371</v>
      </c>
      <c r="W580" s="2954" t="s">
        <v>5372</v>
      </c>
      <c r="X580" s="2954" t="s">
        <v>5373</v>
      </c>
      <c r="Y580" s="2954" t="s">
        <v>5374</v>
      </c>
      <c r="Z580" s="2954" t="s">
        <v>5375</v>
      </c>
      <c r="AA580" s="375"/>
    </row>
    <row r="581" spans="1:27" ht="12.75" customHeight="1" x14ac:dyDescent="0.2">
      <c r="A581" s="6360"/>
      <c r="B581" s="251" t="str">
        <f t="shared" si="17"/>
        <v>Musical94</v>
      </c>
      <c r="D581" s="272" t="s">
        <v>546</v>
      </c>
      <c r="E581" s="2959" t="s">
        <v>85</v>
      </c>
      <c r="F581" s="2959">
        <v>94</v>
      </c>
      <c r="G581" s="2962" t="s">
        <v>1381</v>
      </c>
      <c r="H581" s="2962" t="s">
        <v>1235</v>
      </c>
      <c r="I581" s="380" t="s">
        <v>1304</v>
      </c>
      <c r="J581" s="2959">
        <v>8</v>
      </c>
      <c r="K581" s="2959">
        <v>10</v>
      </c>
      <c r="L581" s="2959">
        <v>12</v>
      </c>
      <c r="M581" s="377">
        <v>14</v>
      </c>
      <c r="N581" s="2959">
        <v>300</v>
      </c>
      <c r="O581" s="2959">
        <v>450</v>
      </c>
      <c r="P581" s="2959">
        <v>600</v>
      </c>
      <c r="Q581" s="377">
        <v>800</v>
      </c>
      <c r="R581" s="2959">
        <v>5</v>
      </c>
      <c r="S581" s="2959">
        <v>10</v>
      </c>
      <c r="T581" s="2959">
        <v>15</v>
      </c>
      <c r="U581" s="377">
        <v>20</v>
      </c>
      <c r="V581" s="2954" t="s">
        <v>3978</v>
      </c>
      <c r="W581" s="2954" t="s">
        <v>5376</v>
      </c>
      <c r="X581" s="2954" t="s">
        <v>5377</v>
      </c>
      <c r="Y581" s="2954" t="s">
        <v>5378</v>
      </c>
      <c r="Z581" s="2954" t="s">
        <v>5379</v>
      </c>
      <c r="AA581" s="375"/>
    </row>
    <row r="582" spans="1:27" ht="12.75" customHeight="1" x14ac:dyDescent="0.2">
      <c r="A582" s="6360"/>
      <c r="B582" s="251" t="str">
        <f t="shared" si="17"/>
        <v/>
      </c>
      <c r="D582" s="272" t="s">
        <v>547</v>
      </c>
      <c r="E582" s="2959"/>
      <c r="F582" s="2959"/>
      <c r="G582" s="2962"/>
      <c r="H582" s="2962"/>
      <c r="I582" s="380"/>
      <c r="J582" s="2959"/>
      <c r="K582" s="2959"/>
      <c r="L582" s="2959"/>
      <c r="M582" s="377"/>
      <c r="N582" s="2959"/>
      <c r="O582" s="2959"/>
      <c r="P582" s="2959"/>
      <c r="Q582" s="377"/>
      <c r="R582" s="2959"/>
      <c r="S582" s="2959"/>
      <c r="T582" s="2959"/>
      <c r="U582" s="377"/>
      <c r="V582" s="2954"/>
      <c r="W582" s="2954"/>
      <c r="X582" s="2954"/>
      <c r="Y582" s="2954"/>
      <c r="Z582" s="2954"/>
      <c r="AA582" s="375"/>
    </row>
    <row r="583" spans="1:27" ht="12.75" customHeight="1" x14ac:dyDescent="0.2">
      <c r="A583" s="6360"/>
      <c r="B583" s="251" t="str">
        <f t="shared" si="17"/>
        <v>Nobleza4</v>
      </c>
      <c r="D583" s="272" t="s">
        <v>548</v>
      </c>
      <c r="E583" s="2959" t="s">
        <v>86</v>
      </c>
      <c r="F583" s="2959">
        <v>4</v>
      </c>
      <c r="G583" s="2962" t="s">
        <v>2088</v>
      </c>
      <c r="H583" s="2962" t="s">
        <v>1234</v>
      </c>
      <c r="I583" s="380" t="s">
        <v>1304</v>
      </c>
      <c r="J583" s="2959">
        <v>5</v>
      </c>
      <c r="K583" s="2959">
        <v>8</v>
      </c>
      <c r="L583" s="2959">
        <v>10</v>
      </c>
      <c r="M583" s="377">
        <v>12</v>
      </c>
      <c r="N583" s="2959">
        <v>30</v>
      </c>
      <c r="O583" s="2959">
        <v>50</v>
      </c>
      <c r="P583" s="2959">
        <v>80</v>
      </c>
      <c r="Q583" s="377">
        <v>120</v>
      </c>
      <c r="R583" s="2959">
        <v>5</v>
      </c>
      <c r="S583" s="2959">
        <v>5</v>
      </c>
      <c r="T583" s="2959">
        <v>5</v>
      </c>
      <c r="U583" s="377">
        <v>10</v>
      </c>
      <c r="V583" s="2954" t="s">
        <v>3919</v>
      </c>
      <c r="W583" s="2954" t="s">
        <v>5380</v>
      </c>
      <c r="X583" s="2954" t="s">
        <v>5381</v>
      </c>
      <c r="Y583" s="2954" t="s">
        <v>5382</v>
      </c>
      <c r="Z583" s="2954" t="s">
        <v>5383</v>
      </c>
      <c r="AA583" s="375"/>
    </row>
    <row r="584" spans="1:27" ht="12.75" customHeight="1" x14ac:dyDescent="0.2">
      <c r="A584" s="6360"/>
      <c r="B584" s="251" t="str">
        <f t="shared" ref="B584:B647" si="18">E584&amp;F584</f>
        <v>Nobleza14</v>
      </c>
      <c r="D584" s="272" t="s">
        <v>549</v>
      </c>
      <c r="E584" s="2959" t="s">
        <v>86</v>
      </c>
      <c r="F584" s="2959">
        <v>14</v>
      </c>
      <c r="G584" s="2962" t="s">
        <v>2088</v>
      </c>
      <c r="H584" s="2962" t="s">
        <v>5384</v>
      </c>
      <c r="I584" s="380" t="s">
        <v>1304</v>
      </c>
      <c r="J584" s="2959">
        <v>5</v>
      </c>
      <c r="K584" s="2959">
        <v>8</v>
      </c>
      <c r="L584" s="2959">
        <v>10</v>
      </c>
      <c r="M584" s="377">
        <v>12</v>
      </c>
      <c r="N584" s="2959">
        <v>40</v>
      </c>
      <c r="O584" s="2959">
        <v>60</v>
      </c>
      <c r="P584" s="2959">
        <v>90</v>
      </c>
      <c r="Q584" s="377">
        <v>120</v>
      </c>
      <c r="R584" s="2959">
        <v>5</v>
      </c>
      <c r="S584" s="2959">
        <v>5</v>
      </c>
      <c r="T584" s="2959">
        <v>5</v>
      </c>
      <c r="U584" s="377">
        <v>10</v>
      </c>
      <c r="V584" s="2954" t="s">
        <v>5385</v>
      </c>
      <c r="W584" s="2954" t="s">
        <v>5386</v>
      </c>
      <c r="X584" s="2954" t="s">
        <v>5387</v>
      </c>
      <c r="Y584" s="2954" t="s">
        <v>5388</v>
      </c>
      <c r="Z584" s="2954" t="s">
        <v>5389</v>
      </c>
      <c r="AA584" s="375"/>
    </row>
    <row r="585" spans="1:27" ht="12.75" customHeight="1" x14ac:dyDescent="0.2">
      <c r="A585" s="6360"/>
      <c r="B585" s="251" t="str">
        <f t="shared" si="18"/>
        <v>Nobleza24</v>
      </c>
      <c r="D585" s="272" t="s">
        <v>550</v>
      </c>
      <c r="E585" s="2959" t="s">
        <v>86</v>
      </c>
      <c r="F585" s="2959">
        <v>24</v>
      </c>
      <c r="G585" s="2962" t="s">
        <v>1381</v>
      </c>
      <c r="H585" s="2962" t="s">
        <v>1234</v>
      </c>
      <c r="I585" s="380" t="s">
        <v>1304</v>
      </c>
      <c r="J585" s="2959">
        <v>6</v>
      </c>
      <c r="K585" s="2959">
        <v>9</v>
      </c>
      <c r="L585" s="2959">
        <v>11</v>
      </c>
      <c r="M585" s="377">
        <v>13</v>
      </c>
      <c r="N585" s="2959">
        <v>60</v>
      </c>
      <c r="O585" s="2959">
        <v>90</v>
      </c>
      <c r="P585" s="2959">
        <v>120</v>
      </c>
      <c r="Q585" s="377">
        <v>150</v>
      </c>
      <c r="R585" s="2959" t="s">
        <v>1381</v>
      </c>
      <c r="S585" s="2959" t="s">
        <v>1381</v>
      </c>
      <c r="T585" s="2959" t="s">
        <v>1381</v>
      </c>
      <c r="U585" s="377" t="s">
        <v>1381</v>
      </c>
      <c r="V585" s="2954" t="s">
        <v>5390</v>
      </c>
      <c r="W585" s="2954" t="s">
        <v>5391</v>
      </c>
      <c r="X585" s="2954" t="s">
        <v>5392</v>
      </c>
      <c r="Y585" s="2954" t="s">
        <v>5393</v>
      </c>
      <c r="Z585" s="2954" t="s">
        <v>5394</v>
      </c>
      <c r="AA585" s="375"/>
    </row>
    <row r="586" spans="1:27" ht="12.75" customHeight="1" x14ac:dyDescent="0.2">
      <c r="A586" s="6360"/>
      <c r="B586" s="251" t="str">
        <f t="shared" si="18"/>
        <v>Nobleza34</v>
      </c>
      <c r="D586" s="272" t="s">
        <v>551</v>
      </c>
      <c r="E586" s="2959" t="s">
        <v>86</v>
      </c>
      <c r="F586" s="2959">
        <v>34</v>
      </c>
      <c r="G586" s="2962" t="s">
        <v>2088</v>
      </c>
      <c r="H586" s="2962" t="s">
        <v>1234</v>
      </c>
      <c r="I586" s="380" t="s">
        <v>1304</v>
      </c>
      <c r="J586" s="2959">
        <v>6</v>
      </c>
      <c r="K586" s="2959">
        <v>9</v>
      </c>
      <c r="L586" s="2959">
        <v>11</v>
      </c>
      <c r="M586" s="377">
        <v>13</v>
      </c>
      <c r="N586" s="2959">
        <v>60</v>
      </c>
      <c r="O586" s="2959">
        <v>90</v>
      </c>
      <c r="P586" s="2959">
        <v>120</v>
      </c>
      <c r="Q586" s="377">
        <v>150</v>
      </c>
      <c r="R586" s="2959">
        <v>5</v>
      </c>
      <c r="S586" s="2959">
        <v>5</v>
      </c>
      <c r="T586" s="2959">
        <v>5</v>
      </c>
      <c r="U586" s="377">
        <v>10</v>
      </c>
      <c r="V586" s="2954" t="s">
        <v>3919</v>
      </c>
      <c r="W586" s="2954" t="s">
        <v>5395</v>
      </c>
      <c r="X586" s="2954" t="s">
        <v>5396</v>
      </c>
      <c r="Y586" s="2954" t="s">
        <v>5397</v>
      </c>
      <c r="Z586" s="2954" t="s">
        <v>10094</v>
      </c>
      <c r="AA586" s="375"/>
    </row>
    <row r="587" spans="1:27" ht="12.75" customHeight="1" x14ac:dyDescent="0.2">
      <c r="A587" s="6360"/>
      <c r="B587" s="251" t="str">
        <f t="shared" si="18"/>
        <v>Nobleza44</v>
      </c>
      <c r="D587" s="272" t="s">
        <v>552</v>
      </c>
      <c r="E587" s="2959" t="s">
        <v>86</v>
      </c>
      <c r="F587" s="2959">
        <v>44</v>
      </c>
      <c r="G587" s="2962" t="s">
        <v>1381</v>
      </c>
      <c r="H587" s="2962" t="s">
        <v>1235</v>
      </c>
      <c r="I587" s="380" t="s">
        <v>1304</v>
      </c>
      <c r="J587" s="2959">
        <v>7</v>
      </c>
      <c r="K587" s="2959">
        <v>10</v>
      </c>
      <c r="L587" s="2959">
        <v>12</v>
      </c>
      <c r="M587" s="377">
        <v>14</v>
      </c>
      <c r="N587" s="2959">
        <v>80</v>
      </c>
      <c r="O587" s="2959">
        <v>100</v>
      </c>
      <c r="P587" s="2959">
        <v>120</v>
      </c>
      <c r="Q587" s="377">
        <v>140</v>
      </c>
      <c r="R587" s="2959" t="s">
        <v>1381</v>
      </c>
      <c r="S587" s="2959" t="s">
        <v>1381</v>
      </c>
      <c r="T587" s="2959" t="s">
        <v>1381</v>
      </c>
      <c r="U587" s="377" t="s">
        <v>1381</v>
      </c>
      <c r="V587" s="2954" t="s">
        <v>5398</v>
      </c>
      <c r="W587" s="2954" t="s">
        <v>5399</v>
      </c>
      <c r="X587" s="2954" t="s">
        <v>5400</v>
      </c>
      <c r="Y587" s="2954" t="s">
        <v>5401</v>
      </c>
      <c r="Z587" s="2954" t="s">
        <v>5402</v>
      </c>
      <c r="AA587" s="375"/>
    </row>
    <row r="588" spans="1:27" ht="12.75" customHeight="1" x14ac:dyDescent="0.2">
      <c r="A588" s="6360"/>
      <c r="B588" s="251" t="str">
        <f t="shared" si="18"/>
        <v>Nobleza54</v>
      </c>
      <c r="D588" s="272" t="s">
        <v>553</v>
      </c>
      <c r="E588" s="2959" t="s">
        <v>86</v>
      </c>
      <c r="F588" s="2959">
        <v>54</v>
      </c>
      <c r="G588" s="2962" t="s">
        <v>1381</v>
      </c>
      <c r="H588" s="2962" t="s">
        <v>1235</v>
      </c>
      <c r="I588" s="380" t="s">
        <v>1304</v>
      </c>
      <c r="J588" s="2959">
        <v>7</v>
      </c>
      <c r="K588" s="2959">
        <v>10</v>
      </c>
      <c r="L588" s="2959">
        <v>12</v>
      </c>
      <c r="M588" s="377">
        <v>14</v>
      </c>
      <c r="N588" s="2959">
        <v>80</v>
      </c>
      <c r="O588" s="2959">
        <v>100</v>
      </c>
      <c r="P588" s="2959">
        <v>120</v>
      </c>
      <c r="Q588" s="377">
        <v>150</v>
      </c>
      <c r="R588" s="2959">
        <v>10</v>
      </c>
      <c r="S588" s="2959">
        <v>10</v>
      </c>
      <c r="T588" s="2959">
        <v>15</v>
      </c>
      <c r="U588" s="377">
        <v>15</v>
      </c>
      <c r="V588" s="2954" t="s">
        <v>5398</v>
      </c>
      <c r="W588" s="2954" t="s">
        <v>5399</v>
      </c>
      <c r="X588" s="2954" t="s">
        <v>5400</v>
      </c>
      <c r="Y588" s="2954" t="s">
        <v>5401</v>
      </c>
      <c r="Z588" s="2954" t="s">
        <v>5403</v>
      </c>
      <c r="AA588" s="375"/>
    </row>
    <row r="589" spans="1:27" ht="12.75" customHeight="1" x14ac:dyDescent="0.2">
      <c r="A589" s="6360"/>
      <c r="B589" s="251" t="str">
        <f t="shared" si="18"/>
        <v>Nobleza64</v>
      </c>
      <c r="D589" s="272" t="s">
        <v>554</v>
      </c>
      <c r="E589" s="2959" t="s">
        <v>86</v>
      </c>
      <c r="F589" s="2959">
        <v>64</v>
      </c>
      <c r="G589" s="2962" t="s">
        <v>2088</v>
      </c>
      <c r="H589" s="2962" t="s">
        <v>1235</v>
      </c>
      <c r="I589" s="380" t="s">
        <v>1304</v>
      </c>
      <c r="J589" s="2959">
        <v>8</v>
      </c>
      <c r="K589" s="2959">
        <v>11</v>
      </c>
      <c r="L589" s="2959">
        <v>13</v>
      </c>
      <c r="M589" s="377">
        <v>15</v>
      </c>
      <c r="N589" s="2959">
        <v>100</v>
      </c>
      <c r="O589" s="2959">
        <v>150</v>
      </c>
      <c r="P589" s="2959">
        <v>200</v>
      </c>
      <c r="Q589" s="377">
        <v>250</v>
      </c>
      <c r="R589" s="2959">
        <v>5</v>
      </c>
      <c r="S589" s="2959">
        <v>10</v>
      </c>
      <c r="T589" s="2959">
        <v>15</v>
      </c>
      <c r="U589" s="377">
        <v>15</v>
      </c>
      <c r="V589" s="2954" t="s">
        <v>5398</v>
      </c>
      <c r="W589" s="2954" t="s">
        <v>5399</v>
      </c>
      <c r="X589" s="2954" t="s">
        <v>5400</v>
      </c>
      <c r="Y589" s="2954" t="s">
        <v>5401</v>
      </c>
      <c r="Z589" s="2954" t="s">
        <v>5404</v>
      </c>
      <c r="AA589" s="375"/>
    </row>
    <row r="590" spans="1:27" ht="12.75" customHeight="1" x14ac:dyDescent="0.2">
      <c r="A590" s="6360"/>
      <c r="B590" s="251" t="str">
        <f t="shared" si="18"/>
        <v>Nobleza74</v>
      </c>
      <c r="D590" s="272" t="s">
        <v>555</v>
      </c>
      <c r="E590" s="2959" t="s">
        <v>86</v>
      </c>
      <c r="F590" s="2959">
        <v>74</v>
      </c>
      <c r="G590" s="2962" t="s">
        <v>3725</v>
      </c>
      <c r="H590" s="2962" t="s">
        <v>1235</v>
      </c>
      <c r="I590" s="380" t="s">
        <v>1304</v>
      </c>
      <c r="J590" s="2959">
        <v>9</v>
      </c>
      <c r="K590" s="2959">
        <v>12</v>
      </c>
      <c r="L590" s="2959">
        <v>14</v>
      </c>
      <c r="M590" s="377">
        <v>16</v>
      </c>
      <c r="N590" s="2959">
        <v>120</v>
      </c>
      <c r="O590" s="2959">
        <v>150</v>
      </c>
      <c r="P590" s="2959">
        <v>200</v>
      </c>
      <c r="Q590" s="377">
        <v>250</v>
      </c>
      <c r="R590" s="2959">
        <v>10</v>
      </c>
      <c r="S590" s="2959">
        <v>10</v>
      </c>
      <c r="T590" s="2959">
        <v>15</v>
      </c>
      <c r="U590" s="377">
        <v>20</v>
      </c>
      <c r="V590" s="2954" t="s">
        <v>5405</v>
      </c>
      <c r="W590" s="2954" t="s">
        <v>5406</v>
      </c>
      <c r="X590" s="2954" t="s">
        <v>5407</v>
      </c>
      <c r="Y590" s="2954" t="s">
        <v>5408</v>
      </c>
      <c r="Z590" s="2954" t="s">
        <v>5409</v>
      </c>
      <c r="AA590" s="375"/>
    </row>
    <row r="591" spans="1:27" ht="12.75" customHeight="1" x14ac:dyDescent="0.2">
      <c r="A591" s="6360"/>
      <c r="B591" s="251" t="str">
        <f t="shared" si="18"/>
        <v>Nobleza84</v>
      </c>
      <c r="D591" s="272" t="s">
        <v>556</v>
      </c>
      <c r="E591" s="2959" t="s">
        <v>86</v>
      </c>
      <c r="F591" s="2959">
        <v>84</v>
      </c>
      <c r="G591" s="2962" t="s">
        <v>2088</v>
      </c>
      <c r="H591" s="2962" t="s">
        <v>1234</v>
      </c>
      <c r="I591" s="380" t="s">
        <v>1304</v>
      </c>
      <c r="J591" s="2959">
        <v>9</v>
      </c>
      <c r="K591" s="2959">
        <v>12</v>
      </c>
      <c r="L591" s="2959">
        <v>14</v>
      </c>
      <c r="M591" s="377">
        <v>16</v>
      </c>
      <c r="N591" s="2959">
        <v>120</v>
      </c>
      <c r="O591" s="2959">
        <v>150</v>
      </c>
      <c r="P591" s="2959">
        <v>200</v>
      </c>
      <c r="Q591" s="377">
        <v>250</v>
      </c>
      <c r="R591" s="2959">
        <v>15</v>
      </c>
      <c r="S591" s="2959">
        <v>15</v>
      </c>
      <c r="T591" s="2959">
        <v>20</v>
      </c>
      <c r="U591" s="377">
        <v>25</v>
      </c>
      <c r="V591" s="2954" t="s">
        <v>5410</v>
      </c>
      <c r="W591" s="2954" t="s">
        <v>5411</v>
      </c>
      <c r="X591" s="2954" t="s">
        <v>5412</v>
      </c>
      <c r="Y591" s="2954" t="s">
        <v>5413</v>
      </c>
      <c r="Z591" s="2954" t="s">
        <v>5414</v>
      </c>
      <c r="AA591" s="375"/>
    </row>
    <row r="592" spans="1:27" ht="12.75" customHeight="1" x14ac:dyDescent="0.2">
      <c r="A592" s="6360"/>
      <c r="B592" s="251" t="str">
        <f t="shared" si="18"/>
        <v>Nobleza94</v>
      </c>
      <c r="D592" s="272" t="s">
        <v>557</v>
      </c>
      <c r="E592" s="2959" t="s">
        <v>86</v>
      </c>
      <c r="F592" s="2959">
        <v>94</v>
      </c>
      <c r="G592" s="2962" t="s">
        <v>2088</v>
      </c>
      <c r="H592" s="2962" t="s">
        <v>1234</v>
      </c>
      <c r="I592" s="380" t="s">
        <v>1304</v>
      </c>
      <c r="J592" s="2959">
        <v>9</v>
      </c>
      <c r="K592" s="2959">
        <v>12</v>
      </c>
      <c r="L592" s="2959">
        <v>14</v>
      </c>
      <c r="M592" s="377">
        <v>16</v>
      </c>
      <c r="N592" s="2959">
        <v>120</v>
      </c>
      <c r="O592" s="2959">
        <v>150</v>
      </c>
      <c r="P592" s="2959">
        <v>200</v>
      </c>
      <c r="Q592" s="377">
        <v>250</v>
      </c>
      <c r="R592" s="2959">
        <v>10</v>
      </c>
      <c r="S592" s="2959">
        <v>10</v>
      </c>
      <c r="T592" s="2959">
        <v>15</v>
      </c>
      <c r="U592" s="377">
        <v>20</v>
      </c>
      <c r="V592" s="2954" t="s">
        <v>5415</v>
      </c>
      <c r="W592" s="2954" t="s">
        <v>5416</v>
      </c>
      <c r="X592" s="2954" t="s">
        <v>5417</v>
      </c>
      <c r="Y592" s="2954" t="s">
        <v>5418</v>
      </c>
      <c r="Z592" s="2954" t="s">
        <v>5419</v>
      </c>
      <c r="AA592" s="375"/>
    </row>
    <row r="593" spans="1:27" ht="12.75" customHeight="1" x14ac:dyDescent="0.2">
      <c r="A593" s="6360"/>
      <c r="B593" s="251" t="str">
        <f t="shared" si="18"/>
        <v/>
      </c>
      <c r="D593" s="272" t="s">
        <v>558</v>
      </c>
      <c r="E593" s="2959"/>
      <c r="F593" s="2959"/>
      <c r="G593" s="2962"/>
      <c r="H593" s="2962"/>
      <c r="I593" s="380"/>
      <c r="J593" s="2959"/>
      <c r="K593" s="2959"/>
      <c r="L593" s="2959"/>
      <c r="M593" s="377"/>
      <c r="N593" s="2959"/>
      <c r="O593" s="2959"/>
      <c r="P593" s="2959"/>
      <c r="Q593" s="377"/>
      <c r="R593" s="2959"/>
      <c r="S593" s="2959"/>
      <c r="T593" s="2959"/>
      <c r="U593" s="377"/>
      <c r="V593" s="2954"/>
      <c r="W593" s="2954"/>
      <c r="X593" s="2954"/>
      <c r="Y593" s="2954"/>
      <c r="Z593" s="2954"/>
      <c r="AA593" s="375"/>
    </row>
    <row r="594" spans="1:27" ht="12.75" customHeight="1" x14ac:dyDescent="0.2">
      <c r="A594" s="6360"/>
      <c r="B594" s="251" t="str">
        <f t="shared" si="18"/>
        <v>Paz4</v>
      </c>
      <c r="D594" s="272" t="s">
        <v>559</v>
      </c>
      <c r="E594" s="2959" t="s">
        <v>87</v>
      </c>
      <c r="F594" s="2959">
        <v>4</v>
      </c>
      <c r="G594" s="2962" t="s">
        <v>1381</v>
      </c>
      <c r="H594" s="2962" t="s">
        <v>1565</v>
      </c>
      <c r="I594" s="380" t="s">
        <v>1305</v>
      </c>
      <c r="J594" s="2959">
        <v>6</v>
      </c>
      <c r="K594" s="2959">
        <v>8</v>
      </c>
      <c r="L594" s="2959">
        <v>10</v>
      </c>
      <c r="M594" s="377">
        <v>14</v>
      </c>
      <c r="N594" s="2959">
        <v>50</v>
      </c>
      <c r="O594" s="2959">
        <v>100</v>
      </c>
      <c r="P594" s="2959">
        <v>160</v>
      </c>
      <c r="Q594" s="377">
        <v>240</v>
      </c>
      <c r="R594" s="2959">
        <v>5</v>
      </c>
      <c r="S594" s="2959">
        <v>15</v>
      </c>
      <c r="T594" s="2959">
        <v>20</v>
      </c>
      <c r="U594" s="377">
        <v>25</v>
      </c>
      <c r="V594" s="2954" t="s">
        <v>5420</v>
      </c>
      <c r="W594" s="2954" t="s">
        <v>5421</v>
      </c>
      <c r="X594" s="2954" t="s">
        <v>5422</v>
      </c>
      <c r="Y594" s="2954" t="s">
        <v>5423</v>
      </c>
      <c r="Z594" s="2954" t="s">
        <v>5424</v>
      </c>
      <c r="AA594" s="375"/>
    </row>
    <row r="595" spans="1:27" ht="12.75" customHeight="1" x14ac:dyDescent="0.2">
      <c r="A595" s="6360"/>
      <c r="B595" s="251" t="str">
        <f t="shared" si="18"/>
        <v>Paz14</v>
      </c>
      <c r="D595" s="272" t="s">
        <v>560</v>
      </c>
      <c r="E595" s="2959" t="s">
        <v>87</v>
      </c>
      <c r="F595" s="2959">
        <v>14</v>
      </c>
      <c r="G595" s="2962" t="s">
        <v>2088</v>
      </c>
      <c r="H595" s="2962" t="s">
        <v>1234</v>
      </c>
      <c r="I595" s="380" t="s">
        <v>1305</v>
      </c>
      <c r="J595" s="2959">
        <v>6</v>
      </c>
      <c r="K595" s="2959">
        <v>9</v>
      </c>
      <c r="L595" s="2959">
        <v>12</v>
      </c>
      <c r="M595" s="377">
        <v>15</v>
      </c>
      <c r="N595" s="2959">
        <v>120</v>
      </c>
      <c r="O595" s="2959">
        <v>180</v>
      </c>
      <c r="P595" s="2959">
        <v>240</v>
      </c>
      <c r="Q595" s="377">
        <v>300</v>
      </c>
      <c r="R595" s="2959">
        <v>15</v>
      </c>
      <c r="S595" s="2959">
        <v>20</v>
      </c>
      <c r="T595" s="2959">
        <v>25</v>
      </c>
      <c r="U595" s="377">
        <v>30</v>
      </c>
      <c r="V595" s="2954" t="s">
        <v>5425</v>
      </c>
      <c r="W595" s="2954" t="s">
        <v>5426</v>
      </c>
      <c r="X595" s="2954" t="s">
        <v>5427</v>
      </c>
      <c r="Y595" s="2954" t="s">
        <v>5428</v>
      </c>
      <c r="Z595" s="2954" t="s">
        <v>5429</v>
      </c>
      <c r="AA595" s="375"/>
    </row>
    <row r="596" spans="1:27" ht="12.75" customHeight="1" x14ac:dyDescent="0.2">
      <c r="A596" s="6360"/>
      <c r="B596" s="251" t="str">
        <f t="shared" si="18"/>
        <v>Paz24</v>
      </c>
      <c r="D596" s="272" t="s">
        <v>561</v>
      </c>
      <c r="E596" s="2959" t="s">
        <v>87</v>
      </c>
      <c r="F596" s="2959">
        <v>24</v>
      </c>
      <c r="G596" s="2962" t="s">
        <v>1381</v>
      </c>
      <c r="H596" s="2962" t="s">
        <v>1234</v>
      </c>
      <c r="I596" s="380" t="s">
        <v>1304</v>
      </c>
      <c r="J596" s="2959">
        <v>6</v>
      </c>
      <c r="K596" s="2959">
        <v>8</v>
      </c>
      <c r="L596" s="2959">
        <v>10</v>
      </c>
      <c r="M596" s="377">
        <v>12</v>
      </c>
      <c r="N596" s="2959">
        <v>60</v>
      </c>
      <c r="O596" s="2959">
        <v>100</v>
      </c>
      <c r="P596" s="2959">
        <v>140</v>
      </c>
      <c r="Q596" s="377">
        <v>200</v>
      </c>
      <c r="R596" s="2959">
        <v>10</v>
      </c>
      <c r="S596" s="2959">
        <v>10</v>
      </c>
      <c r="T596" s="2959">
        <v>15</v>
      </c>
      <c r="U596" s="377">
        <v>20</v>
      </c>
      <c r="V596" s="2954" t="s">
        <v>5430</v>
      </c>
      <c r="W596" s="2954" t="s">
        <v>5431</v>
      </c>
      <c r="X596" s="2954" t="s">
        <v>5432</v>
      </c>
      <c r="Y596" s="2954" t="s">
        <v>5433</v>
      </c>
      <c r="Z596" s="2954" t="s">
        <v>5434</v>
      </c>
      <c r="AA596" s="375"/>
    </row>
    <row r="597" spans="1:27" ht="12.75" customHeight="1" x14ac:dyDescent="0.2">
      <c r="A597" s="6360"/>
      <c r="B597" s="251" t="str">
        <f t="shared" si="18"/>
        <v>Paz34</v>
      </c>
      <c r="D597" s="272" t="s">
        <v>562</v>
      </c>
      <c r="E597" s="2959" t="s">
        <v>87</v>
      </c>
      <c r="F597" s="2959">
        <v>34</v>
      </c>
      <c r="G597" s="2962" t="s">
        <v>1381</v>
      </c>
      <c r="H597" s="2962" t="s">
        <v>1236</v>
      </c>
      <c r="I597" s="380" t="s">
        <v>1304</v>
      </c>
      <c r="J597" s="2959">
        <v>8</v>
      </c>
      <c r="K597" s="2959">
        <v>10</v>
      </c>
      <c r="L597" s="2959">
        <v>12</v>
      </c>
      <c r="M597" s="377">
        <v>14</v>
      </c>
      <c r="N597" s="2959">
        <v>80</v>
      </c>
      <c r="O597" s="2959">
        <v>100</v>
      </c>
      <c r="P597" s="2959">
        <v>120</v>
      </c>
      <c r="Q597" s="377">
        <v>140</v>
      </c>
      <c r="R597" s="2959">
        <v>10</v>
      </c>
      <c r="S597" s="2959">
        <v>10</v>
      </c>
      <c r="T597" s="2959">
        <v>15</v>
      </c>
      <c r="U597" s="377">
        <v>15</v>
      </c>
      <c r="V597" s="2954" t="s">
        <v>5435</v>
      </c>
      <c r="W597" s="2954" t="s">
        <v>5436</v>
      </c>
      <c r="X597" s="2954" t="s">
        <v>5437</v>
      </c>
      <c r="Y597" s="2954" t="s">
        <v>5438</v>
      </c>
      <c r="Z597" s="2954" t="s">
        <v>5439</v>
      </c>
      <c r="AA597" s="375"/>
    </row>
    <row r="598" spans="1:27" ht="12.75" customHeight="1" x14ac:dyDescent="0.2">
      <c r="A598" s="6360"/>
      <c r="B598" s="251" t="str">
        <f t="shared" si="18"/>
        <v>Paz44</v>
      </c>
      <c r="D598" s="272" t="s">
        <v>563</v>
      </c>
      <c r="E598" s="2959" t="s">
        <v>87</v>
      </c>
      <c r="F598" s="2959">
        <v>44</v>
      </c>
      <c r="G598" s="2962" t="s">
        <v>2088</v>
      </c>
      <c r="H598" s="2962" t="s">
        <v>1235</v>
      </c>
      <c r="I598" s="380" t="s">
        <v>1304</v>
      </c>
      <c r="J598" s="2959">
        <v>8</v>
      </c>
      <c r="K598" s="2959">
        <v>10</v>
      </c>
      <c r="L598" s="2959">
        <v>12</v>
      </c>
      <c r="M598" s="377">
        <v>14</v>
      </c>
      <c r="N598" s="2959">
        <v>160</v>
      </c>
      <c r="O598" s="2959">
        <v>220</v>
      </c>
      <c r="P598" s="2959">
        <v>280</v>
      </c>
      <c r="Q598" s="377">
        <v>300</v>
      </c>
      <c r="R598" s="2959">
        <v>20</v>
      </c>
      <c r="S598" s="2959">
        <v>25</v>
      </c>
      <c r="T598" s="2959">
        <v>30</v>
      </c>
      <c r="U598" s="377">
        <v>30</v>
      </c>
      <c r="V598" s="2954" t="s">
        <v>5435</v>
      </c>
      <c r="W598" s="2954" t="s">
        <v>5436</v>
      </c>
      <c r="X598" s="2954" t="s">
        <v>5437</v>
      </c>
      <c r="Y598" s="2954" t="s">
        <v>5438</v>
      </c>
      <c r="Z598" s="2954" t="s">
        <v>5440</v>
      </c>
      <c r="AA598" s="375"/>
    </row>
    <row r="599" spans="1:27" ht="12.75" customHeight="1" x14ac:dyDescent="0.2">
      <c r="A599" s="6360"/>
      <c r="B599" s="251" t="str">
        <f t="shared" si="18"/>
        <v>Paz54</v>
      </c>
      <c r="D599" s="272" t="s">
        <v>564</v>
      </c>
      <c r="E599" s="2959" t="s">
        <v>87</v>
      </c>
      <c r="F599" s="2959">
        <v>54</v>
      </c>
      <c r="G599" s="2962" t="s">
        <v>1381</v>
      </c>
      <c r="H599" s="2962" t="s">
        <v>1235</v>
      </c>
      <c r="I599" s="380" t="s">
        <v>1305</v>
      </c>
      <c r="J599" s="2959">
        <v>8</v>
      </c>
      <c r="K599" s="2959">
        <v>10</v>
      </c>
      <c r="L599" s="2959">
        <v>12</v>
      </c>
      <c r="M599" s="377">
        <v>14</v>
      </c>
      <c r="N599" s="2959">
        <v>100</v>
      </c>
      <c r="O599" s="2959">
        <v>180</v>
      </c>
      <c r="P599" s="2959">
        <v>260</v>
      </c>
      <c r="Q599" s="377">
        <v>340</v>
      </c>
      <c r="R599" s="2959" t="s">
        <v>1381</v>
      </c>
      <c r="S599" s="2959" t="s">
        <v>1381</v>
      </c>
      <c r="T599" s="2959" t="s">
        <v>1381</v>
      </c>
      <c r="U599" s="377" t="s">
        <v>1381</v>
      </c>
      <c r="V599" s="2954" t="s">
        <v>3590</v>
      </c>
      <c r="W599" s="2954" t="s">
        <v>3487</v>
      </c>
      <c r="X599" s="2954" t="s">
        <v>3488</v>
      </c>
      <c r="Y599" s="2954" t="s">
        <v>3489</v>
      </c>
      <c r="Z599" s="2954" t="s">
        <v>5441</v>
      </c>
      <c r="AA599" s="375"/>
    </row>
    <row r="600" spans="1:27" ht="12.75" customHeight="1" x14ac:dyDescent="0.2">
      <c r="A600" s="6360"/>
      <c r="B600" s="251" t="str">
        <f t="shared" si="18"/>
        <v>Paz64</v>
      </c>
      <c r="D600" s="272" t="s">
        <v>565</v>
      </c>
      <c r="E600" s="2959" t="s">
        <v>87</v>
      </c>
      <c r="F600" s="2959">
        <v>64</v>
      </c>
      <c r="G600" s="2962" t="s">
        <v>1381</v>
      </c>
      <c r="H600" s="2962" t="s">
        <v>1234</v>
      </c>
      <c r="I600" s="380" t="s">
        <v>1304</v>
      </c>
      <c r="J600" s="2959">
        <v>6</v>
      </c>
      <c r="K600" s="2959">
        <v>9</v>
      </c>
      <c r="L600" s="2959">
        <v>12</v>
      </c>
      <c r="M600" s="377">
        <v>15</v>
      </c>
      <c r="N600" s="2959">
        <v>50</v>
      </c>
      <c r="O600" s="2959">
        <v>80</v>
      </c>
      <c r="P600" s="2959">
        <v>110</v>
      </c>
      <c r="Q600" s="377">
        <v>140</v>
      </c>
      <c r="R600" s="2959">
        <v>10</v>
      </c>
      <c r="S600" s="2959">
        <v>10</v>
      </c>
      <c r="T600" s="2959">
        <v>15</v>
      </c>
      <c r="U600" s="377">
        <v>15</v>
      </c>
      <c r="V600" s="2954" t="s">
        <v>5442</v>
      </c>
      <c r="W600" s="2954" t="s">
        <v>5443</v>
      </c>
      <c r="X600" s="2954" t="s">
        <v>5444</v>
      </c>
      <c r="Y600" s="2954" t="s">
        <v>5445</v>
      </c>
      <c r="Z600" s="2954" t="s">
        <v>5446</v>
      </c>
      <c r="AA600" s="375"/>
    </row>
    <row r="601" spans="1:27" ht="12.75" customHeight="1" x14ac:dyDescent="0.2">
      <c r="A601" s="6360"/>
      <c r="B601" s="251" t="str">
        <f t="shared" si="18"/>
        <v>Paz74</v>
      </c>
      <c r="D601" s="272" t="s">
        <v>566</v>
      </c>
      <c r="E601" s="2959" t="s">
        <v>87</v>
      </c>
      <c r="F601" s="2959">
        <v>74</v>
      </c>
      <c r="G601" s="2962" t="s">
        <v>1381</v>
      </c>
      <c r="H601" s="2962" t="s">
        <v>1565</v>
      </c>
      <c r="I601" s="380" t="s">
        <v>1305</v>
      </c>
      <c r="J601" s="2959">
        <v>9</v>
      </c>
      <c r="K601" s="2959">
        <v>11</v>
      </c>
      <c r="L601" s="2959">
        <v>13</v>
      </c>
      <c r="M601" s="377">
        <v>15</v>
      </c>
      <c r="N601" s="2959">
        <v>150</v>
      </c>
      <c r="O601" s="2959">
        <v>250</v>
      </c>
      <c r="P601" s="2959">
        <v>350</v>
      </c>
      <c r="Q601" s="377">
        <v>450</v>
      </c>
      <c r="R601" s="2959">
        <v>15</v>
      </c>
      <c r="S601" s="2959">
        <v>25</v>
      </c>
      <c r="T601" s="2959">
        <v>35</v>
      </c>
      <c r="U601" s="377">
        <v>45</v>
      </c>
      <c r="V601" s="2954" t="s">
        <v>5447</v>
      </c>
      <c r="W601" s="2954" t="s">
        <v>5448</v>
      </c>
      <c r="X601" s="2954" t="s">
        <v>5449</v>
      </c>
      <c r="Y601" s="2954" t="s">
        <v>5450</v>
      </c>
      <c r="Z601" s="2954" t="s">
        <v>5451</v>
      </c>
      <c r="AA601" s="375"/>
    </row>
    <row r="602" spans="1:27" ht="12.75" customHeight="1" x14ac:dyDescent="0.2">
      <c r="A602" s="6360"/>
      <c r="B602" s="251" t="str">
        <f t="shared" si="18"/>
        <v>Paz84</v>
      </c>
      <c r="D602" s="272" t="s">
        <v>567</v>
      </c>
      <c r="E602" s="2959" t="s">
        <v>87</v>
      </c>
      <c r="F602" s="2959">
        <v>84</v>
      </c>
      <c r="G602" s="2962" t="s">
        <v>1381</v>
      </c>
      <c r="H602" s="2962" t="s">
        <v>1233</v>
      </c>
      <c r="I602" s="380" t="s">
        <v>1304</v>
      </c>
      <c r="J602" s="2959">
        <v>9</v>
      </c>
      <c r="K602" s="2959">
        <v>11</v>
      </c>
      <c r="L602" s="2959">
        <v>13</v>
      </c>
      <c r="M602" s="377">
        <v>15</v>
      </c>
      <c r="N602" s="2959">
        <v>120</v>
      </c>
      <c r="O602" s="2959">
        <v>180</v>
      </c>
      <c r="P602" s="2959">
        <v>240</v>
      </c>
      <c r="Q602" s="377">
        <v>300</v>
      </c>
      <c r="R602" s="2959" t="s">
        <v>1381</v>
      </c>
      <c r="S602" s="2959" t="s">
        <v>1381</v>
      </c>
      <c r="T602" s="2959" t="s">
        <v>1381</v>
      </c>
      <c r="U602" s="377" t="s">
        <v>1381</v>
      </c>
      <c r="V602" s="2954" t="s">
        <v>3590</v>
      </c>
      <c r="W602" s="2954" t="s">
        <v>3591</v>
      </c>
      <c r="X602" s="2954" t="s">
        <v>3487</v>
      </c>
      <c r="Y602" s="2954" t="s">
        <v>3322</v>
      </c>
      <c r="Z602" s="2954" t="s">
        <v>5452</v>
      </c>
      <c r="AA602" s="375"/>
    </row>
    <row r="603" spans="1:27" ht="12.75" customHeight="1" x14ac:dyDescent="0.2">
      <c r="A603" s="6360"/>
      <c r="B603" s="251" t="str">
        <f t="shared" si="18"/>
        <v>Paz94</v>
      </c>
      <c r="D603" s="272" t="s">
        <v>568</v>
      </c>
      <c r="E603" s="2959" t="s">
        <v>87</v>
      </c>
      <c r="F603" s="2959">
        <v>94</v>
      </c>
      <c r="G603" s="2962" t="s">
        <v>2088</v>
      </c>
      <c r="H603" s="2962" t="s">
        <v>1235</v>
      </c>
      <c r="I603" s="380" t="s">
        <v>1304</v>
      </c>
      <c r="J603" s="2959">
        <v>8</v>
      </c>
      <c r="K603" s="2959">
        <v>10</v>
      </c>
      <c r="L603" s="2959">
        <v>12</v>
      </c>
      <c r="M603" s="377">
        <v>14</v>
      </c>
      <c r="N603" s="2959">
        <v>350</v>
      </c>
      <c r="O603" s="2959">
        <v>600</v>
      </c>
      <c r="P603" s="2959">
        <v>1000</v>
      </c>
      <c r="Q603" s="377">
        <v>1600</v>
      </c>
      <c r="R603" s="2959">
        <v>35</v>
      </c>
      <c r="S603" s="2959">
        <v>60</v>
      </c>
      <c r="T603" s="2959">
        <v>100</v>
      </c>
      <c r="U603" s="377">
        <v>160</v>
      </c>
      <c r="V603" s="2954" t="s">
        <v>10259</v>
      </c>
      <c r="W603" s="2954" t="s">
        <v>10260</v>
      </c>
      <c r="X603" s="2954" t="s">
        <v>10261</v>
      </c>
      <c r="Y603" s="2954" t="s">
        <v>10262</v>
      </c>
      <c r="Z603" s="2954" t="s">
        <v>5453</v>
      </c>
      <c r="AA603" s="375"/>
    </row>
    <row r="604" spans="1:27" ht="12.75" customHeight="1" x14ac:dyDescent="0.2">
      <c r="A604" s="6360"/>
      <c r="B604" s="251" t="str">
        <f t="shared" si="18"/>
        <v/>
      </c>
      <c r="D604" s="272" t="s">
        <v>569</v>
      </c>
      <c r="E604" s="2959"/>
      <c r="F604" s="2959"/>
      <c r="G604" s="2962"/>
      <c r="H604" s="2962"/>
      <c r="I604" s="380"/>
      <c r="J604" s="2959"/>
      <c r="K604" s="2959"/>
      <c r="L604" s="2959"/>
      <c r="M604" s="377"/>
      <c r="N604" s="2959"/>
      <c r="O604" s="2959"/>
      <c r="P604" s="2959"/>
      <c r="Q604" s="377"/>
      <c r="R604" s="2959"/>
      <c r="S604" s="2959"/>
      <c r="T604" s="2959"/>
      <c r="U604" s="377"/>
      <c r="V604" s="2954"/>
      <c r="W604" s="2954"/>
      <c r="X604" s="2954"/>
      <c r="Y604" s="2954"/>
      <c r="Z604" s="2954"/>
      <c r="AA604" s="375"/>
    </row>
    <row r="605" spans="1:27" ht="12.75" customHeight="1" x14ac:dyDescent="0.2">
      <c r="A605" s="6360"/>
      <c r="B605" s="251" t="str">
        <f t="shared" si="18"/>
        <v>Pecado4</v>
      </c>
      <c r="D605" s="272" t="s">
        <v>570</v>
      </c>
      <c r="E605" s="2959" t="s">
        <v>88</v>
      </c>
      <c r="F605" s="2959">
        <v>4</v>
      </c>
      <c r="G605" s="2962" t="s">
        <v>1381</v>
      </c>
      <c r="H605" s="2962" t="s">
        <v>1236</v>
      </c>
      <c r="I605" s="380" t="s">
        <v>1304</v>
      </c>
      <c r="J605" s="2959">
        <v>6</v>
      </c>
      <c r="K605" s="2959">
        <v>8</v>
      </c>
      <c r="L605" s="2959">
        <v>10</v>
      </c>
      <c r="M605" s="377">
        <v>12</v>
      </c>
      <c r="N605" s="2959">
        <v>40</v>
      </c>
      <c r="O605" s="2959">
        <v>60</v>
      </c>
      <c r="P605" s="2959">
        <v>90</v>
      </c>
      <c r="Q605" s="377">
        <v>120</v>
      </c>
      <c r="R605" s="2959" t="s">
        <v>1381</v>
      </c>
      <c r="S605" s="2959" t="s">
        <v>1381</v>
      </c>
      <c r="T605" s="2959" t="s">
        <v>1381</v>
      </c>
      <c r="U605" s="377" t="s">
        <v>1381</v>
      </c>
      <c r="V605" s="2954" t="s">
        <v>3590</v>
      </c>
      <c r="W605" s="2954" t="s">
        <v>3591</v>
      </c>
      <c r="X605" s="2954" t="s">
        <v>3487</v>
      </c>
      <c r="Y605" s="2954" t="s">
        <v>3322</v>
      </c>
      <c r="Z605" s="2954" t="s">
        <v>5454</v>
      </c>
      <c r="AA605" s="375"/>
    </row>
    <row r="606" spans="1:27" ht="12.75" customHeight="1" x14ac:dyDescent="0.2">
      <c r="A606" s="6360"/>
      <c r="B606" s="251" t="str">
        <f t="shared" si="18"/>
        <v>Pecado14</v>
      </c>
      <c r="D606" s="272" t="s">
        <v>571</v>
      </c>
      <c r="E606" s="2959" t="s">
        <v>88</v>
      </c>
      <c r="F606" s="2959">
        <v>14</v>
      </c>
      <c r="G606" s="2962" t="s">
        <v>2088</v>
      </c>
      <c r="H606" s="2962" t="s">
        <v>1233</v>
      </c>
      <c r="I606" s="380" t="s">
        <v>1304</v>
      </c>
      <c r="J606" s="2959">
        <v>6</v>
      </c>
      <c r="K606" s="2959">
        <v>8</v>
      </c>
      <c r="L606" s="2959">
        <v>10</v>
      </c>
      <c r="M606" s="377">
        <v>12</v>
      </c>
      <c r="N606" s="2959">
        <v>50</v>
      </c>
      <c r="O606" s="2959">
        <v>70</v>
      </c>
      <c r="P606" s="2959">
        <v>100</v>
      </c>
      <c r="Q606" s="377">
        <v>140</v>
      </c>
      <c r="R606" s="2959">
        <v>5</v>
      </c>
      <c r="S606" s="2959">
        <v>10</v>
      </c>
      <c r="T606" s="2959">
        <v>10</v>
      </c>
      <c r="U606" s="377">
        <v>15</v>
      </c>
      <c r="V606" s="2954" t="s">
        <v>3590</v>
      </c>
      <c r="W606" s="2954" t="s">
        <v>3591</v>
      </c>
      <c r="X606" s="2954" t="s">
        <v>3487</v>
      </c>
      <c r="Y606" s="2954" t="s">
        <v>3322</v>
      </c>
      <c r="Z606" s="2954" t="s">
        <v>5455</v>
      </c>
      <c r="AA606" s="375"/>
    </row>
    <row r="607" spans="1:27" ht="12.75" customHeight="1" x14ac:dyDescent="0.2">
      <c r="A607" s="6360"/>
      <c r="B607" s="251" t="str">
        <f t="shared" si="18"/>
        <v>Pecado24</v>
      </c>
      <c r="D607" s="272" t="s">
        <v>572</v>
      </c>
      <c r="E607" s="2959" t="s">
        <v>88</v>
      </c>
      <c r="F607" s="2959">
        <v>24</v>
      </c>
      <c r="G607" s="2962" t="s">
        <v>1381</v>
      </c>
      <c r="H607" s="2962" t="s">
        <v>1234</v>
      </c>
      <c r="I607" s="380" t="s">
        <v>1304</v>
      </c>
      <c r="J607" s="2959">
        <v>7</v>
      </c>
      <c r="K607" s="2959">
        <v>9</v>
      </c>
      <c r="L607" s="2959">
        <v>11</v>
      </c>
      <c r="M607" s="377">
        <v>13</v>
      </c>
      <c r="N607" s="2959">
        <v>60</v>
      </c>
      <c r="O607" s="2959">
        <v>100</v>
      </c>
      <c r="P607" s="2959">
        <v>140</v>
      </c>
      <c r="Q607" s="377">
        <v>180</v>
      </c>
      <c r="R607" s="2959">
        <v>5</v>
      </c>
      <c r="S607" s="2959">
        <v>5</v>
      </c>
      <c r="T607" s="2959">
        <v>10</v>
      </c>
      <c r="U607" s="377">
        <v>10</v>
      </c>
      <c r="V607" s="2954" t="s">
        <v>5456</v>
      </c>
      <c r="W607" s="2954" t="s">
        <v>5457</v>
      </c>
      <c r="X607" s="2954" t="s">
        <v>5458</v>
      </c>
      <c r="Y607" s="2954" t="s">
        <v>5459</v>
      </c>
      <c r="Z607" s="2954" t="s">
        <v>5460</v>
      </c>
      <c r="AA607" s="375"/>
    </row>
    <row r="608" spans="1:27" ht="12.75" customHeight="1" x14ac:dyDescent="0.2">
      <c r="A608" s="6360"/>
      <c r="B608" s="251" t="str">
        <f t="shared" si="18"/>
        <v>Pecado34</v>
      </c>
      <c r="D608" s="272" t="s">
        <v>573</v>
      </c>
      <c r="E608" s="2959" t="s">
        <v>88</v>
      </c>
      <c r="F608" s="2959">
        <v>34</v>
      </c>
      <c r="G608" s="2962" t="s">
        <v>1381</v>
      </c>
      <c r="H608" s="2962" t="s">
        <v>1233</v>
      </c>
      <c r="I608" s="380" t="s">
        <v>1304</v>
      </c>
      <c r="J608" s="2959">
        <v>7</v>
      </c>
      <c r="K608" s="2959">
        <v>9</v>
      </c>
      <c r="L608" s="2959">
        <v>11</v>
      </c>
      <c r="M608" s="377">
        <v>13</v>
      </c>
      <c r="N608" s="2959">
        <v>60</v>
      </c>
      <c r="O608" s="2959">
        <v>100</v>
      </c>
      <c r="P608" s="2959">
        <v>120</v>
      </c>
      <c r="Q608" s="377">
        <v>150</v>
      </c>
      <c r="R608" s="2959">
        <v>5</v>
      </c>
      <c r="S608" s="2959">
        <v>5</v>
      </c>
      <c r="T608" s="2959">
        <v>10</v>
      </c>
      <c r="U608" s="377">
        <v>10</v>
      </c>
      <c r="V608" s="2954" t="s">
        <v>3591</v>
      </c>
      <c r="W608" s="2954" t="s">
        <v>3487</v>
      </c>
      <c r="X608" s="2954" t="s">
        <v>3322</v>
      </c>
      <c r="Y608" s="2954" t="s">
        <v>3488</v>
      </c>
      <c r="Z608" s="2954" t="s">
        <v>5461</v>
      </c>
      <c r="AA608" s="375"/>
    </row>
    <row r="609" spans="1:27" ht="12.75" customHeight="1" x14ac:dyDescent="0.2">
      <c r="A609" s="6360"/>
      <c r="B609" s="251" t="str">
        <f t="shared" si="18"/>
        <v>Pecado44</v>
      </c>
      <c r="D609" s="272" t="s">
        <v>574</v>
      </c>
      <c r="E609" s="2959" t="s">
        <v>88</v>
      </c>
      <c r="F609" s="2959">
        <v>44</v>
      </c>
      <c r="G609" s="2962" t="s">
        <v>1381</v>
      </c>
      <c r="H609" s="2962" t="s">
        <v>1235</v>
      </c>
      <c r="I609" s="380" t="s">
        <v>1304</v>
      </c>
      <c r="J609" s="2959">
        <v>8</v>
      </c>
      <c r="K609" s="2959">
        <v>10</v>
      </c>
      <c r="L609" s="2959">
        <v>12</v>
      </c>
      <c r="M609" s="377">
        <v>14</v>
      </c>
      <c r="N609" s="2959">
        <v>50</v>
      </c>
      <c r="O609" s="2959">
        <v>80</v>
      </c>
      <c r="P609" s="2959">
        <v>120</v>
      </c>
      <c r="Q609" s="377">
        <v>260</v>
      </c>
      <c r="R609" s="2959" t="s">
        <v>1381</v>
      </c>
      <c r="S609" s="2959" t="s">
        <v>1381</v>
      </c>
      <c r="T609" s="2959" t="s">
        <v>1381</v>
      </c>
      <c r="U609" s="377" t="s">
        <v>1381</v>
      </c>
      <c r="V609" s="2954" t="s">
        <v>5462</v>
      </c>
      <c r="W609" s="2954" t="s">
        <v>5463</v>
      </c>
      <c r="X609" s="2954" t="s">
        <v>5464</v>
      </c>
      <c r="Y609" s="2954" t="s">
        <v>5465</v>
      </c>
      <c r="Z609" s="2954" t="s">
        <v>5466</v>
      </c>
      <c r="AA609" s="375"/>
    </row>
    <row r="610" spans="1:27" ht="12.75" customHeight="1" x14ac:dyDescent="0.2">
      <c r="A610" s="6360"/>
      <c r="B610" s="251" t="str">
        <f t="shared" si="18"/>
        <v>Pecado54</v>
      </c>
      <c r="D610" s="272" t="s">
        <v>575</v>
      </c>
      <c r="E610" s="2959" t="s">
        <v>88</v>
      </c>
      <c r="F610" s="2959">
        <v>54</v>
      </c>
      <c r="G610" s="2962" t="s">
        <v>1381</v>
      </c>
      <c r="H610" s="2962" t="s">
        <v>1234</v>
      </c>
      <c r="I610" s="380" t="s">
        <v>1304</v>
      </c>
      <c r="J610" s="2959">
        <v>7</v>
      </c>
      <c r="K610" s="2959">
        <v>9</v>
      </c>
      <c r="L610" s="2959">
        <v>11</v>
      </c>
      <c r="M610" s="377">
        <v>13</v>
      </c>
      <c r="N610" s="2959">
        <v>60</v>
      </c>
      <c r="O610" s="2959">
        <v>80</v>
      </c>
      <c r="P610" s="2959">
        <v>100</v>
      </c>
      <c r="Q610" s="377">
        <v>120</v>
      </c>
      <c r="R610" s="2959">
        <v>5</v>
      </c>
      <c r="S610" s="2959">
        <v>5</v>
      </c>
      <c r="T610" s="2959">
        <v>10</v>
      </c>
      <c r="U610" s="377">
        <v>10</v>
      </c>
      <c r="V610" s="2954" t="s">
        <v>3628</v>
      </c>
      <c r="W610" s="2954" t="s">
        <v>3590</v>
      </c>
      <c r="X610" s="2954" t="s">
        <v>3591</v>
      </c>
      <c r="Y610" s="2954" t="s">
        <v>3487</v>
      </c>
      <c r="Z610" s="2954" t="s">
        <v>5467</v>
      </c>
      <c r="AA610" s="375"/>
    </row>
    <row r="611" spans="1:27" ht="12.75" customHeight="1" x14ac:dyDescent="0.2">
      <c r="A611" s="6360"/>
      <c r="B611" s="251" t="str">
        <f t="shared" si="18"/>
        <v>Pecado64</v>
      </c>
      <c r="D611" s="272" t="s">
        <v>576</v>
      </c>
      <c r="E611" s="2959" t="s">
        <v>88</v>
      </c>
      <c r="F611" s="2959">
        <v>64</v>
      </c>
      <c r="G611" s="2962" t="s">
        <v>1381</v>
      </c>
      <c r="H611" s="2962" t="s">
        <v>1233</v>
      </c>
      <c r="I611" s="380" t="s">
        <v>1304</v>
      </c>
      <c r="J611" s="2959">
        <v>7</v>
      </c>
      <c r="K611" s="2959">
        <v>9</v>
      </c>
      <c r="L611" s="2959">
        <v>11</v>
      </c>
      <c r="M611" s="377">
        <v>13</v>
      </c>
      <c r="N611" s="2959">
        <v>80</v>
      </c>
      <c r="O611" s="2959">
        <v>100</v>
      </c>
      <c r="P611" s="2959">
        <v>120</v>
      </c>
      <c r="Q611" s="377">
        <v>150</v>
      </c>
      <c r="R611" s="2959">
        <v>5</v>
      </c>
      <c r="S611" s="2959">
        <v>5</v>
      </c>
      <c r="T611" s="2959">
        <v>10</v>
      </c>
      <c r="U611" s="377">
        <v>10</v>
      </c>
      <c r="V611" s="2954" t="s">
        <v>5468</v>
      </c>
      <c r="W611" s="2954" t="s">
        <v>5469</v>
      </c>
      <c r="X611" s="2954" t="s">
        <v>5470</v>
      </c>
      <c r="Y611" s="2954" t="s">
        <v>5471</v>
      </c>
      <c r="Z611" s="2954" t="s">
        <v>5472</v>
      </c>
      <c r="AA611" s="375"/>
    </row>
    <row r="612" spans="1:27" ht="12.75" customHeight="1" x14ac:dyDescent="0.2">
      <c r="A612" s="6360"/>
      <c r="B612" s="251" t="str">
        <f t="shared" si="18"/>
        <v>Pecado74</v>
      </c>
      <c r="D612" s="272" t="s">
        <v>577</v>
      </c>
      <c r="E612" s="2959" t="s">
        <v>88</v>
      </c>
      <c r="F612" s="2959">
        <v>74</v>
      </c>
      <c r="G612" s="2962" t="s">
        <v>1381</v>
      </c>
      <c r="H612" s="2962" t="s">
        <v>1233</v>
      </c>
      <c r="I612" s="380" t="s">
        <v>1304</v>
      </c>
      <c r="J612" s="2959">
        <v>8</v>
      </c>
      <c r="K612" s="2959">
        <v>10</v>
      </c>
      <c r="L612" s="2959">
        <v>12</v>
      </c>
      <c r="M612" s="377">
        <v>14</v>
      </c>
      <c r="N612" s="2959">
        <v>100</v>
      </c>
      <c r="O612" s="2959">
        <v>140</v>
      </c>
      <c r="P612" s="2959">
        <v>180</v>
      </c>
      <c r="Q612" s="377">
        <v>220</v>
      </c>
      <c r="R612" s="2959">
        <v>5</v>
      </c>
      <c r="S612" s="2959">
        <v>5</v>
      </c>
      <c r="T612" s="2959">
        <v>10</v>
      </c>
      <c r="U612" s="377">
        <v>10</v>
      </c>
      <c r="V612" s="2954" t="s">
        <v>3590</v>
      </c>
      <c r="W612" s="2954" t="s">
        <v>3591</v>
      </c>
      <c r="X612" s="2954" t="s">
        <v>3487</v>
      </c>
      <c r="Y612" s="2954" t="s">
        <v>3322</v>
      </c>
      <c r="Z612" s="2954" t="s">
        <v>5473</v>
      </c>
      <c r="AA612" s="375"/>
    </row>
    <row r="613" spans="1:27" ht="12.75" customHeight="1" x14ac:dyDescent="0.2">
      <c r="A613" s="6360"/>
      <c r="B613" s="251" t="str">
        <f t="shared" si="18"/>
        <v>Pecado84</v>
      </c>
      <c r="D613" s="272" t="s">
        <v>578</v>
      </c>
      <c r="E613" s="2959" t="s">
        <v>88</v>
      </c>
      <c r="F613" s="2959">
        <v>84</v>
      </c>
      <c r="G613" s="2962" t="s">
        <v>1381</v>
      </c>
      <c r="H613" s="2962" t="s">
        <v>1233</v>
      </c>
      <c r="I613" s="380" t="s">
        <v>1304</v>
      </c>
      <c r="J613" s="2959">
        <v>9</v>
      </c>
      <c r="K613" s="2959">
        <v>11</v>
      </c>
      <c r="L613" s="2959">
        <v>13</v>
      </c>
      <c r="M613" s="377">
        <v>15</v>
      </c>
      <c r="N613" s="2959">
        <v>100</v>
      </c>
      <c r="O613" s="2959">
        <v>150</v>
      </c>
      <c r="P613" s="2959">
        <v>200</v>
      </c>
      <c r="Q613" s="377">
        <v>250</v>
      </c>
      <c r="R613" s="2959">
        <v>5</v>
      </c>
      <c r="S613" s="2959">
        <v>5</v>
      </c>
      <c r="T613" s="2959">
        <v>10</v>
      </c>
      <c r="U613" s="377">
        <v>10</v>
      </c>
      <c r="V613" s="2954" t="s">
        <v>3590</v>
      </c>
      <c r="W613" s="2954" t="s">
        <v>3591</v>
      </c>
      <c r="X613" s="2954" t="s">
        <v>3487</v>
      </c>
      <c r="Y613" s="2954" t="s">
        <v>3322</v>
      </c>
      <c r="Z613" s="2954" t="s">
        <v>5474</v>
      </c>
      <c r="AA613" s="375"/>
    </row>
    <row r="614" spans="1:27" ht="12.75" customHeight="1" x14ac:dyDescent="0.2">
      <c r="A614" s="6360"/>
      <c r="B614" s="251" t="str">
        <f t="shared" si="18"/>
        <v>Pecado94</v>
      </c>
      <c r="D614" s="272" t="s">
        <v>579</v>
      </c>
      <c r="E614" s="2959" t="s">
        <v>88</v>
      </c>
      <c r="F614" s="2959">
        <v>94</v>
      </c>
      <c r="G614" s="2962" t="s">
        <v>1381</v>
      </c>
      <c r="H614" s="2962" t="s">
        <v>1233</v>
      </c>
      <c r="I614" s="380" t="s">
        <v>1304</v>
      </c>
      <c r="J614" s="2959">
        <v>10</v>
      </c>
      <c r="K614" s="2959">
        <v>12</v>
      </c>
      <c r="L614" s="2959">
        <v>14</v>
      </c>
      <c r="M614" s="377">
        <v>16</v>
      </c>
      <c r="N614" s="2959">
        <v>120</v>
      </c>
      <c r="O614" s="2959">
        <v>180</v>
      </c>
      <c r="P614" s="2959">
        <v>260</v>
      </c>
      <c r="Q614" s="377">
        <v>320</v>
      </c>
      <c r="R614" s="2959" t="s">
        <v>1381</v>
      </c>
      <c r="S614" s="2959" t="s">
        <v>1381</v>
      </c>
      <c r="T614" s="2959" t="s">
        <v>1381</v>
      </c>
      <c r="U614" s="377" t="s">
        <v>1381</v>
      </c>
      <c r="V614" s="2954" t="s">
        <v>3590</v>
      </c>
      <c r="W614" s="2954" t="s">
        <v>3591</v>
      </c>
      <c r="X614" s="2954" t="s">
        <v>3487</v>
      </c>
      <c r="Y614" s="2954" t="s">
        <v>3322</v>
      </c>
      <c r="Z614" s="2954" t="s">
        <v>5475</v>
      </c>
      <c r="AA614" s="375"/>
    </row>
    <row r="615" spans="1:27" ht="12.75" customHeight="1" x14ac:dyDescent="0.2">
      <c r="A615" s="6360"/>
      <c r="B615" s="251" t="str">
        <f t="shared" si="18"/>
        <v/>
      </c>
      <c r="D615" s="272" t="s">
        <v>580</v>
      </c>
      <c r="E615" s="2959"/>
      <c r="F615" s="2959"/>
      <c r="G615" s="2962"/>
      <c r="H615" s="2962"/>
      <c r="I615" s="380"/>
      <c r="J615" s="2959"/>
      <c r="K615" s="2959"/>
      <c r="L615" s="2959"/>
      <c r="M615" s="377"/>
      <c r="N615" s="2959"/>
      <c r="O615" s="2959"/>
      <c r="P615" s="2959"/>
      <c r="Q615" s="377"/>
      <c r="R615" s="2959"/>
      <c r="S615" s="2959"/>
      <c r="T615" s="2959"/>
      <c r="U615" s="377"/>
      <c r="V615" s="2954"/>
      <c r="W615" s="2954"/>
      <c r="X615" s="2954"/>
      <c r="Y615" s="2954"/>
      <c r="Z615" s="2954"/>
      <c r="AA615" s="375"/>
    </row>
    <row r="616" spans="1:27" ht="12.75" customHeight="1" x14ac:dyDescent="0.2">
      <c r="A616" s="6360"/>
      <c r="B616" s="251" t="str">
        <f t="shared" si="18"/>
        <v>Conocimiento4</v>
      </c>
      <c r="D616" s="272" t="s">
        <v>581</v>
      </c>
      <c r="E616" s="2959" t="s">
        <v>89</v>
      </c>
      <c r="F616" s="2959">
        <v>4</v>
      </c>
      <c r="G616" s="2962" t="s">
        <v>1381</v>
      </c>
      <c r="H616" s="2962" t="s">
        <v>1234</v>
      </c>
      <c r="I616" s="380" t="s">
        <v>1304</v>
      </c>
      <c r="J616" s="2959">
        <v>5</v>
      </c>
      <c r="K616" s="2959">
        <v>7</v>
      </c>
      <c r="L616" s="2959">
        <v>9</v>
      </c>
      <c r="M616" s="377">
        <v>11</v>
      </c>
      <c r="N616" s="2959">
        <v>30</v>
      </c>
      <c r="O616" s="2959">
        <v>60</v>
      </c>
      <c r="P616" s="2959">
        <v>90</v>
      </c>
      <c r="Q616" s="377">
        <v>120</v>
      </c>
      <c r="R616" s="2959" t="s">
        <v>1381</v>
      </c>
      <c r="S616" s="2959" t="s">
        <v>1381</v>
      </c>
      <c r="T616" s="2959" t="s">
        <v>1381</v>
      </c>
      <c r="U616" s="377" t="s">
        <v>1381</v>
      </c>
      <c r="V616" s="2954" t="s">
        <v>5476</v>
      </c>
      <c r="W616" s="2954" t="s">
        <v>5477</v>
      </c>
      <c r="X616" s="2954" t="s">
        <v>5478</v>
      </c>
      <c r="Y616" s="2954" t="s">
        <v>5479</v>
      </c>
      <c r="Z616" s="2954" t="s">
        <v>5480</v>
      </c>
      <c r="AA616" s="375"/>
    </row>
    <row r="617" spans="1:27" ht="12.75" customHeight="1" x14ac:dyDescent="0.2">
      <c r="A617" s="6360"/>
      <c r="B617" s="251" t="str">
        <f t="shared" si="18"/>
        <v>Conocimiento14</v>
      </c>
      <c r="D617" s="272" t="s">
        <v>89</v>
      </c>
      <c r="E617" s="2959" t="s">
        <v>89</v>
      </c>
      <c r="F617" s="2959">
        <v>14</v>
      </c>
      <c r="G617" s="2962" t="s">
        <v>1381</v>
      </c>
      <c r="H617" s="2962" t="s">
        <v>1234</v>
      </c>
      <c r="I617" s="380" t="s">
        <v>1304</v>
      </c>
      <c r="J617" s="2959">
        <v>6</v>
      </c>
      <c r="K617" s="2959">
        <v>9</v>
      </c>
      <c r="L617" s="2959">
        <v>11</v>
      </c>
      <c r="M617" s="377">
        <v>13</v>
      </c>
      <c r="N617" s="2959">
        <v>40</v>
      </c>
      <c r="O617" s="2959">
        <v>80</v>
      </c>
      <c r="P617" s="2959">
        <v>120</v>
      </c>
      <c r="Q617" s="377">
        <v>160</v>
      </c>
      <c r="R617" s="2959">
        <v>5</v>
      </c>
      <c r="S617" s="2959">
        <v>10</v>
      </c>
      <c r="T617" s="2959">
        <v>15</v>
      </c>
      <c r="U617" s="377">
        <v>20</v>
      </c>
      <c r="V617" s="2954" t="s">
        <v>5481</v>
      </c>
      <c r="W617" s="2954" t="s">
        <v>5482</v>
      </c>
      <c r="X617" s="2954" t="s">
        <v>5483</v>
      </c>
      <c r="Y617" s="2954" t="s">
        <v>5484</v>
      </c>
      <c r="Z617" s="2954" t="s">
        <v>5485</v>
      </c>
      <c r="AA617" s="375"/>
    </row>
    <row r="618" spans="1:27" ht="12.75" customHeight="1" x14ac:dyDescent="0.2">
      <c r="A618" s="6360"/>
      <c r="B618" s="251" t="str">
        <f t="shared" si="18"/>
        <v>Conocimiento24</v>
      </c>
      <c r="D618" s="272" t="s">
        <v>582</v>
      </c>
      <c r="E618" s="2959" t="s">
        <v>89</v>
      </c>
      <c r="F618" s="2959">
        <v>24</v>
      </c>
      <c r="G618" s="2962" t="s">
        <v>1381</v>
      </c>
      <c r="H618" s="2962" t="s">
        <v>1236</v>
      </c>
      <c r="I618" s="380" t="s">
        <v>1304</v>
      </c>
      <c r="J618" s="2959">
        <v>7</v>
      </c>
      <c r="K618" s="2959">
        <v>9</v>
      </c>
      <c r="L618" s="2959">
        <v>11</v>
      </c>
      <c r="M618" s="377">
        <v>13</v>
      </c>
      <c r="N618" s="2959">
        <v>60</v>
      </c>
      <c r="O618" s="2959">
        <v>100</v>
      </c>
      <c r="P618" s="2959">
        <v>140</v>
      </c>
      <c r="Q618" s="377">
        <v>180</v>
      </c>
      <c r="R618" s="2959" t="s">
        <v>1381</v>
      </c>
      <c r="S618" s="2959" t="s">
        <v>1381</v>
      </c>
      <c r="T618" s="2959" t="s">
        <v>1381</v>
      </c>
      <c r="U618" s="377" t="s">
        <v>1381</v>
      </c>
      <c r="V618" s="2954" t="s">
        <v>3710</v>
      </c>
      <c r="W618" s="2954" t="s">
        <v>3711</v>
      </c>
      <c r="X618" s="2954" t="s">
        <v>3712</v>
      </c>
      <c r="Y618" s="2954" t="s">
        <v>3736</v>
      </c>
      <c r="Z618" s="2954" t="s">
        <v>5486</v>
      </c>
      <c r="AA618" s="375"/>
    </row>
    <row r="619" spans="1:27" ht="12.75" customHeight="1" x14ac:dyDescent="0.2">
      <c r="A619" s="6360"/>
      <c r="B619" s="251" t="str">
        <f t="shared" si="18"/>
        <v>Conocimiento34</v>
      </c>
      <c r="D619" s="272" t="s">
        <v>583</v>
      </c>
      <c r="E619" s="2959" t="s">
        <v>89</v>
      </c>
      <c r="F619" s="2959">
        <v>34</v>
      </c>
      <c r="G619" s="2962" t="s">
        <v>2088</v>
      </c>
      <c r="H619" s="2962" t="s">
        <v>1236</v>
      </c>
      <c r="I619" s="380" t="s">
        <v>1304</v>
      </c>
      <c r="J619" s="2959">
        <v>7</v>
      </c>
      <c r="K619" s="2959">
        <v>9</v>
      </c>
      <c r="L619" s="2959">
        <v>11</v>
      </c>
      <c r="M619" s="377">
        <v>13</v>
      </c>
      <c r="N619" s="2959">
        <v>80</v>
      </c>
      <c r="O619" s="2959">
        <v>120</v>
      </c>
      <c r="P619" s="2959">
        <v>160</v>
      </c>
      <c r="Q619" s="377">
        <v>200</v>
      </c>
      <c r="R619" s="2959">
        <v>10</v>
      </c>
      <c r="S619" s="2959">
        <v>15</v>
      </c>
      <c r="T619" s="2959">
        <v>20</v>
      </c>
      <c r="U619" s="377">
        <v>20</v>
      </c>
      <c r="V619" s="2954" t="s">
        <v>5487</v>
      </c>
      <c r="W619" s="2954" t="s">
        <v>3744</v>
      </c>
      <c r="X619" s="2954" t="s">
        <v>3710</v>
      </c>
      <c r="Y619" s="2954" t="s">
        <v>3711</v>
      </c>
      <c r="Z619" s="2954" t="s">
        <v>5488</v>
      </c>
      <c r="AA619" s="375"/>
    </row>
    <row r="620" spans="1:27" ht="12.75" customHeight="1" x14ac:dyDescent="0.2">
      <c r="A620" s="6360"/>
      <c r="B620" s="251" t="str">
        <f t="shared" si="18"/>
        <v>Conocimiento44</v>
      </c>
      <c r="D620" s="272" t="s">
        <v>584</v>
      </c>
      <c r="E620" s="2959" t="s">
        <v>89</v>
      </c>
      <c r="F620" s="2959">
        <v>44</v>
      </c>
      <c r="G620" s="2962" t="s">
        <v>1381</v>
      </c>
      <c r="H620" s="2962" t="s">
        <v>1234</v>
      </c>
      <c r="I620" s="380" t="s">
        <v>1304</v>
      </c>
      <c r="J620" s="2959">
        <v>8</v>
      </c>
      <c r="K620" s="2959">
        <v>10</v>
      </c>
      <c r="L620" s="2959">
        <v>12</v>
      </c>
      <c r="M620" s="377">
        <v>14</v>
      </c>
      <c r="N620" s="2959">
        <v>100</v>
      </c>
      <c r="O620" s="2959">
        <v>150</v>
      </c>
      <c r="P620" s="2959">
        <v>200</v>
      </c>
      <c r="Q620" s="377">
        <v>250</v>
      </c>
      <c r="R620" s="2959" t="s">
        <v>1381</v>
      </c>
      <c r="S620" s="2959" t="s">
        <v>1381</v>
      </c>
      <c r="T620" s="2959" t="s">
        <v>1381</v>
      </c>
      <c r="U620" s="377" t="s">
        <v>1381</v>
      </c>
      <c r="V620" s="2954" t="s">
        <v>5489</v>
      </c>
      <c r="W620" s="2954" t="s">
        <v>5490</v>
      </c>
      <c r="X620" s="2954" t="s">
        <v>5491</v>
      </c>
      <c r="Y620" s="2954" t="s">
        <v>5492</v>
      </c>
      <c r="Z620" s="2954" t="s">
        <v>5493</v>
      </c>
      <c r="AA620" s="375"/>
    </row>
    <row r="621" spans="1:27" ht="12.75" customHeight="1" x14ac:dyDescent="0.2">
      <c r="A621" s="6360"/>
      <c r="B621" s="251" t="str">
        <f t="shared" si="18"/>
        <v>Conocimiento54</v>
      </c>
      <c r="D621" s="272" t="s">
        <v>585</v>
      </c>
      <c r="E621" s="2959" t="s">
        <v>89</v>
      </c>
      <c r="F621" s="2959">
        <v>54</v>
      </c>
      <c r="G621" s="2962" t="s">
        <v>1381</v>
      </c>
      <c r="H621" s="2962" t="s">
        <v>1235</v>
      </c>
      <c r="I621" s="380" t="s">
        <v>1304</v>
      </c>
      <c r="J621" s="2959">
        <v>7</v>
      </c>
      <c r="K621" s="2959">
        <v>9</v>
      </c>
      <c r="L621" s="2959">
        <v>11</v>
      </c>
      <c r="M621" s="377">
        <v>13</v>
      </c>
      <c r="N621" s="2959">
        <v>80</v>
      </c>
      <c r="O621" s="2959">
        <v>120</v>
      </c>
      <c r="P621" s="2959">
        <v>160</v>
      </c>
      <c r="Q621" s="377">
        <v>200</v>
      </c>
      <c r="R621" s="2959">
        <v>5</v>
      </c>
      <c r="S621" s="2959">
        <v>10</v>
      </c>
      <c r="T621" s="2959">
        <v>20</v>
      </c>
      <c r="U621" s="377">
        <v>20</v>
      </c>
      <c r="V621" s="2954" t="s">
        <v>5494</v>
      </c>
      <c r="W621" s="2954" t="s">
        <v>5495</v>
      </c>
      <c r="X621" s="2954" t="s">
        <v>5496</v>
      </c>
      <c r="Y621" s="2954" t="s">
        <v>5497</v>
      </c>
      <c r="Z621" s="2954" t="s">
        <v>5498</v>
      </c>
      <c r="AA621" s="375"/>
    </row>
    <row r="622" spans="1:27" ht="12.75" customHeight="1" x14ac:dyDescent="0.2">
      <c r="A622" s="6360"/>
      <c r="B622" s="251" t="str">
        <f t="shared" si="18"/>
        <v>Conocimiento64</v>
      </c>
      <c r="D622" s="272" t="s">
        <v>586</v>
      </c>
      <c r="E622" s="2959" t="s">
        <v>89</v>
      </c>
      <c r="F622" s="2959">
        <v>64</v>
      </c>
      <c r="G622" s="2962" t="s">
        <v>2088</v>
      </c>
      <c r="H622" s="2962" t="s">
        <v>1235</v>
      </c>
      <c r="I622" s="380" t="s">
        <v>1304</v>
      </c>
      <c r="J622" s="2959">
        <v>8</v>
      </c>
      <c r="K622" s="2959">
        <v>10</v>
      </c>
      <c r="L622" s="2959">
        <v>12</v>
      </c>
      <c r="M622" s="377">
        <v>14</v>
      </c>
      <c r="N622" s="2959">
        <v>100</v>
      </c>
      <c r="O622" s="2959">
        <v>150</v>
      </c>
      <c r="P622" s="2959">
        <v>200</v>
      </c>
      <c r="Q622" s="377">
        <v>250</v>
      </c>
      <c r="R622" s="2959">
        <v>10</v>
      </c>
      <c r="S622" s="2959">
        <v>20</v>
      </c>
      <c r="T622" s="2959">
        <v>30</v>
      </c>
      <c r="U622" s="377">
        <v>40</v>
      </c>
      <c r="V622" s="2954" t="s">
        <v>5499</v>
      </c>
      <c r="W622" s="2954" t="s">
        <v>5500</v>
      </c>
      <c r="X622" s="2954" t="s">
        <v>5501</v>
      </c>
      <c r="Y622" s="2954" t="s">
        <v>5502</v>
      </c>
      <c r="Z622" s="2954" t="s">
        <v>5503</v>
      </c>
      <c r="AA622" s="375"/>
    </row>
    <row r="623" spans="1:27" ht="12.75" customHeight="1" x14ac:dyDescent="0.2">
      <c r="A623" s="6360"/>
      <c r="B623" s="251" t="str">
        <f t="shared" si="18"/>
        <v>Conocimiento74</v>
      </c>
      <c r="D623" s="272" t="s">
        <v>587</v>
      </c>
      <c r="E623" s="2959" t="s">
        <v>89</v>
      </c>
      <c r="F623" s="2959">
        <v>74</v>
      </c>
      <c r="G623" s="2962" t="s">
        <v>1381</v>
      </c>
      <c r="H623" s="2962" t="s">
        <v>1234</v>
      </c>
      <c r="I623" s="380" t="s">
        <v>1304</v>
      </c>
      <c r="J623" s="2959">
        <v>6</v>
      </c>
      <c r="K623" s="2959">
        <v>9</v>
      </c>
      <c r="L623" s="2959">
        <v>11</v>
      </c>
      <c r="M623" s="377">
        <v>13</v>
      </c>
      <c r="N623" s="2959">
        <v>60</v>
      </c>
      <c r="O623" s="2959">
        <v>100</v>
      </c>
      <c r="P623" s="2959">
        <v>140</v>
      </c>
      <c r="Q623" s="377">
        <v>200</v>
      </c>
      <c r="R623" s="2959">
        <v>5</v>
      </c>
      <c r="S623" s="2959">
        <v>10</v>
      </c>
      <c r="T623" s="2959">
        <v>15</v>
      </c>
      <c r="U623" s="377">
        <v>20</v>
      </c>
      <c r="V623" s="2954" t="s">
        <v>5504</v>
      </c>
      <c r="W623" s="2954" t="s">
        <v>5505</v>
      </c>
      <c r="X623" s="2954" t="s">
        <v>5506</v>
      </c>
      <c r="Y623" s="2954" t="s">
        <v>5507</v>
      </c>
      <c r="Z623" s="2954" t="s">
        <v>5508</v>
      </c>
      <c r="AA623" s="375"/>
    </row>
    <row r="624" spans="1:27" ht="12.75" customHeight="1" x14ac:dyDescent="0.2">
      <c r="A624" s="6360"/>
      <c r="B624" s="251" t="str">
        <f t="shared" si="18"/>
        <v>Conocimiento84</v>
      </c>
      <c r="D624" s="272" t="s">
        <v>588</v>
      </c>
      <c r="E624" s="2959" t="s">
        <v>89</v>
      </c>
      <c r="F624" s="2959">
        <v>84</v>
      </c>
      <c r="G624" s="2962" t="s">
        <v>2088</v>
      </c>
      <c r="H624" s="2962" t="s">
        <v>1233</v>
      </c>
      <c r="I624" s="380" t="s">
        <v>1304</v>
      </c>
      <c r="J624" s="2959">
        <v>8</v>
      </c>
      <c r="K624" s="2959">
        <v>10</v>
      </c>
      <c r="L624" s="2959">
        <v>12</v>
      </c>
      <c r="M624" s="377">
        <v>14</v>
      </c>
      <c r="N624" s="2959">
        <v>100</v>
      </c>
      <c r="O624" s="2959">
        <v>150</v>
      </c>
      <c r="P624" s="2959">
        <v>200</v>
      </c>
      <c r="Q624" s="377">
        <v>250</v>
      </c>
      <c r="R624" s="2959">
        <v>5</v>
      </c>
      <c r="S624" s="2959">
        <v>10</v>
      </c>
      <c r="T624" s="2959">
        <v>15</v>
      </c>
      <c r="U624" s="377">
        <v>20</v>
      </c>
      <c r="V624" s="2954" t="s">
        <v>5509</v>
      </c>
      <c r="W624" s="2954" t="s">
        <v>5510</v>
      </c>
      <c r="X624" s="2954" t="s">
        <v>5511</v>
      </c>
      <c r="Y624" s="2954" t="s">
        <v>5512</v>
      </c>
      <c r="Z624" s="2954" t="s">
        <v>5513</v>
      </c>
      <c r="AA624" s="375"/>
    </row>
    <row r="625" spans="1:27" ht="12.75" customHeight="1" x14ac:dyDescent="0.2">
      <c r="A625" s="6360"/>
      <c r="B625" s="251" t="str">
        <f t="shared" si="18"/>
        <v>Conocimiento94</v>
      </c>
      <c r="D625" s="272" t="s">
        <v>589</v>
      </c>
      <c r="E625" s="2959" t="s">
        <v>89</v>
      </c>
      <c r="F625" s="2959">
        <v>94</v>
      </c>
      <c r="G625" s="2962" t="s">
        <v>1381</v>
      </c>
      <c r="H625" s="2962" t="s">
        <v>1234</v>
      </c>
      <c r="I625" s="380" t="s">
        <v>1304</v>
      </c>
      <c r="J625" s="2959">
        <v>10</v>
      </c>
      <c r="K625" s="2959">
        <v>12</v>
      </c>
      <c r="L625" s="2959">
        <v>14</v>
      </c>
      <c r="M625" s="377">
        <v>16</v>
      </c>
      <c r="N625" s="2959">
        <v>400</v>
      </c>
      <c r="O625" s="2959">
        <v>600</v>
      </c>
      <c r="P625" s="2959">
        <v>800</v>
      </c>
      <c r="Q625" s="377">
        <v>1000</v>
      </c>
      <c r="R625" s="2959">
        <v>40</v>
      </c>
      <c r="S625" s="2959">
        <v>60</v>
      </c>
      <c r="T625" s="2959">
        <v>80</v>
      </c>
      <c r="U625" s="377">
        <v>100</v>
      </c>
      <c r="V625" s="2954" t="s">
        <v>5514</v>
      </c>
      <c r="W625" s="2954" t="s">
        <v>5515</v>
      </c>
      <c r="X625" s="2954" t="s">
        <v>5516</v>
      </c>
      <c r="Y625" s="2954" t="s">
        <v>5517</v>
      </c>
      <c r="Z625" s="2954" t="s">
        <v>5518</v>
      </c>
      <c r="AA625" s="375"/>
    </row>
    <row r="626" spans="1:27" ht="12.75" customHeight="1" x14ac:dyDescent="0.2">
      <c r="A626" s="6360"/>
      <c r="B626" s="251" t="str">
        <f t="shared" si="18"/>
        <v/>
      </c>
      <c r="D626" s="272" t="s">
        <v>590</v>
      </c>
      <c r="E626" s="2959"/>
      <c r="F626" s="2959"/>
      <c r="G626" s="2962"/>
      <c r="H626" s="2962"/>
      <c r="I626" s="380"/>
      <c r="J626" s="2959"/>
      <c r="K626" s="2959"/>
      <c r="L626" s="2959"/>
      <c r="M626" s="377"/>
      <c r="N626" s="2959"/>
      <c r="O626" s="2959"/>
      <c r="P626" s="2959"/>
      <c r="Q626" s="377"/>
      <c r="R626" s="2959"/>
      <c r="S626" s="2959"/>
      <c r="T626" s="2959"/>
      <c r="U626" s="377"/>
      <c r="V626" s="2954"/>
      <c r="W626" s="2954"/>
      <c r="X626" s="2954"/>
      <c r="Y626" s="2954"/>
      <c r="Z626" s="2954"/>
      <c r="AA626" s="375"/>
    </row>
    <row r="627" spans="1:27" ht="12.75" customHeight="1" x14ac:dyDescent="0.2">
      <c r="A627" s="6360"/>
      <c r="B627" s="251" t="str">
        <f t="shared" si="18"/>
        <v>Sangre4</v>
      </c>
      <c r="D627" s="272" t="s">
        <v>591</v>
      </c>
      <c r="E627" s="2959" t="s">
        <v>90</v>
      </c>
      <c r="F627" s="2959">
        <v>4</v>
      </c>
      <c r="G627" s="2962" t="s">
        <v>1381</v>
      </c>
      <c r="H627" s="2962" t="s">
        <v>1233</v>
      </c>
      <c r="I627" s="380" t="s">
        <v>1304</v>
      </c>
      <c r="J627" s="2959">
        <v>5</v>
      </c>
      <c r="K627" s="2959">
        <v>8</v>
      </c>
      <c r="L627" s="2959">
        <v>10</v>
      </c>
      <c r="M627" s="377">
        <v>13</v>
      </c>
      <c r="N627" s="2959">
        <v>30</v>
      </c>
      <c r="O627" s="2959">
        <v>60</v>
      </c>
      <c r="P627" s="2959">
        <v>100</v>
      </c>
      <c r="Q627" s="377">
        <v>150</v>
      </c>
      <c r="R627" s="2959" t="s">
        <v>1381</v>
      </c>
      <c r="S627" s="2959" t="s">
        <v>1381</v>
      </c>
      <c r="T627" s="2959" t="s">
        <v>1381</v>
      </c>
      <c r="U627" s="377" t="s">
        <v>1381</v>
      </c>
      <c r="V627" s="2954" t="s">
        <v>3589</v>
      </c>
      <c r="W627" s="2954" t="s">
        <v>3628</v>
      </c>
      <c r="X627" s="2954" t="s">
        <v>3590</v>
      </c>
      <c r="Y627" s="2954" t="s">
        <v>3487</v>
      </c>
      <c r="Z627" s="2954" t="s">
        <v>5519</v>
      </c>
      <c r="AA627" s="375"/>
    </row>
    <row r="628" spans="1:27" ht="12.75" customHeight="1" x14ac:dyDescent="0.2">
      <c r="A628" s="6360"/>
      <c r="B628" s="251" t="str">
        <f t="shared" si="18"/>
        <v>Sangre14</v>
      </c>
      <c r="D628" s="272" t="s">
        <v>592</v>
      </c>
      <c r="E628" s="2959" t="s">
        <v>90</v>
      </c>
      <c r="F628" s="2959">
        <v>14</v>
      </c>
      <c r="G628" s="2962" t="s">
        <v>1381</v>
      </c>
      <c r="H628" s="2962" t="s">
        <v>1234</v>
      </c>
      <c r="I628" s="380" t="s">
        <v>1304</v>
      </c>
      <c r="J628" s="2959">
        <v>6</v>
      </c>
      <c r="K628" s="2959">
        <v>8</v>
      </c>
      <c r="L628" s="2959">
        <v>10</v>
      </c>
      <c r="M628" s="377">
        <v>13</v>
      </c>
      <c r="N628" s="2959">
        <v>40</v>
      </c>
      <c r="O628" s="2959">
        <v>80</v>
      </c>
      <c r="P628" s="2959">
        <v>120</v>
      </c>
      <c r="Q628" s="377">
        <v>160</v>
      </c>
      <c r="R628" s="2959" t="s">
        <v>1381</v>
      </c>
      <c r="S628" s="2959" t="s">
        <v>1381</v>
      </c>
      <c r="T628" s="2959" t="s">
        <v>1381</v>
      </c>
      <c r="U628" s="377" t="s">
        <v>1381</v>
      </c>
      <c r="V628" s="2954" t="s">
        <v>5520</v>
      </c>
      <c r="W628" s="2954" t="s">
        <v>5521</v>
      </c>
      <c r="X628" s="2954" t="s">
        <v>5522</v>
      </c>
      <c r="Y628" s="2954" t="s">
        <v>5523</v>
      </c>
      <c r="Z628" s="2954" t="s">
        <v>5524</v>
      </c>
      <c r="AA628" s="375"/>
    </row>
    <row r="629" spans="1:27" ht="12.75" customHeight="1" x14ac:dyDescent="0.2">
      <c r="A629" s="6360"/>
      <c r="B629" s="251" t="str">
        <f t="shared" si="18"/>
        <v>Sangre24</v>
      </c>
      <c r="D629" s="272" t="s">
        <v>1917</v>
      </c>
      <c r="E629" s="2959" t="s">
        <v>90</v>
      </c>
      <c r="F629" s="2959">
        <v>24</v>
      </c>
      <c r="G629" s="2962" t="s">
        <v>2088</v>
      </c>
      <c r="H629" s="2962" t="s">
        <v>1234</v>
      </c>
      <c r="I629" s="380" t="s">
        <v>1304</v>
      </c>
      <c r="J629" s="2959">
        <v>6</v>
      </c>
      <c r="K629" s="2959">
        <v>9</v>
      </c>
      <c r="L629" s="2959">
        <v>12</v>
      </c>
      <c r="M629" s="377">
        <v>15</v>
      </c>
      <c r="N629" s="2959">
        <v>50</v>
      </c>
      <c r="O629" s="2959">
        <v>90</v>
      </c>
      <c r="P629" s="2959">
        <v>120</v>
      </c>
      <c r="Q629" s="377">
        <v>150</v>
      </c>
      <c r="R629" s="2959">
        <v>5</v>
      </c>
      <c r="S629" s="2959">
        <v>20</v>
      </c>
      <c r="T629" s="2959">
        <v>25</v>
      </c>
      <c r="U629" s="377">
        <v>30</v>
      </c>
      <c r="V629" s="2954" t="s">
        <v>5525</v>
      </c>
      <c r="W629" s="2954" t="s">
        <v>5526</v>
      </c>
      <c r="X629" s="2954" t="s">
        <v>5527</v>
      </c>
      <c r="Y629" s="2954" t="s">
        <v>5528</v>
      </c>
      <c r="Z629" s="2954" t="s">
        <v>5529</v>
      </c>
      <c r="AA629" s="375"/>
    </row>
    <row r="630" spans="1:27" ht="12.75" customHeight="1" x14ac:dyDescent="0.2">
      <c r="A630" s="6360"/>
      <c r="B630" s="251" t="str">
        <f t="shared" si="18"/>
        <v>Sangre34</v>
      </c>
      <c r="D630" s="272" t="s">
        <v>593</v>
      </c>
      <c r="E630" s="2959" t="s">
        <v>90</v>
      </c>
      <c r="F630" s="2959">
        <v>34</v>
      </c>
      <c r="G630" s="2962" t="s">
        <v>1381</v>
      </c>
      <c r="H630" s="2962" t="s">
        <v>1234</v>
      </c>
      <c r="I630" s="380" t="s">
        <v>1304</v>
      </c>
      <c r="J630" s="2959">
        <v>6</v>
      </c>
      <c r="K630" s="2959">
        <v>9</v>
      </c>
      <c r="L630" s="2959">
        <v>12</v>
      </c>
      <c r="M630" s="377">
        <v>15</v>
      </c>
      <c r="N630" s="2959">
        <v>80</v>
      </c>
      <c r="O630" s="2959">
        <v>120</v>
      </c>
      <c r="P630" s="2959">
        <v>160</v>
      </c>
      <c r="Q630" s="377">
        <v>200</v>
      </c>
      <c r="R630" s="2959">
        <v>10</v>
      </c>
      <c r="S630" s="2959">
        <v>40</v>
      </c>
      <c r="T630" s="2959">
        <v>50</v>
      </c>
      <c r="U630" s="377">
        <v>60</v>
      </c>
      <c r="V630" s="2954" t="s">
        <v>5530</v>
      </c>
      <c r="W630" s="2954" t="s">
        <v>5531</v>
      </c>
      <c r="X630" s="2954" t="s">
        <v>5532</v>
      </c>
      <c r="Y630" s="2954" t="s">
        <v>5533</v>
      </c>
      <c r="Z630" s="2954" t="s">
        <v>5534</v>
      </c>
      <c r="AA630" s="375"/>
    </row>
    <row r="631" spans="1:27" ht="12.75" customHeight="1" x14ac:dyDescent="0.2">
      <c r="A631" s="6360"/>
      <c r="B631" s="251" t="str">
        <f t="shared" si="18"/>
        <v>Sangre44</v>
      </c>
      <c r="D631" s="272" t="s">
        <v>594</v>
      </c>
      <c r="E631" s="2959" t="s">
        <v>90</v>
      </c>
      <c r="F631" s="2959">
        <v>44</v>
      </c>
      <c r="G631" s="2962" t="s">
        <v>1381</v>
      </c>
      <c r="H631" s="2962" t="s">
        <v>1234</v>
      </c>
      <c r="I631" s="380" t="s">
        <v>1304</v>
      </c>
      <c r="J631" s="2959">
        <v>6</v>
      </c>
      <c r="K631" s="2959">
        <v>8</v>
      </c>
      <c r="L631" s="2959">
        <v>10</v>
      </c>
      <c r="M631" s="377">
        <v>12</v>
      </c>
      <c r="N631" s="2959">
        <v>40</v>
      </c>
      <c r="O631" s="2959">
        <v>60</v>
      </c>
      <c r="P631" s="2959">
        <v>80</v>
      </c>
      <c r="Q631" s="377">
        <v>100</v>
      </c>
      <c r="R631" s="2959" t="s">
        <v>1381</v>
      </c>
      <c r="S631" s="2959" t="s">
        <v>1381</v>
      </c>
      <c r="T631" s="2959" t="s">
        <v>1381</v>
      </c>
      <c r="U631" s="377" t="s">
        <v>1381</v>
      </c>
      <c r="V631" s="2954" t="s">
        <v>5535</v>
      </c>
      <c r="W631" s="2954" t="s">
        <v>5536</v>
      </c>
      <c r="X631" s="2954" t="s">
        <v>5537</v>
      </c>
      <c r="Y631" s="2954" t="s">
        <v>5538</v>
      </c>
      <c r="Z631" s="2954" t="s">
        <v>5539</v>
      </c>
      <c r="AA631" s="375"/>
    </row>
    <row r="632" spans="1:27" ht="12.75" customHeight="1" x14ac:dyDescent="0.2">
      <c r="A632" s="6360"/>
      <c r="B632" s="251" t="str">
        <f t="shared" si="18"/>
        <v>Sangre54</v>
      </c>
      <c r="D632" s="272" t="s">
        <v>595</v>
      </c>
      <c r="E632" s="2959" t="s">
        <v>90</v>
      </c>
      <c r="F632" s="2959">
        <v>54</v>
      </c>
      <c r="G632" s="2962" t="s">
        <v>1381</v>
      </c>
      <c r="H632" s="2962" t="s">
        <v>1233</v>
      </c>
      <c r="I632" s="380" t="s">
        <v>1304</v>
      </c>
      <c r="J632" s="2959">
        <v>6</v>
      </c>
      <c r="K632" s="2959">
        <v>9</v>
      </c>
      <c r="L632" s="2959">
        <v>12</v>
      </c>
      <c r="M632" s="377">
        <v>15</v>
      </c>
      <c r="N632" s="2959">
        <v>100</v>
      </c>
      <c r="O632" s="2959">
        <v>150</v>
      </c>
      <c r="P632" s="2959">
        <v>200</v>
      </c>
      <c r="Q632" s="377">
        <v>250</v>
      </c>
      <c r="R632" s="2959">
        <v>10</v>
      </c>
      <c r="S632" s="2959">
        <v>15</v>
      </c>
      <c r="T632" s="2959">
        <v>20</v>
      </c>
      <c r="U632" s="377">
        <v>25</v>
      </c>
      <c r="V632" s="2954" t="s">
        <v>5540</v>
      </c>
      <c r="W632" s="2954" t="s">
        <v>5541</v>
      </c>
      <c r="X632" s="2954" t="s">
        <v>5542</v>
      </c>
      <c r="Y632" s="2954" t="s">
        <v>5543</v>
      </c>
      <c r="Z632" s="2954" t="s">
        <v>5544</v>
      </c>
      <c r="AA632" s="375"/>
    </row>
    <row r="633" spans="1:27" ht="12.75" customHeight="1" x14ac:dyDescent="0.2">
      <c r="A633" s="6360"/>
      <c r="B633" s="251" t="str">
        <f t="shared" si="18"/>
        <v>Sangre64</v>
      </c>
      <c r="D633" s="272" t="s">
        <v>596</v>
      </c>
      <c r="E633" s="2959" t="s">
        <v>90</v>
      </c>
      <c r="F633" s="2959">
        <v>64</v>
      </c>
      <c r="G633" s="2962" t="s">
        <v>1381</v>
      </c>
      <c r="H633" s="2962" t="s">
        <v>1234</v>
      </c>
      <c r="I633" s="380" t="s">
        <v>1304</v>
      </c>
      <c r="J633" s="2959">
        <v>8</v>
      </c>
      <c r="K633" s="2959">
        <v>10</v>
      </c>
      <c r="L633" s="2959">
        <v>12</v>
      </c>
      <c r="M633" s="377">
        <v>15</v>
      </c>
      <c r="N633" s="2959">
        <v>150</v>
      </c>
      <c r="O633" s="2959">
        <v>200</v>
      </c>
      <c r="P633" s="2959">
        <v>250</v>
      </c>
      <c r="Q633" s="377">
        <v>300</v>
      </c>
      <c r="R633" s="2959">
        <v>10</v>
      </c>
      <c r="S633" s="2959">
        <v>10</v>
      </c>
      <c r="T633" s="2959">
        <v>15</v>
      </c>
      <c r="U633" s="377">
        <v>15</v>
      </c>
      <c r="V633" s="2954" t="s">
        <v>5545</v>
      </c>
      <c r="W633" s="2954" t="s">
        <v>5546</v>
      </c>
      <c r="X633" s="2954" t="s">
        <v>5547</v>
      </c>
      <c r="Y633" s="2954" t="s">
        <v>5548</v>
      </c>
      <c r="Z633" s="2954" t="s">
        <v>5549</v>
      </c>
      <c r="AA633" s="375"/>
    </row>
    <row r="634" spans="1:27" ht="12.75" customHeight="1" x14ac:dyDescent="0.2">
      <c r="A634" s="6360"/>
      <c r="B634" s="251" t="str">
        <f t="shared" si="18"/>
        <v>Sangre74</v>
      </c>
      <c r="D634" s="272" t="s">
        <v>597</v>
      </c>
      <c r="E634" s="2959" t="s">
        <v>90</v>
      </c>
      <c r="F634" s="2959">
        <v>74</v>
      </c>
      <c r="G634" s="2962" t="s">
        <v>1381</v>
      </c>
      <c r="H634" s="2962" t="s">
        <v>1233</v>
      </c>
      <c r="I634" s="380" t="s">
        <v>1304</v>
      </c>
      <c r="J634" s="2959">
        <v>10</v>
      </c>
      <c r="K634" s="2959">
        <v>13</v>
      </c>
      <c r="L634" s="2959">
        <v>15</v>
      </c>
      <c r="M634" s="377">
        <v>17</v>
      </c>
      <c r="N634" s="2959">
        <v>280</v>
      </c>
      <c r="O634" s="2959">
        <v>320</v>
      </c>
      <c r="P634" s="2959">
        <v>360</v>
      </c>
      <c r="Q634" s="377">
        <v>400</v>
      </c>
      <c r="R634" s="2959" t="s">
        <v>1381</v>
      </c>
      <c r="S634" s="2959" t="s">
        <v>1381</v>
      </c>
      <c r="T634" s="2959" t="s">
        <v>1381</v>
      </c>
      <c r="U634" s="377" t="s">
        <v>1381</v>
      </c>
      <c r="V634" s="2954" t="s">
        <v>5550</v>
      </c>
      <c r="W634" s="2954" t="s">
        <v>5551</v>
      </c>
      <c r="X634" s="2954" t="s">
        <v>5552</v>
      </c>
      <c r="Y634" s="2954" t="s">
        <v>5553</v>
      </c>
      <c r="Z634" s="2954" t="s">
        <v>5554</v>
      </c>
      <c r="AA634" s="375"/>
    </row>
    <row r="635" spans="1:27" ht="12.75" customHeight="1" x14ac:dyDescent="0.2">
      <c r="A635" s="6360"/>
      <c r="B635" s="251" t="str">
        <f t="shared" si="18"/>
        <v>Sangre84</v>
      </c>
      <c r="D635" s="272" t="s">
        <v>598</v>
      </c>
      <c r="E635" s="2959" t="s">
        <v>90</v>
      </c>
      <c r="F635" s="2959">
        <v>84</v>
      </c>
      <c r="G635" s="2962" t="s">
        <v>1381</v>
      </c>
      <c r="H635" s="2962" t="s">
        <v>1234</v>
      </c>
      <c r="I635" s="380" t="s">
        <v>1305</v>
      </c>
      <c r="J635" s="2959">
        <v>10</v>
      </c>
      <c r="K635" s="2959">
        <v>12</v>
      </c>
      <c r="L635" s="2959">
        <v>15</v>
      </c>
      <c r="M635" s="377">
        <v>17</v>
      </c>
      <c r="N635" s="2959">
        <v>200</v>
      </c>
      <c r="O635" s="2959">
        <v>240</v>
      </c>
      <c r="P635" s="2959">
        <v>300</v>
      </c>
      <c r="Q635" s="377">
        <v>340</v>
      </c>
      <c r="R635" s="2959">
        <v>40</v>
      </c>
      <c r="S635" s="2959">
        <v>50</v>
      </c>
      <c r="T635" s="2959">
        <v>60</v>
      </c>
      <c r="U635" s="377">
        <v>70</v>
      </c>
      <c r="V635" s="2954" t="s">
        <v>5555</v>
      </c>
      <c r="W635" s="2954" t="s">
        <v>5556</v>
      </c>
      <c r="X635" s="2954" t="s">
        <v>5557</v>
      </c>
      <c r="Y635" s="2954" t="s">
        <v>5558</v>
      </c>
      <c r="Z635" s="2954" t="s">
        <v>5559</v>
      </c>
      <c r="AA635" s="375"/>
    </row>
    <row r="636" spans="1:27" ht="12.75" customHeight="1" x14ac:dyDescent="0.2">
      <c r="A636" s="6360"/>
      <c r="B636" s="251" t="str">
        <f t="shared" si="18"/>
        <v>Sangre94</v>
      </c>
      <c r="D636" s="272" t="s">
        <v>599</v>
      </c>
      <c r="E636" s="2959" t="s">
        <v>90</v>
      </c>
      <c r="F636" s="2959">
        <v>94</v>
      </c>
      <c r="G636" s="2962" t="s">
        <v>1381</v>
      </c>
      <c r="H636" s="2962" t="s">
        <v>1233</v>
      </c>
      <c r="I636" s="380" t="s">
        <v>1304</v>
      </c>
      <c r="J636" s="2959">
        <v>10</v>
      </c>
      <c r="K636" s="2959">
        <v>13</v>
      </c>
      <c r="L636" s="2959">
        <v>15</v>
      </c>
      <c r="M636" s="377">
        <v>17</v>
      </c>
      <c r="N636" s="2959">
        <v>280</v>
      </c>
      <c r="O636" s="2959">
        <v>320</v>
      </c>
      <c r="P636" s="2959">
        <v>360</v>
      </c>
      <c r="Q636" s="377">
        <v>400</v>
      </c>
      <c r="R636" s="2959" t="s">
        <v>1381</v>
      </c>
      <c r="S636" s="2959" t="s">
        <v>1381</v>
      </c>
      <c r="T636" s="2959" t="s">
        <v>1381</v>
      </c>
      <c r="U636" s="377" t="s">
        <v>1381</v>
      </c>
      <c r="V636" s="2954" t="s">
        <v>5560</v>
      </c>
      <c r="W636" s="2954" t="s">
        <v>5561</v>
      </c>
      <c r="X636" s="2954" t="s">
        <v>5562</v>
      </c>
      <c r="Y636" s="2954" t="s">
        <v>5563</v>
      </c>
      <c r="Z636" s="2954" t="s">
        <v>5564</v>
      </c>
      <c r="AA636" s="375"/>
    </row>
    <row r="637" spans="1:27" ht="12.75" customHeight="1" x14ac:dyDescent="0.2">
      <c r="A637" s="6360"/>
      <c r="B637" s="251" t="str">
        <f t="shared" si="18"/>
        <v/>
      </c>
      <c r="D637" s="272" t="s">
        <v>600</v>
      </c>
      <c r="E637" s="2959"/>
      <c r="F637" s="2959"/>
      <c r="G637" s="2962"/>
      <c r="H637" s="2962"/>
      <c r="I637" s="380"/>
      <c r="J637" s="2959"/>
      <c r="K637" s="2959"/>
      <c r="L637" s="2959"/>
      <c r="M637" s="377"/>
      <c r="N637" s="2959"/>
      <c r="O637" s="2959"/>
      <c r="P637" s="2959"/>
      <c r="Q637" s="377"/>
      <c r="R637" s="2959"/>
      <c r="S637" s="2959"/>
      <c r="T637" s="2959"/>
      <c r="U637" s="377"/>
      <c r="V637" s="2954"/>
      <c r="W637" s="2954"/>
      <c r="X637" s="2954"/>
      <c r="Y637" s="2954"/>
      <c r="Z637" s="2954"/>
      <c r="AA637" s="375"/>
    </row>
    <row r="638" spans="1:27" ht="12.75" customHeight="1" x14ac:dyDescent="0.2">
      <c r="A638" s="6360"/>
      <c r="B638" s="251" t="str">
        <f t="shared" si="18"/>
        <v>Sueños4</v>
      </c>
      <c r="D638" s="272" t="s">
        <v>601</v>
      </c>
      <c r="E638" s="2959" t="s">
        <v>91</v>
      </c>
      <c r="F638" s="2959">
        <v>4</v>
      </c>
      <c r="G638" s="2962" t="s">
        <v>1381</v>
      </c>
      <c r="H638" s="2962" t="s">
        <v>1236</v>
      </c>
      <c r="I638" s="380" t="s">
        <v>1304</v>
      </c>
      <c r="J638" s="2959">
        <v>5</v>
      </c>
      <c r="K638" s="2959">
        <v>8</v>
      </c>
      <c r="L638" s="2959">
        <v>10</v>
      </c>
      <c r="M638" s="377">
        <v>12</v>
      </c>
      <c r="N638" s="2959">
        <v>40</v>
      </c>
      <c r="O638" s="2959">
        <v>60</v>
      </c>
      <c r="P638" s="2959">
        <v>80</v>
      </c>
      <c r="Q638" s="377">
        <v>100</v>
      </c>
      <c r="R638" s="2959" t="s">
        <v>1381</v>
      </c>
      <c r="S638" s="2959" t="s">
        <v>1381</v>
      </c>
      <c r="T638" s="2959" t="s">
        <v>1381</v>
      </c>
      <c r="U638" s="377" t="s">
        <v>1381</v>
      </c>
      <c r="V638" s="2954" t="s">
        <v>5565</v>
      </c>
      <c r="W638" s="2954" t="s">
        <v>10061</v>
      </c>
      <c r="X638" s="2954" t="s">
        <v>5566</v>
      </c>
      <c r="Y638" s="2954" t="s">
        <v>5567</v>
      </c>
      <c r="Z638" s="2954" t="s">
        <v>9687</v>
      </c>
      <c r="AA638" s="375"/>
    </row>
    <row r="639" spans="1:27" ht="12.75" customHeight="1" x14ac:dyDescent="0.2">
      <c r="A639" s="6360"/>
      <c r="B639" s="251" t="str">
        <f t="shared" si="18"/>
        <v>Sueños14</v>
      </c>
      <c r="D639" s="272" t="s">
        <v>602</v>
      </c>
      <c r="E639" s="2959" t="s">
        <v>91</v>
      </c>
      <c r="F639" s="2959">
        <v>14</v>
      </c>
      <c r="G639" s="2962" t="s">
        <v>2088</v>
      </c>
      <c r="H639" s="2962" t="s">
        <v>1234</v>
      </c>
      <c r="I639" s="380" t="s">
        <v>1304</v>
      </c>
      <c r="J639" s="2959">
        <v>5</v>
      </c>
      <c r="K639" s="2959">
        <v>8</v>
      </c>
      <c r="L639" s="2959">
        <v>10</v>
      </c>
      <c r="M639" s="377">
        <v>12</v>
      </c>
      <c r="N639" s="2959">
        <v>60</v>
      </c>
      <c r="O639" s="2959">
        <v>80</v>
      </c>
      <c r="P639" s="2959">
        <v>100</v>
      </c>
      <c r="Q639" s="377">
        <v>120</v>
      </c>
      <c r="R639" s="2959">
        <v>5</v>
      </c>
      <c r="S639" s="2959">
        <v>5</v>
      </c>
      <c r="T639" s="2959">
        <v>5</v>
      </c>
      <c r="U639" s="377">
        <v>10</v>
      </c>
      <c r="V639" s="2954" t="s">
        <v>5568</v>
      </c>
      <c r="W639" s="2954" t="s">
        <v>5569</v>
      </c>
      <c r="X639" s="2954" t="s">
        <v>5570</v>
      </c>
      <c r="Y639" s="2954" t="s">
        <v>5571</v>
      </c>
      <c r="Z639" s="2954" t="s">
        <v>9688</v>
      </c>
      <c r="AA639" s="375"/>
    </row>
    <row r="640" spans="1:27" ht="12.75" customHeight="1" x14ac:dyDescent="0.2">
      <c r="A640" s="6360"/>
      <c r="B640" s="251" t="str">
        <f t="shared" si="18"/>
        <v>Sueños24</v>
      </c>
      <c r="D640" s="272" t="s">
        <v>603</v>
      </c>
      <c r="E640" s="2959" t="s">
        <v>91</v>
      </c>
      <c r="F640" s="2959">
        <v>24</v>
      </c>
      <c r="G640" s="2962" t="s">
        <v>2088</v>
      </c>
      <c r="H640" s="2962" t="s">
        <v>1233</v>
      </c>
      <c r="I640" s="380" t="s">
        <v>1304</v>
      </c>
      <c r="J640" s="2959">
        <v>6</v>
      </c>
      <c r="K640" s="2959">
        <v>8</v>
      </c>
      <c r="L640" s="2959">
        <v>10</v>
      </c>
      <c r="M640" s="377">
        <v>12</v>
      </c>
      <c r="N640" s="2959">
        <v>60</v>
      </c>
      <c r="O640" s="2959">
        <v>80</v>
      </c>
      <c r="P640" s="2959">
        <v>100</v>
      </c>
      <c r="Q640" s="377">
        <v>120</v>
      </c>
      <c r="R640" s="2959">
        <v>10</v>
      </c>
      <c r="S640" s="2959">
        <v>10</v>
      </c>
      <c r="T640" s="2959">
        <v>10</v>
      </c>
      <c r="U640" s="377">
        <v>15</v>
      </c>
      <c r="V640" s="2954" t="s">
        <v>3591</v>
      </c>
      <c r="W640" s="2954" t="s">
        <v>3487</v>
      </c>
      <c r="X640" s="2954" t="s">
        <v>3322</v>
      </c>
      <c r="Y640" s="2954" t="s">
        <v>9689</v>
      </c>
      <c r="Z640" s="2954" t="s">
        <v>10099</v>
      </c>
      <c r="AA640" s="375"/>
    </row>
    <row r="641" spans="1:27" ht="12.75" customHeight="1" x14ac:dyDescent="0.2">
      <c r="A641" s="6360"/>
      <c r="B641" s="251" t="str">
        <f t="shared" si="18"/>
        <v>Sueños34</v>
      </c>
      <c r="D641" s="272" t="s">
        <v>604</v>
      </c>
      <c r="E641" s="2959" t="s">
        <v>91</v>
      </c>
      <c r="F641" s="2959">
        <v>34</v>
      </c>
      <c r="G641" s="2962" t="s">
        <v>1381</v>
      </c>
      <c r="H641" s="2962" t="s">
        <v>1233</v>
      </c>
      <c r="I641" s="380" t="s">
        <v>1304</v>
      </c>
      <c r="J641" s="2959">
        <v>7</v>
      </c>
      <c r="K641" s="2959">
        <v>9</v>
      </c>
      <c r="L641" s="2959">
        <v>11</v>
      </c>
      <c r="M641" s="377">
        <v>13</v>
      </c>
      <c r="N641" s="2959">
        <v>80</v>
      </c>
      <c r="O641" s="2959">
        <v>100</v>
      </c>
      <c r="P641" s="2959">
        <v>120</v>
      </c>
      <c r="Q641" s="377">
        <v>140</v>
      </c>
      <c r="R641" s="2959">
        <v>10</v>
      </c>
      <c r="S641" s="2959">
        <v>10</v>
      </c>
      <c r="T641" s="2959">
        <v>10</v>
      </c>
      <c r="U641" s="377">
        <v>15</v>
      </c>
      <c r="V641" s="2954" t="s">
        <v>3272</v>
      </c>
      <c r="W641" s="2954" t="s">
        <v>5572</v>
      </c>
      <c r="X641" s="2954" t="s">
        <v>5573</v>
      </c>
      <c r="Y641" s="2954" t="s">
        <v>5574</v>
      </c>
      <c r="Z641" s="2954" t="s">
        <v>9690</v>
      </c>
      <c r="AA641" s="375"/>
    </row>
    <row r="642" spans="1:27" ht="12.75" customHeight="1" x14ac:dyDescent="0.2">
      <c r="A642" s="6360"/>
      <c r="B642" s="251" t="str">
        <f t="shared" si="18"/>
        <v>Sueños44</v>
      </c>
      <c r="D642" s="272" t="s">
        <v>605</v>
      </c>
      <c r="E642" s="2959" t="s">
        <v>91</v>
      </c>
      <c r="F642" s="2959">
        <v>44</v>
      </c>
      <c r="G642" s="2962" t="s">
        <v>2088</v>
      </c>
      <c r="H642" s="2962" t="s">
        <v>1234</v>
      </c>
      <c r="I642" s="380" t="s">
        <v>1304</v>
      </c>
      <c r="J642" s="2959">
        <v>10</v>
      </c>
      <c r="K642" s="2959">
        <v>12</v>
      </c>
      <c r="L642" s="2959">
        <v>14</v>
      </c>
      <c r="M642" s="377">
        <v>16</v>
      </c>
      <c r="N642" s="2959">
        <v>100</v>
      </c>
      <c r="O642" s="2959">
        <v>120</v>
      </c>
      <c r="P642" s="2959">
        <v>140</v>
      </c>
      <c r="Q642" s="377">
        <v>160</v>
      </c>
      <c r="R642" s="2959">
        <v>30</v>
      </c>
      <c r="S642" s="2959">
        <v>30</v>
      </c>
      <c r="T642" s="2959">
        <v>40</v>
      </c>
      <c r="U642" s="377">
        <v>40</v>
      </c>
      <c r="V642" s="2954" t="s">
        <v>5575</v>
      </c>
      <c r="W642" s="2954" t="s">
        <v>5576</v>
      </c>
      <c r="X642" s="2954" t="s">
        <v>5577</v>
      </c>
      <c r="Y642" s="2954" t="s">
        <v>9691</v>
      </c>
      <c r="Z642" s="2954" t="s">
        <v>9692</v>
      </c>
      <c r="AA642" s="375"/>
    </row>
    <row r="643" spans="1:27" ht="12.75" customHeight="1" x14ac:dyDescent="0.2">
      <c r="A643" s="6360"/>
      <c r="B643" s="251" t="str">
        <f t="shared" si="18"/>
        <v>Sueños54</v>
      </c>
      <c r="D643" s="272" t="s">
        <v>606</v>
      </c>
      <c r="E643" s="2959" t="s">
        <v>91</v>
      </c>
      <c r="F643" s="2959">
        <v>54</v>
      </c>
      <c r="G643" s="2962" t="s">
        <v>2088</v>
      </c>
      <c r="H643" s="2962" t="s">
        <v>1233</v>
      </c>
      <c r="I643" s="380" t="s">
        <v>1304</v>
      </c>
      <c r="J643" s="2959">
        <v>7</v>
      </c>
      <c r="K643" s="2959">
        <v>9</v>
      </c>
      <c r="L643" s="2959">
        <v>11</v>
      </c>
      <c r="M643" s="377">
        <v>13</v>
      </c>
      <c r="N643" s="2959">
        <v>100</v>
      </c>
      <c r="O643" s="2959">
        <v>140</v>
      </c>
      <c r="P643" s="2959">
        <v>180</v>
      </c>
      <c r="Q643" s="377">
        <v>240</v>
      </c>
      <c r="R643" s="2959">
        <v>10</v>
      </c>
      <c r="S643" s="2959">
        <v>20</v>
      </c>
      <c r="T643" s="2959">
        <v>20</v>
      </c>
      <c r="U643" s="377">
        <v>25</v>
      </c>
      <c r="V643" s="2954" t="s">
        <v>3589</v>
      </c>
      <c r="W643" s="2954" t="s">
        <v>3628</v>
      </c>
      <c r="X643" s="2954" t="s">
        <v>3590</v>
      </c>
      <c r="Y643" s="2954" t="s">
        <v>3591</v>
      </c>
      <c r="Z643" s="2954" t="s">
        <v>7064</v>
      </c>
      <c r="AA643" s="375"/>
    </row>
    <row r="644" spans="1:27" ht="12.75" customHeight="1" x14ac:dyDescent="0.2">
      <c r="A644" s="6360"/>
      <c r="B644" s="251" t="str">
        <f t="shared" si="18"/>
        <v>Sueños64</v>
      </c>
      <c r="D644" s="272" t="s">
        <v>607</v>
      </c>
      <c r="E644" s="2959" t="s">
        <v>91</v>
      </c>
      <c r="F644" s="2959">
        <v>64</v>
      </c>
      <c r="G644" s="2962" t="s">
        <v>2088</v>
      </c>
      <c r="H644" s="2962" t="s">
        <v>1234</v>
      </c>
      <c r="I644" s="380" t="s">
        <v>1304</v>
      </c>
      <c r="J644" s="2959">
        <v>10</v>
      </c>
      <c r="K644" s="2959">
        <v>12</v>
      </c>
      <c r="L644" s="2959">
        <v>14</v>
      </c>
      <c r="M644" s="377">
        <v>16</v>
      </c>
      <c r="N644" s="2959">
        <v>200</v>
      </c>
      <c r="O644" s="2959">
        <v>240</v>
      </c>
      <c r="P644" s="2959">
        <v>280</v>
      </c>
      <c r="Q644" s="377">
        <v>320</v>
      </c>
      <c r="R644" s="2959">
        <v>40</v>
      </c>
      <c r="S644" s="2959">
        <v>50</v>
      </c>
      <c r="T644" s="2959">
        <v>60</v>
      </c>
      <c r="U644" s="377">
        <v>70</v>
      </c>
      <c r="V644" s="2954" t="s">
        <v>5578</v>
      </c>
      <c r="W644" s="2954" t="s">
        <v>5579</v>
      </c>
      <c r="X644" s="2954" t="s">
        <v>5580</v>
      </c>
      <c r="Y644" s="2954" t="s">
        <v>5581</v>
      </c>
      <c r="Z644" s="2954" t="s">
        <v>5582</v>
      </c>
      <c r="AA644" s="375"/>
    </row>
    <row r="645" spans="1:27" ht="12.75" customHeight="1" x14ac:dyDescent="0.2">
      <c r="A645" s="6360"/>
      <c r="B645" s="251" t="str">
        <f t="shared" si="18"/>
        <v>Sueños74</v>
      </c>
      <c r="D645" s="272" t="s">
        <v>10467</v>
      </c>
      <c r="E645" s="2959" t="s">
        <v>91</v>
      </c>
      <c r="F645" s="2959">
        <v>74</v>
      </c>
      <c r="G645" s="2962" t="s">
        <v>1381</v>
      </c>
      <c r="H645" s="2962" t="s">
        <v>1233</v>
      </c>
      <c r="I645" s="380" t="s">
        <v>1304</v>
      </c>
      <c r="J645" s="2959">
        <v>10</v>
      </c>
      <c r="K645" s="2959">
        <v>12</v>
      </c>
      <c r="L645" s="2959">
        <v>14</v>
      </c>
      <c r="M645" s="377">
        <v>16</v>
      </c>
      <c r="N645" s="2959">
        <v>100</v>
      </c>
      <c r="O645" s="2959">
        <v>120</v>
      </c>
      <c r="P645" s="2959">
        <v>140</v>
      </c>
      <c r="Q645" s="377">
        <v>160</v>
      </c>
      <c r="R645" s="2959" t="s">
        <v>1381</v>
      </c>
      <c r="S645" s="2959" t="s">
        <v>1381</v>
      </c>
      <c r="T645" s="2959" t="s">
        <v>1381</v>
      </c>
      <c r="U645" s="377" t="s">
        <v>1381</v>
      </c>
      <c r="V645" s="2954" t="s">
        <v>3628</v>
      </c>
      <c r="W645" s="2954" t="s">
        <v>3590</v>
      </c>
      <c r="X645" s="2954" t="s">
        <v>3591</v>
      </c>
      <c r="Y645" s="2954" t="s">
        <v>3487</v>
      </c>
      <c r="Z645" s="2954" t="s">
        <v>5583</v>
      </c>
      <c r="AA645" s="375"/>
    </row>
    <row r="646" spans="1:27" ht="12.75" customHeight="1" x14ac:dyDescent="0.2">
      <c r="A646" s="6360"/>
      <c r="B646" s="251" t="str">
        <f t="shared" si="18"/>
        <v>Sueños84</v>
      </c>
      <c r="D646" s="272" t="s">
        <v>608</v>
      </c>
      <c r="E646" s="2959" t="s">
        <v>91</v>
      </c>
      <c r="F646" s="2959">
        <v>84</v>
      </c>
      <c r="G646" s="2962" t="s">
        <v>2088</v>
      </c>
      <c r="H646" s="2962" t="s">
        <v>1234</v>
      </c>
      <c r="I646" s="380" t="s">
        <v>1304</v>
      </c>
      <c r="J646" s="2959">
        <v>13</v>
      </c>
      <c r="K646" s="2959">
        <v>15</v>
      </c>
      <c r="L646" s="2959">
        <v>17</v>
      </c>
      <c r="M646" s="377">
        <v>19</v>
      </c>
      <c r="N646" s="2959">
        <v>400</v>
      </c>
      <c r="O646" s="2959">
        <v>500</v>
      </c>
      <c r="P646" s="2959">
        <v>700</v>
      </c>
      <c r="Q646" s="377">
        <v>900</v>
      </c>
      <c r="R646" s="2959">
        <v>80</v>
      </c>
      <c r="S646" s="2959">
        <v>100</v>
      </c>
      <c r="T646" s="2959">
        <v>140</v>
      </c>
      <c r="U646" s="377">
        <v>180</v>
      </c>
      <c r="V646" s="2954" t="s">
        <v>5584</v>
      </c>
      <c r="W646" s="2954" t="s">
        <v>5585</v>
      </c>
      <c r="X646" s="2954" t="s">
        <v>5586</v>
      </c>
      <c r="Y646" s="2954" t="s">
        <v>5587</v>
      </c>
      <c r="Z646" s="2954" t="s">
        <v>5588</v>
      </c>
      <c r="AA646" s="375"/>
    </row>
    <row r="647" spans="1:27" ht="12.75" customHeight="1" x14ac:dyDescent="0.2">
      <c r="A647" s="6360"/>
      <c r="B647" s="251" t="str">
        <f t="shared" si="18"/>
        <v>Sueños94</v>
      </c>
      <c r="D647" s="272" t="s">
        <v>609</v>
      </c>
      <c r="E647" s="2959" t="s">
        <v>91</v>
      </c>
      <c r="F647" s="2959">
        <v>94</v>
      </c>
      <c r="G647" s="2962" t="s">
        <v>2088</v>
      </c>
      <c r="H647" s="2962" t="s">
        <v>1234</v>
      </c>
      <c r="I647" s="380" t="s">
        <v>1304</v>
      </c>
      <c r="J647" s="2959">
        <v>12</v>
      </c>
      <c r="K647" s="2959">
        <v>14</v>
      </c>
      <c r="L647" s="2959">
        <v>16</v>
      </c>
      <c r="M647" s="377">
        <v>18</v>
      </c>
      <c r="N647" s="2959">
        <v>300</v>
      </c>
      <c r="O647" s="2959">
        <v>600</v>
      </c>
      <c r="P647" s="2959">
        <v>900</v>
      </c>
      <c r="Q647" s="377">
        <v>1200</v>
      </c>
      <c r="R647" s="2959">
        <v>50</v>
      </c>
      <c r="S647" s="2959">
        <v>60</v>
      </c>
      <c r="T647" s="2959">
        <v>65</v>
      </c>
      <c r="U647" s="377">
        <v>75</v>
      </c>
      <c r="V647" s="2954" t="s">
        <v>5589</v>
      </c>
      <c r="W647" s="2954" t="s">
        <v>5590</v>
      </c>
      <c r="X647" s="2954" t="s">
        <v>5591</v>
      </c>
      <c r="Y647" s="2954" t="s">
        <v>5592</v>
      </c>
      <c r="Z647" s="2954" t="s">
        <v>9693</v>
      </c>
      <c r="AA647" s="375"/>
    </row>
    <row r="648" spans="1:27" ht="12.75" customHeight="1" x14ac:dyDescent="0.2">
      <c r="A648" s="6360"/>
      <c r="B648" s="251" t="str">
        <f t="shared" ref="B648:B680" si="19">E648&amp;F648</f>
        <v/>
      </c>
      <c r="D648" s="272" t="s">
        <v>610</v>
      </c>
      <c r="E648" s="2959"/>
      <c r="F648" s="2959"/>
      <c r="G648" s="2962"/>
      <c r="H648" s="2962"/>
      <c r="I648" s="380"/>
      <c r="J648" s="2959"/>
      <c r="K648" s="2959"/>
      <c r="L648" s="2959"/>
      <c r="M648" s="377"/>
      <c r="N648" s="2959"/>
      <c r="O648" s="2959"/>
      <c r="P648" s="2959"/>
      <c r="Q648" s="377"/>
      <c r="R648" s="2959"/>
      <c r="S648" s="2959"/>
      <c r="T648" s="2959"/>
      <c r="U648" s="377"/>
      <c r="V648" s="2954"/>
      <c r="W648" s="2954"/>
      <c r="X648" s="2954"/>
      <c r="Y648" s="2954"/>
      <c r="Z648" s="2954"/>
      <c r="AA648" s="375"/>
    </row>
    <row r="649" spans="1:27" ht="12.75" customHeight="1" x14ac:dyDescent="0.2">
      <c r="A649" s="6360"/>
      <c r="B649" s="251" t="str">
        <f t="shared" si="19"/>
        <v>Tiempo4</v>
      </c>
      <c r="D649" s="272" t="s">
        <v>611</v>
      </c>
      <c r="E649" s="2959" t="s">
        <v>92</v>
      </c>
      <c r="F649" s="2959">
        <v>4</v>
      </c>
      <c r="G649" s="2962" t="s">
        <v>1381</v>
      </c>
      <c r="H649" s="2962" t="s">
        <v>1234</v>
      </c>
      <c r="I649" s="380" t="s">
        <v>1304</v>
      </c>
      <c r="J649" s="2959">
        <v>5</v>
      </c>
      <c r="K649" s="2959">
        <v>7</v>
      </c>
      <c r="L649" s="2959">
        <v>10</v>
      </c>
      <c r="M649" s="377">
        <v>12</v>
      </c>
      <c r="N649" s="2959">
        <v>30</v>
      </c>
      <c r="O649" s="2959">
        <v>50</v>
      </c>
      <c r="P649" s="2959">
        <v>70</v>
      </c>
      <c r="Q649" s="377">
        <v>90</v>
      </c>
      <c r="R649" s="2959" t="s">
        <v>1381</v>
      </c>
      <c r="S649" s="2959" t="s">
        <v>1381</v>
      </c>
      <c r="T649" s="2959" t="s">
        <v>1381</v>
      </c>
      <c r="U649" s="377" t="s">
        <v>1381</v>
      </c>
      <c r="V649" s="2954" t="s">
        <v>5593</v>
      </c>
      <c r="W649" s="2954" t="s">
        <v>5594</v>
      </c>
      <c r="X649" s="2954" t="s">
        <v>5595</v>
      </c>
      <c r="Y649" s="2954" t="s">
        <v>5596</v>
      </c>
      <c r="Z649" s="2954" t="s">
        <v>5597</v>
      </c>
      <c r="AA649" s="375"/>
    </row>
    <row r="650" spans="1:27" ht="12.75" customHeight="1" x14ac:dyDescent="0.2">
      <c r="A650" s="6360"/>
      <c r="B650" s="251" t="str">
        <f t="shared" si="19"/>
        <v>Tiempo14</v>
      </c>
      <c r="D650" s="272" t="s">
        <v>612</v>
      </c>
      <c r="E650" s="2959" t="s">
        <v>92</v>
      </c>
      <c r="F650" s="2959">
        <v>14</v>
      </c>
      <c r="G650" s="2962" t="s">
        <v>1381</v>
      </c>
      <c r="H650" s="2962" t="s">
        <v>1234</v>
      </c>
      <c r="I650" s="380" t="s">
        <v>1304</v>
      </c>
      <c r="J650" s="2959">
        <v>7</v>
      </c>
      <c r="K650" s="2959">
        <v>10</v>
      </c>
      <c r="L650" s="2959">
        <v>12</v>
      </c>
      <c r="M650" s="377">
        <v>15</v>
      </c>
      <c r="N650" s="2959">
        <v>100</v>
      </c>
      <c r="O650" s="2959">
        <v>140</v>
      </c>
      <c r="P650" s="2959">
        <v>180</v>
      </c>
      <c r="Q650" s="377">
        <v>240</v>
      </c>
      <c r="R650" s="2959">
        <v>10</v>
      </c>
      <c r="S650" s="2959">
        <v>15</v>
      </c>
      <c r="T650" s="2959">
        <v>20</v>
      </c>
      <c r="U650" s="377">
        <v>25</v>
      </c>
      <c r="V650" s="2954" t="s">
        <v>5598</v>
      </c>
      <c r="W650" s="2954" t="s">
        <v>5599</v>
      </c>
      <c r="X650" s="2954" t="s">
        <v>5600</v>
      </c>
      <c r="Y650" s="2954" t="s">
        <v>5601</v>
      </c>
      <c r="Z650" s="2954" t="s">
        <v>5602</v>
      </c>
      <c r="AA650" s="375"/>
    </row>
    <row r="651" spans="1:27" ht="12.75" customHeight="1" x14ac:dyDescent="0.2">
      <c r="A651" s="6360"/>
      <c r="B651" s="251" t="str">
        <f t="shared" si="19"/>
        <v>Tiempo24</v>
      </c>
      <c r="D651" s="272" t="s">
        <v>613</v>
      </c>
      <c r="E651" s="2959" t="s">
        <v>92</v>
      </c>
      <c r="F651" s="2959">
        <v>24</v>
      </c>
      <c r="G651" s="2962" t="s">
        <v>1381</v>
      </c>
      <c r="H651" s="2962" t="s">
        <v>1234</v>
      </c>
      <c r="I651" s="380" t="s">
        <v>1304</v>
      </c>
      <c r="J651" s="2959">
        <v>7</v>
      </c>
      <c r="K651" s="2959">
        <v>10</v>
      </c>
      <c r="L651" s="2959">
        <v>12</v>
      </c>
      <c r="M651" s="377">
        <v>15</v>
      </c>
      <c r="N651" s="2959">
        <v>100</v>
      </c>
      <c r="O651" s="2959">
        <v>150</v>
      </c>
      <c r="P651" s="2959">
        <v>200</v>
      </c>
      <c r="Q651" s="377">
        <v>250</v>
      </c>
      <c r="R651" s="2959">
        <v>10</v>
      </c>
      <c r="S651" s="2959">
        <v>15</v>
      </c>
      <c r="T651" s="2959">
        <v>20</v>
      </c>
      <c r="U651" s="377">
        <v>25</v>
      </c>
      <c r="V651" s="2954" t="s">
        <v>5603</v>
      </c>
      <c r="W651" s="2954" t="s">
        <v>5604</v>
      </c>
      <c r="X651" s="2954" t="s">
        <v>5605</v>
      </c>
      <c r="Y651" s="2954" t="s">
        <v>5606</v>
      </c>
      <c r="Z651" s="2954" t="s">
        <v>5607</v>
      </c>
      <c r="AA651" s="375"/>
    </row>
    <row r="652" spans="1:27" ht="12.75" customHeight="1" x14ac:dyDescent="0.2">
      <c r="A652" s="6360"/>
      <c r="B652" s="251" t="str">
        <f t="shared" si="19"/>
        <v>Tiempo34</v>
      </c>
      <c r="D652" s="272" t="s">
        <v>614</v>
      </c>
      <c r="E652" s="2959" t="s">
        <v>92</v>
      </c>
      <c r="F652" s="2959">
        <v>34</v>
      </c>
      <c r="G652" s="2962" t="s">
        <v>1381</v>
      </c>
      <c r="H652" s="2962" t="s">
        <v>1235</v>
      </c>
      <c r="I652" s="380" t="s">
        <v>1304</v>
      </c>
      <c r="J652" s="2959">
        <v>8</v>
      </c>
      <c r="K652" s="2959">
        <v>11</v>
      </c>
      <c r="L652" s="2959">
        <v>13</v>
      </c>
      <c r="M652" s="377">
        <v>15</v>
      </c>
      <c r="N652" s="2959">
        <v>150</v>
      </c>
      <c r="O652" s="2959">
        <v>200</v>
      </c>
      <c r="P652" s="2959">
        <v>280</v>
      </c>
      <c r="Q652" s="377">
        <v>380</v>
      </c>
      <c r="R652" s="2959">
        <v>15</v>
      </c>
      <c r="S652" s="2959">
        <v>20</v>
      </c>
      <c r="T652" s="2959">
        <v>30</v>
      </c>
      <c r="U652" s="377">
        <v>40</v>
      </c>
      <c r="V652" s="2954" t="s">
        <v>5608</v>
      </c>
      <c r="W652" s="2954" t="s">
        <v>5609</v>
      </c>
      <c r="X652" s="2954" t="s">
        <v>5610</v>
      </c>
      <c r="Y652" s="2954" t="s">
        <v>5611</v>
      </c>
      <c r="Z652" s="2954" t="s">
        <v>5612</v>
      </c>
      <c r="AA652" s="375"/>
    </row>
    <row r="653" spans="1:27" ht="12.75" customHeight="1" x14ac:dyDescent="0.2">
      <c r="A653" s="6360"/>
      <c r="B653" s="251" t="str">
        <f t="shared" si="19"/>
        <v>Tiempo44</v>
      </c>
      <c r="D653" s="272" t="s">
        <v>615</v>
      </c>
      <c r="E653" s="2959" t="s">
        <v>92</v>
      </c>
      <c r="F653" s="2959">
        <v>44</v>
      </c>
      <c r="G653" s="2962" t="s">
        <v>2088</v>
      </c>
      <c r="H653" s="2962" t="s">
        <v>1235</v>
      </c>
      <c r="I653" s="380" t="s">
        <v>1304</v>
      </c>
      <c r="J653" s="2959">
        <v>9</v>
      </c>
      <c r="K653" s="2959">
        <v>12</v>
      </c>
      <c r="L653" s="2959">
        <v>14</v>
      </c>
      <c r="M653" s="377">
        <v>16</v>
      </c>
      <c r="N653" s="2959">
        <v>200</v>
      </c>
      <c r="O653" s="2959">
        <v>300</v>
      </c>
      <c r="P653" s="2959">
        <v>400</v>
      </c>
      <c r="Q653" s="377">
        <v>500</v>
      </c>
      <c r="R653" s="2959">
        <v>40</v>
      </c>
      <c r="S653" s="2959">
        <v>60</v>
      </c>
      <c r="T653" s="2959">
        <v>80</v>
      </c>
      <c r="U653" s="377">
        <v>100</v>
      </c>
      <c r="V653" s="2954" t="s">
        <v>5613</v>
      </c>
      <c r="W653" s="2954" t="s">
        <v>5614</v>
      </c>
      <c r="X653" s="2954" t="s">
        <v>5615</v>
      </c>
      <c r="Y653" s="2954" t="s">
        <v>5616</v>
      </c>
      <c r="Z653" s="2954" t="s">
        <v>5617</v>
      </c>
      <c r="AA653" s="375"/>
    </row>
    <row r="654" spans="1:27" ht="12.75" customHeight="1" x14ac:dyDescent="0.2">
      <c r="A654" s="6360"/>
      <c r="B654" s="251" t="str">
        <f t="shared" si="19"/>
        <v>Tiempo54</v>
      </c>
      <c r="D654" s="272" t="s">
        <v>616</v>
      </c>
      <c r="E654" s="2959" t="s">
        <v>92</v>
      </c>
      <c r="F654" s="2959">
        <v>54</v>
      </c>
      <c r="G654" s="2962" t="s">
        <v>1381</v>
      </c>
      <c r="H654" s="2962" t="s">
        <v>1233</v>
      </c>
      <c r="I654" s="380" t="s">
        <v>1304</v>
      </c>
      <c r="J654" s="2959">
        <v>10</v>
      </c>
      <c r="K654" s="2959">
        <v>13</v>
      </c>
      <c r="L654" s="2959">
        <v>15</v>
      </c>
      <c r="M654" s="377">
        <v>17</v>
      </c>
      <c r="N654" s="2959">
        <v>250</v>
      </c>
      <c r="O654" s="2959">
        <v>350</v>
      </c>
      <c r="P654" s="2959">
        <v>450</v>
      </c>
      <c r="Q654" s="377">
        <v>600</v>
      </c>
      <c r="R654" s="2959" t="s">
        <v>1381</v>
      </c>
      <c r="S654" s="2959" t="s">
        <v>1381</v>
      </c>
      <c r="T654" s="2959" t="s">
        <v>1381</v>
      </c>
      <c r="U654" s="377" t="s">
        <v>1381</v>
      </c>
      <c r="V654" s="2954" t="s">
        <v>5618</v>
      </c>
      <c r="W654" s="2954" t="s">
        <v>5619</v>
      </c>
      <c r="X654" s="2954" t="s">
        <v>5620</v>
      </c>
      <c r="Y654" s="2954" t="s">
        <v>5621</v>
      </c>
      <c r="Z654" s="2954" t="s">
        <v>5622</v>
      </c>
      <c r="AA654" s="375"/>
    </row>
    <row r="655" spans="1:27" ht="12.75" customHeight="1" x14ac:dyDescent="0.2">
      <c r="A655" s="6360"/>
      <c r="B655" s="251" t="str">
        <f t="shared" si="19"/>
        <v>Tiempo64</v>
      </c>
      <c r="D655" s="272" t="s">
        <v>617</v>
      </c>
      <c r="E655" s="2959" t="s">
        <v>92</v>
      </c>
      <c r="F655" s="2959">
        <v>64</v>
      </c>
      <c r="G655" s="2962" t="s">
        <v>1381</v>
      </c>
      <c r="H655" s="2962" t="s">
        <v>1234</v>
      </c>
      <c r="I655" s="380" t="s">
        <v>1304</v>
      </c>
      <c r="J655" s="2959">
        <v>11</v>
      </c>
      <c r="K655" s="2959">
        <v>14</v>
      </c>
      <c r="L655" s="2959">
        <v>16</v>
      </c>
      <c r="M655" s="377">
        <v>18</v>
      </c>
      <c r="N655" s="2959">
        <v>200</v>
      </c>
      <c r="O655" s="2959">
        <v>350</v>
      </c>
      <c r="P655" s="2959">
        <v>500</v>
      </c>
      <c r="Q655" s="377">
        <v>800</v>
      </c>
      <c r="R655" s="2959" t="s">
        <v>1381</v>
      </c>
      <c r="S655" s="2959" t="s">
        <v>1381</v>
      </c>
      <c r="T655" s="2959" t="s">
        <v>1381</v>
      </c>
      <c r="U655" s="377" t="s">
        <v>1381</v>
      </c>
      <c r="V655" s="2954" t="s">
        <v>5623</v>
      </c>
      <c r="W655" s="2954" t="s">
        <v>5624</v>
      </c>
      <c r="X655" s="2954" t="s">
        <v>5625</v>
      </c>
      <c r="Y655" s="2954" t="s">
        <v>5626</v>
      </c>
      <c r="Z655" s="2954" t="s">
        <v>5627</v>
      </c>
      <c r="AA655" s="375"/>
    </row>
    <row r="656" spans="1:27" ht="12.75" customHeight="1" x14ac:dyDescent="0.2">
      <c r="A656" s="6360"/>
      <c r="B656" s="251" t="str">
        <f t="shared" si="19"/>
        <v>Tiempo74</v>
      </c>
      <c r="D656" s="272" t="s">
        <v>618</v>
      </c>
      <c r="E656" s="2959" t="s">
        <v>92</v>
      </c>
      <c r="F656" s="2959">
        <v>74</v>
      </c>
      <c r="G656" s="2962" t="s">
        <v>1381</v>
      </c>
      <c r="H656" s="2962" t="s">
        <v>1233</v>
      </c>
      <c r="I656" s="380" t="s">
        <v>1304</v>
      </c>
      <c r="J656" s="2959">
        <v>11</v>
      </c>
      <c r="K656" s="2959">
        <v>14</v>
      </c>
      <c r="L656" s="2959">
        <v>16</v>
      </c>
      <c r="M656" s="377">
        <v>18</v>
      </c>
      <c r="N656" s="2959">
        <v>250</v>
      </c>
      <c r="O656" s="2959">
        <v>350</v>
      </c>
      <c r="P656" s="2959">
        <v>450</v>
      </c>
      <c r="Q656" s="377">
        <v>600</v>
      </c>
      <c r="R656" s="2959" t="s">
        <v>1381</v>
      </c>
      <c r="S656" s="2959" t="s">
        <v>1381</v>
      </c>
      <c r="T656" s="2959" t="s">
        <v>1381</v>
      </c>
      <c r="U656" s="377" t="s">
        <v>1381</v>
      </c>
      <c r="V656" s="2954" t="s">
        <v>5628</v>
      </c>
      <c r="W656" s="2954" t="s">
        <v>5629</v>
      </c>
      <c r="X656" s="2954" t="s">
        <v>5630</v>
      </c>
      <c r="Y656" s="2954" t="s">
        <v>5631</v>
      </c>
      <c r="Z656" s="2954" t="s">
        <v>5632</v>
      </c>
      <c r="AA656" s="375"/>
    </row>
    <row r="657" spans="1:27" ht="12.75" customHeight="1" x14ac:dyDescent="0.2">
      <c r="A657" s="6360"/>
      <c r="B657" s="251" t="str">
        <f t="shared" si="19"/>
        <v>Tiempo84</v>
      </c>
      <c r="D657" s="272" t="s">
        <v>619</v>
      </c>
      <c r="E657" s="2959" t="s">
        <v>92</v>
      </c>
      <c r="F657" s="2959">
        <v>84</v>
      </c>
      <c r="G657" s="2962" t="s">
        <v>1381</v>
      </c>
      <c r="H657" s="2962" t="s">
        <v>1234</v>
      </c>
      <c r="I657" s="380" t="s">
        <v>1304</v>
      </c>
      <c r="J657" s="2959">
        <v>11</v>
      </c>
      <c r="K657" s="2959">
        <v>14</v>
      </c>
      <c r="L657" s="2959">
        <v>16</v>
      </c>
      <c r="M657" s="377">
        <v>18</v>
      </c>
      <c r="N657" s="2959">
        <v>400</v>
      </c>
      <c r="O657" s="2959">
        <v>600</v>
      </c>
      <c r="P657" s="2959">
        <v>900</v>
      </c>
      <c r="Q657" s="377">
        <v>1400</v>
      </c>
      <c r="R657" s="2959">
        <v>40</v>
      </c>
      <c r="S657" s="2959">
        <v>60</v>
      </c>
      <c r="T657" s="2959">
        <v>90</v>
      </c>
      <c r="U657" s="377">
        <v>140</v>
      </c>
      <c r="V657" s="2954" t="s">
        <v>5633</v>
      </c>
      <c r="W657" s="2954" t="s">
        <v>5634</v>
      </c>
      <c r="X657" s="2954" t="s">
        <v>5635</v>
      </c>
      <c r="Y657" s="2954" t="s">
        <v>5636</v>
      </c>
      <c r="Z657" s="2954" t="s">
        <v>5637</v>
      </c>
      <c r="AA657" s="375"/>
    </row>
    <row r="658" spans="1:27" ht="12.75" customHeight="1" x14ac:dyDescent="0.2">
      <c r="A658" s="6360"/>
      <c r="B658" s="251" t="str">
        <f t="shared" si="19"/>
        <v>Tiempo94</v>
      </c>
      <c r="D658" s="272" t="s">
        <v>620</v>
      </c>
      <c r="E658" s="2959" t="s">
        <v>92</v>
      </c>
      <c r="F658" s="2959">
        <v>94</v>
      </c>
      <c r="G658" s="2962" t="s">
        <v>1381</v>
      </c>
      <c r="H658" s="2962" t="s">
        <v>1234</v>
      </c>
      <c r="I658" s="380" t="s">
        <v>1304</v>
      </c>
      <c r="J658" s="2959">
        <v>12</v>
      </c>
      <c r="K658" s="2959">
        <v>15</v>
      </c>
      <c r="L658" s="2959">
        <v>17</v>
      </c>
      <c r="M658" s="377">
        <v>19</v>
      </c>
      <c r="N658" s="2959">
        <v>500</v>
      </c>
      <c r="O658" s="2959">
        <v>800</v>
      </c>
      <c r="P658" s="2959">
        <v>1250</v>
      </c>
      <c r="Q658" s="377">
        <v>2500</v>
      </c>
      <c r="R658" s="2959" t="s">
        <v>1381</v>
      </c>
      <c r="S658" s="2959" t="s">
        <v>1381</v>
      </c>
      <c r="T658" s="2959" t="s">
        <v>1381</v>
      </c>
      <c r="U658" s="377" t="s">
        <v>1381</v>
      </c>
      <c r="V658" s="2954" t="s">
        <v>5638</v>
      </c>
      <c r="W658" s="2954" t="s">
        <v>5639</v>
      </c>
      <c r="X658" s="2954" t="s">
        <v>5640</v>
      </c>
      <c r="Y658" s="2954" t="s">
        <v>5641</v>
      </c>
      <c r="Z658" s="2954" t="s">
        <v>5642</v>
      </c>
      <c r="AA658" s="375"/>
    </row>
    <row r="659" spans="1:27" ht="12.75" customHeight="1" x14ac:dyDescent="0.2">
      <c r="A659" s="6360"/>
      <c r="B659" s="251" t="str">
        <f t="shared" si="19"/>
        <v/>
      </c>
      <c r="D659" s="272" t="s">
        <v>621</v>
      </c>
      <c r="E659" s="2959"/>
      <c r="F659" s="2959"/>
      <c r="G659" s="2962"/>
      <c r="H659" s="2962"/>
      <c r="I659" s="380"/>
      <c r="J659" s="2959"/>
      <c r="K659" s="2959"/>
      <c r="L659" s="2959"/>
      <c r="M659" s="377"/>
      <c r="N659" s="2959"/>
      <c r="O659" s="2959"/>
      <c r="P659" s="2959"/>
      <c r="Q659" s="377"/>
      <c r="R659" s="2959"/>
      <c r="S659" s="2959"/>
      <c r="T659" s="2959"/>
      <c r="U659" s="377"/>
      <c r="V659" s="2954"/>
      <c r="W659" s="2954"/>
      <c r="X659" s="2954"/>
      <c r="Y659" s="2954"/>
      <c r="Z659" s="2954"/>
      <c r="AA659" s="375"/>
    </row>
    <row r="660" spans="1:27" ht="12.75" customHeight="1" x14ac:dyDescent="0.2">
      <c r="A660" s="6360"/>
      <c r="B660" s="251" t="str">
        <f t="shared" si="19"/>
        <v>Umbral4</v>
      </c>
      <c r="D660" s="272" t="s">
        <v>622</v>
      </c>
      <c r="E660" s="2959" t="s">
        <v>2075</v>
      </c>
      <c r="F660" s="2959">
        <v>4</v>
      </c>
      <c r="G660" s="2962" t="s">
        <v>1381</v>
      </c>
      <c r="H660" s="2962" t="s">
        <v>1236</v>
      </c>
      <c r="I660" s="380" t="s">
        <v>1304</v>
      </c>
      <c r="J660" s="2959">
        <v>5</v>
      </c>
      <c r="K660" s="2959">
        <v>8</v>
      </c>
      <c r="L660" s="2959">
        <v>11</v>
      </c>
      <c r="M660" s="377">
        <v>14</v>
      </c>
      <c r="N660" s="2959">
        <v>30</v>
      </c>
      <c r="O660" s="2959">
        <v>60</v>
      </c>
      <c r="P660" s="2959">
        <v>90</v>
      </c>
      <c r="Q660" s="377">
        <v>120</v>
      </c>
      <c r="R660" s="2959">
        <v>5</v>
      </c>
      <c r="S660" s="2959">
        <v>5</v>
      </c>
      <c r="T660" s="2959">
        <v>5</v>
      </c>
      <c r="U660" s="377">
        <v>10</v>
      </c>
      <c r="V660" s="2954" t="s">
        <v>5643</v>
      </c>
      <c r="W660" s="2954" t="s">
        <v>5644</v>
      </c>
      <c r="X660" s="2954" t="s">
        <v>5645</v>
      </c>
      <c r="Y660" s="2954" t="s">
        <v>5646</v>
      </c>
      <c r="Z660" s="2954" t="s">
        <v>5647</v>
      </c>
      <c r="AA660" s="375"/>
    </row>
    <row r="661" spans="1:27" ht="12.75" customHeight="1" x14ac:dyDescent="0.2">
      <c r="A661" s="6360"/>
      <c r="B661" s="251" t="str">
        <f t="shared" si="19"/>
        <v>Umbral14</v>
      </c>
      <c r="D661" s="272" t="s">
        <v>623</v>
      </c>
      <c r="E661" s="2959" t="s">
        <v>2075</v>
      </c>
      <c r="F661" s="2959">
        <v>14</v>
      </c>
      <c r="G661" s="2962" t="s">
        <v>1381</v>
      </c>
      <c r="H661" s="2962" t="s">
        <v>1234</v>
      </c>
      <c r="I661" s="380" t="s">
        <v>1304</v>
      </c>
      <c r="J661" s="2959">
        <v>6</v>
      </c>
      <c r="K661" s="2959">
        <v>9</v>
      </c>
      <c r="L661" s="2959">
        <v>12</v>
      </c>
      <c r="M661" s="377">
        <v>15</v>
      </c>
      <c r="N661" s="2959">
        <v>40</v>
      </c>
      <c r="O661" s="2959">
        <v>70</v>
      </c>
      <c r="P661" s="2959">
        <v>100</v>
      </c>
      <c r="Q661" s="377">
        <v>130</v>
      </c>
      <c r="R661" s="2959" t="s">
        <v>1381</v>
      </c>
      <c r="S661" s="2959" t="s">
        <v>1381</v>
      </c>
      <c r="T661" s="2959" t="s">
        <v>1381</v>
      </c>
      <c r="U661" s="377" t="s">
        <v>1381</v>
      </c>
      <c r="V661" s="2954" t="s">
        <v>3475</v>
      </c>
      <c r="W661" s="2954" t="s">
        <v>5648</v>
      </c>
      <c r="X661" s="2954" t="s">
        <v>4075</v>
      </c>
      <c r="Y661" s="2954" t="s">
        <v>4076</v>
      </c>
      <c r="Z661" s="2954" t="s">
        <v>5649</v>
      </c>
      <c r="AA661" s="375"/>
    </row>
    <row r="662" spans="1:27" ht="12.75" customHeight="1" x14ac:dyDescent="0.2">
      <c r="A662" s="6360"/>
      <c r="B662" s="251" t="str">
        <f t="shared" si="19"/>
        <v>Umbral24</v>
      </c>
      <c r="D662" s="272" t="s">
        <v>624</v>
      </c>
      <c r="E662" s="2959" t="s">
        <v>2075</v>
      </c>
      <c r="F662" s="2959">
        <v>24</v>
      </c>
      <c r="G662" s="2962" t="s">
        <v>1381</v>
      </c>
      <c r="H662" s="2962" t="s">
        <v>1235</v>
      </c>
      <c r="I662" s="380" t="s">
        <v>1304</v>
      </c>
      <c r="J662" s="2959">
        <v>6</v>
      </c>
      <c r="K662" s="2959">
        <v>9</v>
      </c>
      <c r="L662" s="2959">
        <v>12</v>
      </c>
      <c r="M662" s="377">
        <v>15</v>
      </c>
      <c r="N662" s="2959">
        <v>60</v>
      </c>
      <c r="O662" s="2959">
        <v>100</v>
      </c>
      <c r="P662" s="2959">
        <v>160</v>
      </c>
      <c r="Q662" s="377">
        <v>200</v>
      </c>
      <c r="R662" s="2959">
        <v>5</v>
      </c>
      <c r="S662" s="2959">
        <v>5</v>
      </c>
      <c r="T662" s="2959">
        <v>10</v>
      </c>
      <c r="U662" s="377">
        <v>10</v>
      </c>
      <c r="V662" s="2954" t="s">
        <v>3399</v>
      </c>
      <c r="W662" s="2954" t="s">
        <v>3206</v>
      </c>
      <c r="X662" s="2954" t="s">
        <v>5650</v>
      </c>
      <c r="Y662" s="2954" t="s">
        <v>5651</v>
      </c>
      <c r="Z662" s="2954" t="s">
        <v>5652</v>
      </c>
      <c r="AA662" s="375"/>
    </row>
    <row r="663" spans="1:27" ht="12.75" customHeight="1" x14ac:dyDescent="0.2">
      <c r="A663" s="6360"/>
      <c r="B663" s="251" t="str">
        <f t="shared" si="19"/>
        <v>Umbral34</v>
      </c>
      <c r="D663" s="272" t="s">
        <v>625</v>
      </c>
      <c r="E663" s="2959" t="s">
        <v>2075</v>
      </c>
      <c r="F663" s="2959">
        <v>34</v>
      </c>
      <c r="G663" s="2962" t="s">
        <v>1381</v>
      </c>
      <c r="H663" s="2962" t="s">
        <v>1233</v>
      </c>
      <c r="I663" s="380" t="s">
        <v>1304</v>
      </c>
      <c r="J663" s="2959">
        <v>7</v>
      </c>
      <c r="K663" s="2959">
        <v>10</v>
      </c>
      <c r="L663" s="2959">
        <v>13</v>
      </c>
      <c r="M663" s="377">
        <v>15</v>
      </c>
      <c r="N663" s="2959">
        <v>80</v>
      </c>
      <c r="O663" s="2959">
        <v>100</v>
      </c>
      <c r="P663" s="2959">
        <v>120</v>
      </c>
      <c r="Q663" s="377">
        <v>140</v>
      </c>
      <c r="R663" s="2959">
        <v>5</v>
      </c>
      <c r="S663" s="2959">
        <v>10</v>
      </c>
      <c r="T663" s="2959">
        <v>15</v>
      </c>
      <c r="U663" s="377">
        <v>20</v>
      </c>
      <c r="V663" s="2954" t="s">
        <v>4557</v>
      </c>
      <c r="W663" s="2954" t="s">
        <v>4558</v>
      </c>
      <c r="X663" s="2954" t="s">
        <v>4559</v>
      </c>
      <c r="Y663" s="2954" t="s">
        <v>4560</v>
      </c>
      <c r="Z663" s="2954" t="s">
        <v>5653</v>
      </c>
      <c r="AA663" s="375"/>
    </row>
    <row r="664" spans="1:27" ht="12.75" customHeight="1" x14ac:dyDescent="0.2">
      <c r="A664" s="6360"/>
      <c r="B664" s="251" t="str">
        <f t="shared" si="19"/>
        <v>Umbral44</v>
      </c>
      <c r="D664" s="272" t="s">
        <v>626</v>
      </c>
      <c r="E664" s="2959" t="s">
        <v>2075</v>
      </c>
      <c r="F664" s="2959">
        <v>44</v>
      </c>
      <c r="G664" s="2962" t="s">
        <v>2088</v>
      </c>
      <c r="H664" s="2962" t="s">
        <v>1233</v>
      </c>
      <c r="I664" s="380" t="s">
        <v>1304</v>
      </c>
      <c r="J664" s="2959">
        <v>7</v>
      </c>
      <c r="K664" s="2959">
        <v>10</v>
      </c>
      <c r="L664" s="2959">
        <v>13</v>
      </c>
      <c r="M664" s="377">
        <v>15</v>
      </c>
      <c r="N664" s="2959">
        <v>100</v>
      </c>
      <c r="O664" s="2959">
        <v>140</v>
      </c>
      <c r="P664" s="2959">
        <v>180</v>
      </c>
      <c r="Q664" s="377">
        <v>240</v>
      </c>
      <c r="R664" s="2959">
        <v>10</v>
      </c>
      <c r="S664" s="2959">
        <v>15</v>
      </c>
      <c r="T664" s="2959">
        <v>20</v>
      </c>
      <c r="U664" s="377">
        <v>25</v>
      </c>
      <c r="V664" s="2954" t="s">
        <v>4557</v>
      </c>
      <c r="W664" s="2954" t="s">
        <v>4559</v>
      </c>
      <c r="X664" s="2954" t="s">
        <v>5654</v>
      </c>
      <c r="Y664" s="2954" t="s">
        <v>5655</v>
      </c>
      <c r="Z664" s="2954" t="s">
        <v>7065</v>
      </c>
      <c r="AA664" s="375"/>
    </row>
    <row r="665" spans="1:27" ht="12.75" customHeight="1" x14ac:dyDescent="0.2">
      <c r="A665" s="6360"/>
      <c r="B665" s="251" t="str">
        <f t="shared" si="19"/>
        <v>Umbral54</v>
      </c>
      <c r="D665" s="272" t="s">
        <v>627</v>
      </c>
      <c r="E665" s="2959" t="s">
        <v>2075</v>
      </c>
      <c r="F665" s="2959">
        <v>54</v>
      </c>
      <c r="G665" s="2962" t="s">
        <v>2088</v>
      </c>
      <c r="H665" s="2962" t="s">
        <v>1233</v>
      </c>
      <c r="I665" s="380" t="s">
        <v>1304</v>
      </c>
      <c r="J665" s="2959">
        <v>6</v>
      </c>
      <c r="K665" s="2959">
        <v>9</v>
      </c>
      <c r="L665" s="2959">
        <v>12</v>
      </c>
      <c r="M665" s="377">
        <v>15</v>
      </c>
      <c r="N665" s="2959">
        <v>120</v>
      </c>
      <c r="O665" s="2959">
        <v>180</v>
      </c>
      <c r="P665" s="2959">
        <v>240</v>
      </c>
      <c r="Q665" s="377">
        <v>300</v>
      </c>
      <c r="R665" s="2959">
        <v>15</v>
      </c>
      <c r="S665" s="2959">
        <v>20</v>
      </c>
      <c r="T665" s="2959">
        <v>25</v>
      </c>
      <c r="U665" s="377">
        <v>30</v>
      </c>
      <c r="V665" s="2954" t="s">
        <v>5656</v>
      </c>
      <c r="W665" s="2954" t="s">
        <v>5657</v>
      </c>
      <c r="X665" s="2954" t="s">
        <v>5658</v>
      </c>
      <c r="Y665" s="2954" t="s">
        <v>5659</v>
      </c>
      <c r="Z665" s="2954" t="s">
        <v>5660</v>
      </c>
      <c r="AA665" s="375"/>
    </row>
    <row r="666" spans="1:27" ht="12.75" customHeight="1" x14ac:dyDescent="0.2">
      <c r="A666" s="6360"/>
      <c r="B666" s="251" t="str">
        <f t="shared" si="19"/>
        <v>Umbral64</v>
      </c>
      <c r="D666" s="272" t="s">
        <v>628</v>
      </c>
      <c r="E666" s="2959" t="s">
        <v>2075</v>
      </c>
      <c r="F666" s="2959">
        <v>64</v>
      </c>
      <c r="G666" s="2962" t="s">
        <v>1381</v>
      </c>
      <c r="H666" s="2962" t="s">
        <v>1233</v>
      </c>
      <c r="I666" s="380" t="s">
        <v>1304</v>
      </c>
      <c r="J666" s="2959">
        <v>8</v>
      </c>
      <c r="K666" s="2959">
        <v>10</v>
      </c>
      <c r="L666" s="2959">
        <v>12</v>
      </c>
      <c r="M666" s="377">
        <v>15</v>
      </c>
      <c r="N666" s="2959">
        <v>80</v>
      </c>
      <c r="O666" s="2959">
        <v>140</v>
      </c>
      <c r="P666" s="2959">
        <v>200</v>
      </c>
      <c r="Q666" s="377">
        <v>240</v>
      </c>
      <c r="R666" s="2959">
        <v>10</v>
      </c>
      <c r="S666" s="2959">
        <v>15</v>
      </c>
      <c r="T666" s="2959">
        <v>20</v>
      </c>
      <c r="U666" s="377">
        <v>25</v>
      </c>
      <c r="V666" s="2954" t="s">
        <v>5661</v>
      </c>
      <c r="W666" s="2954" t="s">
        <v>5662</v>
      </c>
      <c r="X666" s="2954" t="s">
        <v>5663</v>
      </c>
      <c r="Y666" s="2954" t="s">
        <v>5664</v>
      </c>
      <c r="Z666" s="2954" t="s">
        <v>5665</v>
      </c>
      <c r="AA666" s="375"/>
    </row>
    <row r="667" spans="1:27" ht="12.75" customHeight="1" x14ac:dyDescent="0.2">
      <c r="A667" s="6360"/>
      <c r="B667" s="251" t="str">
        <f t="shared" si="19"/>
        <v>Umbral74</v>
      </c>
      <c r="D667" s="272" t="s">
        <v>629</v>
      </c>
      <c r="E667" s="2959" t="s">
        <v>2075</v>
      </c>
      <c r="F667" s="2959">
        <v>74</v>
      </c>
      <c r="G667" s="2962" t="s">
        <v>1381</v>
      </c>
      <c r="H667" s="2962" t="s">
        <v>1235</v>
      </c>
      <c r="I667" s="380" t="s">
        <v>1304</v>
      </c>
      <c r="J667" s="2959">
        <v>10</v>
      </c>
      <c r="K667" s="2959">
        <v>12</v>
      </c>
      <c r="L667" s="2959">
        <v>14</v>
      </c>
      <c r="M667" s="377">
        <v>16</v>
      </c>
      <c r="N667" s="2959">
        <v>200</v>
      </c>
      <c r="O667" s="2959">
        <v>300</v>
      </c>
      <c r="P667" s="2959">
        <v>400</v>
      </c>
      <c r="Q667" s="377">
        <v>500</v>
      </c>
      <c r="R667" s="2959" t="s">
        <v>1381</v>
      </c>
      <c r="S667" s="2959" t="s">
        <v>1381</v>
      </c>
      <c r="T667" s="2959" t="s">
        <v>1381</v>
      </c>
      <c r="U667" s="377" t="s">
        <v>1381</v>
      </c>
      <c r="V667" s="2954" t="s">
        <v>5651</v>
      </c>
      <c r="W667" s="2954" t="s">
        <v>5666</v>
      </c>
      <c r="X667" s="2954" t="s">
        <v>5667</v>
      </c>
      <c r="Y667" s="2954" t="s">
        <v>5668</v>
      </c>
      <c r="Z667" s="2954" t="s">
        <v>5669</v>
      </c>
      <c r="AA667" s="375"/>
    </row>
    <row r="668" spans="1:27" ht="12.75" customHeight="1" x14ac:dyDescent="0.2">
      <c r="A668" s="6360"/>
      <c r="B668" s="251" t="str">
        <f t="shared" si="19"/>
        <v>Umbral84</v>
      </c>
      <c r="D668" s="272" t="s">
        <v>630</v>
      </c>
      <c r="E668" s="2959" t="s">
        <v>2075</v>
      </c>
      <c r="F668" s="2959">
        <v>84</v>
      </c>
      <c r="G668" s="2962" t="s">
        <v>1381</v>
      </c>
      <c r="H668" s="2962" t="s">
        <v>1235</v>
      </c>
      <c r="I668" s="380" t="s">
        <v>1304</v>
      </c>
      <c r="J668" s="2959">
        <v>10</v>
      </c>
      <c r="K668" s="2959">
        <v>12</v>
      </c>
      <c r="L668" s="2959">
        <v>15</v>
      </c>
      <c r="M668" s="377">
        <v>18</v>
      </c>
      <c r="N668" s="2959">
        <v>150</v>
      </c>
      <c r="O668" s="2959">
        <v>250</v>
      </c>
      <c r="P668" s="2959">
        <v>500</v>
      </c>
      <c r="Q668" s="377">
        <v>700</v>
      </c>
      <c r="R668" s="2959">
        <v>15</v>
      </c>
      <c r="S668" s="2959">
        <v>25</v>
      </c>
      <c r="T668" s="2959">
        <v>50</v>
      </c>
      <c r="U668" s="377">
        <v>70</v>
      </c>
      <c r="V668" s="2954" t="s">
        <v>5670</v>
      </c>
      <c r="W668" s="2954" t="s">
        <v>5671</v>
      </c>
      <c r="X668" s="2954" t="s">
        <v>5672</v>
      </c>
      <c r="Y668" s="2954" t="s">
        <v>5673</v>
      </c>
      <c r="Z668" s="2954" t="s">
        <v>5674</v>
      </c>
      <c r="AA668" s="375"/>
    </row>
    <row r="669" spans="1:27" ht="12.75" customHeight="1" x14ac:dyDescent="0.2">
      <c r="A669" s="6360"/>
      <c r="B669" s="251" t="str">
        <f t="shared" si="19"/>
        <v>Umbral94</v>
      </c>
      <c r="D669" s="272" t="s">
        <v>631</v>
      </c>
      <c r="E669" s="2959" t="s">
        <v>2075</v>
      </c>
      <c r="F669" s="2959">
        <v>94</v>
      </c>
      <c r="G669" s="2962" t="s">
        <v>1381</v>
      </c>
      <c r="H669" s="2962" t="s">
        <v>1235</v>
      </c>
      <c r="I669" s="380" t="s">
        <v>1304</v>
      </c>
      <c r="J669" s="2959">
        <v>11</v>
      </c>
      <c r="K669" s="2959">
        <v>13</v>
      </c>
      <c r="L669" s="2959">
        <v>15</v>
      </c>
      <c r="M669" s="377">
        <v>17</v>
      </c>
      <c r="N669" s="2959">
        <v>250</v>
      </c>
      <c r="O669" s="2959">
        <v>350</v>
      </c>
      <c r="P669" s="2959">
        <v>450</v>
      </c>
      <c r="Q669" s="377">
        <v>600</v>
      </c>
      <c r="R669" s="2959" t="s">
        <v>1381</v>
      </c>
      <c r="S669" s="2959" t="s">
        <v>1381</v>
      </c>
      <c r="T669" s="2959" t="s">
        <v>1381</v>
      </c>
      <c r="U669" s="377" t="s">
        <v>1381</v>
      </c>
      <c r="V669" s="2954" t="s">
        <v>3604</v>
      </c>
      <c r="W669" s="2954" t="s">
        <v>4583</v>
      </c>
      <c r="X669" s="2954" t="s">
        <v>3606</v>
      </c>
      <c r="Y669" s="2954" t="s">
        <v>5675</v>
      </c>
      <c r="Z669" s="2954" t="s">
        <v>5676</v>
      </c>
      <c r="AA669" s="375"/>
    </row>
    <row r="670" spans="1:27" ht="12.75" customHeight="1" x14ac:dyDescent="0.2">
      <c r="A670" s="6360"/>
      <c r="B670" s="251" t="str">
        <f t="shared" si="19"/>
        <v/>
      </c>
      <c r="D670" s="272" t="s">
        <v>632</v>
      </c>
      <c r="E670" s="2959"/>
      <c r="F670" s="2959"/>
      <c r="G670" s="2962"/>
      <c r="H670" s="2962"/>
      <c r="I670" s="380"/>
      <c r="J670" s="2959"/>
      <c r="K670" s="2959"/>
      <c r="L670" s="2959"/>
      <c r="M670" s="377"/>
      <c r="N670" s="2959"/>
      <c r="O670" s="2959"/>
      <c r="P670" s="2959"/>
      <c r="Q670" s="377"/>
      <c r="R670" s="2959"/>
      <c r="S670" s="2959"/>
      <c r="T670" s="2959"/>
      <c r="U670" s="377"/>
      <c r="V670" s="2954"/>
      <c r="W670" s="2954"/>
      <c r="X670" s="2954"/>
      <c r="Y670" s="2954"/>
      <c r="Z670" s="2954"/>
      <c r="AA670" s="375"/>
    </row>
    <row r="671" spans="1:27" ht="12.75" customHeight="1" x14ac:dyDescent="0.2">
      <c r="A671" s="6360"/>
      <c r="B671" s="251" t="str">
        <f t="shared" si="19"/>
        <v>Vacío4</v>
      </c>
      <c r="D671" s="272" t="s">
        <v>633</v>
      </c>
      <c r="E671" s="2959" t="s">
        <v>93</v>
      </c>
      <c r="F671" s="2959">
        <v>4</v>
      </c>
      <c r="G671" s="2962" t="s">
        <v>1381</v>
      </c>
      <c r="H671" s="2962" t="s">
        <v>1233</v>
      </c>
      <c r="I671" s="380" t="s">
        <v>1304</v>
      </c>
      <c r="J671" s="2959">
        <v>5</v>
      </c>
      <c r="K671" s="2959">
        <v>8</v>
      </c>
      <c r="L671" s="2959">
        <v>11</v>
      </c>
      <c r="M671" s="377">
        <v>14</v>
      </c>
      <c r="N671" s="2959">
        <v>30</v>
      </c>
      <c r="O671" s="2959">
        <v>60</v>
      </c>
      <c r="P671" s="2959">
        <v>90</v>
      </c>
      <c r="Q671" s="377">
        <v>120</v>
      </c>
      <c r="R671" s="2959" t="s">
        <v>1381</v>
      </c>
      <c r="S671" s="2959" t="s">
        <v>1381</v>
      </c>
      <c r="T671" s="2959" t="s">
        <v>1381</v>
      </c>
      <c r="U671" s="377" t="s">
        <v>1381</v>
      </c>
      <c r="V671" s="2954" t="s">
        <v>5677</v>
      </c>
      <c r="W671" s="2954" t="s">
        <v>5678</v>
      </c>
      <c r="X671" s="2954" t="s">
        <v>5679</v>
      </c>
      <c r="Y671" s="2954" t="s">
        <v>5680</v>
      </c>
      <c r="Z671" s="2954" t="s">
        <v>5681</v>
      </c>
      <c r="AA671" s="375"/>
    </row>
    <row r="672" spans="1:27" ht="12.75" customHeight="1" x14ac:dyDescent="0.2">
      <c r="A672" s="6360"/>
      <c r="B672" s="251" t="str">
        <f t="shared" si="19"/>
        <v>Vacío14</v>
      </c>
      <c r="D672" s="272" t="s">
        <v>634</v>
      </c>
      <c r="E672" s="2959" t="s">
        <v>93</v>
      </c>
      <c r="F672" s="2959">
        <v>14</v>
      </c>
      <c r="G672" s="2962" t="s">
        <v>1381</v>
      </c>
      <c r="H672" s="2962" t="s">
        <v>1232</v>
      </c>
      <c r="I672" s="380" t="s">
        <v>1304</v>
      </c>
      <c r="J672" s="2959">
        <v>6</v>
      </c>
      <c r="K672" s="2959">
        <v>9</v>
      </c>
      <c r="L672" s="2959">
        <v>12</v>
      </c>
      <c r="M672" s="377">
        <v>15</v>
      </c>
      <c r="N672" s="2959">
        <v>30</v>
      </c>
      <c r="O672" s="2959">
        <v>60</v>
      </c>
      <c r="P672" s="2959">
        <v>90</v>
      </c>
      <c r="Q672" s="377">
        <v>120</v>
      </c>
      <c r="R672" s="2959" t="s">
        <v>1381</v>
      </c>
      <c r="S672" s="2959" t="s">
        <v>1381</v>
      </c>
      <c r="T672" s="2959" t="s">
        <v>1381</v>
      </c>
      <c r="U672" s="377" t="s">
        <v>1381</v>
      </c>
      <c r="V672" s="2954" t="s">
        <v>5682</v>
      </c>
      <c r="W672" s="2954" t="s">
        <v>5683</v>
      </c>
      <c r="X672" s="2954" t="s">
        <v>5684</v>
      </c>
      <c r="Y672" s="2954" t="s">
        <v>5685</v>
      </c>
      <c r="Z672" s="2954" t="s">
        <v>5686</v>
      </c>
      <c r="AA672" s="375"/>
    </row>
    <row r="673" spans="1:27" ht="12.75" customHeight="1" x14ac:dyDescent="0.2">
      <c r="A673" s="6360"/>
      <c r="B673" s="251" t="str">
        <f t="shared" si="19"/>
        <v>Vacío24</v>
      </c>
      <c r="D673" s="272" t="s">
        <v>635</v>
      </c>
      <c r="E673" s="2959" t="s">
        <v>93</v>
      </c>
      <c r="F673" s="2959">
        <v>24</v>
      </c>
      <c r="G673" s="2962" t="s">
        <v>1381</v>
      </c>
      <c r="H673" s="2962" t="s">
        <v>1565</v>
      </c>
      <c r="I673" s="380" t="s">
        <v>1305</v>
      </c>
      <c r="J673" s="2959">
        <v>6</v>
      </c>
      <c r="K673" s="2959">
        <v>9</v>
      </c>
      <c r="L673" s="2959">
        <v>12</v>
      </c>
      <c r="M673" s="377">
        <v>15</v>
      </c>
      <c r="N673" s="2959">
        <v>50</v>
      </c>
      <c r="O673" s="2959">
        <v>90</v>
      </c>
      <c r="P673" s="2959">
        <v>120</v>
      </c>
      <c r="Q673" s="377">
        <v>150</v>
      </c>
      <c r="R673" s="2959">
        <v>5</v>
      </c>
      <c r="S673" s="2959">
        <v>20</v>
      </c>
      <c r="T673" s="2959">
        <v>25</v>
      </c>
      <c r="U673" s="377">
        <v>30</v>
      </c>
      <c r="V673" s="2954" t="s">
        <v>5687</v>
      </c>
      <c r="W673" s="2954" t="s">
        <v>5688</v>
      </c>
      <c r="X673" s="2954" t="s">
        <v>5689</v>
      </c>
      <c r="Y673" s="2954" t="s">
        <v>5690</v>
      </c>
      <c r="Z673" s="2954" t="s">
        <v>5691</v>
      </c>
      <c r="AA673" s="375"/>
    </row>
    <row r="674" spans="1:27" ht="12.75" customHeight="1" x14ac:dyDescent="0.2">
      <c r="A674" s="6360"/>
      <c r="B674" s="251" t="str">
        <f t="shared" si="19"/>
        <v>Vacío34</v>
      </c>
      <c r="D674" s="272" t="s">
        <v>636</v>
      </c>
      <c r="E674" s="2959" t="s">
        <v>93</v>
      </c>
      <c r="F674" s="2959">
        <v>34</v>
      </c>
      <c r="G674" s="2962" t="s">
        <v>1381</v>
      </c>
      <c r="H674" s="2962" t="s">
        <v>1235</v>
      </c>
      <c r="I674" s="380" t="s">
        <v>1304</v>
      </c>
      <c r="J674" s="2959">
        <v>7</v>
      </c>
      <c r="K674" s="2959">
        <v>10</v>
      </c>
      <c r="L674" s="2959">
        <v>13</v>
      </c>
      <c r="M674" s="377">
        <v>15</v>
      </c>
      <c r="N674" s="2959">
        <v>80</v>
      </c>
      <c r="O674" s="2959">
        <v>120</v>
      </c>
      <c r="P674" s="2959">
        <v>180</v>
      </c>
      <c r="Q674" s="377">
        <v>240</v>
      </c>
      <c r="R674" s="2959">
        <v>5</v>
      </c>
      <c r="S674" s="2959">
        <v>10</v>
      </c>
      <c r="T674" s="2959">
        <v>15</v>
      </c>
      <c r="U674" s="377">
        <v>20</v>
      </c>
      <c r="V674" s="2954" t="s">
        <v>5692</v>
      </c>
      <c r="W674" s="2954" t="s">
        <v>4567</v>
      </c>
      <c r="X674" s="2954" t="s">
        <v>5693</v>
      </c>
      <c r="Y674" s="2954" t="s">
        <v>5694</v>
      </c>
      <c r="Z674" s="2954" t="s">
        <v>5695</v>
      </c>
      <c r="AA674" s="375"/>
    </row>
    <row r="675" spans="1:27" ht="12.75" customHeight="1" x14ac:dyDescent="0.2">
      <c r="A675" s="6360"/>
      <c r="B675" s="251" t="str">
        <f t="shared" si="19"/>
        <v>Vacío44</v>
      </c>
      <c r="D675" s="272" t="s">
        <v>8349</v>
      </c>
      <c r="E675" s="2959" t="s">
        <v>93</v>
      </c>
      <c r="F675" s="2959">
        <v>44</v>
      </c>
      <c r="G675" s="2962" t="s">
        <v>1381</v>
      </c>
      <c r="H675" s="2962" t="s">
        <v>1232</v>
      </c>
      <c r="I675" s="380" t="s">
        <v>1304</v>
      </c>
      <c r="J675" s="2959">
        <v>6</v>
      </c>
      <c r="K675" s="2959">
        <v>9</v>
      </c>
      <c r="L675" s="2959">
        <v>12</v>
      </c>
      <c r="M675" s="377">
        <v>15</v>
      </c>
      <c r="N675" s="2959">
        <v>100</v>
      </c>
      <c r="O675" s="2959">
        <v>150</v>
      </c>
      <c r="P675" s="2959">
        <v>200</v>
      </c>
      <c r="Q675" s="377">
        <v>250</v>
      </c>
      <c r="R675" s="2959">
        <v>5</v>
      </c>
      <c r="S675" s="2959">
        <v>10</v>
      </c>
      <c r="T675" s="2959">
        <v>10</v>
      </c>
      <c r="U675" s="377">
        <v>15</v>
      </c>
      <c r="V675" s="2954" t="s">
        <v>4640</v>
      </c>
      <c r="W675" s="2954" t="s">
        <v>3243</v>
      </c>
      <c r="X675" s="2954" t="s">
        <v>5696</v>
      </c>
      <c r="Y675" s="2954" t="s">
        <v>4049</v>
      </c>
      <c r="Z675" s="2954" t="s">
        <v>5697</v>
      </c>
      <c r="AA675" s="375"/>
    </row>
    <row r="676" spans="1:27" ht="12.75" customHeight="1" x14ac:dyDescent="0.2">
      <c r="A676" s="6360"/>
      <c r="B676" s="251" t="str">
        <f t="shared" si="19"/>
        <v>Vacío54</v>
      </c>
      <c r="D676" s="272" t="s">
        <v>637</v>
      </c>
      <c r="E676" s="2959" t="s">
        <v>93</v>
      </c>
      <c r="F676" s="2959">
        <v>54</v>
      </c>
      <c r="G676" s="2962" t="s">
        <v>2088</v>
      </c>
      <c r="H676" s="2962" t="s">
        <v>1234</v>
      </c>
      <c r="I676" s="380" t="s">
        <v>1304</v>
      </c>
      <c r="J676" s="2959">
        <v>6</v>
      </c>
      <c r="K676" s="2959">
        <v>9</v>
      </c>
      <c r="L676" s="2959">
        <v>12</v>
      </c>
      <c r="M676" s="377">
        <v>15</v>
      </c>
      <c r="N676" s="2959">
        <v>120</v>
      </c>
      <c r="O676" s="2959">
        <v>180</v>
      </c>
      <c r="P676" s="2959">
        <v>240</v>
      </c>
      <c r="Q676" s="377">
        <v>350</v>
      </c>
      <c r="R676" s="2959">
        <v>15</v>
      </c>
      <c r="S676" s="2959">
        <v>20</v>
      </c>
      <c r="T676" s="2959">
        <v>25</v>
      </c>
      <c r="U676" s="377">
        <v>35</v>
      </c>
      <c r="V676" s="2954" t="s">
        <v>5698</v>
      </c>
      <c r="W676" s="2954" t="s">
        <v>5699</v>
      </c>
      <c r="X676" s="2954" t="s">
        <v>5700</v>
      </c>
      <c r="Y676" s="2954" t="s">
        <v>5701</v>
      </c>
      <c r="Z676" s="2954" t="s">
        <v>5702</v>
      </c>
      <c r="AA676" s="375"/>
    </row>
    <row r="677" spans="1:27" ht="12.75" customHeight="1" x14ac:dyDescent="0.2">
      <c r="A677" s="6360"/>
      <c r="B677" s="251" t="str">
        <f t="shared" si="19"/>
        <v>Vacío64</v>
      </c>
      <c r="D677" s="272" t="s">
        <v>638</v>
      </c>
      <c r="E677" s="2959" t="s">
        <v>93</v>
      </c>
      <c r="F677" s="2959">
        <v>64</v>
      </c>
      <c r="G677" s="2962" t="s">
        <v>1381</v>
      </c>
      <c r="H677" s="2962" t="s">
        <v>1235</v>
      </c>
      <c r="I677" s="380" t="s">
        <v>1304</v>
      </c>
      <c r="J677" s="2959">
        <v>8</v>
      </c>
      <c r="K677" s="2959">
        <v>10</v>
      </c>
      <c r="L677" s="2959">
        <v>12</v>
      </c>
      <c r="M677" s="377">
        <v>15</v>
      </c>
      <c r="N677" s="2959">
        <v>150</v>
      </c>
      <c r="O677" s="2959">
        <v>250</v>
      </c>
      <c r="P677" s="2959">
        <v>350</v>
      </c>
      <c r="Q677" s="377">
        <v>500</v>
      </c>
      <c r="R677" s="2959">
        <v>15</v>
      </c>
      <c r="S677" s="2959">
        <v>25</v>
      </c>
      <c r="T677" s="2959">
        <v>35</v>
      </c>
      <c r="U677" s="377">
        <v>50</v>
      </c>
      <c r="V677" s="2954" t="s">
        <v>5703</v>
      </c>
      <c r="W677" s="2954" t="s">
        <v>5704</v>
      </c>
      <c r="X677" s="2954" t="s">
        <v>5705</v>
      </c>
      <c r="Y677" s="2954" t="s">
        <v>5706</v>
      </c>
      <c r="Z677" s="2954" t="s">
        <v>5707</v>
      </c>
      <c r="AA677" s="375"/>
    </row>
    <row r="678" spans="1:27" ht="12.75" customHeight="1" x14ac:dyDescent="0.2">
      <c r="A678" s="6360"/>
      <c r="B678" s="251" t="str">
        <f t="shared" si="19"/>
        <v>Vacío74</v>
      </c>
      <c r="D678" s="272" t="s">
        <v>639</v>
      </c>
      <c r="E678" s="2959" t="s">
        <v>93</v>
      </c>
      <c r="F678" s="2959">
        <v>74</v>
      </c>
      <c r="G678" s="2962" t="s">
        <v>1381</v>
      </c>
      <c r="H678" s="2962" t="s">
        <v>1232</v>
      </c>
      <c r="I678" s="380" t="s">
        <v>1304</v>
      </c>
      <c r="J678" s="2959">
        <v>10</v>
      </c>
      <c r="K678" s="2959">
        <v>12</v>
      </c>
      <c r="L678" s="2959">
        <v>14</v>
      </c>
      <c r="M678" s="377">
        <v>16</v>
      </c>
      <c r="N678" s="2959">
        <v>140</v>
      </c>
      <c r="O678" s="2959">
        <v>200</v>
      </c>
      <c r="P678" s="2959">
        <v>280</v>
      </c>
      <c r="Q678" s="377">
        <v>400</v>
      </c>
      <c r="R678" s="2959">
        <v>15</v>
      </c>
      <c r="S678" s="2959">
        <v>20</v>
      </c>
      <c r="T678" s="2959">
        <v>30</v>
      </c>
      <c r="U678" s="377">
        <v>40</v>
      </c>
      <c r="V678" s="2954" t="s">
        <v>5708</v>
      </c>
      <c r="W678" s="2954" t="s">
        <v>5709</v>
      </c>
      <c r="X678" s="2954" t="s">
        <v>5710</v>
      </c>
      <c r="Y678" s="2954" t="s">
        <v>5711</v>
      </c>
      <c r="Z678" s="2954" t="s">
        <v>5712</v>
      </c>
      <c r="AA678" s="375"/>
    </row>
    <row r="679" spans="1:27" ht="12.75" customHeight="1" x14ac:dyDescent="0.2">
      <c r="A679" s="6360"/>
      <c r="B679" s="251" t="str">
        <f t="shared" si="19"/>
        <v>Vacío84</v>
      </c>
      <c r="D679" s="272" t="s">
        <v>640</v>
      </c>
      <c r="E679" s="2959" t="s">
        <v>93</v>
      </c>
      <c r="F679" s="2959">
        <v>84</v>
      </c>
      <c r="G679" s="2962" t="s">
        <v>1381</v>
      </c>
      <c r="H679" s="2962" t="s">
        <v>1232</v>
      </c>
      <c r="I679" s="380" t="s">
        <v>1304</v>
      </c>
      <c r="J679" s="2959">
        <v>14</v>
      </c>
      <c r="K679" s="2959">
        <v>16</v>
      </c>
      <c r="L679" s="2959">
        <v>18</v>
      </c>
      <c r="M679" s="377">
        <v>20</v>
      </c>
      <c r="N679" s="2959">
        <v>250</v>
      </c>
      <c r="O679" s="2959">
        <v>500</v>
      </c>
      <c r="P679" s="2959">
        <v>750</v>
      </c>
      <c r="Q679" s="377">
        <v>1000</v>
      </c>
      <c r="R679" s="2959" t="s">
        <v>1381</v>
      </c>
      <c r="S679" s="2959" t="s">
        <v>1381</v>
      </c>
      <c r="T679" s="2959" t="s">
        <v>1381</v>
      </c>
      <c r="U679" s="377" t="s">
        <v>1381</v>
      </c>
      <c r="V679" s="2954" t="s">
        <v>5713</v>
      </c>
      <c r="W679" s="2954" t="s">
        <v>5714</v>
      </c>
      <c r="X679" s="2954" t="s">
        <v>5715</v>
      </c>
      <c r="Y679" s="2954" t="s">
        <v>5716</v>
      </c>
      <c r="Z679" s="2954" t="s">
        <v>5717</v>
      </c>
      <c r="AA679" s="375"/>
    </row>
    <row r="680" spans="1:27" ht="12.75" customHeight="1" thickBot="1" x14ac:dyDescent="0.25">
      <c r="A680" s="6360"/>
      <c r="B680" s="251" t="str">
        <f t="shared" si="19"/>
        <v>Vacío94</v>
      </c>
      <c r="D680" s="2965" t="s">
        <v>641</v>
      </c>
      <c r="E680" s="383" t="s">
        <v>93</v>
      </c>
      <c r="F680" s="383">
        <v>94</v>
      </c>
      <c r="G680" s="384" t="s">
        <v>1381</v>
      </c>
      <c r="H680" s="384" t="s">
        <v>1234</v>
      </c>
      <c r="I680" s="385" t="s">
        <v>1305</v>
      </c>
      <c r="J680" s="383">
        <v>11</v>
      </c>
      <c r="K680" s="383">
        <v>13</v>
      </c>
      <c r="L680" s="383">
        <v>15</v>
      </c>
      <c r="M680" s="386">
        <v>18</v>
      </c>
      <c r="N680" s="383">
        <v>300</v>
      </c>
      <c r="O680" s="383">
        <v>500</v>
      </c>
      <c r="P680" s="383">
        <v>800</v>
      </c>
      <c r="Q680" s="386">
        <v>1200</v>
      </c>
      <c r="R680" s="383">
        <v>30</v>
      </c>
      <c r="S680" s="383">
        <v>50</v>
      </c>
      <c r="T680" s="383">
        <v>80</v>
      </c>
      <c r="U680" s="386">
        <v>120</v>
      </c>
      <c r="V680" s="387" t="s">
        <v>5718</v>
      </c>
      <c r="W680" s="387" t="s">
        <v>5719</v>
      </c>
      <c r="X680" s="387" t="s">
        <v>5720</v>
      </c>
      <c r="Y680" s="387" t="s">
        <v>5721</v>
      </c>
      <c r="Z680" s="387" t="s">
        <v>5722</v>
      </c>
      <c r="AA680" s="388"/>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D2:AA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topLeftCell="A160" zoomScaleNormal="100" workbookViewId="0">
      <selection activeCell="C176" sqref="C176:C186"/>
    </sheetView>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172" t="s">
        <v>2571</v>
      </c>
      <c r="D2" s="5173"/>
      <c r="E2" s="5173"/>
      <c r="F2" s="5173"/>
      <c r="G2" s="5176"/>
      <c r="I2" s="5168" t="s">
        <v>2572</v>
      </c>
      <c r="J2" s="6417"/>
      <c r="L2" s="6418" t="s">
        <v>2573</v>
      </c>
    </row>
    <row r="3" spans="1:14" x14ac:dyDescent="0.2">
      <c r="A3" s="282">
        <v>3</v>
      </c>
      <c r="C3" s="5168"/>
      <c r="D3" s="6417"/>
      <c r="E3" s="6417"/>
      <c r="F3" s="6417"/>
      <c r="G3" s="5178"/>
      <c r="I3" s="5168"/>
      <c r="J3" s="6417"/>
      <c r="L3" s="6419"/>
    </row>
    <row r="4" spans="1:14" ht="13.5" thickBot="1" x14ac:dyDescent="0.25">
      <c r="A4" s="282">
        <v>4</v>
      </c>
      <c r="C4" s="283" t="s">
        <v>2574</v>
      </c>
      <c r="D4" s="774" t="s">
        <v>2575</v>
      </c>
      <c r="E4" s="775" t="s">
        <v>2576</v>
      </c>
      <c r="F4" s="775" t="s">
        <v>2577</v>
      </c>
      <c r="G4" s="776" t="s">
        <v>1441</v>
      </c>
      <c r="I4" s="284" t="s">
        <v>2578</v>
      </c>
      <c r="J4" s="285" t="s">
        <v>2579</v>
      </c>
      <c r="L4" s="286" t="s">
        <v>1381</v>
      </c>
    </row>
    <row r="5" spans="1:14" ht="13.5" thickTop="1" x14ac:dyDescent="0.2">
      <c r="A5" s="282">
        <v>5</v>
      </c>
      <c r="C5" s="777" t="s">
        <v>1603</v>
      </c>
      <c r="D5" s="778" t="s">
        <v>2580</v>
      </c>
      <c r="E5" s="779" t="s">
        <v>2581</v>
      </c>
      <c r="F5" s="779" t="s">
        <v>2582</v>
      </c>
      <c r="G5" s="780" t="s">
        <v>2583</v>
      </c>
      <c r="I5" s="287">
        <v>0</v>
      </c>
      <c r="J5" s="288">
        <v>20</v>
      </c>
      <c r="L5" s="2206" t="s">
        <v>2088</v>
      </c>
    </row>
    <row r="6" spans="1:14" ht="13.5" thickBot="1" x14ac:dyDescent="0.25">
      <c r="A6" s="282">
        <v>6</v>
      </c>
      <c r="C6" s="781" t="s">
        <v>1606</v>
      </c>
      <c r="D6" s="782" t="s">
        <v>2585</v>
      </c>
      <c r="E6" s="783" t="s">
        <v>2586</v>
      </c>
      <c r="F6" s="783" t="s">
        <v>2587</v>
      </c>
      <c r="G6" s="784" t="s">
        <v>2588</v>
      </c>
      <c r="I6" s="289">
        <v>50</v>
      </c>
      <c r="J6" s="290">
        <v>30</v>
      </c>
      <c r="L6" s="2207" t="s">
        <v>9617</v>
      </c>
    </row>
    <row r="7" spans="1:14" x14ac:dyDescent="0.2">
      <c r="A7" s="282">
        <v>7</v>
      </c>
      <c r="C7" s="785" t="s">
        <v>1610</v>
      </c>
      <c r="D7" s="786" t="s">
        <v>2589</v>
      </c>
      <c r="E7" s="783" t="s">
        <v>2590</v>
      </c>
      <c r="F7" s="783" t="s">
        <v>2591</v>
      </c>
      <c r="G7" s="784" t="s">
        <v>2592</v>
      </c>
      <c r="I7" s="289">
        <v>100</v>
      </c>
      <c r="J7" s="290">
        <v>40</v>
      </c>
    </row>
    <row r="8" spans="1:14" x14ac:dyDescent="0.2">
      <c r="A8" s="282">
        <v>8</v>
      </c>
      <c r="C8" s="781" t="s">
        <v>1704</v>
      </c>
      <c r="D8" s="782" t="s">
        <v>2593</v>
      </c>
      <c r="E8" s="783" t="s">
        <v>2594</v>
      </c>
      <c r="F8" s="783" t="s">
        <v>2595</v>
      </c>
      <c r="G8" s="784" t="s">
        <v>2596</v>
      </c>
      <c r="I8" s="287">
        <v>150</v>
      </c>
      <c r="J8" s="288">
        <v>50</v>
      </c>
    </row>
    <row r="9" spans="1:14" x14ac:dyDescent="0.2">
      <c r="A9" s="282">
        <v>9</v>
      </c>
      <c r="C9" s="785" t="s">
        <v>1699</v>
      </c>
      <c r="D9" s="786" t="s">
        <v>2597</v>
      </c>
      <c r="E9" s="783" t="s">
        <v>2598</v>
      </c>
      <c r="F9" s="783" t="s">
        <v>2599</v>
      </c>
      <c r="G9" s="784" t="s">
        <v>2600</v>
      </c>
      <c r="I9" s="289">
        <v>200</v>
      </c>
      <c r="J9" s="290">
        <v>60</v>
      </c>
    </row>
    <row r="10" spans="1:14" x14ac:dyDescent="0.2">
      <c r="A10" s="282">
        <v>10</v>
      </c>
      <c r="C10" s="781" t="s">
        <v>1700</v>
      </c>
      <c r="D10" s="782" t="s">
        <v>2601</v>
      </c>
      <c r="E10" s="783" t="s">
        <v>2602</v>
      </c>
      <c r="F10" s="783" t="s">
        <v>2603</v>
      </c>
      <c r="G10" s="784" t="s">
        <v>2604</v>
      </c>
      <c r="I10" s="289">
        <v>250</v>
      </c>
      <c r="J10" s="290">
        <v>70</v>
      </c>
    </row>
    <row r="11" spans="1:14" x14ac:dyDescent="0.2">
      <c r="A11" s="282">
        <v>11</v>
      </c>
      <c r="C11" s="785" t="s">
        <v>2605</v>
      </c>
      <c r="D11" s="786" t="s">
        <v>2606</v>
      </c>
      <c r="E11" s="783" t="s">
        <v>2607</v>
      </c>
      <c r="F11" s="783" t="s">
        <v>2608</v>
      </c>
      <c r="G11" s="784" t="s">
        <v>2609</v>
      </c>
      <c r="I11" s="287">
        <v>300</v>
      </c>
      <c r="J11" s="288">
        <v>80</v>
      </c>
    </row>
    <row r="12" spans="1:14" ht="13.5" thickBot="1" x14ac:dyDescent="0.25">
      <c r="A12" s="282">
        <v>12</v>
      </c>
      <c r="C12" s="787" t="s">
        <v>1711</v>
      </c>
      <c r="D12" s="788" t="s">
        <v>2610</v>
      </c>
      <c r="E12" s="789" t="s">
        <v>2611</v>
      </c>
      <c r="F12" s="789" t="s">
        <v>2612</v>
      </c>
      <c r="G12" s="773" t="s">
        <v>2613</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172" t="s">
        <v>2251</v>
      </c>
      <c r="D15" s="5176"/>
      <c r="F15" s="5172" t="s">
        <v>2614</v>
      </c>
      <c r="G15" s="5173"/>
      <c r="H15" s="5173"/>
      <c r="I15" s="5173"/>
      <c r="J15" s="5173"/>
      <c r="K15" s="5173"/>
      <c r="L15" s="5173"/>
      <c r="M15" s="5173"/>
      <c r="N15" s="5176"/>
    </row>
    <row r="16" spans="1:14" x14ac:dyDescent="0.2">
      <c r="A16" s="282">
        <v>16</v>
      </c>
      <c r="C16" s="5168"/>
      <c r="D16" s="5178"/>
      <c r="F16" s="5168"/>
      <c r="G16" s="6417"/>
      <c r="H16" s="6417"/>
      <c r="I16" s="6417"/>
      <c r="J16" s="6417"/>
      <c r="K16" s="6417"/>
      <c r="L16" s="6417"/>
      <c r="M16" s="6417"/>
      <c r="N16" s="5178"/>
    </row>
    <row r="17" spans="1:14" x14ac:dyDescent="0.2">
      <c r="A17" s="282">
        <v>17</v>
      </c>
      <c r="C17" s="296" t="s">
        <v>1441</v>
      </c>
      <c r="D17" s="294" t="s">
        <v>2252</v>
      </c>
      <c r="E17" s="295">
        <v>1</v>
      </c>
      <c r="F17" s="296"/>
      <c r="G17" s="297" t="s">
        <v>1603</v>
      </c>
      <c r="H17" s="298" t="s">
        <v>1606</v>
      </c>
      <c r="I17" s="299" t="s">
        <v>1610</v>
      </c>
      <c r="J17" s="298" t="s">
        <v>1704</v>
      </c>
      <c r="K17" s="299" t="s">
        <v>1699</v>
      </c>
      <c r="L17" s="298" t="s">
        <v>1700</v>
      </c>
      <c r="M17" s="299" t="s">
        <v>2605</v>
      </c>
      <c r="N17" s="300" t="s">
        <v>1711</v>
      </c>
    </row>
    <row r="18" spans="1:14" x14ac:dyDescent="0.2">
      <c r="A18" s="282">
        <v>18</v>
      </c>
      <c r="C18" s="2442" t="s">
        <v>1373</v>
      </c>
      <c r="D18" s="301">
        <f>Sheele!$F$36</f>
        <v>0</v>
      </c>
      <c r="E18" s="295">
        <v>2</v>
      </c>
      <c r="F18" s="302" t="s">
        <v>2616</v>
      </c>
      <c r="G18" s="303">
        <v>8</v>
      </c>
      <c r="H18" s="303">
        <v>8</v>
      </c>
      <c r="I18" s="303">
        <v>6</v>
      </c>
      <c r="J18" s="303">
        <v>6</v>
      </c>
      <c r="K18" s="303">
        <v>5</v>
      </c>
      <c r="L18" s="304">
        <v>5</v>
      </c>
      <c r="M18" s="303">
        <v>7</v>
      </c>
      <c r="N18" s="288">
        <v>6</v>
      </c>
    </row>
    <row r="19" spans="1:14" x14ac:dyDescent="0.2">
      <c r="A19" s="282">
        <v>19</v>
      </c>
      <c r="C19" s="2442" t="s">
        <v>1498</v>
      </c>
      <c r="D19" s="301">
        <f>Sheele!$F$37</f>
        <v>0</v>
      </c>
      <c r="E19" s="295">
        <v>3</v>
      </c>
      <c r="F19" s="302" t="s">
        <v>2618</v>
      </c>
      <c r="G19" s="303">
        <v>2</v>
      </c>
      <c r="H19" s="303">
        <v>3</v>
      </c>
      <c r="I19" s="303">
        <v>4</v>
      </c>
      <c r="J19" s="303">
        <v>5</v>
      </c>
      <c r="K19" s="303">
        <v>2</v>
      </c>
      <c r="L19" s="304">
        <v>2</v>
      </c>
      <c r="M19" s="303">
        <v>3</v>
      </c>
      <c r="N19" s="288">
        <v>2</v>
      </c>
    </row>
    <row r="20" spans="1:14" x14ac:dyDescent="0.2">
      <c r="A20" s="282">
        <v>20</v>
      </c>
      <c r="C20" s="2442" t="s">
        <v>1378</v>
      </c>
      <c r="D20" s="301">
        <f>Sheele!$F$38</f>
        <v>0</v>
      </c>
      <c r="E20" s="295">
        <v>4</v>
      </c>
      <c r="F20" s="302" t="s">
        <v>2620</v>
      </c>
      <c r="G20" s="303">
        <v>8</v>
      </c>
      <c r="H20" s="303">
        <v>6</v>
      </c>
      <c r="I20" s="303">
        <v>5</v>
      </c>
      <c r="J20" s="303">
        <v>6</v>
      </c>
      <c r="K20" s="303">
        <v>6</v>
      </c>
      <c r="L20" s="304">
        <v>6</v>
      </c>
      <c r="M20" s="303">
        <v>6</v>
      </c>
      <c r="N20" s="288">
        <v>8</v>
      </c>
    </row>
    <row r="21" spans="1:14" x14ac:dyDescent="0.2">
      <c r="A21" s="282">
        <v>21</v>
      </c>
      <c r="C21" s="2442" t="s">
        <v>1383</v>
      </c>
      <c r="D21" s="301">
        <f>Sheele!$F$39</f>
        <v>0</v>
      </c>
      <c r="E21" s="295">
        <v>5</v>
      </c>
      <c r="F21" s="302" t="s">
        <v>2622</v>
      </c>
      <c r="G21" s="303">
        <v>2</v>
      </c>
      <c r="H21" s="303">
        <v>3</v>
      </c>
      <c r="I21" s="303">
        <v>4</v>
      </c>
      <c r="J21" s="303">
        <v>6</v>
      </c>
      <c r="K21" s="303">
        <v>2</v>
      </c>
      <c r="L21" s="304">
        <v>2</v>
      </c>
      <c r="M21" s="303">
        <v>4</v>
      </c>
      <c r="N21" s="288">
        <v>2</v>
      </c>
    </row>
    <row r="22" spans="1:14" x14ac:dyDescent="0.2">
      <c r="A22" s="282">
        <v>22</v>
      </c>
      <c r="C22" s="2442" t="s">
        <v>1386</v>
      </c>
      <c r="D22" s="301">
        <f>Sheele!$H$36</f>
        <v>0</v>
      </c>
      <c r="E22" s="295">
        <v>6</v>
      </c>
      <c r="F22" s="302" t="s">
        <v>2624</v>
      </c>
      <c r="G22" s="303">
        <v>8</v>
      </c>
      <c r="H22" s="303">
        <v>8</v>
      </c>
      <c r="I22" s="303">
        <v>7</v>
      </c>
      <c r="J22" s="303">
        <v>6</v>
      </c>
      <c r="K22" s="303">
        <v>9</v>
      </c>
      <c r="L22" s="304">
        <v>9</v>
      </c>
      <c r="M22" s="303">
        <v>7</v>
      </c>
      <c r="N22" s="288">
        <v>9</v>
      </c>
    </row>
    <row r="23" spans="1:14" x14ac:dyDescent="0.2">
      <c r="A23" s="282">
        <v>23</v>
      </c>
      <c r="C23" s="2442" t="s">
        <v>1389</v>
      </c>
      <c r="D23" s="301">
        <f>Sheele!$H$37</f>
        <v>0</v>
      </c>
      <c r="E23" s="295">
        <v>7</v>
      </c>
      <c r="F23" s="302" t="s">
        <v>2626</v>
      </c>
      <c r="G23" s="303">
        <v>6</v>
      </c>
      <c r="H23" s="303">
        <v>6</v>
      </c>
      <c r="I23" s="303">
        <v>5</v>
      </c>
      <c r="J23" s="303">
        <v>6</v>
      </c>
      <c r="K23" s="303">
        <v>7</v>
      </c>
      <c r="L23" s="304">
        <v>7</v>
      </c>
      <c r="M23" s="303">
        <v>8</v>
      </c>
      <c r="N23" s="288">
        <v>10</v>
      </c>
    </row>
    <row r="24" spans="1:14" x14ac:dyDescent="0.2">
      <c r="A24" s="282">
        <v>24</v>
      </c>
      <c r="C24" s="2442" t="s">
        <v>1391</v>
      </c>
      <c r="D24" s="301">
        <f>Sheele!$H$38</f>
        <v>0</v>
      </c>
      <c r="E24" s="295">
        <v>8</v>
      </c>
      <c r="F24" s="302" t="s">
        <v>2628</v>
      </c>
      <c r="G24" s="303">
        <v>8</v>
      </c>
      <c r="H24" s="303">
        <v>8</v>
      </c>
      <c r="I24" s="303">
        <v>8</v>
      </c>
      <c r="J24" s="303">
        <v>8</v>
      </c>
      <c r="K24" s="303">
        <v>9</v>
      </c>
      <c r="L24" s="304">
        <v>9</v>
      </c>
      <c r="M24" s="303">
        <v>8</v>
      </c>
      <c r="N24" s="288">
        <v>8</v>
      </c>
    </row>
    <row r="25" spans="1:14" ht="13.5" thickBot="1" x14ac:dyDescent="0.25">
      <c r="A25" s="282">
        <v>25</v>
      </c>
      <c r="C25" s="2443" t="s">
        <v>1392</v>
      </c>
      <c r="D25" s="305">
        <f>Sheele!$H$39</f>
        <v>0</v>
      </c>
      <c r="E25" s="295">
        <v>9</v>
      </c>
      <c r="F25" s="306" t="s">
        <v>2630</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172" t="s">
        <v>2631</v>
      </c>
      <c r="D27" s="5173"/>
      <c r="E27" s="5173"/>
      <c r="F27" s="5173"/>
      <c r="G27" s="5173"/>
      <c r="H27" s="5173"/>
      <c r="I27" s="5173"/>
      <c r="J27" s="5173"/>
      <c r="K27" s="5176"/>
      <c r="M27" s="5172" t="s">
        <v>10412</v>
      </c>
      <c r="N27" s="5176"/>
    </row>
    <row r="28" spans="1:14" ht="12.75" customHeight="1" thickBot="1" x14ac:dyDescent="0.25">
      <c r="A28" s="282">
        <v>28</v>
      </c>
      <c r="C28" s="5170"/>
      <c r="D28" s="6420"/>
      <c r="E28" s="6420"/>
      <c r="F28" s="6420"/>
      <c r="G28" s="6420"/>
      <c r="H28" s="6420"/>
      <c r="I28" s="6420"/>
      <c r="J28" s="6420"/>
      <c r="K28" s="6421"/>
      <c r="M28" s="5170"/>
      <c r="N28" s="6421"/>
    </row>
    <row r="29" spans="1:14" ht="12.75" customHeight="1" x14ac:dyDescent="0.2">
      <c r="A29" s="282">
        <v>29</v>
      </c>
      <c r="B29" s="487">
        <v>1</v>
      </c>
      <c r="C29" s="466" t="s">
        <v>1375</v>
      </c>
      <c r="D29" s="293" t="s">
        <v>1603</v>
      </c>
      <c r="E29" s="310" t="s">
        <v>1606</v>
      </c>
      <c r="F29" s="293" t="s">
        <v>1610</v>
      </c>
      <c r="G29" s="310" t="s">
        <v>1704</v>
      </c>
      <c r="H29" s="293" t="s">
        <v>1699</v>
      </c>
      <c r="I29" s="310" t="s">
        <v>1700</v>
      </c>
      <c r="J29" s="293" t="s">
        <v>2605</v>
      </c>
      <c r="K29" s="311" t="s">
        <v>1711</v>
      </c>
      <c r="M29" s="2917" t="str">
        <f t="shared" ref="M29:M46" si="0">C91</f>
        <v>&gt; ESOTÉRICAS</v>
      </c>
      <c r="N29" s="2918"/>
    </row>
    <row r="30" spans="1:14" ht="12.75" customHeight="1" x14ac:dyDescent="0.2">
      <c r="A30" s="282">
        <v>30</v>
      </c>
      <c r="B30" s="487">
        <v>2</v>
      </c>
      <c r="C30" s="471" t="s">
        <v>1405</v>
      </c>
      <c r="D30" s="475">
        <v>60</v>
      </c>
      <c r="E30" s="475"/>
      <c r="F30" s="475">
        <v>20</v>
      </c>
      <c r="G30" s="475"/>
      <c r="H30" s="475"/>
      <c r="I30" s="475"/>
      <c r="J30" s="475"/>
      <c r="K30" s="476"/>
      <c r="M30" s="1328" t="str">
        <f t="shared" si="0"/>
        <v>Naturaleza espiritual</v>
      </c>
      <c r="N30" s="1265"/>
    </row>
    <row r="31" spans="1:14" x14ac:dyDescent="0.2">
      <c r="A31" s="282">
        <v>31</v>
      </c>
      <c r="B31" s="487">
        <v>3</v>
      </c>
      <c r="C31" s="470" t="s">
        <v>1406</v>
      </c>
      <c r="D31" s="477"/>
      <c r="E31" s="477"/>
      <c r="F31" s="477"/>
      <c r="G31" s="477"/>
      <c r="H31" s="477"/>
      <c r="I31" s="477"/>
      <c r="J31" s="477"/>
      <c r="K31" s="478"/>
      <c r="M31" s="1328" t="str">
        <f t="shared" si="0"/>
        <v>Sentidos Vinculados</v>
      </c>
      <c r="N31" s="1265"/>
    </row>
    <row r="32" spans="1:14" x14ac:dyDescent="0.2">
      <c r="A32" s="282">
        <v>32</v>
      </c>
      <c r="B32" s="487">
        <v>4</v>
      </c>
      <c r="C32" s="469" t="s">
        <v>1409</v>
      </c>
      <c r="D32" s="479"/>
      <c r="E32" s="479"/>
      <c r="F32" s="479"/>
      <c r="G32" s="479"/>
      <c r="H32" s="479"/>
      <c r="I32" s="479"/>
      <c r="J32" s="479"/>
      <c r="K32" s="480"/>
      <c r="M32" s="1328" t="str">
        <f t="shared" si="0"/>
        <v>Desvinculado Esp.</v>
      </c>
      <c r="N32" s="1265"/>
    </row>
    <row r="33" spans="1:14" x14ac:dyDescent="0.2">
      <c r="A33" s="282">
        <v>33</v>
      </c>
      <c r="B33" s="487">
        <v>5</v>
      </c>
      <c r="C33" s="470" t="s">
        <v>1413</v>
      </c>
      <c r="D33" s="477"/>
      <c r="E33" s="477"/>
      <c r="F33" s="477"/>
      <c r="G33" s="477"/>
      <c r="H33" s="477"/>
      <c r="I33" s="477"/>
      <c r="J33" s="477"/>
      <c r="K33" s="478"/>
      <c r="M33" s="1328" t="str">
        <f t="shared" si="0"/>
        <v>Vinculación de Vida</v>
      </c>
      <c r="N33" s="1265"/>
    </row>
    <row r="34" spans="1:14" x14ac:dyDescent="0.2">
      <c r="A34" s="282">
        <v>34</v>
      </c>
      <c r="B34" s="487">
        <v>6</v>
      </c>
      <c r="C34" s="469" t="s">
        <v>1416</v>
      </c>
      <c r="D34" s="479"/>
      <c r="E34" s="479"/>
      <c r="F34" s="479"/>
      <c r="G34" s="479"/>
      <c r="H34" s="479"/>
      <c r="I34" s="479"/>
      <c r="J34" s="479"/>
      <c r="K34" s="480"/>
      <c r="M34" s="1328" t="str">
        <f t="shared" si="0"/>
        <v>Elementalismo</v>
      </c>
      <c r="N34" s="1265"/>
    </row>
    <row r="35" spans="1:14" x14ac:dyDescent="0.2">
      <c r="A35" s="282">
        <v>35</v>
      </c>
      <c r="B35" s="487">
        <v>7</v>
      </c>
      <c r="C35" s="470" t="s">
        <v>1419</v>
      </c>
      <c r="D35" s="477"/>
      <c r="E35" s="477"/>
      <c r="F35" s="477"/>
      <c r="G35" s="477"/>
      <c r="H35" s="477"/>
      <c r="I35" s="477"/>
      <c r="J35" s="477"/>
      <c r="K35" s="478"/>
      <c r="M35" s="1328" t="str">
        <f t="shared" si="0"/>
        <v>&gt; FORMA DE ALMA</v>
      </c>
      <c r="N35" s="1265"/>
    </row>
    <row r="36" spans="1:14" ht="12.75" customHeight="1" x14ac:dyDescent="0.2">
      <c r="A36" s="282">
        <v>36</v>
      </c>
      <c r="B36" s="487">
        <v>8</v>
      </c>
      <c r="C36" s="469" t="s">
        <v>6278</v>
      </c>
      <c r="D36" s="479"/>
      <c r="E36" s="479"/>
      <c r="F36" s="479"/>
      <c r="G36" s="479"/>
      <c r="H36" s="479"/>
      <c r="I36" s="479"/>
      <c r="J36" s="479"/>
      <c r="K36" s="480"/>
      <c r="M36" s="1328" t="str">
        <f t="shared" si="0"/>
        <v>Forma de Alma</v>
      </c>
      <c r="N36" s="1265"/>
    </row>
    <row r="37" spans="1:14" x14ac:dyDescent="0.2">
      <c r="A37" s="282">
        <v>37</v>
      </c>
      <c r="B37" s="487">
        <v>9</v>
      </c>
      <c r="C37" s="473" t="s">
        <v>1423</v>
      </c>
      <c r="D37" s="483"/>
      <c r="E37" s="483"/>
      <c r="F37" s="483"/>
      <c r="G37" s="483"/>
      <c r="H37" s="483">
        <v>20</v>
      </c>
      <c r="I37" s="483"/>
      <c r="J37" s="483">
        <v>20</v>
      </c>
      <c r="K37" s="484"/>
      <c r="M37" s="1328" t="str">
        <f t="shared" si="0"/>
        <v>Transformación mejorada</v>
      </c>
      <c r="N37" s="1265"/>
    </row>
    <row r="38" spans="1:14" x14ac:dyDescent="0.2">
      <c r="A38" s="282">
        <v>38</v>
      </c>
      <c r="B38" s="487">
        <v>10</v>
      </c>
      <c r="C38" s="469" t="s">
        <v>1425</v>
      </c>
      <c r="D38" s="479"/>
      <c r="E38" s="479"/>
      <c r="F38" s="479"/>
      <c r="G38" s="479"/>
      <c r="H38" s="479"/>
      <c r="I38" s="479">
        <v>20</v>
      </c>
      <c r="J38" s="479"/>
      <c r="K38" s="480"/>
      <c r="M38" s="1328" t="str">
        <f t="shared" si="0"/>
        <v>Poderes Mejorados</v>
      </c>
      <c r="N38" s="1265"/>
    </row>
    <row r="39" spans="1:14" x14ac:dyDescent="0.2">
      <c r="A39" s="282">
        <v>39</v>
      </c>
      <c r="B39" s="487">
        <v>11</v>
      </c>
      <c r="C39" s="470" t="s">
        <v>1428</v>
      </c>
      <c r="D39" s="477"/>
      <c r="E39" s="477"/>
      <c r="F39" s="477"/>
      <c r="G39" s="477"/>
      <c r="H39" s="477"/>
      <c r="I39" s="477"/>
      <c r="J39" s="477"/>
      <c r="K39" s="478"/>
      <c r="M39" s="1328" t="str">
        <f t="shared" si="0"/>
        <v>Forma Mayor</v>
      </c>
      <c r="N39" s="1265"/>
    </row>
    <row r="40" spans="1:14" x14ac:dyDescent="0.2">
      <c r="A40" s="282">
        <v>40</v>
      </c>
      <c r="B40" s="487">
        <v>12</v>
      </c>
      <c r="C40" s="469" t="s">
        <v>1430</v>
      </c>
      <c r="D40" s="479"/>
      <c r="E40" s="479">
        <v>40</v>
      </c>
      <c r="F40" s="479"/>
      <c r="G40" s="479"/>
      <c r="H40" s="479">
        <v>20</v>
      </c>
      <c r="I40" s="479"/>
      <c r="J40" s="479">
        <v>20</v>
      </c>
      <c r="K40" s="480">
        <v>80</v>
      </c>
      <c r="M40" s="1328" t="str">
        <f t="shared" si="0"/>
        <v>&gt; MAGIA</v>
      </c>
      <c r="N40" s="1265"/>
    </row>
    <row r="41" spans="1:14" x14ac:dyDescent="0.2">
      <c r="A41" s="282">
        <v>41</v>
      </c>
      <c r="B41" s="487">
        <v>13</v>
      </c>
      <c r="C41" s="470" t="s">
        <v>816</v>
      </c>
      <c r="D41" s="477"/>
      <c r="E41" s="477"/>
      <c r="F41" s="477"/>
      <c r="G41" s="477"/>
      <c r="H41" s="477"/>
      <c r="I41" s="477"/>
      <c r="J41" s="477"/>
      <c r="K41" s="478"/>
      <c r="M41" s="1328" t="str">
        <f t="shared" si="0"/>
        <v>Proyección Mejorada</v>
      </c>
      <c r="N41" s="1265"/>
    </row>
    <row r="42" spans="1:14" x14ac:dyDescent="0.2">
      <c r="A42" s="282">
        <v>42</v>
      </c>
      <c r="B42" s="487">
        <v>14</v>
      </c>
      <c r="C42" s="469" t="s">
        <v>817</v>
      </c>
      <c r="D42" s="479"/>
      <c r="E42" s="479"/>
      <c r="F42" s="479"/>
      <c r="G42" s="479"/>
      <c r="H42" s="479"/>
      <c r="I42" s="479"/>
      <c r="J42" s="479"/>
      <c r="K42" s="480"/>
      <c r="M42" s="1328" t="str">
        <f t="shared" si="0"/>
        <v>Conjuros Mejorados</v>
      </c>
      <c r="N42" s="1265"/>
    </row>
    <row r="43" spans="1:14" ht="12.75" customHeight="1" x14ac:dyDescent="0.2">
      <c r="A43" s="282">
        <v>43</v>
      </c>
      <c r="B43" s="487">
        <v>15</v>
      </c>
      <c r="C43" s="472" t="s">
        <v>818</v>
      </c>
      <c r="D43" s="481"/>
      <c r="E43" s="481"/>
      <c r="F43" s="481"/>
      <c r="G43" s="481"/>
      <c r="H43" s="481"/>
      <c r="I43" s="481"/>
      <c r="J43" s="481"/>
      <c r="K43" s="482"/>
      <c r="M43" s="1328" t="str">
        <f t="shared" si="0"/>
        <v>Acumulación Mejorada</v>
      </c>
      <c r="N43" s="1265"/>
    </row>
    <row r="44" spans="1:14" ht="15.75" customHeight="1" x14ac:dyDescent="0.2">
      <c r="A44" s="282">
        <v>44</v>
      </c>
      <c r="B44" s="487">
        <v>16</v>
      </c>
      <c r="C44" s="471" t="s">
        <v>1432</v>
      </c>
      <c r="D44" s="475">
        <v>30</v>
      </c>
      <c r="E44" s="475">
        <v>40</v>
      </c>
      <c r="F44" s="475">
        <v>40</v>
      </c>
      <c r="G44" s="475">
        <v>30</v>
      </c>
      <c r="H44" s="475">
        <v>80</v>
      </c>
      <c r="I44" s="475">
        <v>60</v>
      </c>
      <c r="J44" s="475">
        <v>40</v>
      </c>
      <c r="K44" s="476">
        <v>40</v>
      </c>
      <c r="M44" s="1328" t="str">
        <f t="shared" si="0"/>
        <v>&gt; POTENCIACIÓN</v>
      </c>
      <c r="N44" s="1265"/>
    </row>
    <row r="45" spans="1:14" ht="12.75" customHeight="1" x14ac:dyDescent="0.2">
      <c r="A45" s="282">
        <v>45</v>
      </c>
      <c r="B45" s="487">
        <v>17</v>
      </c>
      <c r="C45" s="470" t="s">
        <v>1433</v>
      </c>
      <c r="D45" s="477">
        <v>10</v>
      </c>
      <c r="E45" s="477">
        <v>20</v>
      </c>
      <c r="F45" s="477">
        <v>20</v>
      </c>
      <c r="G45" s="477">
        <v>10</v>
      </c>
      <c r="H45" s="477">
        <v>60</v>
      </c>
      <c r="I45" s="477">
        <v>40</v>
      </c>
      <c r="J45" s="477">
        <v>20</v>
      </c>
      <c r="K45" s="478">
        <v>20</v>
      </c>
      <c r="M45" s="1328" t="str">
        <f t="shared" si="0"/>
        <v>Aguante Mejorado</v>
      </c>
      <c r="N45" s="1265"/>
    </row>
    <row r="46" spans="1:14" ht="12.75" customHeight="1" x14ac:dyDescent="0.2">
      <c r="A46" s="282">
        <v>46</v>
      </c>
      <c r="B46" s="487">
        <v>18</v>
      </c>
      <c r="C46" s="474" t="s">
        <v>1434</v>
      </c>
      <c r="D46" s="485"/>
      <c r="E46" s="485"/>
      <c r="F46" s="485"/>
      <c r="G46" s="485">
        <v>10</v>
      </c>
      <c r="H46" s="485"/>
      <c r="I46" s="485"/>
      <c r="J46" s="485"/>
      <c r="K46" s="486"/>
      <c r="M46" s="1328" t="str">
        <f t="shared" si="0"/>
        <v>Potenciación Mejorada</v>
      </c>
      <c r="N46" s="1265"/>
    </row>
    <row r="47" spans="1:14" ht="12.75" customHeight="1" x14ac:dyDescent="0.2">
      <c r="A47" s="282">
        <v>47</v>
      </c>
      <c r="B47" s="487">
        <v>19</v>
      </c>
      <c r="C47" s="473" t="s">
        <v>1436</v>
      </c>
      <c r="D47" s="483"/>
      <c r="E47" s="483"/>
      <c r="F47" s="483"/>
      <c r="G47" s="483"/>
      <c r="H47" s="483">
        <v>20</v>
      </c>
      <c r="I47" s="483"/>
      <c r="J47" s="483">
        <v>40</v>
      </c>
      <c r="K47" s="484"/>
      <c r="M47" s="1328" t="str">
        <f ca="1">INDEX(INDIRECT("Mejoras_"&amp;Sheele!$D$5),A1)</f>
        <v>&gt; AIRE</v>
      </c>
      <c r="N47" s="1265"/>
    </row>
    <row r="48" spans="1:14" x14ac:dyDescent="0.2">
      <c r="A48" s="282">
        <v>48</v>
      </c>
      <c r="B48" s="487">
        <v>20</v>
      </c>
      <c r="C48" s="469" t="s">
        <v>1437</v>
      </c>
      <c r="D48" s="479"/>
      <c r="E48" s="479"/>
      <c r="F48" s="479"/>
      <c r="G48" s="479">
        <v>80</v>
      </c>
      <c r="H48" s="479"/>
      <c r="I48" s="479"/>
      <c r="J48" s="479"/>
      <c r="K48" s="480"/>
      <c r="M48" s="1328" t="str">
        <f ca="1">IFERROR(INDEX(INDIRECT("Mejoras_"&amp;Sheele!$D$5),A2),"")</f>
        <v>Trueno del Alma</v>
      </c>
      <c r="N48" s="1265"/>
    </row>
    <row r="49" spans="1:14" ht="16.5" customHeight="1" x14ac:dyDescent="0.2">
      <c r="A49" s="282">
        <v>49</v>
      </c>
      <c r="B49" s="487">
        <v>21</v>
      </c>
      <c r="C49" s="470" t="s">
        <v>2567</v>
      </c>
      <c r="D49" s="477"/>
      <c r="E49" s="477"/>
      <c r="F49" s="477"/>
      <c r="G49" s="477"/>
      <c r="H49" s="477"/>
      <c r="I49" s="477"/>
      <c r="J49" s="477"/>
      <c r="K49" s="478"/>
      <c r="M49" s="1328" t="str">
        <f ca="1">IFERROR(INDEX(INDIRECT("Mejoras_"&amp;Sheele!$D$5),A3),"")</f>
        <v>Vendaval Afilado</v>
      </c>
      <c r="N49" s="1265"/>
    </row>
    <row r="50" spans="1:14" x14ac:dyDescent="0.2">
      <c r="A50" s="282">
        <v>50</v>
      </c>
      <c r="B50" s="487">
        <v>22</v>
      </c>
      <c r="C50" s="469" t="s">
        <v>1438</v>
      </c>
      <c r="D50" s="479"/>
      <c r="E50" s="479"/>
      <c r="F50" s="479"/>
      <c r="G50" s="479"/>
      <c r="H50" s="479"/>
      <c r="I50" s="479"/>
      <c r="J50" s="479">
        <v>80</v>
      </c>
      <c r="K50" s="480"/>
      <c r="M50" s="1328" t="str">
        <f ca="1">IFERROR(INDEX(INDIRECT("Mejoras_"&amp;Sheele!$D$5),A4),"")</f>
        <v>Velocidad Absoluta</v>
      </c>
      <c r="N50" s="1265"/>
    </row>
    <row r="51" spans="1:14" x14ac:dyDescent="0.2">
      <c r="A51" s="282">
        <v>51</v>
      </c>
      <c r="B51" s="487">
        <v>23</v>
      </c>
      <c r="C51" s="470" t="s">
        <v>1440</v>
      </c>
      <c r="D51" s="477"/>
      <c r="E51" s="477"/>
      <c r="F51" s="477"/>
      <c r="G51" s="477"/>
      <c r="H51" s="477"/>
      <c r="I51" s="477"/>
      <c r="J51" s="477"/>
      <c r="K51" s="478"/>
      <c r="M51" s="1328" t="str">
        <f ca="1">IFERROR(INDEX(INDIRECT("Mejoras_"&amp;Sheele!$D$5),A5),"")</f>
        <v>Mano de Aire</v>
      </c>
      <c r="N51" s="1265"/>
    </row>
    <row r="52" spans="1:14" x14ac:dyDescent="0.2">
      <c r="A52" s="282">
        <v>52</v>
      </c>
      <c r="B52" s="487">
        <v>24</v>
      </c>
      <c r="C52" s="469" t="s">
        <v>819</v>
      </c>
      <c r="D52" s="479"/>
      <c r="E52" s="479"/>
      <c r="F52" s="479"/>
      <c r="G52" s="479"/>
      <c r="H52" s="479"/>
      <c r="I52" s="479"/>
      <c r="J52" s="479"/>
      <c r="K52" s="480"/>
      <c r="M52" s="1328" t="str">
        <f ca="1">IFERROR(INDEX(INDIRECT("Mejoras_"&amp;Sheele!$D$5),A6),"")</f>
        <v>Teletransporte</v>
      </c>
      <c r="N52" s="1265"/>
    </row>
    <row r="53" spans="1:14" x14ac:dyDescent="0.2">
      <c r="A53" s="282">
        <v>53</v>
      </c>
      <c r="B53" s="487">
        <v>25</v>
      </c>
      <c r="C53" s="470" t="s">
        <v>1443</v>
      </c>
      <c r="D53" s="477"/>
      <c r="E53" s="477"/>
      <c r="F53" s="477"/>
      <c r="G53" s="477"/>
      <c r="H53" s="477"/>
      <c r="I53" s="477"/>
      <c r="J53" s="477">
        <v>20</v>
      </c>
      <c r="K53" s="478"/>
      <c r="M53" s="1328" t="str">
        <f ca="1">IFERROR(INDEX(INDIRECT("Mejoras_"&amp;Sheele!$D$5),A7),"")</f>
        <v>Vuelo Mejorado</v>
      </c>
      <c r="N53" s="1265"/>
    </row>
    <row r="54" spans="1:14" x14ac:dyDescent="0.2">
      <c r="A54" s="282">
        <v>54</v>
      </c>
      <c r="B54" s="487">
        <v>26</v>
      </c>
      <c r="C54" s="469" t="s">
        <v>1444</v>
      </c>
      <c r="D54" s="479"/>
      <c r="E54" s="479"/>
      <c r="F54" s="479"/>
      <c r="G54" s="479">
        <v>20</v>
      </c>
      <c r="H54" s="479"/>
      <c r="I54" s="479"/>
      <c r="J54" s="479"/>
      <c r="K54" s="480"/>
      <c r="M54" s="1328" t="str">
        <f ca="1">IFERROR(INDEX(INDIRECT("Mejoras_"&amp;Sheele!$D$5),A8),"")</f>
        <v>Proyectiles Potenciados</v>
      </c>
      <c r="N54" s="1265"/>
    </row>
    <row r="55" spans="1:14" x14ac:dyDescent="0.2">
      <c r="A55" s="282">
        <v>55</v>
      </c>
      <c r="B55" s="487">
        <v>27</v>
      </c>
      <c r="C55" s="470" t="s">
        <v>1445</v>
      </c>
      <c r="D55" s="477"/>
      <c r="E55" s="477">
        <v>60</v>
      </c>
      <c r="F55" s="477"/>
      <c r="G55" s="477"/>
      <c r="H55" s="477"/>
      <c r="I55" s="477"/>
      <c r="J55" s="477"/>
      <c r="K55" s="478"/>
      <c r="M55" s="1328" t="str">
        <f ca="1">IFERROR(INDEX(INDIRECT("Mejoras_"&amp;Sheele!$D$5),A9),"")</f>
        <v>Hab. Mejoradas (Aire)</v>
      </c>
      <c r="N55" s="1265"/>
    </row>
    <row r="56" spans="1:14" x14ac:dyDescent="0.2">
      <c r="A56" s="282">
        <v>56</v>
      </c>
      <c r="B56" s="487">
        <v>28</v>
      </c>
      <c r="C56" s="469" t="s">
        <v>1446</v>
      </c>
      <c r="D56" s="479"/>
      <c r="E56" s="479"/>
      <c r="F56" s="479"/>
      <c r="G56" s="479"/>
      <c r="H56" s="479"/>
      <c r="I56" s="479"/>
      <c r="J56" s="479"/>
      <c r="K56" s="480"/>
      <c r="M56" s="1328" t="str">
        <f ca="1">IFERROR(INDEX(INDIRECT("Mejoras_"&amp;Sheele!$D$5),A10),"")</f>
        <v>Forma eléctrica</v>
      </c>
      <c r="N56" s="1265"/>
    </row>
    <row r="57" spans="1:14" ht="13.5" thickBot="1" x14ac:dyDescent="0.25">
      <c r="A57" s="282">
        <v>57</v>
      </c>
      <c r="B57" s="487">
        <v>29</v>
      </c>
      <c r="C57" s="470" t="s">
        <v>1447</v>
      </c>
      <c r="D57" s="477"/>
      <c r="E57" s="477"/>
      <c r="F57" s="477"/>
      <c r="G57" s="477">
        <v>20</v>
      </c>
      <c r="H57" s="477"/>
      <c r="I57" s="477"/>
      <c r="J57" s="477"/>
      <c r="K57" s="478"/>
      <c r="M57" s="1329" t="str">
        <f ca="1">IFERROR(INDEX(INDIRECT("Mejoras_"&amp;Sheele!$D$5),A11),"")</f>
        <v>Reacción Veloz</v>
      </c>
      <c r="N57" s="1270"/>
    </row>
    <row r="58" spans="1:14" ht="12.75" customHeight="1" x14ac:dyDescent="0.2">
      <c r="A58" s="282">
        <v>58</v>
      </c>
      <c r="B58" s="487">
        <v>30</v>
      </c>
      <c r="C58" s="474" t="s">
        <v>1448</v>
      </c>
      <c r="D58" s="485">
        <v>80</v>
      </c>
      <c r="E58" s="485">
        <v>80</v>
      </c>
      <c r="F58" s="485">
        <v>80</v>
      </c>
      <c r="G58" s="485">
        <v>60</v>
      </c>
      <c r="H58" s="485">
        <v>100</v>
      </c>
      <c r="I58" s="485">
        <v>100</v>
      </c>
      <c r="J58" s="485">
        <v>80</v>
      </c>
      <c r="K58" s="486">
        <v>80</v>
      </c>
    </row>
    <row r="59" spans="1:14" x14ac:dyDescent="0.2">
      <c r="A59" s="282">
        <v>59</v>
      </c>
      <c r="B59" s="487">
        <v>31</v>
      </c>
      <c r="C59" s="473" t="s">
        <v>1450</v>
      </c>
      <c r="D59" s="483"/>
      <c r="E59" s="483">
        <v>40</v>
      </c>
      <c r="F59" s="483"/>
      <c r="G59" s="483"/>
      <c r="H59" s="483"/>
      <c r="I59" s="483"/>
      <c r="J59" s="483"/>
      <c r="K59" s="484"/>
    </row>
    <row r="60" spans="1:14" x14ac:dyDescent="0.2">
      <c r="A60" s="282">
        <v>60</v>
      </c>
      <c r="B60" s="487">
        <v>32</v>
      </c>
      <c r="C60" s="469" t="s">
        <v>1451</v>
      </c>
      <c r="D60" s="479"/>
      <c r="E60" s="479"/>
      <c r="F60" s="479">
        <v>20</v>
      </c>
      <c r="G60" s="479">
        <v>60</v>
      </c>
      <c r="H60" s="479"/>
      <c r="I60" s="479"/>
      <c r="J60" s="479"/>
      <c r="K60" s="480"/>
    </row>
    <row r="61" spans="1:14" ht="12.75" customHeight="1" x14ac:dyDescent="0.2">
      <c r="A61" s="282">
        <v>61</v>
      </c>
      <c r="B61" s="487">
        <v>33</v>
      </c>
      <c r="C61" s="470" t="s">
        <v>1454</v>
      </c>
      <c r="D61" s="477"/>
      <c r="E61" s="477"/>
      <c r="F61" s="477">
        <v>20</v>
      </c>
      <c r="G61" s="477">
        <v>40</v>
      </c>
      <c r="H61" s="477"/>
      <c r="I61" s="477"/>
      <c r="J61" s="477"/>
      <c r="K61" s="478"/>
      <c r="M61" s="2916"/>
    </row>
    <row r="62" spans="1:14" x14ac:dyDescent="0.2">
      <c r="A62" s="282">
        <v>62</v>
      </c>
      <c r="B62" s="487">
        <v>34</v>
      </c>
      <c r="C62" s="471" t="s">
        <v>1458</v>
      </c>
      <c r="D62" s="475"/>
      <c r="E62" s="475"/>
      <c r="F62" s="475"/>
      <c r="G62" s="475">
        <v>20</v>
      </c>
      <c r="H62" s="475"/>
      <c r="I62" s="475"/>
      <c r="J62" s="475"/>
      <c r="K62" s="476"/>
    </row>
    <row r="63" spans="1:14" x14ac:dyDescent="0.2">
      <c r="A63" s="282">
        <v>63</v>
      </c>
      <c r="B63" s="487">
        <v>35</v>
      </c>
      <c r="C63" s="470" t="s">
        <v>1460</v>
      </c>
      <c r="D63" s="477"/>
      <c r="E63" s="477"/>
      <c r="F63" s="477"/>
      <c r="G63" s="477"/>
      <c r="H63" s="477"/>
      <c r="I63" s="477"/>
      <c r="J63" s="477"/>
      <c r="K63" s="478">
        <v>20</v>
      </c>
    </row>
    <row r="64" spans="1:14" x14ac:dyDescent="0.2">
      <c r="A64" s="282">
        <v>64</v>
      </c>
      <c r="B64" s="487">
        <v>36</v>
      </c>
      <c r="C64" s="469" t="s">
        <v>1462</v>
      </c>
      <c r="D64" s="479"/>
      <c r="E64" s="479"/>
      <c r="F64" s="479"/>
      <c r="G64" s="479"/>
      <c r="H64" s="479"/>
      <c r="I64" s="479">
        <v>20</v>
      </c>
      <c r="J64" s="479"/>
      <c r="K64" s="480">
        <v>20</v>
      </c>
    </row>
    <row r="65" spans="1:11" x14ac:dyDescent="0.2">
      <c r="A65" s="282">
        <v>65</v>
      </c>
      <c r="B65" s="487">
        <v>37</v>
      </c>
      <c r="C65" s="470" t="s">
        <v>1464</v>
      </c>
      <c r="D65" s="477">
        <v>40</v>
      </c>
      <c r="E65" s="477"/>
      <c r="F65" s="477"/>
      <c r="G65" s="477"/>
      <c r="H65" s="477"/>
      <c r="I65" s="477">
        <v>60</v>
      </c>
      <c r="J65" s="477"/>
      <c r="K65" s="478">
        <v>20</v>
      </c>
    </row>
    <row r="66" spans="1:11" x14ac:dyDescent="0.2">
      <c r="A66" s="282">
        <v>66</v>
      </c>
      <c r="B66" s="487">
        <v>38</v>
      </c>
      <c r="C66" s="469" t="s">
        <v>1466</v>
      </c>
      <c r="D66" s="479"/>
      <c r="E66" s="479"/>
      <c r="F66" s="479"/>
      <c r="G66" s="479"/>
      <c r="H66" s="479"/>
      <c r="I66" s="479">
        <v>60</v>
      </c>
      <c r="J66" s="479"/>
      <c r="K66" s="480">
        <v>20</v>
      </c>
    </row>
    <row r="67" spans="1:11" x14ac:dyDescent="0.2">
      <c r="A67" s="282">
        <v>67</v>
      </c>
      <c r="B67" s="487">
        <v>39</v>
      </c>
      <c r="C67" s="470" t="s">
        <v>1468</v>
      </c>
      <c r="D67" s="477"/>
      <c r="E67" s="477"/>
      <c r="F67" s="477"/>
      <c r="G67" s="477"/>
      <c r="H67" s="477"/>
      <c r="I67" s="477"/>
      <c r="J67" s="477"/>
      <c r="K67" s="478"/>
    </row>
    <row r="68" spans="1:11" ht="16.5" customHeight="1" x14ac:dyDescent="0.2">
      <c r="A68" s="282">
        <v>68</v>
      </c>
      <c r="B68" s="487">
        <v>40</v>
      </c>
      <c r="C68" s="469" t="s">
        <v>1469</v>
      </c>
      <c r="D68" s="479"/>
      <c r="E68" s="479">
        <v>20</v>
      </c>
      <c r="F68" s="479"/>
      <c r="G68" s="479"/>
      <c r="H68" s="479"/>
      <c r="I68" s="479"/>
      <c r="J68" s="479">
        <v>80</v>
      </c>
      <c r="K68" s="480"/>
    </row>
    <row r="69" spans="1:11" x14ac:dyDescent="0.2">
      <c r="A69" s="282">
        <v>69</v>
      </c>
      <c r="B69" s="487">
        <v>41</v>
      </c>
      <c r="C69" s="473" t="s">
        <v>1471</v>
      </c>
      <c r="D69" s="483"/>
      <c r="E69" s="483"/>
      <c r="F69" s="483"/>
      <c r="G69" s="483"/>
      <c r="H69" s="483">
        <v>20</v>
      </c>
      <c r="I69" s="483"/>
      <c r="J69" s="483"/>
      <c r="K69" s="484"/>
    </row>
    <row r="70" spans="1:11" x14ac:dyDescent="0.2">
      <c r="A70" s="282">
        <v>70</v>
      </c>
      <c r="B70" s="487">
        <v>42</v>
      </c>
      <c r="C70" s="469" t="s">
        <v>1472</v>
      </c>
      <c r="D70" s="479">
        <v>40</v>
      </c>
      <c r="E70" s="479"/>
      <c r="F70" s="479"/>
      <c r="G70" s="479"/>
      <c r="H70" s="479"/>
      <c r="I70" s="479"/>
      <c r="J70" s="479"/>
      <c r="K70" s="480"/>
    </row>
    <row r="71" spans="1:11" x14ac:dyDescent="0.2">
      <c r="A71" s="282">
        <v>71</v>
      </c>
      <c r="B71" s="487">
        <v>43</v>
      </c>
      <c r="C71" s="470" t="s">
        <v>1473</v>
      </c>
      <c r="D71" s="477"/>
      <c r="E71" s="477"/>
      <c r="F71" s="477">
        <v>20</v>
      </c>
      <c r="G71" s="477">
        <v>20</v>
      </c>
      <c r="H71" s="477"/>
      <c r="I71" s="477"/>
      <c r="J71" s="477"/>
      <c r="K71" s="478"/>
    </row>
    <row r="72" spans="1:11" x14ac:dyDescent="0.2">
      <c r="A72" s="282">
        <v>72</v>
      </c>
      <c r="B72" s="487">
        <v>44</v>
      </c>
      <c r="C72" s="469" t="s">
        <v>813</v>
      </c>
      <c r="D72" s="479"/>
      <c r="E72" s="479"/>
      <c r="F72" s="479"/>
      <c r="G72" s="479"/>
      <c r="H72" s="479"/>
      <c r="I72" s="479"/>
      <c r="J72" s="479"/>
      <c r="K72" s="480"/>
    </row>
    <row r="73" spans="1:11" x14ac:dyDescent="0.2">
      <c r="A73" s="282">
        <v>73</v>
      </c>
      <c r="B73" s="487">
        <v>45</v>
      </c>
      <c r="C73" s="470" t="s">
        <v>814</v>
      </c>
      <c r="D73" s="477"/>
      <c r="E73" s="477"/>
      <c r="F73" s="477"/>
      <c r="G73" s="477"/>
      <c r="H73" s="477"/>
      <c r="I73" s="477"/>
      <c r="J73" s="477"/>
      <c r="K73" s="478"/>
    </row>
    <row r="74" spans="1:11" x14ac:dyDescent="0.2">
      <c r="A74" s="282">
        <v>74</v>
      </c>
      <c r="B74" s="487">
        <v>46</v>
      </c>
      <c r="C74" s="469" t="s">
        <v>815</v>
      </c>
      <c r="D74" s="479"/>
      <c r="E74" s="479"/>
      <c r="F74" s="479"/>
      <c r="G74" s="479"/>
      <c r="H74" s="479"/>
      <c r="I74" s="479"/>
      <c r="J74" s="479"/>
      <c r="K74" s="480"/>
    </row>
    <row r="75" spans="1:11" x14ac:dyDescent="0.2">
      <c r="A75" s="282">
        <v>75</v>
      </c>
      <c r="B75" s="487">
        <v>47</v>
      </c>
      <c r="C75" s="470" t="s">
        <v>1474</v>
      </c>
      <c r="D75" s="477"/>
      <c r="E75" s="477"/>
      <c r="F75" s="477"/>
      <c r="G75" s="477"/>
      <c r="H75" s="477">
        <v>20</v>
      </c>
      <c r="I75" s="477"/>
      <c r="J75" s="477"/>
      <c r="K75" s="478"/>
    </row>
    <row r="76" spans="1:11" x14ac:dyDescent="0.2">
      <c r="A76" s="282">
        <v>76</v>
      </c>
      <c r="B76" s="487">
        <v>48</v>
      </c>
      <c r="C76" s="469" t="s">
        <v>1476</v>
      </c>
      <c r="D76" s="479">
        <v>20</v>
      </c>
      <c r="E76" s="479"/>
      <c r="F76" s="479"/>
      <c r="G76" s="479"/>
      <c r="H76" s="479"/>
      <c r="I76" s="479">
        <v>20</v>
      </c>
      <c r="J76" s="479"/>
      <c r="K76" s="480"/>
    </row>
    <row r="77" spans="1:11" x14ac:dyDescent="0.2">
      <c r="A77" s="282">
        <v>77</v>
      </c>
      <c r="B77" s="487">
        <v>49</v>
      </c>
      <c r="C77" s="470" t="s">
        <v>6279</v>
      </c>
      <c r="D77" s="477"/>
      <c r="E77" s="477"/>
      <c r="F77" s="477"/>
      <c r="G77" s="477"/>
      <c r="H77" s="477"/>
      <c r="I77" s="477"/>
      <c r="J77" s="477"/>
      <c r="K77" s="478"/>
    </row>
    <row r="78" spans="1:11" x14ac:dyDescent="0.2">
      <c r="A78" s="282">
        <v>78</v>
      </c>
      <c r="B78" s="487">
        <v>50</v>
      </c>
      <c r="C78" s="469" t="s">
        <v>6280</v>
      </c>
      <c r="D78" s="479"/>
      <c r="E78" s="479"/>
      <c r="F78" s="479"/>
      <c r="G78" s="479"/>
      <c r="H78" s="479"/>
      <c r="I78" s="479"/>
      <c r="J78" s="479"/>
      <c r="K78" s="480"/>
    </row>
    <row r="79" spans="1:11" x14ac:dyDescent="0.2">
      <c r="A79" s="282">
        <v>79</v>
      </c>
      <c r="B79" s="487">
        <v>51</v>
      </c>
      <c r="C79" s="470" t="s">
        <v>6281</v>
      </c>
      <c r="D79" s="477"/>
      <c r="E79" s="477"/>
      <c r="F79" s="477"/>
      <c r="G79" s="477"/>
      <c r="H79" s="477"/>
      <c r="I79" s="477"/>
      <c r="J79" s="477"/>
      <c r="K79" s="478"/>
    </row>
    <row r="80" spans="1:11" x14ac:dyDescent="0.2">
      <c r="A80" s="282">
        <v>80</v>
      </c>
      <c r="B80" s="487">
        <v>52</v>
      </c>
      <c r="C80" s="469" t="s">
        <v>6282</v>
      </c>
      <c r="D80" s="479"/>
      <c r="E80" s="479"/>
      <c r="F80" s="479"/>
      <c r="G80" s="479"/>
      <c r="H80" s="479"/>
      <c r="I80" s="479"/>
      <c r="J80" s="479"/>
      <c r="K80" s="480"/>
    </row>
    <row r="81" spans="1:18" x14ac:dyDescent="0.2">
      <c r="A81" s="282">
        <v>81</v>
      </c>
      <c r="B81" s="487">
        <v>53</v>
      </c>
      <c r="C81" s="473" t="str">
        <f>IF(PDs!E180="","",PDs!E180)</f>
        <v/>
      </c>
      <c r="D81" s="483"/>
      <c r="E81" s="483"/>
      <c r="F81" s="483"/>
      <c r="G81" s="483"/>
      <c r="H81" s="483"/>
      <c r="I81" s="483"/>
      <c r="J81" s="483"/>
      <c r="K81" s="484"/>
    </row>
    <row r="82" spans="1:18" x14ac:dyDescent="0.2">
      <c r="A82" s="282">
        <v>82</v>
      </c>
      <c r="B82" s="487">
        <v>54</v>
      </c>
      <c r="C82" s="469" t="str">
        <f>IF(PDs!E181="","",PDs!E181)</f>
        <v/>
      </c>
      <c r="D82" s="479"/>
      <c r="E82" s="479"/>
      <c r="F82" s="479"/>
      <c r="G82" s="479"/>
      <c r="H82" s="479"/>
      <c r="I82" s="479"/>
      <c r="J82" s="479"/>
      <c r="K82" s="480"/>
    </row>
    <row r="83" spans="1:18" x14ac:dyDescent="0.2">
      <c r="A83" s="282">
        <v>83</v>
      </c>
      <c r="B83" s="487">
        <v>55</v>
      </c>
      <c r="C83" s="470" t="str">
        <f>IF(PDs!E182="","",PDs!E182)</f>
        <v/>
      </c>
      <c r="D83" s="477"/>
      <c r="E83" s="477"/>
      <c r="F83" s="477"/>
      <c r="G83" s="477"/>
      <c r="H83" s="477"/>
      <c r="I83" s="477"/>
      <c r="J83" s="477"/>
      <c r="K83" s="478"/>
    </row>
    <row r="84" spans="1:18" x14ac:dyDescent="0.2">
      <c r="A84" s="282">
        <v>84</v>
      </c>
      <c r="B84" s="487">
        <v>56</v>
      </c>
      <c r="C84" s="469" t="str">
        <f>IF(PDs!E183="","",PDs!E183)</f>
        <v/>
      </c>
      <c r="D84" s="479"/>
      <c r="E84" s="479"/>
      <c r="F84" s="479"/>
      <c r="G84" s="479"/>
      <c r="H84" s="479"/>
      <c r="I84" s="479"/>
      <c r="J84" s="479"/>
      <c r="K84" s="480"/>
    </row>
    <row r="85" spans="1:18" x14ac:dyDescent="0.2">
      <c r="A85" s="282">
        <v>85</v>
      </c>
      <c r="B85" s="487">
        <v>57</v>
      </c>
      <c r="C85" s="470" t="str">
        <f>IF(PDs!E184="","",PDs!E184)</f>
        <v/>
      </c>
      <c r="D85" s="477"/>
      <c r="E85" s="477"/>
      <c r="F85" s="477"/>
      <c r="G85" s="477"/>
      <c r="H85" s="477"/>
      <c r="I85" s="477"/>
      <c r="J85" s="477"/>
      <c r="K85" s="478"/>
    </row>
    <row r="86" spans="1:18" ht="13.5" thickBot="1" x14ac:dyDescent="0.25">
      <c r="A86" s="282">
        <v>86</v>
      </c>
      <c r="B86" s="487">
        <v>58</v>
      </c>
      <c r="C86" s="519" t="str">
        <f>IF(PDs!E185="","",PDs!E185)</f>
        <v/>
      </c>
      <c r="D86" s="520"/>
      <c r="E86" s="520"/>
      <c r="F86" s="520"/>
      <c r="G86" s="520"/>
      <c r="H86" s="520"/>
      <c r="I86" s="520"/>
      <c r="J86" s="520"/>
      <c r="K86" s="521"/>
    </row>
    <row r="87" spans="1:18" x14ac:dyDescent="0.2">
      <c r="A87" s="282">
        <v>87</v>
      </c>
    </row>
    <row r="88" spans="1:18" x14ac:dyDescent="0.2">
      <c r="A88" s="282">
        <v>88</v>
      </c>
    </row>
    <row r="89" spans="1:18" ht="15.75" x14ac:dyDescent="0.2">
      <c r="A89" s="282">
        <v>89</v>
      </c>
      <c r="C89" s="6408" t="s">
        <v>2632</v>
      </c>
      <c r="D89" s="6409"/>
      <c r="E89" s="6409"/>
      <c r="F89" s="6409"/>
      <c r="G89" s="312" t="s">
        <v>2633</v>
      </c>
      <c r="H89" s="313"/>
      <c r="I89" s="314"/>
      <c r="J89" s="314"/>
      <c r="K89" s="314"/>
      <c r="L89" s="314"/>
      <c r="M89" s="314"/>
      <c r="N89" s="314"/>
      <c r="O89" s="314"/>
      <c r="P89" s="314"/>
      <c r="Q89" s="314"/>
      <c r="R89" s="6413" t="s">
        <v>2634</v>
      </c>
    </row>
    <row r="90" spans="1:18" ht="13.5" thickBot="1" x14ac:dyDescent="0.25">
      <c r="A90" s="282">
        <v>90</v>
      </c>
      <c r="C90" s="6415" t="s">
        <v>2635</v>
      </c>
      <c r="D90" s="6415"/>
      <c r="E90" s="6415"/>
      <c r="F90" s="316" t="s">
        <v>2252</v>
      </c>
      <c r="G90" s="315" t="s">
        <v>2636</v>
      </c>
      <c r="H90" s="316" t="s">
        <v>2637</v>
      </c>
      <c r="I90" s="293"/>
      <c r="J90" s="293"/>
      <c r="K90" s="293"/>
      <c r="L90" s="6416" t="s">
        <v>1549</v>
      </c>
      <c r="M90" s="6416"/>
      <c r="N90" s="6416"/>
      <c r="O90" s="6416"/>
      <c r="P90" s="6416"/>
      <c r="Q90" s="6416"/>
      <c r="R90" s="6414"/>
    </row>
    <row r="91" spans="1:18" x14ac:dyDescent="0.2">
      <c r="A91" s="282">
        <v>91</v>
      </c>
      <c r="B91" s="317">
        <f>H91</f>
        <v>0</v>
      </c>
      <c r="C91" s="648" t="s">
        <v>2638</v>
      </c>
      <c r="D91" s="648"/>
      <c r="E91" s="648"/>
      <c r="F91" s="649"/>
      <c r="G91" s="650"/>
      <c r="H91" s="650"/>
      <c r="I91" s="650"/>
      <c r="J91" s="650"/>
      <c r="K91" s="650"/>
      <c r="L91" s="651"/>
      <c r="M91" s="650"/>
      <c r="N91" s="650"/>
      <c r="O91" s="650"/>
      <c r="P91" s="650"/>
      <c r="Q91" s="650"/>
      <c r="R91" s="652"/>
    </row>
    <row r="92" spans="1:18" x14ac:dyDescent="0.2">
      <c r="A92" s="282">
        <v>92</v>
      </c>
      <c r="B92" s="320">
        <f t="shared" ref="B92:B154" si="1">H92</f>
        <v>0</v>
      </c>
      <c r="C92" s="318" t="s">
        <v>2639</v>
      </c>
      <c r="D92" s="318" t="s">
        <v>2639</v>
      </c>
      <c r="E92" s="318"/>
      <c r="F92" s="319">
        <f>COUNTIF(Sheele!$C$24:$H$35,C92)</f>
        <v>0</v>
      </c>
      <c r="G92" s="303">
        <v>1</v>
      </c>
      <c r="H92" s="303">
        <f>IF(OR($F92=0,$G92=0),0,MAX($H$91:H91)+1)</f>
        <v>0</v>
      </c>
      <c r="I92" s="303" t="s">
        <v>1456</v>
      </c>
      <c r="J92" s="644" t="s">
        <v>1456</v>
      </c>
      <c r="K92" s="303" t="s">
        <v>1456</v>
      </c>
      <c r="L92" s="6372" t="s">
        <v>2640</v>
      </c>
      <c r="M92" s="6404"/>
      <c r="N92" s="6404"/>
      <c r="O92" s="6404"/>
      <c r="P92" s="6404"/>
      <c r="Q92" s="6404"/>
      <c r="R92" s="653" t="s">
        <v>1456</v>
      </c>
    </row>
    <row r="93" spans="1:18" x14ac:dyDescent="0.2">
      <c r="A93" s="282">
        <v>93</v>
      </c>
      <c r="B93" s="320">
        <f t="shared" si="1"/>
        <v>0</v>
      </c>
      <c r="C93" s="318" t="s">
        <v>2641</v>
      </c>
      <c r="D93" s="318" t="s">
        <v>2641</v>
      </c>
      <c r="E93" s="318"/>
      <c r="F93" s="319">
        <f>COUNTIF(Sheele!$C$24:$H$35,C93)</f>
        <v>0</v>
      </c>
      <c r="G93" s="303">
        <v>1</v>
      </c>
      <c r="H93" s="303">
        <f>IF(OR($F93=0,$G93=0),0,MAX($H$91:H92)+1)</f>
        <v>0</v>
      </c>
      <c r="I93" s="303" t="s">
        <v>1456</v>
      </c>
      <c r="J93" s="303" t="s">
        <v>1456</v>
      </c>
      <c r="K93" s="303" t="s">
        <v>1456</v>
      </c>
      <c r="L93" s="6372" t="s">
        <v>2642</v>
      </c>
      <c r="M93" s="6404"/>
      <c r="N93" s="6404"/>
      <c r="O93" s="6404"/>
      <c r="P93" s="6404"/>
      <c r="Q93" s="6404"/>
      <c r="R93" s="653" t="s">
        <v>1456</v>
      </c>
    </row>
    <row r="94" spans="1:18" x14ac:dyDescent="0.2">
      <c r="A94" s="282">
        <v>94</v>
      </c>
      <c r="B94" s="320">
        <f t="shared" si="1"/>
        <v>0</v>
      </c>
      <c r="C94" s="2915" t="s">
        <v>8667</v>
      </c>
      <c r="D94" s="332" t="s">
        <v>8667</v>
      </c>
      <c r="E94" s="318"/>
      <c r="F94" s="319">
        <f>COUNTIF(Sheele!$C$24:$H$35,C94)</f>
        <v>0</v>
      </c>
      <c r="G94" s="303">
        <v>1</v>
      </c>
      <c r="H94" s="303">
        <f>IF(OR($F94=0,$G94=0),0,MAX($H$91:H93)+1)</f>
        <v>0</v>
      </c>
      <c r="I94" s="303" t="s">
        <v>1456</v>
      </c>
      <c r="J94" s="644" t="s">
        <v>1456</v>
      </c>
      <c r="K94" s="303" t="s">
        <v>1456</v>
      </c>
      <c r="L94" s="6372" t="s">
        <v>2643</v>
      </c>
      <c r="M94" s="6404"/>
      <c r="N94" s="6404"/>
      <c r="O94" s="6404"/>
      <c r="P94" s="6404"/>
      <c r="Q94" s="6404"/>
      <c r="R94" s="653" t="s">
        <v>1456</v>
      </c>
    </row>
    <row r="95" spans="1:18" x14ac:dyDescent="0.2">
      <c r="A95" s="282">
        <v>95</v>
      </c>
      <c r="B95" s="320">
        <f t="shared" si="1"/>
        <v>0</v>
      </c>
      <c r="C95" s="318" t="s">
        <v>2644</v>
      </c>
      <c r="D95" s="318" t="s">
        <v>2644</v>
      </c>
      <c r="E95" s="318"/>
      <c r="F95" s="319">
        <f>COUNTIF(Sheele!$C$24:$H$35,C95)</f>
        <v>0</v>
      </c>
      <c r="G95" s="303">
        <v>1</v>
      </c>
      <c r="H95" s="303">
        <f>IF(OR($F95=0,$G95=0),0,MAX($H$91:H94)+1)</f>
        <v>0</v>
      </c>
      <c r="I95" s="303" t="s">
        <v>1456</v>
      </c>
      <c r="J95" s="644" t="s">
        <v>1456</v>
      </c>
      <c r="K95" s="303" t="s">
        <v>1456</v>
      </c>
      <c r="L95" s="6406" t="s">
        <v>9642</v>
      </c>
      <c r="M95" s="6404"/>
      <c r="N95" s="6404"/>
      <c r="O95" s="6404"/>
      <c r="P95" s="6404"/>
      <c r="Q95" s="6404"/>
      <c r="R95" s="653" t="s">
        <v>1456</v>
      </c>
    </row>
    <row r="96" spans="1:18" x14ac:dyDescent="0.2">
      <c r="A96" s="282">
        <v>96</v>
      </c>
      <c r="B96" s="320">
        <f t="shared" si="1"/>
        <v>0</v>
      </c>
      <c r="C96" s="318" t="s">
        <v>2645</v>
      </c>
      <c r="D96" s="318" t="s">
        <v>2645</v>
      </c>
      <c r="E96" s="318"/>
      <c r="F96" s="319">
        <f>COUNTIF(Sheele!$C$24:$H$35,C96)</f>
        <v>0</v>
      </c>
      <c r="G96" s="303">
        <v>1</v>
      </c>
      <c r="H96" s="303">
        <f>IF(OR($F96=0,$G96=0),0,MAX($H$91:H95)+1)</f>
        <v>0</v>
      </c>
      <c r="I96" s="303" t="s">
        <v>1456</v>
      </c>
      <c r="J96" s="303" t="s">
        <v>1456</v>
      </c>
      <c r="K96" s="303" t="s">
        <v>1456</v>
      </c>
      <c r="L96" s="6407" t="s">
        <v>9643</v>
      </c>
      <c r="M96" s="6404"/>
      <c r="N96" s="6404"/>
      <c r="O96" s="6404"/>
      <c r="P96" s="6404"/>
      <c r="Q96" s="6404"/>
      <c r="R96" s="653" t="s">
        <v>1456</v>
      </c>
    </row>
    <row r="97" spans="1:18" x14ac:dyDescent="0.2">
      <c r="A97" s="282">
        <v>97</v>
      </c>
      <c r="B97" s="320">
        <f t="shared" si="1"/>
        <v>0</v>
      </c>
      <c r="C97" s="2915" t="s">
        <v>10407</v>
      </c>
      <c r="D97" s="318"/>
      <c r="E97" s="318"/>
      <c r="F97" s="319"/>
      <c r="G97" s="303"/>
      <c r="H97" s="303"/>
      <c r="I97" s="303" t="s">
        <v>1456</v>
      </c>
      <c r="J97" s="644" t="s">
        <v>1456</v>
      </c>
      <c r="K97" s="303" t="s">
        <v>1456</v>
      </c>
      <c r="L97" s="6372"/>
      <c r="M97" s="6404"/>
      <c r="N97" s="6404"/>
      <c r="O97" s="6404"/>
      <c r="P97" s="6404"/>
      <c r="Q97" s="6404"/>
      <c r="R97" s="654"/>
    </row>
    <row r="98" spans="1:18" x14ac:dyDescent="0.2">
      <c r="A98" s="282">
        <v>98</v>
      </c>
      <c r="B98" s="320">
        <f t="shared" si="1"/>
        <v>0</v>
      </c>
      <c r="C98" s="318" t="s">
        <v>2646</v>
      </c>
      <c r="D98" s="318" t="s">
        <v>2646</v>
      </c>
      <c r="E98" s="318"/>
      <c r="F98" s="319">
        <f>COUNTIF(Sheele!$C$24:$H$35,C98)</f>
        <v>0</v>
      </c>
      <c r="G98" s="303"/>
      <c r="H98" s="303">
        <f>IF(OR($F98=0,$G98=0),0,MAX($H$91:H97)+1)</f>
        <v>0</v>
      </c>
      <c r="I98" s="303" t="s">
        <v>1456</v>
      </c>
      <c r="J98" s="303" t="s">
        <v>1456</v>
      </c>
      <c r="K98" s="303" t="s">
        <v>1456</v>
      </c>
      <c r="L98" s="6406" t="s">
        <v>9644</v>
      </c>
      <c r="M98" s="6404"/>
      <c r="N98" s="6404"/>
      <c r="O98" s="6404"/>
      <c r="P98" s="6404"/>
      <c r="Q98" s="6404"/>
      <c r="R98" s="654"/>
    </row>
    <row r="99" spans="1:18" x14ac:dyDescent="0.2">
      <c r="A99" s="282">
        <v>99</v>
      </c>
      <c r="B99" s="320">
        <f t="shared" si="1"/>
        <v>0</v>
      </c>
      <c r="C99" s="318" t="s">
        <v>2647</v>
      </c>
      <c r="D99" s="318" t="s">
        <v>2647</v>
      </c>
      <c r="E99" s="318"/>
      <c r="F99" s="319">
        <f>COUNTIF(Sheele!$C$24:$H$35,C99)</f>
        <v>0</v>
      </c>
      <c r="G99" s="303"/>
      <c r="H99" s="303">
        <f>IF(OR($F99=0,$G99=0),0,MAX($H$91:H98)+1)</f>
        <v>0</v>
      </c>
      <c r="I99" s="303" t="s">
        <v>1456</v>
      </c>
      <c r="J99" s="303" t="s">
        <v>1456</v>
      </c>
      <c r="K99" s="303" t="s">
        <v>1456</v>
      </c>
      <c r="L99" s="6406" t="s">
        <v>9645</v>
      </c>
      <c r="M99" s="6404"/>
      <c r="N99" s="6404"/>
      <c r="O99" s="6404"/>
      <c r="P99" s="6404"/>
      <c r="Q99" s="6404"/>
      <c r="R99" s="654"/>
    </row>
    <row r="100" spans="1:18" x14ac:dyDescent="0.2">
      <c r="A100" s="282">
        <v>100</v>
      </c>
      <c r="B100" s="320">
        <f t="shared" si="1"/>
        <v>0</v>
      </c>
      <c r="C100" s="318" t="s">
        <v>2648</v>
      </c>
      <c r="D100" s="318" t="s">
        <v>2648</v>
      </c>
      <c r="E100" s="318"/>
      <c r="F100" s="319">
        <f>COUNTIF(Sheele!$C$24:$H$35,C100)</f>
        <v>0</v>
      </c>
      <c r="G100" s="303"/>
      <c r="H100" s="303">
        <f>IF(OR($F100=0,$G100=0),0,MAX($H$91:H99)+1)</f>
        <v>0</v>
      </c>
      <c r="I100" s="303" t="s">
        <v>1456</v>
      </c>
      <c r="J100" s="644" t="s">
        <v>1456</v>
      </c>
      <c r="K100" s="303" t="s">
        <v>1456</v>
      </c>
      <c r="L100" s="6372" t="s">
        <v>2649</v>
      </c>
      <c r="M100" s="6404"/>
      <c r="N100" s="6404"/>
      <c r="O100" s="6404"/>
      <c r="P100" s="6404"/>
      <c r="Q100" s="6404"/>
      <c r="R100" s="654"/>
    </row>
    <row r="101" spans="1:18" x14ac:dyDescent="0.2">
      <c r="A101" s="282">
        <v>101</v>
      </c>
      <c r="B101" s="320">
        <f t="shared" si="1"/>
        <v>0</v>
      </c>
      <c r="C101" s="318" t="s">
        <v>2650</v>
      </c>
      <c r="D101" s="318" t="s">
        <v>2650</v>
      </c>
      <c r="E101" s="321"/>
      <c r="F101" s="319">
        <f>COUNTIF(Sheele!$C$24:$H$35,C101)</f>
        <v>0</v>
      </c>
      <c r="G101" s="303"/>
      <c r="H101" s="303">
        <f>IF(OR($F101=0,$G101=0),0,MAX($H$91:H100)+1)</f>
        <v>0</v>
      </c>
      <c r="I101" s="303" t="s">
        <v>1456</v>
      </c>
      <c r="J101" s="644" t="s">
        <v>1456</v>
      </c>
      <c r="K101" s="303" t="s">
        <v>1456</v>
      </c>
      <c r="L101" s="6405" t="s">
        <v>2651</v>
      </c>
      <c r="M101" s="6404"/>
      <c r="N101" s="6404"/>
      <c r="O101" s="6404"/>
      <c r="P101" s="6404"/>
      <c r="Q101" s="6404"/>
      <c r="R101" s="654"/>
    </row>
    <row r="102" spans="1:18" x14ac:dyDescent="0.2">
      <c r="A102" s="282">
        <v>102</v>
      </c>
      <c r="B102" s="320">
        <f t="shared" si="1"/>
        <v>0</v>
      </c>
      <c r="C102" s="2915" t="s">
        <v>10408</v>
      </c>
      <c r="D102" s="318"/>
      <c r="E102" s="318"/>
      <c r="F102" s="319"/>
      <c r="G102" s="303"/>
      <c r="H102" s="303"/>
      <c r="I102" s="303" t="s">
        <v>1456</v>
      </c>
      <c r="J102" s="303" t="s">
        <v>1456</v>
      </c>
      <c r="K102" s="303" t="s">
        <v>1456</v>
      </c>
      <c r="L102" s="6372"/>
      <c r="M102" s="6404"/>
      <c r="N102" s="6404"/>
      <c r="O102" s="6404"/>
      <c r="P102" s="6404"/>
      <c r="Q102" s="6404"/>
      <c r="R102" s="654"/>
    </row>
    <row r="103" spans="1:18" x14ac:dyDescent="0.2">
      <c r="A103" s="282">
        <v>103</v>
      </c>
      <c r="B103" s="320">
        <f t="shared" si="1"/>
        <v>0</v>
      </c>
      <c r="C103" s="318" t="s">
        <v>2652</v>
      </c>
      <c r="D103" s="318" t="s">
        <v>2652</v>
      </c>
      <c r="E103" s="318"/>
      <c r="F103" s="319">
        <f>COUNTIF(Sheele!$C$24:$H$35,C103)</f>
        <v>0</v>
      </c>
      <c r="G103" s="303"/>
      <c r="H103" s="303">
        <f>IF(OR($F103=0,$G103=0),0,MAX($H$91:H102)+1)</f>
        <v>0</v>
      </c>
      <c r="I103" s="303" t="s">
        <v>1456</v>
      </c>
      <c r="J103" s="644" t="s">
        <v>1456</v>
      </c>
      <c r="K103" s="303" t="s">
        <v>1456</v>
      </c>
      <c r="L103" s="6407" t="s">
        <v>9646</v>
      </c>
      <c r="M103" s="6404"/>
      <c r="N103" s="6404"/>
      <c r="O103" s="6404"/>
      <c r="P103" s="6404"/>
      <c r="Q103" s="6404"/>
      <c r="R103" s="653" t="s">
        <v>1456</v>
      </c>
    </row>
    <row r="104" spans="1:18" x14ac:dyDescent="0.2">
      <c r="A104" s="282">
        <v>104</v>
      </c>
      <c r="B104" s="320">
        <f t="shared" si="1"/>
        <v>0</v>
      </c>
      <c r="C104" s="318" t="s">
        <v>2653</v>
      </c>
      <c r="D104" s="318" t="s">
        <v>2653</v>
      </c>
      <c r="E104" s="318"/>
      <c r="F104" s="319">
        <f>COUNTIF(Sheele!$C$24:$H$35,C104)</f>
        <v>0</v>
      </c>
      <c r="G104" s="303"/>
      <c r="H104" s="303">
        <f>IF(OR($F104=0,$G104=0),0,MAX($H$91:H103)+1)</f>
        <v>0</v>
      </c>
      <c r="I104" s="303" t="s">
        <v>1456</v>
      </c>
      <c r="J104" s="303" t="s">
        <v>1456</v>
      </c>
      <c r="K104" s="303" t="s">
        <v>1456</v>
      </c>
      <c r="L104" s="6405" t="s">
        <v>2654</v>
      </c>
      <c r="M104" s="6404"/>
      <c r="N104" s="6404"/>
      <c r="O104" s="6404"/>
      <c r="P104" s="6404"/>
      <c r="Q104" s="6404"/>
      <c r="R104" s="653" t="s">
        <v>1456</v>
      </c>
    </row>
    <row r="105" spans="1:18" x14ac:dyDescent="0.2">
      <c r="A105" s="282">
        <v>105</v>
      </c>
      <c r="B105" s="320">
        <f t="shared" si="1"/>
        <v>0</v>
      </c>
      <c r="C105" s="318" t="s">
        <v>2655</v>
      </c>
      <c r="D105" s="318" t="s">
        <v>2655</v>
      </c>
      <c r="E105" s="318"/>
      <c r="F105" s="319">
        <f>COUNTIF(Sheele!$C$24:$H$35,C105)</f>
        <v>0</v>
      </c>
      <c r="G105" s="303"/>
      <c r="H105" s="303">
        <f>IF(OR($F105=0,$G105=0),0,MAX($H$91:H104)+1)</f>
        <v>0</v>
      </c>
      <c r="I105" s="303" t="s">
        <v>1456</v>
      </c>
      <c r="J105" s="644" t="s">
        <v>1456</v>
      </c>
      <c r="K105" s="303" t="s">
        <v>1456</v>
      </c>
      <c r="L105" s="6405" t="s">
        <v>2656</v>
      </c>
      <c r="M105" s="6404"/>
      <c r="N105" s="6404"/>
      <c r="O105" s="6404"/>
      <c r="P105" s="6404"/>
      <c r="Q105" s="6404"/>
      <c r="R105" s="653" t="s">
        <v>1456</v>
      </c>
    </row>
    <row r="106" spans="1:18" x14ac:dyDescent="0.2">
      <c r="A106" s="282">
        <v>106</v>
      </c>
      <c r="B106" s="320">
        <f t="shared" si="1"/>
        <v>0</v>
      </c>
      <c r="C106" s="2915" t="s">
        <v>10409</v>
      </c>
      <c r="D106" s="318"/>
      <c r="E106" s="318"/>
      <c r="F106" s="319"/>
      <c r="G106" s="303"/>
      <c r="H106" s="303"/>
      <c r="I106" s="303" t="s">
        <v>1456</v>
      </c>
      <c r="J106" s="303" t="s">
        <v>1456</v>
      </c>
      <c r="K106" s="303" t="s">
        <v>1456</v>
      </c>
      <c r="L106" s="6372"/>
      <c r="M106" s="6404"/>
      <c r="N106" s="6404"/>
      <c r="O106" s="6404"/>
      <c r="P106" s="6404"/>
      <c r="Q106" s="6404"/>
      <c r="R106" s="654"/>
    </row>
    <row r="107" spans="1:18" x14ac:dyDescent="0.2">
      <c r="A107" s="282">
        <v>107</v>
      </c>
      <c r="B107" s="320">
        <f t="shared" si="1"/>
        <v>0</v>
      </c>
      <c r="C107" s="318" t="s">
        <v>2657</v>
      </c>
      <c r="D107" s="318" t="s">
        <v>2657</v>
      </c>
      <c r="E107" s="318"/>
      <c r="F107" s="319">
        <f>COUNTIF(Sheele!$C$24:$H$35,C107)</f>
        <v>0</v>
      </c>
      <c r="G107" s="303"/>
      <c r="H107" s="303">
        <f>IF(OR($F107=0,$G107=0),0,MAX($H$91:H106)+1)</f>
        <v>0</v>
      </c>
      <c r="I107" s="303" t="s">
        <v>1456</v>
      </c>
      <c r="J107" s="644" t="s">
        <v>1456</v>
      </c>
      <c r="K107" s="303" t="s">
        <v>1456</v>
      </c>
      <c r="L107" s="6372" t="str">
        <f>"Los puntos de vida se incrementan a Presencia·4 ("&amp;Sheele!L27*4&amp;")"</f>
        <v>Los puntos de vida se incrementan a Presencia·4 (100)</v>
      </c>
      <c r="M107" s="6404"/>
      <c r="N107" s="6404"/>
      <c r="O107" s="6404"/>
      <c r="P107" s="6404"/>
      <c r="Q107" s="6404"/>
      <c r="R107" s="653" t="s">
        <v>1456</v>
      </c>
    </row>
    <row r="108" spans="1:18" ht="13.5" thickBot="1" x14ac:dyDescent="0.25">
      <c r="A108" s="282">
        <v>108</v>
      </c>
      <c r="B108" s="320">
        <f t="shared" si="1"/>
        <v>0</v>
      </c>
      <c r="C108" s="318" t="s">
        <v>2658</v>
      </c>
      <c r="D108" s="318" t="s">
        <v>2658</v>
      </c>
      <c r="E108" s="318"/>
      <c r="F108" s="319">
        <f>COUNTIF(Sheele!$C$24:$H$35,C108)</f>
        <v>0</v>
      </c>
      <c r="G108" s="303"/>
      <c r="H108" s="303">
        <f>IF(OR($F108=0,$G108=0),0,MAX($H$91:H107)+1)</f>
        <v>0</v>
      </c>
      <c r="I108" s="303" t="s">
        <v>1456</v>
      </c>
      <c r="J108" s="303" t="s">
        <v>1456</v>
      </c>
      <c r="K108" s="303" t="s">
        <v>1456</v>
      </c>
      <c r="L108" s="6405" t="s">
        <v>2659</v>
      </c>
      <c r="M108" s="6404"/>
      <c r="N108" s="6404"/>
      <c r="O108" s="6404"/>
      <c r="P108" s="6404"/>
      <c r="Q108" s="6404"/>
      <c r="R108" s="653" t="s">
        <v>1456</v>
      </c>
    </row>
    <row r="109" spans="1:18" ht="13.5" thickBot="1" x14ac:dyDescent="0.25">
      <c r="A109" s="282">
        <v>109</v>
      </c>
      <c r="B109" s="320">
        <f>G109</f>
        <v>0</v>
      </c>
      <c r="C109" s="6410" t="s">
        <v>2660</v>
      </c>
      <c r="D109" s="6411"/>
      <c r="E109" s="6411"/>
      <c r="F109" s="2448" t="s">
        <v>2661</v>
      </c>
      <c r="G109" s="2449"/>
      <c r="H109" s="2450">
        <f>COUNTIF(H91:H108,"&gt;0")</f>
        <v>0</v>
      </c>
      <c r="I109" s="324"/>
      <c r="J109" s="655"/>
      <c r="K109" s="655"/>
      <c r="L109" s="655"/>
      <c r="M109" s="324"/>
      <c r="N109" s="655"/>
      <c r="O109" s="655"/>
      <c r="P109" s="655"/>
      <c r="Q109" s="324"/>
      <c r="R109" s="656"/>
    </row>
    <row r="110" spans="1:18" x14ac:dyDescent="0.2">
      <c r="A110" s="282">
        <v>110</v>
      </c>
      <c r="B110" s="645">
        <f t="shared" si="1"/>
        <v>0</v>
      </c>
      <c r="C110" s="2468" t="s">
        <v>302</v>
      </c>
      <c r="D110" s="2451"/>
      <c r="E110" s="2451"/>
      <c r="F110" s="2452"/>
      <c r="G110" s="2453"/>
      <c r="H110" s="2454"/>
      <c r="I110" s="2453" t="s">
        <v>2662</v>
      </c>
      <c r="J110" s="2454" t="s">
        <v>2663</v>
      </c>
      <c r="K110" s="2455" t="s">
        <v>1566</v>
      </c>
      <c r="L110" s="6412" t="s">
        <v>1549</v>
      </c>
      <c r="M110" s="6412"/>
      <c r="N110" s="6412"/>
      <c r="O110" s="6412"/>
      <c r="P110" s="6412"/>
      <c r="Q110" s="6412"/>
      <c r="R110" s="2456"/>
    </row>
    <row r="111" spans="1:18" x14ac:dyDescent="0.2">
      <c r="A111" s="282">
        <v>111</v>
      </c>
      <c r="B111" s="645">
        <f t="shared" si="1"/>
        <v>0</v>
      </c>
      <c r="C111" s="326" t="s">
        <v>2664</v>
      </c>
      <c r="D111" s="2349" t="s">
        <v>2664</v>
      </c>
      <c r="E111" s="2349"/>
      <c r="F111" s="319">
        <f>COUNTIF(Sheele!$C$24:$H$35,C111)</f>
        <v>0</v>
      </c>
      <c r="G111" s="2457">
        <v>1</v>
      </c>
      <c r="H111" s="2457">
        <f>IF(OR($F111=0,$G111=0),0,MAX($H$110:H110)+1)</f>
        <v>0</v>
      </c>
      <c r="I111" s="2435">
        <v>250</v>
      </c>
      <c r="J111" s="2457">
        <f>50+Sheele!F45</f>
        <v>100</v>
      </c>
      <c r="K111" s="2440">
        <f>Sheele!L27*2</f>
        <v>50</v>
      </c>
      <c r="L111" s="6393" t="s">
        <v>2665</v>
      </c>
      <c r="M111" s="6393"/>
      <c r="N111" s="6393"/>
      <c r="O111" s="6393"/>
      <c r="P111" s="6393"/>
      <c r="Q111" s="6393"/>
      <c r="R111" s="653" t="s">
        <v>1456</v>
      </c>
    </row>
    <row r="112" spans="1:18" x14ac:dyDescent="0.2">
      <c r="A112" s="282">
        <v>112</v>
      </c>
      <c r="B112" s="645">
        <f t="shared" si="1"/>
        <v>0</v>
      </c>
      <c r="C112" s="326" t="s">
        <v>2666</v>
      </c>
      <c r="D112" s="2349" t="s">
        <v>2666</v>
      </c>
      <c r="E112" s="2349"/>
      <c r="F112" s="319">
        <f>COUNTIF(Sheele!$C$24:$H$35,C112)</f>
        <v>0</v>
      </c>
      <c r="G112" s="2457">
        <v>1</v>
      </c>
      <c r="H112" s="2457">
        <f>IF(OR($F112=0,$G112=0),0,MAX($H$110:H111)+1)</f>
        <v>0</v>
      </c>
      <c r="I112" s="2435">
        <v>100</v>
      </c>
      <c r="J112" s="2457">
        <f>Sheele!F45</f>
        <v>50</v>
      </c>
      <c r="K112" s="2440">
        <v>60</v>
      </c>
      <c r="L112" s="6393" t="s">
        <v>2667</v>
      </c>
      <c r="M112" s="6393"/>
      <c r="N112" s="6393"/>
      <c r="O112" s="6393"/>
      <c r="P112" s="6393"/>
      <c r="Q112" s="6393"/>
      <c r="R112" s="653" t="s">
        <v>1456</v>
      </c>
    </row>
    <row r="113" spans="1:18" x14ac:dyDescent="0.2">
      <c r="A113" s="282">
        <v>113</v>
      </c>
      <c r="B113" s="645">
        <f t="shared" si="1"/>
        <v>0</v>
      </c>
      <c r="C113" s="326" t="s">
        <v>2668</v>
      </c>
      <c r="D113" s="2349" t="s">
        <v>2668</v>
      </c>
      <c r="E113" s="2349"/>
      <c r="F113" s="319">
        <f>COUNTIF(Sheele!$C$24:$H$35,C113)</f>
        <v>0</v>
      </c>
      <c r="G113" s="2457">
        <v>1</v>
      </c>
      <c r="H113" s="2457">
        <f>IF(OR($F113=0,$G113=0),0,MAX($H$110:H112)+1)</f>
        <v>0</v>
      </c>
      <c r="I113" s="2435">
        <v>100</v>
      </c>
      <c r="J113" s="2457" t="s">
        <v>1456</v>
      </c>
      <c r="K113" s="2440" t="s">
        <v>1456</v>
      </c>
      <c r="L113" s="6393" t="s">
        <v>2669</v>
      </c>
      <c r="M113" s="6393"/>
      <c r="N113" s="6393"/>
      <c r="O113" s="6393"/>
      <c r="P113" s="6393"/>
      <c r="Q113" s="6393"/>
      <c r="R113" s="653" t="s">
        <v>1456</v>
      </c>
    </row>
    <row r="114" spans="1:18" x14ac:dyDescent="0.2">
      <c r="A114" s="282">
        <v>114</v>
      </c>
      <c r="B114" s="645">
        <f t="shared" si="1"/>
        <v>0</v>
      </c>
      <c r="C114" s="326" t="s">
        <v>2670</v>
      </c>
      <c r="D114" s="2349" t="s">
        <v>2670</v>
      </c>
      <c r="E114" s="2349"/>
      <c r="F114" s="319">
        <f>COUNTIF(Sheele!$C$24:$H$35,C114)</f>
        <v>0</v>
      </c>
      <c r="G114" s="2457">
        <v>1</v>
      </c>
      <c r="H114" s="2457">
        <f>IF(OR($F114=0,$G114=0),0,MAX($H$110:H113)+1)</f>
        <v>0</v>
      </c>
      <c r="I114" s="2436" t="s">
        <v>9650</v>
      </c>
      <c r="J114" s="2457">
        <f>Sheele!F45</f>
        <v>50</v>
      </c>
      <c r="K114" s="2440" t="str">
        <f>"x +"&amp;Sheele!H15</f>
        <v>x +10</v>
      </c>
      <c r="L114" s="6392" t="s">
        <v>9649</v>
      </c>
      <c r="M114" s="6393"/>
      <c r="N114" s="6393"/>
      <c r="O114" s="6393"/>
      <c r="P114" s="6393"/>
      <c r="Q114" s="6393"/>
      <c r="R114" s="653" t="s">
        <v>1456</v>
      </c>
    </row>
    <row r="115" spans="1:18" x14ac:dyDescent="0.2">
      <c r="A115" s="282">
        <v>115</v>
      </c>
      <c r="B115" s="645">
        <f t="shared" si="1"/>
        <v>0</v>
      </c>
      <c r="C115" s="326" t="s">
        <v>115</v>
      </c>
      <c r="D115" s="2349" t="s">
        <v>115</v>
      </c>
      <c r="E115" s="2349"/>
      <c r="F115" s="319">
        <f>COUNTIF(Sheele!$C$24:$H$35,C115)</f>
        <v>0</v>
      </c>
      <c r="G115" s="2457">
        <v>1</v>
      </c>
      <c r="H115" s="2457">
        <f>IF(OR($F115=0,$G115=0),0,MAX($H$110:H114)+1)</f>
        <v>0</v>
      </c>
      <c r="I115" s="2435" t="s">
        <v>1456</v>
      </c>
      <c r="J115" s="2457" t="s">
        <v>1456</v>
      </c>
      <c r="K115" s="2440" t="s">
        <v>1456</v>
      </c>
      <c r="L115" s="6393" t="s">
        <v>2671</v>
      </c>
      <c r="M115" s="6393"/>
      <c r="N115" s="6393"/>
      <c r="O115" s="6393"/>
      <c r="P115" s="6393"/>
      <c r="Q115" s="6393"/>
      <c r="R115" s="653" t="s">
        <v>1456</v>
      </c>
    </row>
    <row r="116" spans="1:18" x14ac:dyDescent="0.2">
      <c r="A116" s="282">
        <v>116</v>
      </c>
      <c r="B116" s="645">
        <f t="shared" si="1"/>
        <v>0</v>
      </c>
      <c r="C116" s="326" t="s">
        <v>2672</v>
      </c>
      <c r="D116" s="2349" t="s">
        <v>2672</v>
      </c>
      <c r="E116" s="2349"/>
      <c r="F116" s="319">
        <f>COUNTIF(Sheele!$C$24:$H$35,C116)</f>
        <v>0</v>
      </c>
      <c r="G116" s="2457"/>
      <c r="H116" s="2457">
        <f>IF(OR($F116=0,$G116=0),0,MAX($H$110:H115)+1)</f>
        <v>0</v>
      </c>
      <c r="I116" s="2435" t="s">
        <v>1456</v>
      </c>
      <c r="J116" s="2457" t="s">
        <v>1456</v>
      </c>
      <c r="K116" s="2440" t="s">
        <v>1456</v>
      </c>
      <c r="L116" s="6393" t="s">
        <v>2673</v>
      </c>
      <c r="M116" s="6393"/>
      <c r="N116" s="6393"/>
      <c r="O116" s="6393"/>
      <c r="P116" s="6393"/>
      <c r="Q116" s="6393"/>
      <c r="R116" s="653" t="s">
        <v>1456</v>
      </c>
    </row>
    <row r="117" spans="1:18" x14ac:dyDescent="0.2">
      <c r="A117" s="282">
        <v>117</v>
      </c>
      <c r="B117" s="645">
        <f t="shared" si="1"/>
        <v>0</v>
      </c>
      <c r="C117" s="326" t="s">
        <v>2674</v>
      </c>
      <c r="D117" s="2349" t="s">
        <v>2674</v>
      </c>
      <c r="E117" s="2349"/>
      <c r="F117" s="319">
        <f>COUNTIF(Sheele!$C$24:$H$35,C117)</f>
        <v>0</v>
      </c>
      <c r="G117" s="2457">
        <v>1</v>
      </c>
      <c r="H117" s="2457">
        <f>IF(OR($F117=0,$G117=0),0,MAX($H$110:H116)+1)</f>
        <v>0</v>
      </c>
      <c r="I117" s="2435" t="s">
        <v>1456</v>
      </c>
      <c r="J117" s="2457" t="s">
        <v>1456</v>
      </c>
      <c r="K117" s="2440" t="s">
        <v>1456</v>
      </c>
      <c r="L117" s="6394" t="str">
        <f>"+2 FUE al alcance y +"&amp;Sheele!H15&amp;" al daño de proyectiles de quien esté en contacto con ella."</f>
        <v>+2 FUE al alcance y +10 al daño de proyectiles de quien esté en contacto con ella.</v>
      </c>
      <c r="M117" s="6393"/>
      <c r="N117" s="6393"/>
      <c r="O117" s="6393"/>
      <c r="P117" s="6393"/>
      <c r="Q117" s="6393"/>
      <c r="R117" s="653" t="s">
        <v>1381</v>
      </c>
    </row>
    <row r="118" spans="1:18" x14ac:dyDescent="0.2">
      <c r="A118" s="282">
        <v>118</v>
      </c>
      <c r="B118" s="645">
        <f t="shared" si="1"/>
        <v>0</v>
      </c>
      <c r="C118" s="326" t="s">
        <v>10413</v>
      </c>
      <c r="D118" s="2349" t="s">
        <v>2675</v>
      </c>
      <c r="E118" s="2349"/>
      <c r="F118" s="319">
        <f>COUNTIF(Sheele!$C$24:$H$35,C118)</f>
        <v>0</v>
      </c>
      <c r="G118" s="2457"/>
      <c r="H118" s="2457">
        <f>IF(OR($F118=0,$G118=0),0,MAX($H$110:H117)+1)</f>
        <v>0</v>
      </c>
      <c r="I118" s="2435" t="s">
        <v>1456</v>
      </c>
      <c r="J118" s="2457" t="s">
        <v>1456</v>
      </c>
      <c r="K118" s="2440" t="s">
        <v>1456</v>
      </c>
      <c r="L118" s="6394" t="s">
        <v>2676</v>
      </c>
      <c r="M118" s="6393"/>
      <c r="N118" s="6393"/>
      <c r="O118" s="6393"/>
      <c r="P118" s="6393"/>
      <c r="Q118" s="6393"/>
      <c r="R118" s="653" t="s">
        <v>1456</v>
      </c>
    </row>
    <row r="119" spans="1:18" x14ac:dyDescent="0.2">
      <c r="A119" s="282">
        <v>119</v>
      </c>
      <c r="B119" s="645">
        <f t="shared" si="1"/>
        <v>0</v>
      </c>
      <c r="C119" s="326" t="s">
        <v>2677</v>
      </c>
      <c r="D119" s="2349" t="s">
        <v>2677</v>
      </c>
      <c r="E119" s="2349"/>
      <c r="F119" s="319">
        <f>COUNTIF(Sheele!$C$24:$H$35,C119)</f>
        <v>0</v>
      </c>
      <c r="G119" s="2457">
        <v>1</v>
      </c>
      <c r="H119" s="2457">
        <f>IF(OR($F119=0,$G119=0),0,MAX($H$110:H118)+1)</f>
        <v>0</v>
      </c>
      <c r="I119" s="2437" t="s">
        <v>9651</v>
      </c>
      <c r="J119" s="2457" t="s">
        <v>1456</v>
      </c>
      <c r="K119" s="2440" t="s">
        <v>1456</v>
      </c>
      <c r="L119" s="6393" t="str">
        <f>"Inmune a ataques físicos. Aquel en contacto RF "&amp;Sheele!L27*2+Sheele!H15&amp;" o sufre [Nv de fracaso] daño."</f>
        <v>Inmune a ataques físicos. Aquel en contacto RF 60 o sufre [Nv de fracaso] daño.</v>
      </c>
      <c r="M119" s="6393"/>
      <c r="N119" s="6393"/>
      <c r="O119" s="6393"/>
      <c r="P119" s="6393"/>
      <c r="Q119" s="6393"/>
      <c r="R119" s="653" t="s">
        <v>1456</v>
      </c>
    </row>
    <row r="120" spans="1:18" x14ac:dyDescent="0.2">
      <c r="A120" s="282">
        <v>120</v>
      </c>
      <c r="B120" s="645">
        <f t="shared" si="1"/>
        <v>0</v>
      </c>
      <c r="C120" s="326" t="s">
        <v>2678</v>
      </c>
      <c r="D120" s="2349" t="s">
        <v>2678</v>
      </c>
      <c r="E120" s="2349"/>
      <c r="F120" s="319">
        <f>COUNTIF(Sheele!$C$24:$H$35,C120)</f>
        <v>0</v>
      </c>
      <c r="G120" s="2457"/>
      <c r="H120" s="2457">
        <f>IF(OR($F120=0,$G120=0),0,MAX($H$110:H119)+1)</f>
        <v>0</v>
      </c>
      <c r="I120" s="2435" t="s">
        <v>1456</v>
      </c>
      <c r="J120" s="2457" t="s">
        <v>1456</v>
      </c>
      <c r="K120" s="2440" t="s">
        <v>1456</v>
      </c>
      <c r="L120" s="6396" t="s">
        <v>2679</v>
      </c>
      <c r="M120" s="6397"/>
      <c r="N120" s="6397"/>
      <c r="O120" s="6397"/>
      <c r="P120" s="6397"/>
      <c r="Q120" s="6397"/>
      <c r="R120" s="653" t="s">
        <v>1456</v>
      </c>
    </row>
    <row r="121" spans="1:18" x14ac:dyDescent="0.2">
      <c r="A121" s="282">
        <v>121</v>
      </c>
      <c r="B121" s="645">
        <f t="shared" si="1"/>
        <v>0</v>
      </c>
      <c r="C121" s="2467" t="s">
        <v>303</v>
      </c>
      <c r="D121" s="2458"/>
      <c r="E121" s="2458"/>
      <c r="F121" s="2446"/>
      <c r="G121" s="2445"/>
      <c r="H121" s="2459"/>
      <c r="I121" s="325" t="s">
        <v>2662</v>
      </c>
      <c r="J121" s="2460" t="s">
        <v>2663</v>
      </c>
      <c r="K121" s="322" t="s">
        <v>1566</v>
      </c>
      <c r="L121" s="6398" t="s">
        <v>1549</v>
      </c>
      <c r="M121" s="6398"/>
      <c r="N121" s="6398"/>
      <c r="O121" s="6398"/>
      <c r="P121" s="6398"/>
      <c r="Q121" s="6398"/>
      <c r="R121" s="656"/>
    </row>
    <row r="122" spans="1:18" x14ac:dyDescent="0.2">
      <c r="A122" s="282">
        <v>122</v>
      </c>
      <c r="B122" s="645">
        <f t="shared" si="1"/>
        <v>0</v>
      </c>
      <c r="C122" s="326" t="s">
        <v>2680</v>
      </c>
      <c r="D122" s="2349" t="s">
        <v>2680</v>
      </c>
      <c r="E122" s="2349"/>
      <c r="F122" s="319">
        <f>COUNTIF(Sheele!$C$24:$H$35,C122)</f>
        <v>0</v>
      </c>
      <c r="G122" s="2457">
        <v>1</v>
      </c>
      <c r="H122" s="2457">
        <f>IF(OR($F122=0,$G122=0),0,MAX($H$110:H121)+1)</f>
        <v>0</v>
      </c>
      <c r="I122" s="2436" t="s">
        <v>9647</v>
      </c>
      <c r="J122" s="2457">
        <f>Sheele!F45</f>
        <v>50</v>
      </c>
      <c r="K122" s="2440">
        <v>50</v>
      </c>
      <c r="L122" s="6392" t="s">
        <v>9648</v>
      </c>
      <c r="M122" s="6393"/>
      <c r="N122" s="6393"/>
      <c r="O122" s="6393"/>
      <c r="P122" s="6393"/>
      <c r="Q122" s="6393"/>
      <c r="R122" s="653" t="s">
        <v>1456</v>
      </c>
    </row>
    <row r="123" spans="1:18" x14ac:dyDescent="0.2">
      <c r="A123" s="282">
        <v>123</v>
      </c>
      <c r="B123" s="645">
        <f t="shared" si="1"/>
        <v>0</v>
      </c>
      <c r="C123" s="326" t="s">
        <v>2681</v>
      </c>
      <c r="D123" s="2349" t="s">
        <v>2681</v>
      </c>
      <c r="E123" s="2349"/>
      <c r="F123" s="319">
        <f>COUNTIF(Sheele!$C$24:$H$35,C123)</f>
        <v>0</v>
      </c>
      <c r="G123" s="2457">
        <v>1</v>
      </c>
      <c r="H123" s="2457">
        <f>IF(OR($F123=0,$G123=0),0,MAX($H$110:H122)+1)</f>
        <v>0</v>
      </c>
      <c r="I123" s="2436" t="s">
        <v>9647</v>
      </c>
      <c r="J123" s="2457">
        <f>Sheele!F45</f>
        <v>50</v>
      </c>
      <c r="K123" s="2440">
        <f>Sheele!L27</f>
        <v>25</v>
      </c>
      <c r="L123" s="6393" t="str">
        <f>"CON. Área "&amp;Sheele!L27&amp;"m. Impacto FUE "&amp;Sheele!G15&amp;". Aquellos en contacto son inmunes."</f>
        <v>CON. Área 25m. Impacto FUE 8. Aquellos en contacto son inmunes.</v>
      </c>
      <c r="M123" s="6393"/>
      <c r="N123" s="6393"/>
      <c r="O123" s="6393"/>
      <c r="P123" s="6393"/>
      <c r="Q123" s="6393"/>
      <c r="R123" s="653" t="s">
        <v>1456</v>
      </c>
    </row>
    <row r="124" spans="1:18" x14ac:dyDescent="0.2">
      <c r="A124" s="282">
        <v>124</v>
      </c>
      <c r="B124" s="645">
        <f t="shared" si="1"/>
        <v>0</v>
      </c>
      <c r="C124" s="326" t="s">
        <v>2682</v>
      </c>
      <c r="D124" s="2349" t="s">
        <v>2682</v>
      </c>
      <c r="E124" s="2349"/>
      <c r="F124" s="319">
        <f>COUNTIF(Sheele!$C$24:$H$35,C124)</f>
        <v>0</v>
      </c>
      <c r="G124" s="2457">
        <v>1</v>
      </c>
      <c r="H124" s="2457">
        <f>IF(OR($F124=0,$G124=0),0,MAX($H$110:H123)+1)</f>
        <v>0</v>
      </c>
      <c r="I124" s="2435">
        <v>30</v>
      </c>
      <c r="J124" s="2457" t="s">
        <v>1456</v>
      </c>
      <c r="K124" s="2440" t="s">
        <v>1456</v>
      </c>
      <c r="L124" s="6392" t="s">
        <v>9652</v>
      </c>
      <c r="M124" s="6393"/>
      <c r="N124" s="6393"/>
      <c r="O124" s="6393"/>
      <c r="P124" s="6393"/>
      <c r="Q124" s="6393"/>
      <c r="R124" s="653" t="s">
        <v>1456</v>
      </c>
    </row>
    <row r="125" spans="1:18" x14ac:dyDescent="0.2">
      <c r="A125" s="282">
        <v>125</v>
      </c>
      <c r="B125" s="645">
        <f t="shared" si="1"/>
        <v>0</v>
      </c>
      <c r="C125" s="326" t="s">
        <v>2683</v>
      </c>
      <c r="D125" s="2349" t="s">
        <v>2683</v>
      </c>
      <c r="E125" s="2349"/>
      <c r="F125" s="319">
        <f>COUNTIF(Sheele!$C$24:$H$35,C125)</f>
        <v>0</v>
      </c>
      <c r="G125" s="2457">
        <v>1</v>
      </c>
      <c r="H125" s="2457">
        <f>IF(OR($F125=0,$G125=0),0,MAX($H$110:H124)+1)</f>
        <v>0</v>
      </c>
      <c r="I125" s="2435">
        <v>100</v>
      </c>
      <c r="J125" s="2461" t="s">
        <v>3210</v>
      </c>
      <c r="K125" s="2440" t="s">
        <v>1456</v>
      </c>
      <c r="L125" s="6393" t="str">
        <f>"50m. RM o RF "&amp;Sheele!L27*2+Sheele!H15&amp;"- 5*[TA FRI]. Parálisis parcial (completa si se falla por 40+)"</f>
        <v>50m. RM o RF 60- 5*[TA FRI]. Parálisis parcial (completa si se falla por 40+)</v>
      </c>
      <c r="M125" s="6393"/>
      <c r="N125" s="6393"/>
      <c r="O125" s="6393"/>
      <c r="P125" s="6393"/>
      <c r="Q125" s="6393"/>
      <c r="R125" s="653" t="s">
        <v>1456</v>
      </c>
    </row>
    <row r="126" spans="1:18" x14ac:dyDescent="0.2">
      <c r="A126" s="282">
        <v>126</v>
      </c>
      <c r="B126" s="645">
        <f t="shared" si="1"/>
        <v>0</v>
      </c>
      <c r="C126" s="326" t="s">
        <v>2684</v>
      </c>
      <c r="D126" s="2349" t="s">
        <v>2684</v>
      </c>
      <c r="E126" s="2349"/>
      <c r="F126" s="319">
        <f>COUNTIF(Sheele!$C$24:$H$35,C126)</f>
        <v>0</v>
      </c>
      <c r="G126" s="2457">
        <v>1</v>
      </c>
      <c r="H126" s="2457">
        <f>IF(OR($F126=0,$G126=0),0,MAX($H$110:H125)+1)</f>
        <v>0</v>
      </c>
      <c r="I126" s="2435">
        <v>150</v>
      </c>
      <c r="J126" s="2457">
        <f>Sheele!F45+50</f>
        <v>100</v>
      </c>
      <c r="K126" s="2440" t="s">
        <v>1456</v>
      </c>
      <c r="L126" s="6393" t="s">
        <v>2685</v>
      </c>
      <c r="M126" s="6393"/>
      <c r="N126" s="6393"/>
      <c r="O126" s="6393"/>
      <c r="P126" s="6393"/>
      <c r="Q126" s="6393"/>
      <c r="R126" s="653" t="s">
        <v>1456</v>
      </c>
    </row>
    <row r="127" spans="1:18" x14ac:dyDescent="0.2">
      <c r="A127" s="282">
        <v>127</v>
      </c>
      <c r="B127" s="645">
        <f t="shared" si="1"/>
        <v>0</v>
      </c>
      <c r="C127" s="326" t="s">
        <v>10414</v>
      </c>
      <c r="D127" s="2349" t="s">
        <v>2686</v>
      </c>
      <c r="E127" s="2349"/>
      <c r="F127" s="319">
        <f>COUNTIF(Sheele!$C$24:$H$35,C127)</f>
        <v>0</v>
      </c>
      <c r="G127" s="2457"/>
      <c r="H127" s="2457">
        <f>IF(OR($F127=0,$G127=0),0,MAX($H$110:H126)+1)</f>
        <v>0</v>
      </c>
      <c r="I127" s="2435" t="s">
        <v>1456</v>
      </c>
      <c r="J127" s="2457" t="s">
        <v>1456</v>
      </c>
      <c r="K127" s="2440" t="s">
        <v>1456</v>
      </c>
      <c r="L127" s="6392" t="s">
        <v>9653</v>
      </c>
      <c r="M127" s="6393"/>
      <c r="N127" s="6393"/>
      <c r="O127" s="6393"/>
      <c r="P127" s="6393"/>
      <c r="Q127" s="6393"/>
      <c r="R127" s="653" t="s">
        <v>1456</v>
      </c>
    </row>
    <row r="128" spans="1:18" x14ac:dyDescent="0.2">
      <c r="A128" s="282">
        <v>128</v>
      </c>
      <c r="B128" s="645">
        <f t="shared" si="1"/>
        <v>0</v>
      </c>
      <c r="C128" s="326" t="s">
        <v>2687</v>
      </c>
      <c r="D128" s="2349" t="s">
        <v>2687</v>
      </c>
      <c r="E128" s="2349"/>
      <c r="F128" s="319">
        <f>COUNTIF(Sheele!$C$24:$H$35,C128)</f>
        <v>0</v>
      </c>
      <c r="G128" s="2457">
        <v>1</v>
      </c>
      <c r="H128" s="2457">
        <f>IF(OR($F128=0,$G128=0),0,MAX($H$110:H127)+1)</f>
        <v>0</v>
      </c>
      <c r="I128" s="2435"/>
      <c r="J128" s="2457" t="s">
        <v>1456</v>
      </c>
      <c r="K128" s="2440" t="s">
        <v>1456</v>
      </c>
      <c r="L128" s="6393" t="s">
        <v>2688</v>
      </c>
      <c r="M128" s="6393"/>
      <c r="N128" s="6393"/>
      <c r="O128" s="6393"/>
      <c r="P128" s="6393"/>
      <c r="Q128" s="6393"/>
      <c r="R128" s="653" t="s">
        <v>1381</v>
      </c>
    </row>
    <row r="129" spans="1:18" x14ac:dyDescent="0.2">
      <c r="A129" s="282">
        <v>129</v>
      </c>
      <c r="B129" s="645">
        <f t="shared" si="1"/>
        <v>0</v>
      </c>
      <c r="C129" s="326" t="s">
        <v>10415</v>
      </c>
      <c r="D129" s="2349" t="s">
        <v>2675</v>
      </c>
      <c r="E129" s="2349"/>
      <c r="F129" s="319">
        <f>COUNTIF(Sheele!$C$24:$H$35,C129)</f>
        <v>0</v>
      </c>
      <c r="G129" s="2457"/>
      <c r="H129" s="2457">
        <f>IF(OR($F129=0,$G129=0),0,MAX($H$110:H128)+1)</f>
        <v>0</v>
      </c>
      <c r="I129" s="2435" t="s">
        <v>1456</v>
      </c>
      <c r="J129" s="2457" t="s">
        <v>1456</v>
      </c>
      <c r="K129" s="2440" t="s">
        <v>1456</v>
      </c>
      <c r="L129" s="6394" t="s">
        <v>2676</v>
      </c>
      <c r="M129" s="6393"/>
      <c r="N129" s="6393"/>
      <c r="O129" s="6393"/>
      <c r="P129" s="6393"/>
      <c r="Q129" s="6393"/>
      <c r="R129" s="653" t="s">
        <v>1456</v>
      </c>
    </row>
    <row r="130" spans="1:18" x14ac:dyDescent="0.2">
      <c r="A130" s="282">
        <v>130</v>
      </c>
      <c r="B130" s="645">
        <f t="shared" si="1"/>
        <v>0</v>
      </c>
      <c r="C130" s="326" t="s">
        <v>2689</v>
      </c>
      <c r="D130" s="2349" t="s">
        <v>2689</v>
      </c>
      <c r="E130" s="2349"/>
      <c r="F130" s="319">
        <f>COUNTIF(Sheele!$C$24:$H$35,C130)</f>
        <v>0</v>
      </c>
      <c r="G130" s="2457">
        <v>1</v>
      </c>
      <c r="H130" s="2457">
        <f>IF(OR($F130=0,$G130=0),0,MAX($H$110:H129)+1)</f>
        <v>0</v>
      </c>
      <c r="I130" s="2435">
        <v>10</v>
      </c>
      <c r="J130" s="2457" t="s">
        <v>1456</v>
      </c>
      <c r="K130" s="2440" t="s">
        <v>1456</v>
      </c>
      <c r="L130" s="6393" t="s">
        <v>2690</v>
      </c>
      <c r="M130" s="6393"/>
      <c r="N130" s="6393"/>
      <c r="O130" s="6393"/>
      <c r="P130" s="6393"/>
      <c r="Q130" s="6393"/>
      <c r="R130" s="653" t="s">
        <v>1456</v>
      </c>
    </row>
    <row r="131" spans="1:18" x14ac:dyDescent="0.2">
      <c r="A131" s="282">
        <v>131</v>
      </c>
      <c r="B131" s="645">
        <f t="shared" si="1"/>
        <v>0</v>
      </c>
      <c r="C131" s="326" t="s">
        <v>1368</v>
      </c>
      <c r="D131" s="2349" t="s">
        <v>1368</v>
      </c>
      <c r="E131" s="2349"/>
      <c r="F131" s="319">
        <f>COUNTIF(Sheele!$C$24:$H$35,C131)</f>
        <v>0</v>
      </c>
      <c r="G131" s="2457"/>
      <c r="H131" s="2457">
        <f>IF(OR($F131=0,$G131=0),0,MAX($H$110:H130)+1)</f>
        <v>0</v>
      </c>
      <c r="I131" s="2435" t="s">
        <v>1456</v>
      </c>
      <c r="J131" s="2457" t="s">
        <v>1456</v>
      </c>
      <c r="K131" s="2440" t="s">
        <v>1456</v>
      </c>
      <c r="L131" s="6403" t="s">
        <v>9654</v>
      </c>
      <c r="M131" s="6397"/>
      <c r="N131" s="6397"/>
      <c r="O131" s="6397"/>
      <c r="P131" s="6397"/>
      <c r="Q131" s="6397"/>
      <c r="R131" s="653" t="s">
        <v>1456</v>
      </c>
    </row>
    <row r="132" spans="1:18" x14ac:dyDescent="0.2">
      <c r="A132" s="282">
        <v>132</v>
      </c>
      <c r="B132" s="645">
        <f t="shared" si="1"/>
        <v>0</v>
      </c>
      <c r="C132" s="2466" t="s">
        <v>304</v>
      </c>
      <c r="D132" s="2458"/>
      <c r="E132" s="2458"/>
      <c r="F132" s="2446"/>
      <c r="G132" s="2445"/>
      <c r="H132" s="2459"/>
      <c r="I132" s="325" t="s">
        <v>2662</v>
      </c>
      <c r="J132" s="2460" t="s">
        <v>2663</v>
      </c>
      <c r="K132" s="322" t="s">
        <v>1566</v>
      </c>
      <c r="L132" s="6398" t="s">
        <v>1549</v>
      </c>
      <c r="M132" s="6398"/>
      <c r="N132" s="6398"/>
      <c r="O132" s="6398"/>
      <c r="P132" s="6398"/>
      <c r="Q132" s="6398"/>
      <c r="R132" s="656"/>
    </row>
    <row r="133" spans="1:18" x14ac:dyDescent="0.2">
      <c r="A133" s="282">
        <v>133</v>
      </c>
      <c r="B133" s="645">
        <f t="shared" si="1"/>
        <v>0</v>
      </c>
      <c r="C133" s="326" t="s">
        <v>2691</v>
      </c>
      <c r="D133" s="2349" t="s">
        <v>2691</v>
      </c>
      <c r="E133" s="2349"/>
      <c r="F133" s="319">
        <f>COUNTIF(Sheele!$C$24:$H$35,C133)</f>
        <v>0</v>
      </c>
      <c r="G133" s="2457">
        <v>1</v>
      </c>
      <c r="H133" s="2457">
        <f>IF(OR($F133=0,$G133=0),0,MAX($H$110:H132)+1)</f>
        <v>0</v>
      </c>
      <c r="I133" s="2435">
        <v>100</v>
      </c>
      <c r="J133" s="2457">
        <f>Sheele!F45+50</f>
        <v>100</v>
      </c>
      <c r="K133" s="2440">
        <f>Sheele!L27*2</f>
        <v>50</v>
      </c>
      <c r="L133" s="6392" t="s">
        <v>9655</v>
      </c>
      <c r="M133" s="6393"/>
      <c r="N133" s="6393"/>
      <c r="O133" s="6393"/>
      <c r="P133" s="6393"/>
      <c r="Q133" s="6393"/>
      <c r="R133" s="653" t="s">
        <v>1456</v>
      </c>
    </row>
    <row r="134" spans="1:18" x14ac:dyDescent="0.2">
      <c r="A134" s="282">
        <v>134</v>
      </c>
      <c r="B134" s="645">
        <f t="shared" si="1"/>
        <v>0</v>
      </c>
      <c r="C134" s="326" t="s">
        <v>2692</v>
      </c>
      <c r="D134" s="2349" t="s">
        <v>2692</v>
      </c>
      <c r="E134" s="2349"/>
      <c r="F134" s="319">
        <f>COUNTIF(Sheele!$C$24:$H$35,C134)</f>
        <v>0</v>
      </c>
      <c r="G134" s="2457">
        <v>1</v>
      </c>
      <c r="H134" s="2457">
        <f>IF(OR($F134=0,$G134=0),0,MAX($H$110:H133)+1)</f>
        <v>0</v>
      </c>
      <c r="I134" s="2435">
        <v>100</v>
      </c>
      <c r="J134" s="2461" t="s">
        <v>3210</v>
      </c>
      <c r="K134" s="2440" t="s">
        <v>1456</v>
      </c>
      <c r="L134" s="6393" t="str">
        <f>"50m. Tira 1d100+ "&amp;Sheele!L27*2+Sheele!H15&amp;" en 'Tabla 76: En llamas' (Core p.234)"</f>
        <v>50m. Tira 1d100+ 60 en 'Tabla 76: En llamas' (Core p.234)</v>
      </c>
      <c r="M134" s="6393"/>
      <c r="N134" s="6393"/>
      <c r="O134" s="6393"/>
      <c r="P134" s="6393"/>
      <c r="Q134" s="6393"/>
      <c r="R134" s="653" t="s">
        <v>1456</v>
      </c>
    </row>
    <row r="135" spans="1:18" x14ac:dyDescent="0.2">
      <c r="A135" s="282">
        <v>135</v>
      </c>
      <c r="B135" s="645">
        <f t="shared" si="1"/>
        <v>0</v>
      </c>
      <c r="C135" s="326" t="s">
        <v>2693</v>
      </c>
      <c r="D135" s="2349" t="s">
        <v>2693</v>
      </c>
      <c r="E135" s="2349"/>
      <c r="F135" s="319">
        <f>COUNTIF(Sheele!$C$24:$H$35,C135)</f>
        <v>0</v>
      </c>
      <c r="G135" s="2457">
        <v>1</v>
      </c>
      <c r="H135" s="2457">
        <f>IF(OR($F135=0,$G135=0),0,MAX($H$110:H134)+1)</f>
        <v>0</v>
      </c>
      <c r="I135" s="2435">
        <v>50</v>
      </c>
      <c r="J135" s="2457" t="s">
        <v>1456</v>
      </c>
      <c r="K135" s="2440" t="s">
        <v>1456</v>
      </c>
      <c r="L135" s="6392" t="s">
        <v>9656</v>
      </c>
      <c r="M135" s="6393"/>
      <c r="N135" s="6393"/>
      <c r="O135" s="6393"/>
      <c r="P135" s="6393"/>
      <c r="Q135" s="6393"/>
      <c r="R135" s="653" t="s">
        <v>1456</v>
      </c>
    </row>
    <row r="136" spans="1:18" x14ac:dyDescent="0.2">
      <c r="A136" s="282">
        <v>136</v>
      </c>
      <c r="B136" s="645">
        <f t="shared" si="1"/>
        <v>0</v>
      </c>
      <c r="C136" s="326" t="s">
        <v>2694</v>
      </c>
      <c r="D136" s="2349" t="s">
        <v>2694</v>
      </c>
      <c r="E136" s="2349"/>
      <c r="F136" s="319">
        <f>COUNTIF(Sheele!$C$24:$H$35,C136)</f>
        <v>0</v>
      </c>
      <c r="G136" s="2457">
        <v>1</v>
      </c>
      <c r="H136" s="2457">
        <f>IF(OR($F136=0,$G136=0),0,MAX($H$110:H135)+1)</f>
        <v>0</v>
      </c>
      <c r="I136" s="2435">
        <v>50</v>
      </c>
      <c r="J136" s="2457">
        <f>Sheele!F45</f>
        <v>50</v>
      </c>
      <c r="K136" s="2440" t="str">
        <f>Sheele!L27&amp;"+10*"</f>
        <v>25+10*</v>
      </c>
      <c r="L136" s="6393" t="str">
        <f>"CAL. Área "&amp;Sheele!G16&amp;"*[# ataques sucesivos] m. Daño "&amp;Sheele!L27&amp;"+10*[# ataques sucesivos] "</f>
        <v xml:space="preserve">CAL. Área 6*[# ataques sucesivos] m. Daño 25+10*[# ataques sucesivos] </v>
      </c>
      <c r="M136" s="6393"/>
      <c r="N136" s="6393"/>
      <c r="O136" s="6393"/>
      <c r="P136" s="6393"/>
      <c r="Q136" s="6393"/>
      <c r="R136" s="653" t="s">
        <v>1456</v>
      </c>
    </row>
    <row r="137" spans="1:18" x14ac:dyDescent="0.2">
      <c r="A137" s="282">
        <v>137</v>
      </c>
      <c r="B137" s="645">
        <f t="shared" si="1"/>
        <v>0</v>
      </c>
      <c r="C137" s="326" t="s">
        <v>2695</v>
      </c>
      <c r="D137" s="2349" t="s">
        <v>2695</v>
      </c>
      <c r="E137" s="2349"/>
      <c r="F137" s="319">
        <f>COUNTIF(Sheele!$C$24:$H$35,C137)</f>
        <v>0</v>
      </c>
      <c r="G137" s="2457">
        <v>1</v>
      </c>
      <c r="H137" s="2457">
        <f>IF(OR($F137=0,$G137=0),0,MAX($H$110:H136)+1)</f>
        <v>0</v>
      </c>
      <c r="I137" s="2435" t="s">
        <v>1456</v>
      </c>
      <c r="J137" s="2457">
        <f>Sheele!F45</f>
        <v>50</v>
      </c>
      <c r="K137" s="2337" t="s">
        <v>9657</v>
      </c>
      <c r="L137" s="6393" t="str">
        <f>"La Sheele controla el fuego de hasta "&amp;Sheele!G15&amp;" intensidades. Puede atacar con él."</f>
        <v>La Sheele controla el fuego de hasta 8 intensidades. Puede atacar con él.</v>
      </c>
      <c r="M137" s="6393"/>
      <c r="N137" s="6393"/>
      <c r="O137" s="6393"/>
      <c r="P137" s="6393"/>
      <c r="Q137" s="6393"/>
      <c r="R137" s="653" t="s">
        <v>1456</v>
      </c>
    </row>
    <row r="138" spans="1:18" x14ac:dyDescent="0.2">
      <c r="A138" s="282">
        <v>138</v>
      </c>
      <c r="B138" s="645">
        <f t="shared" si="1"/>
        <v>0</v>
      </c>
      <c r="C138" s="326" t="s">
        <v>10416</v>
      </c>
      <c r="D138" s="2349" t="s">
        <v>2675</v>
      </c>
      <c r="E138" s="2349"/>
      <c r="F138" s="319">
        <f>COUNTIF(Sheele!$C$24:$H$35,C138)</f>
        <v>0</v>
      </c>
      <c r="G138" s="2457"/>
      <c r="H138" s="2457">
        <f>IF(OR($F138=0,$G138=0),0,MAX($H$110:H137)+1)</f>
        <v>0</v>
      </c>
      <c r="I138" s="2435" t="s">
        <v>1456</v>
      </c>
      <c r="J138" s="2457" t="s">
        <v>1456</v>
      </c>
      <c r="K138" s="2440" t="s">
        <v>1456</v>
      </c>
      <c r="L138" s="6394" t="s">
        <v>2676</v>
      </c>
      <c r="M138" s="6393"/>
      <c r="N138" s="6393"/>
      <c r="O138" s="6393"/>
      <c r="P138" s="6393"/>
      <c r="Q138" s="6393"/>
      <c r="R138" s="653" t="s">
        <v>1456</v>
      </c>
    </row>
    <row r="139" spans="1:18" x14ac:dyDescent="0.2">
      <c r="A139" s="282">
        <v>139</v>
      </c>
      <c r="B139" s="645">
        <f t="shared" si="1"/>
        <v>0</v>
      </c>
      <c r="C139" s="326" t="s">
        <v>2696</v>
      </c>
      <c r="D139" s="2349" t="s">
        <v>2696</v>
      </c>
      <c r="E139" s="2349"/>
      <c r="F139" s="319">
        <f>COUNTIF(Sheele!$C$24:$H$35,C139)</f>
        <v>0</v>
      </c>
      <c r="G139" s="2457">
        <v>1</v>
      </c>
      <c r="H139" s="2457">
        <f>IF(OR($F139=0,$G139=0),0,MAX($H$110:H138)+1)</f>
        <v>0</v>
      </c>
      <c r="I139" s="2435" t="s">
        <v>1456</v>
      </c>
      <c r="J139" s="2462" t="s">
        <v>1456</v>
      </c>
      <c r="K139" s="2440" t="s">
        <v>1456</v>
      </c>
      <c r="L139" s="6393" t="str">
        <f>"En contacto: Obtiene crítico secundario CAL, y +"&amp;Sheele!H15&amp;" daño."</f>
        <v>En contacto: Obtiene crítico secundario CAL, y +10 daño.</v>
      </c>
      <c r="M139" s="6393"/>
      <c r="N139" s="6393"/>
      <c r="O139" s="6393"/>
      <c r="P139" s="6393"/>
      <c r="Q139" s="6393"/>
      <c r="R139" s="653" t="s">
        <v>1381</v>
      </c>
    </row>
    <row r="140" spans="1:18" x14ac:dyDescent="0.2">
      <c r="A140" s="282">
        <v>140</v>
      </c>
      <c r="B140" s="645">
        <f t="shared" si="1"/>
        <v>0</v>
      </c>
      <c r="C140" s="326" t="s">
        <v>2697</v>
      </c>
      <c r="D140" s="2349" t="s">
        <v>2697</v>
      </c>
      <c r="E140" s="2349"/>
      <c r="F140" s="319">
        <f>COUNTIF(Sheele!$C$24:$H$35,C140)</f>
        <v>0</v>
      </c>
      <c r="G140" s="2457">
        <v>1</v>
      </c>
      <c r="H140" s="2457">
        <f>IF(OR($F140=0,$G140=0),0,MAX($H$110:H139)+1)</f>
        <v>0</v>
      </c>
      <c r="I140" s="2437" t="s">
        <v>9651</v>
      </c>
      <c r="J140" s="2462" t="s">
        <v>1456</v>
      </c>
      <c r="K140" s="2440" t="s">
        <v>1456</v>
      </c>
      <c r="L140" s="6393" t="str">
        <f>"A voluntad, solo vulnerable a energía o frío. En contacto: RF "&amp;Sheele!L27*2+Sheele!H15&amp;" o [Nv de fracaso] daño."</f>
        <v>A voluntad, solo vulnerable a energía o frío. En contacto: RF 60 o [Nv de fracaso] daño.</v>
      </c>
      <c r="M140" s="6393"/>
      <c r="N140" s="6393"/>
      <c r="O140" s="6393"/>
      <c r="P140" s="6393"/>
      <c r="Q140" s="6393"/>
      <c r="R140" s="653" t="s">
        <v>1456</v>
      </c>
    </row>
    <row r="141" spans="1:18" x14ac:dyDescent="0.2">
      <c r="A141" s="282">
        <v>141</v>
      </c>
      <c r="B141" s="645">
        <f t="shared" si="1"/>
        <v>0</v>
      </c>
      <c r="C141" s="326" t="s">
        <v>2698</v>
      </c>
      <c r="D141" s="2349" t="s">
        <v>2698</v>
      </c>
      <c r="E141" s="2349"/>
      <c r="F141" s="319">
        <f>COUNTIF(Sheele!$C$24:$H$35,C141)</f>
        <v>0</v>
      </c>
      <c r="G141" s="2457">
        <v>1</v>
      </c>
      <c r="H141" s="2457">
        <f>IF(OR($F141=0,$G141=0),0,MAX($H$110:H140)+1)</f>
        <v>0</v>
      </c>
      <c r="I141" s="2435" t="s">
        <v>1456</v>
      </c>
      <c r="J141" s="2457" t="s">
        <v>1456</v>
      </c>
      <c r="K141" s="2440" t="s">
        <v>1456</v>
      </c>
      <c r="L141" s="6394" t="s">
        <v>2700</v>
      </c>
      <c r="M141" s="6393"/>
      <c r="N141" s="6393"/>
      <c r="O141" s="6393"/>
      <c r="P141" s="6393"/>
      <c r="Q141" s="6393"/>
      <c r="R141" s="653" t="s">
        <v>1381</v>
      </c>
    </row>
    <row r="142" spans="1:18" x14ac:dyDescent="0.2">
      <c r="A142" s="282">
        <v>142</v>
      </c>
      <c r="B142" s="645">
        <f t="shared" si="1"/>
        <v>0</v>
      </c>
      <c r="C142" s="326" t="s">
        <v>2701</v>
      </c>
      <c r="D142" s="2349" t="s">
        <v>2701</v>
      </c>
      <c r="E142" s="2349"/>
      <c r="F142" s="319">
        <f>COUNTIF(Sheele!$C$24:$H$35,C142)</f>
        <v>0</v>
      </c>
      <c r="G142" s="2457"/>
      <c r="H142" s="2457">
        <f>IF(OR($F142=0,$G142=0),0,MAX($H$110:H141)+1)</f>
        <v>0</v>
      </c>
      <c r="I142" s="2435" t="s">
        <v>1456</v>
      </c>
      <c r="J142" s="2462" t="s">
        <v>1456</v>
      </c>
      <c r="K142" s="2440" t="s">
        <v>1456</v>
      </c>
      <c r="L142" s="6396" t="s">
        <v>2702</v>
      </c>
      <c r="M142" s="6397"/>
      <c r="N142" s="6397"/>
      <c r="O142" s="6397"/>
      <c r="P142" s="6397"/>
      <c r="Q142" s="6397"/>
      <c r="R142" s="653" t="s">
        <v>1456</v>
      </c>
    </row>
    <row r="143" spans="1:18" x14ac:dyDescent="0.2">
      <c r="A143" s="282">
        <v>143</v>
      </c>
      <c r="B143" s="645">
        <f t="shared" si="1"/>
        <v>0</v>
      </c>
      <c r="C143" s="2466" t="s">
        <v>305</v>
      </c>
      <c r="D143" s="2458"/>
      <c r="E143" s="2458"/>
      <c r="F143" s="2446"/>
      <c r="G143" s="2445"/>
      <c r="H143" s="2459"/>
      <c r="I143" s="325" t="s">
        <v>2662</v>
      </c>
      <c r="J143" s="2460" t="s">
        <v>2663</v>
      </c>
      <c r="K143" s="322" t="s">
        <v>1566</v>
      </c>
      <c r="L143" s="6398" t="s">
        <v>1549</v>
      </c>
      <c r="M143" s="6398"/>
      <c r="N143" s="6398"/>
      <c r="O143" s="6398"/>
      <c r="P143" s="6398"/>
      <c r="Q143" s="6398"/>
      <c r="R143" s="656"/>
    </row>
    <row r="144" spans="1:18" x14ac:dyDescent="0.2">
      <c r="A144" s="282">
        <v>144</v>
      </c>
      <c r="B144" s="645">
        <f t="shared" si="1"/>
        <v>0</v>
      </c>
      <c r="C144" s="326" t="s">
        <v>2703</v>
      </c>
      <c r="D144" s="2349" t="s">
        <v>2703</v>
      </c>
      <c r="E144" s="2349"/>
      <c r="F144" s="319">
        <f>COUNTIF(Sheele!$C$24:$H$35,C144)</f>
        <v>0</v>
      </c>
      <c r="G144" s="2457">
        <v>1</v>
      </c>
      <c r="H144" s="2457">
        <f>IF(OR($F144=0,$G144=0),0,MAX($H$110:H143)+1)</f>
        <v>0</v>
      </c>
      <c r="I144" s="2435">
        <v>150</v>
      </c>
      <c r="J144" s="2457" t="s">
        <v>1456</v>
      </c>
      <c r="K144" s="2440">
        <f>MROUND(Sheele!L27*3,10)</f>
        <v>80</v>
      </c>
      <c r="L144" s="6392" t="s">
        <v>9672</v>
      </c>
      <c r="M144" s="6393"/>
      <c r="N144" s="6393"/>
      <c r="O144" s="6393"/>
      <c r="P144" s="6393"/>
      <c r="Q144" s="6393"/>
      <c r="R144" s="653" t="s">
        <v>1456</v>
      </c>
    </row>
    <row r="145" spans="1:18" x14ac:dyDescent="0.2">
      <c r="A145" s="282">
        <v>145</v>
      </c>
      <c r="B145" s="645">
        <f t="shared" si="1"/>
        <v>0</v>
      </c>
      <c r="C145" s="326" t="s">
        <v>2704</v>
      </c>
      <c r="D145" s="2349" t="s">
        <v>2704</v>
      </c>
      <c r="E145" s="2349"/>
      <c r="F145" s="319">
        <f>COUNTIF(Sheele!$C$24:$H$35,C145)</f>
        <v>0</v>
      </c>
      <c r="G145" s="2457">
        <v>1</v>
      </c>
      <c r="H145" s="2457">
        <f>IF(OR($F145=0,$G145=0),0,MAX($H$110:H144)+1)</f>
        <v>0</v>
      </c>
      <c r="I145" s="2435">
        <v>150</v>
      </c>
      <c r="J145" s="2461" t="s">
        <v>3210</v>
      </c>
      <c r="K145" s="2440" t="s">
        <v>1456</v>
      </c>
      <c r="L145" s="6393" t="str">
        <f>"Área 25m. RM "&amp;Sheele!L27*2+Sheele!H15&amp;": -50 turno y x0.5 movimiento. En contacto: Inmune."</f>
        <v>Área 25m. RM 60: -50 turno y x0.5 movimiento. En contacto: Inmune.</v>
      </c>
      <c r="M145" s="6393"/>
      <c r="N145" s="6393"/>
      <c r="O145" s="6393"/>
      <c r="P145" s="6393"/>
      <c r="Q145" s="6393"/>
      <c r="R145" s="653" t="s">
        <v>1456</v>
      </c>
    </row>
    <row r="146" spans="1:18" x14ac:dyDescent="0.2">
      <c r="A146" s="282">
        <v>146</v>
      </c>
      <c r="B146" s="645">
        <f t="shared" si="1"/>
        <v>0</v>
      </c>
      <c r="C146" s="326" t="s">
        <v>2705</v>
      </c>
      <c r="D146" s="2349" t="s">
        <v>2705</v>
      </c>
      <c r="E146" s="2349"/>
      <c r="F146" s="319">
        <f>COUNTIF(Sheele!$C$24:$H$35,C146)</f>
        <v>0</v>
      </c>
      <c r="G146" s="2457">
        <v>1</v>
      </c>
      <c r="H146" s="2457">
        <f>IF(OR($F146=0,$G146=0),0,MAX($H$110:H145)+1)</f>
        <v>0</v>
      </c>
      <c r="I146" s="2435">
        <v>150</v>
      </c>
      <c r="J146" s="2457" t="s">
        <v>1456</v>
      </c>
      <c r="K146" s="327" t="s">
        <v>1456</v>
      </c>
      <c r="L146" s="6392" t="s">
        <v>9658</v>
      </c>
      <c r="M146" s="6393"/>
      <c r="N146" s="6393"/>
      <c r="O146" s="6393"/>
      <c r="P146" s="6393"/>
      <c r="Q146" s="6393"/>
      <c r="R146" s="653" t="s">
        <v>1456</v>
      </c>
    </row>
    <row r="147" spans="1:18" x14ac:dyDescent="0.2">
      <c r="A147" s="282">
        <v>147</v>
      </c>
      <c r="B147" s="645">
        <f t="shared" si="1"/>
        <v>0</v>
      </c>
      <c r="C147" s="326" t="s">
        <v>2706</v>
      </c>
      <c r="D147" s="2349" t="s">
        <v>2706</v>
      </c>
      <c r="E147" s="2349"/>
      <c r="F147" s="319">
        <f>COUNTIF(Sheele!$C$24:$H$35,C147)</f>
        <v>0</v>
      </c>
      <c r="G147" s="2457">
        <v>1</v>
      </c>
      <c r="H147" s="2457">
        <f>IF(OR($F147=0,$G147=0),0,MAX($H$110:H146)+1)</f>
        <v>0</v>
      </c>
      <c r="I147" s="2435">
        <v>80</v>
      </c>
      <c r="J147" s="2457" t="s">
        <v>1456</v>
      </c>
      <c r="K147" s="2440" t="s">
        <v>1456</v>
      </c>
      <c r="L147" s="6393" t="str">
        <f>"Area "&amp;Sheele!L27*2&amp;"m. Construcciones e individuos sobre el suelo control de AGI "&amp;Sheele!E12*2&amp;" o derribados"</f>
        <v>Area 50m. Construcciones e individuos sobre el suelo control de AGI 4 o derribados</v>
      </c>
      <c r="M147" s="6393"/>
      <c r="N147" s="6393"/>
      <c r="O147" s="6393"/>
      <c r="P147" s="6393"/>
      <c r="Q147" s="6393"/>
      <c r="R147" s="653" t="s">
        <v>1456</v>
      </c>
    </row>
    <row r="148" spans="1:18" x14ac:dyDescent="0.2">
      <c r="A148" s="282">
        <v>148</v>
      </c>
      <c r="B148" s="645">
        <f t="shared" si="1"/>
        <v>0</v>
      </c>
      <c r="C148" s="326" t="s">
        <v>2707</v>
      </c>
      <c r="D148" s="2349" t="s">
        <v>2707</v>
      </c>
      <c r="E148" s="2349"/>
      <c r="F148" s="319">
        <f>COUNTIF(Sheele!$C$24:$H$35,C148)</f>
        <v>0</v>
      </c>
      <c r="G148" s="2457"/>
      <c r="H148" s="2457">
        <f>IF(OR($F148=0,$G148=0),0,MAX($H$110:H147)+1)</f>
        <v>0</v>
      </c>
      <c r="I148" s="2435" t="s">
        <v>1456</v>
      </c>
      <c r="J148" s="2457" t="s">
        <v>1456</v>
      </c>
      <c r="K148" s="327" t="s">
        <v>1456</v>
      </c>
      <c r="L148" s="6394" t="s">
        <v>2708</v>
      </c>
      <c r="M148" s="6393"/>
      <c r="N148" s="6393"/>
      <c r="O148" s="6393"/>
      <c r="P148" s="6393"/>
      <c r="Q148" s="6393"/>
      <c r="R148" s="653" t="s">
        <v>1456</v>
      </c>
    </row>
    <row r="149" spans="1:18" x14ac:dyDescent="0.2">
      <c r="A149" s="282">
        <v>149</v>
      </c>
      <c r="B149" s="645">
        <f t="shared" si="1"/>
        <v>0</v>
      </c>
      <c r="C149" s="326" t="s">
        <v>2709</v>
      </c>
      <c r="D149" s="2349" t="s">
        <v>2709</v>
      </c>
      <c r="E149" s="2349"/>
      <c r="F149" s="319">
        <f>COUNTIF(Sheele!$C$24:$H$35,C149)</f>
        <v>0</v>
      </c>
      <c r="G149" s="2457">
        <v>1</v>
      </c>
      <c r="H149" s="2457">
        <f>IF(OR($F149=0,$G149=0),0,MAX($H$110:H148)+1)</f>
        <v>0</v>
      </c>
      <c r="I149" s="2435" t="s">
        <v>1456</v>
      </c>
      <c r="J149" s="2457" t="s">
        <v>1456</v>
      </c>
      <c r="K149" s="2440" t="s">
        <v>1456</v>
      </c>
      <c r="L149" s="6392" t="s">
        <v>9659</v>
      </c>
      <c r="M149" s="6393"/>
      <c r="N149" s="6393"/>
      <c r="O149" s="6393"/>
      <c r="P149" s="6393"/>
      <c r="Q149" s="6393"/>
      <c r="R149" s="653" t="s">
        <v>1381</v>
      </c>
    </row>
    <row r="150" spans="1:18" x14ac:dyDescent="0.2">
      <c r="A150" s="282">
        <v>150</v>
      </c>
      <c r="B150" s="645">
        <f t="shared" si="1"/>
        <v>0</v>
      </c>
      <c r="C150" s="326" t="s">
        <v>2710</v>
      </c>
      <c r="D150" s="2349" t="s">
        <v>2710</v>
      </c>
      <c r="E150" s="2349"/>
      <c r="F150" s="319">
        <f>COUNTIF(Sheele!$C$24:$H$35,C150)</f>
        <v>0</v>
      </c>
      <c r="G150" s="2457">
        <v>1</v>
      </c>
      <c r="H150" s="2457">
        <f>IF(OR($F150=0,$G150=0),0,MAX($H$110:H149)+1)</f>
        <v>0</v>
      </c>
      <c r="I150" s="2435">
        <v>150</v>
      </c>
      <c r="J150" s="2462">
        <f>Sheele!F45+50</f>
        <v>100</v>
      </c>
      <c r="K150" s="2440"/>
      <c r="L150" s="6393" t="str">
        <f>"100m. Si &gt;0%, Control FUE "&amp;Sheele!E12+Sheele!E15+Sheele!E16&amp;"-[TA CON]: 10*[Nv de fracaso] daño (*5 si Acumulación)"</f>
        <v>100m. Si &gt;0%, Control FUE 16-[TA CON]: 10*[Nv de fracaso] daño (*5 si Acumulación)</v>
      </c>
      <c r="M150" s="6393"/>
      <c r="N150" s="6393"/>
      <c r="O150" s="6393"/>
      <c r="P150" s="6393"/>
      <c r="Q150" s="6393"/>
      <c r="R150" s="653" t="s">
        <v>1456</v>
      </c>
    </row>
    <row r="151" spans="1:18" x14ac:dyDescent="0.2">
      <c r="A151" s="282">
        <v>151</v>
      </c>
      <c r="B151" s="645">
        <f t="shared" si="1"/>
        <v>0</v>
      </c>
      <c r="C151" s="326" t="s">
        <v>10417</v>
      </c>
      <c r="D151" s="2349" t="s">
        <v>2675</v>
      </c>
      <c r="E151" s="2349"/>
      <c r="F151" s="319">
        <f>COUNTIF(Sheele!$C$24:$H$35,C151)</f>
        <v>0</v>
      </c>
      <c r="G151" s="2457"/>
      <c r="H151" s="2457">
        <f>IF(OR($F151=0,$G151=0),0,MAX($H$110:H150)+1)</f>
        <v>0</v>
      </c>
      <c r="I151" s="2435" t="s">
        <v>1456</v>
      </c>
      <c r="J151" s="2462" t="s">
        <v>1456</v>
      </c>
      <c r="K151" s="2440" t="s">
        <v>1456</v>
      </c>
      <c r="L151" s="6394" t="s">
        <v>2676</v>
      </c>
      <c r="M151" s="6393"/>
      <c r="N151" s="6393"/>
      <c r="O151" s="6393"/>
      <c r="P151" s="6393"/>
      <c r="Q151" s="6393"/>
      <c r="R151" s="653" t="s">
        <v>1456</v>
      </c>
    </row>
    <row r="152" spans="1:18" x14ac:dyDescent="0.2">
      <c r="A152" s="282">
        <v>152</v>
      </c>
      <c r="B152" s="645">
        <f t="shared" si="1"/>
        <v>0</v>
      </c>
      <c r="C152" s="326" t="s">
        <v>2711</v>
      </c>
      <c r="D152" s="2349" t="s">
        <v>2711</v>
      </c>
      <c r="E152" s="2349"/>
      <c r="F152" s="319">
        <f>COUNTIF(Sheele!$C$24:$H$35,C152)</f>
        <v>0</v>
      </c>
      <c r="G152" s="2457">
        <v>1</v>
      </c>
      <c r="H152" s="2457">
        <f>IF(OR($F152=0,$G152=0),0,MAX($H$110:H151)+1)</f>
        <v>0</v>
      </c>
      <c r="I152" s="2435" t="s">
        <v>1456</v>
      </c>
      <c r="J152" s="2457" t="s">
        <v>1456</v>
      </c>
      <c r="K152" s="2440" t="s">
        <v>1456</v>
      </c>
      <c r="L152" s="6393" t="str">
        <f>"Movimiento subterráneo de Tipo "&amp;Sheele!J19</f>
        <v>Movimiento subterráneo de Tipo 8</v>
      </c>
      <c r="M152" s="6393"/>
      <c r="N152" s="6393"/>
      <c r="O152" s="6393"/>
      <c r="P152" s="6393"/>
      <c r="Q152" s="6393"/>
      <c r="R152" s="653" t="s">
        <v>1456</v>
      </c>
    </row>
    <row r="153" spans="1:18" x14ac:dyDescent="0.2">
      <c r="A153" s="282">
        <v>153</v>
      </c>
      <c r="B153" s="645">
        <f t="shared" si="1"/>
        <v>0</v>
      </c>
      <c r="C153" s="326" t="s">
        <v>2712</v>
      </c>
      <c r="D153" s="2349" t="s">
        <v>2712</v>
      </c>
      <c r="E153" s="2349"/>
      <c r="F153" s="319">
        <f>COUNTIF(Sheele!$C$24:$H$35,C153)</f>
        <v>0</v>
      </c>
      <c r="G153" s="2457">
        <v>1</v>
      </c>
      <c r="H153" s="2457">
        <f>IF(OR($F153=0,$G153=0),0,MAX($H$110:H152)+1)</f>
        <v>0</v>
      </c>
      <c r="I153" s="2435" t="s">
        <v>1456</v>
      </c>
      <c r="J153" s="2457" t="s">
        <v>1456</v>
      </c>
      <c r="K153" s="2440" t="s">
        <v>1456</v>
      </c>
      <c r="L153" s="6397" t="s">
        <v>2713</v>
      </c>
      <c r="M153" s="6397"/>
      <c r="N153" s="6397"/>
      <c r="O153" s="6397"/>
      <c r="P153" s="6397"/>
      <c r="Q153" s="6397"/>
      <c r="R153" s="653" t="s">
        <v>1381</v>
      </c>
    </row>
    <row r="154" spans="1:18" x14ac:dyDescent="0.2">
      <c r="A154" s="282">
        <v>154</v>
      </c>
      <c r="B154" s="645">
        <f t="shared" si="1"/>
        <v>0</v>
      </c>
      <c r="C154" s="2466" t="s">
        <v>238</v>
      </c>
      <c r="D154" s="2458"/>
      <c r="E154" s="2458"/>
      <c r="F154" s="2446"/>
      <c r="G154" s="2445"/>
      <c r="H154" s="2459"/>
      <c r="I154" s="325" t="s">
        <v>2662</v>
      </c>
      <c r="J154" s="2460" t="s">
        <v>2663</v>
      </c>
      <c r="K154" s="322" t="s">
        <v>1566</v>
      </c>
      <c r="L154" s="6398" t="s">
        <v>1549</v>
      </c>
      <c r="M154" s="6398"/>
      <c r="N154" s="6398"/>
      <c r="O154" s="6398"/>
      <c r="P154" s="6398"/>
      <c r="Q154" s="6398"/>
      <c r="R154" s="656"/>
    </row>
    <row r="155" spans="1:18" ht="15.75" customHeight="1" x14ac:dyDescent="0.2">
      <c r="A155" s="282">
        <v>155</v>
      </c>
      <c r="B155" s="645">
        <f t="shared" ref="B155:B198" si="2">H155</f>
        <v>0</v>
      </c>
      <c r="C155" s="326" t="s">
        <v>2714</v>
      </c>
      <c r="D155" s="2349" t="s">
        <v>2714</v>
      </c>
      <c r="E155" s="2349"/>
      <c r="F155" s="319">
        <f>COUNTIF(Sheele!$C$24:$H$35,C155)</f>
        <v>0</v>
      </c>
      <c r="G155" s="2457">
        <v>1</v>
      </c>
      <c r="H155" s="2457">
        <f>IF(OR($F155=0,$G155=0),0,MAX($H$110:H154)+1)</f>
        <v>0</v>
      </c>
      <c r="I155" s="2435">
        <v>250</v>
      </c>
      <c r="J155" s="2457">
        <f>Sheele!F45</f>
        <v>50</v>
      </c>
      <c r="K155" s="2440">
        <v>40</v>
      </c>
      <c r="L155" s="6393" t="str">
        <f>"Crea "&amp;Sheele!G15&amp;" proyectiles durante "&amp;Sheele!G16&amp;" asaltos. Máximo "&amp;ROUNDDOWN(Sheele!G11/2,0)&amp;" ataques/ turno. Ataca en ENE."</f>
        <v>Crea 8 proyectiles durante 6 asaltos. Máximo 4 ataques/ turno. Ataca en ENE.</v>
      </c>
      <c r="M155" s="6393"/>
      <c r="N155" s="6393"/>
      <c r="O155" s="6393"/>
      <c r="P155" s="6393"/>
      <c r="Q155" s="6393"/>
      <c r="R155" s="653" t="s">
        <v>1456</v>
      </c>
    </row>
    <row r="156" spans="1:18" ht="12.75" customHeight="1" x14ac:dyDescent="0.2">
      <c r="A156" s="282">
        <v>156</v>
      </c>
      <c r="B156" s="645">
        <f t="shared" si="2"/>
        <v>0</v>
      </c>
      <c r="C156" s="326" t="s">
        <v>2715</v>
      </c>
      <c r="D156" s="2349" t="s">
        <v>2715</v>
      </c>
      <c r="E156" s="2349"/>
      <c r="F156" s="319">
        <f>COUNTIF(Sheele!$C$24:$H$35,C156)</f>
        <v>0</v>
      </c>
      <c r="G156" s="2457">
        <v>1</v>
      </c>
      <c r="H156" s="2457">
        <f>IF(OR($F156=0,$G156=0),0,MAX($H$110:H155)+1)</f>
        <v>0</v>
      </c>
      <c r="I156" s="2435">
        <v>250</v>
      </c>
      <c r="J156" s="2457" t="str">
        <f>Sheele!F45&amp;"+"</f>
        <v>50+</v>
      </c>
      <c r="K156" s="2440">
        <f>Sheele!L27*2</f>
        <v>50</v>
      </c>
      <c r="L156" s="6393" t="str">
        <f>"ENE. +15 Proy. cada asalto que lo prepare, máximo "&amp;Sheele!G15&amp;"."</f>
        <v>ENE. +15 Proy. cada asalto que lo prepare, máximo 8.</v>
      </c>
      <c r="M156" s="6393"/>
      <c r="N156" s="6393"/>
      <c r="O156" s="6393"/>
      <c r="P156" s="6393"/>
      <c r="Q156" s="6393"/>
      <c r="R156" s="653" t="s">
        <v>1456</v>
      </c>
    </row>
    <row r="157" spans="1:18" x14ac:dyDescent="0.2">
      <c r="A157" s="282">
        <v>157</v>
      </c>
      <c r="B157" s="645">
        <f t="shared" si="2"/>
        <v>0</v>
      </c>
      <c r="C157" s="326" t="s">
        <v>291</v>
      </c>
      <c r="D157" s="2349" t="s">
        <v>291</v>
      </c>
      <c r="E157" s="2349"/>
      <c r="F157" s="319">
        <f>COUNTIF(Sheele!$C$24:$H$35,C157)</f>
        <v>0</v>
      </c>
      <c r="G157" s="2457">
        <v>1</v>
      </c>
      <c r="H157" s="2457">
        <f>IF(OR($F157=0,$G157=0),0,MAX($H$110:H156)+1)</f>
        <v>0</v>
      </c>
      <c r="I157" s="2435">
        <v>250</v>
      </c>
      <c r="J157" s="2462" t="s">
        <v>1456</v>
      </c>
      <c r="K157" s="2440" t="s">
        <v>1456</v>
      </c>
      <c r="L157" s="6393" t="str">
        <f>"5 asaltos. +"&amp;Sheele!H15*2&amp;" a toda acción y al ACT transferible. Después, -50 ata (10/ asalto)"</f>
        <v>5 asaltos. +20 a toda acción y al ACT transferible. Después, -50 ata (10/ asalto)</v>
      </c>
      <c r="M157" s="6393"/>
      <c r="N157" s="6393"/>
      <c r="O157" s="6393"/>
      <c r="P157" s="6393"/>
      <c r="Q157" s="6393"/>
      <c r="R157" s="653" t="s">
        <v>1456</v>
      </c>
    </row>
    <row r="158" spans="1:18" x14ac:dyDescent="0.2">
      <c r="A158" s="282">
        <v>158</v>
      </c>
      <c r="B158" s="645">
        <f t="shared" si="2"/>
        <v>0</v>
      </c>
      <c r="C158" s="326" t="s">
        <v>2716</v>
      </c>
      <c r="D158" s="2349" t="s">
        <v>2716</v>
      </c>
      <c r="E158" s="2349"/>
      <c r="F158" s="319">
        <f>COUNTIF(Sheele!$C$24:$H$35,C158)</f>
        <v>0</v>
      </c>
      <c r="G158" s="2457">
        <v>1</v>
      </c>
      <c r="H158" s="2457">
        <f>IF(OR($F158=0,$G158=0),0,MAX($H$110:H157)+1)</f>
        <v>0</v>
      </c>
      <c r="I158" s="2435">
        <v>10</v>
      </c>
      <c r="J158" s="2457" t="s">
        <v>1456</v>
      </c>
      <c r="K158" s="2440" t="s">
        <v>1456</v>
      </c>
      <c r="L158" s="6393" t="str">
        <f>"Cura "&amp;Sheele!L27&amp;" PV o elimina penalizadores por el mismo valor. 1 uso/ persona/ día."</f>
        <v>Cura 25 PV o elimina penalizadores por el mismo valor. 1 uso/ persona/ día.</v>
      </c>
      <c r="M158" s="6393"/>
      <c r="N158" s="6393"/>
      <c r="O158" s="6393"/>
      <c r="P158" s="6393"/>
      <c r="Q158" s="6393"/>
      <c r="R158" s="653" t="s">
        <v>1456</v>
      </c>
    </row>
    <row r="159" spans="1:18" x14ac:dyDescent="0.2">
      <c r="A159" s="282">
        <v>159</v>
      </c>
      <c r="B159" s="645">
        <f t="shared" si="2"/>
        <v>0</v>
      </c>
      <c r="C159" s="326" t="s">
        <v>2717</v>
      </c>
      <c r="D159" s="2349" t="s">
        <v>2717</v>
      </c>
      <c r="E159" s="2349"/>
      <c r="F159" s="319">
        <f>COUNTIF(Sheele!$C$24:$H$35,C159)</f>
        <v>0</v>
      </c>
      <c r="G159" s="2457">
        <v>1</v>
      </c>
      <c r="H159" s="2457">
        <f>IF(OR($F159=0,$G159=0),0,MAX($H$110:H158)+1)</f>
        <v>0</v>
      </c>
      <c r="I159" s="2435" t="s">
        <v>1456</v>
      </c>
      <c r="J159" s="2462" t="s">
        <v>1456</v>
      </c>
      <c r="K159" s="2440" t="s">
        <v>1456</v>
      </c>
      <c r="L159" s="6393" t="s">
        <v>2718</v>
      </c>
      <c r="M159" s="6393"/>
      <c r="N159" s="6393"/>
      <c r="O159" s="6393"/>
      <c r="P159" s="6393"/>
      <c r="Q159" s="6393"/>
      <c r="R159" s="653" t="s">
        <v>1456</v>
      </c>
    </row>
    <row r="160" spans="1:18" x14ac:dyDescent="0.2">
      <c r="A160" s="282">
        <v>160</v>
      </c>
      <c r="B160" s="645">
        <f t="shared" si="2"/>
        <v>0</v>
      </c>
      <c r="C160" s="326" t="s">
        <v>1236</v>
      </c>
      <c r="D160" s="2349" t="s">
        <v>1236</v>
      </c>
      <c r="E160" s="2349"/>
      <c r="F160" s="319">
        <f>COUNTIF(Sheele!$C$24:$H$35,C160)</f>
        <v>0</v>
      </c>
      <c r="G160" s="2457"/>
      <c r="H160" s="2457">
        <f>IF(OR($F160=0,$G160=0),0,MAX($H$110:H159)+1)</f>
        <v>0</v>
      </c>
      <c r="I160" s="2435" t="s">
        <v>1456</v>
      </c>
      <c r="J160" s="2457" t="s">
        <v>1456</v>
      </c>
      <c r="K160" s="2440" t="s">
        <v>1456</v>
      </c>
      <c r="L160" s="6394" t="s">
        <v>2719</v>
      </c>
      <c r="M160" s="6393"/>
      <c r="N160" s="6393"/>
      <c r="O160" s="6393"/>
      <c r="P160" s="6393"/>
      <c r="Q160" s="6393"/>
      <c r="R160" s="653" t="s">
        <v>1456</v>
      </c>
    </row>
    <row r="161" spans="1:18" x14ac:dyDescent="0.2">
      <c r="A161" s="282">
        <v>161</v>
      </c>
      <c r="B161" s="645">
        <f t="shared" si="2"/>
        <v>0</v>
      </c>
      <c r="C161" s="326" t="s">
        <v>2720</v>
      </c>
      <c r="D161" s="2349" t="s">
        <v>2720</v>
      </c>
      <c r="E161" s="2349"/>
      <c r="F161" s="319">
        <f>COUNTIF(Sheele!$C$24:$H$35,C161)</f>
        <v>0</v>
      </c>
      <c r="G161" s="2457">
        <v>1</v>
      </c>
      <c r="H161" s="2457">
        <f>IF(OR($F161=0,$G161=0),0,MAX($H$110:H160)+1)</f>
        <v>0</v>
      </c>
      <c r="I161" s="2435" t="s">
        <v>1456</v>
      </c>
      <c r="J161" s="2462" t="s">
        <v>1456</v>
      </c>
      <c r="K161" s="2440" t="s">
        <v>1456</v>
      </c>
      <c r="L161" s="6401" t="s">
        <v>9660</v>
      </c>
      <c r="M161" s="6393"/>
      <c r="N161" s="6393"/>
      <c r="O161" s="6393"/>
      <c r="P161" s="6393"/>
      <c r="Q161" s="6393"/>
      <c r="R161" s="653" t="s">
        <v>1381</v>
      </c>
    </row>
    <row r="162" spans="1:18" x14ac:dyDescent="0.2">
      <c r="A162" s="282">
        <v>162</v>
      </c>
      <c r="B162" s="645">
        <f t="shared" si="2"/>
        <v>0</v>
      </c>
      <c r="C162" s="326" t="s">
        <v>10418</v>
      </c>
      <c r="D162" s="2349" t="s">
        <v>2675</v>
      </c>
      <c r="E162" s="2349"/>
      <c r="F162" s="319">
        <f>COUNTIF(Sheele!$C$24:$H$35,C162)</f>
        <v>0</v>
      </c>
      <c r="G162" s="2457"/>
      <c r="H162" s="2457">
        <f>IF(OR($F162=0,$G162=0),0,MAX($H$110:H161)+1)</f>
        <v>0</v>
      </c>
      <c r="I162" s="2435" t="s">
        <v>1456</v>
      </c>
      <c r="J162" s="2457" t="s">
        <v>1456</v>
      </c>
      <c r="K162" s="2440" t="s">
        <v>1456</v>
      </c>
      <c r="L162" s="6394" t="s">
        <v>2676</v>
      </c>
      <c r="M162" s="6393"/>
      <c r="N162" s="6393"/>
      <c r="O162" s="6393"/>
      <c r="P162" s="6393"/>
      <c r="Q162" s="6393"/>
      <c r="R162" s="653" t="s">
        <v>1456</v>
      </c>
    </row>
    <row r="163" spans="1:18" x14ac:dyDescent="0.2">
      <c r="A163" s="282">
        <v>163</v>
      </c>
      <c r="B163" s="645">
        <f t="shared" si="2"/>
        <v>0</v>
      </c>
      <c r="C163" s="326" t="s">
        <v>2721</v>
      </c>
      <c r="D163" s="2349" t="s">
        <v>2721</v>
      </c>
      <c r="E163" s="2349"/>
      <c r="F163" s="319">
        <f>COUNTIF(Sheele!$C$24:$H$35,C163)</f>
        <v>0</v>
      </c>
      <c r="G163" s="2457">
        <v>1</v>
      </c>
      <c r="H163" s="2457">
        <f>IF(OR($F163=0,$G163=0),0,MAX($H$110:H162)+1)</f>
        <v>0</v>
      </c>
      <c r="I163" s="2435" t="s">
        <v>1456</v>
      </c>
      <c r="J163" s="2462" t="s">
        <v>1456</v>
      </c>
      <c r="K163" s="2440" t="s">
        <v>1456</v>
      </c>
      <c r="L163" s="6393" t="str">
        <f>"A voluntad. Inmune a ataques físicos. Puede cegar a quien la mire, RM "&amp;Sheele!L27*2+Sheele!H15&amp;". Ver"</f>
        <v>A voluntad. Inmune a ataques físicos. Puede cegar a quien la mire, RM 60. Ver</v>
      </c>
      <c r="M163" s="6393"/>
      <c r="N163" s="6393"/>
      <c r="O163" s="6393"/>
      <c r="P163" s="6393"/>
      <c r="Q163" s="6393"/>
      <c r="R163" s="653" t="s">
        <v>1456</v>
      </c>
    </row>
    <row r="164" spans="1:18" x14ac:dyDescent="0.2">
      <c r="A164" s="282">
        <v>164</v>
      </c>
      <c r="B164" s="645">
        <f t="shared" si="2"/>
        <v>0</v>
      </c>
      <c r="C164" s="326" t="s">
        <v>2722</v>
      </c>
      <c r="D164" s="2349" t="s">
        <v>2722</v>
      </c>
      <c r="E164" s="2349"/>
      <c r="F164" s="319">
        <f>COUNTIF(Sheele!$C$24:$H$35,C164)</f>
        <v>0</v>
      </c>
      <c r="G164" s="2457"/>
      <c r="H164" s="2457">
        <f>IF(OR($F164=0,$G164=0),0,MAX($H$110:H163)+1)</f>
        <v>0</v>
      </c>
      <c r="I164" s="2435" t="s">
        <v>1456</v>
      </c>
      <c r="J164" s="2457" t="s">
        <v>1456</v>
      </c>
      <c r="K164" s="2440" t="s">
        <v>1456</v>
      </c>
      <c r="L164" s="6402" t="s">
        <v>9661</v>
      </c>
      <c r="M164" s="6397"/>
      <c r="N164" s="6397"/>
      <c r="O164" s="6397"/>
      <c r="P164" s="6397"/>
      <c r="Q164" s="6397"/>
      <c r="R164" s="653" t="s">
        <v>1456</v>
      </c>
    </row>
    <row r="165" spans="1:18" x14ac:dyDescent="0.2">
      <c r="A165" s="282">
        <v>165</v>
      </c>
      <c r="B165" s="645">
        <f t="shared" si="2"/>
        <v>0</v>
      </c>
      <c r="C165" s="2466" t="s">
        <v>293</v>
      </c>
      <c r="D165" s="2458"/>
      <c r="E165" s="2458"/>
      <c r="F165" s="2446"/>
      <c r="G165" s="2445"/>
      <c r="H165" s="2459"/>
      <c r="I165" s="325" t="s">
        <v>2662</v>
      </c>
      <c r="J165" s="2460" t="s">
        <v>2663</v>
      </c>
      <c r="K165" s="322" t="s">
        <v>1566</v>
      </c>
      <c r="L165" s="6398" t="s">
        <v>1549</v>
      </c>
      <c r="M165" s="6398"/>
      <c r="N165" s="6398"/>
      <c r="O165" s="6398"/>
      <c r="P165" s="6398"/>
      <c r="Q165" s="6398"/>
      <c r="R165" s="656"/>
    </row>
    <row r="166" spans="1:18" x14ac:dyDescent="0.2">
      <c r="A166" s="282">
        <v>166</v>
      </c>
      <c r="B166" s="645">
        <f t="shared" si="2"/>
        <v>0</v>
      </c>
      <c r="C166" s="326" t="s">
        <v>2723</v>
      </c>
      <c r="D166" s="2349" t="s">
        <v>2723</v>
      </c>
      <c r="E166" s="2349"/>
      <c r="F166" s="319">
        <f>COUNTIF(Sheele!$C$24:$H$35,C166)</f>
        <v>0</v>
      </c>
      <c r="G166" s="2457"/>
      <c r="H166" s="2457">
        <f>IF(OR($F166=0,$G166=0),0,MAX($H$110:H165)+1)</f>
        <v>0</v>
      </c>
      <c r="I166" s="2435"/>
      <c r="J166" s="2457"/>
      <c r="K166" s="2440"/>
      <c r="L166" s="6399" t="s">
        <v>2724</v>
      </c>
      <c r="M166" s="6400"/>
      <c r="N166" s="6400"/>
      <c r="O166" s="6400"/>
      <c r="P166" s="6400"/>
      <c r="Q166" s="6400"/>
      <c r="R166" s="653" t="s">
        <v>1456</v>
      </c>
    </row>
    <row r="167" spans="1:18" x14ac:dyDescent="0.2">
      <c r="A167" s="282">
        <v>167</v>
      </c>
      <c r="B167" s="645">
        <f t="shared" si="2"/>
        <v>0</v>
      </c>
      <c r="C167" s="326" t="s">
        <v>2725</v>
      </c>
      <c r="D167" s="2349" t="s">
        <v>2725</v>
      </c>
      <c r="E167" s="2349"/>
      <c r="F167" s="319">
        <f>COUNTIF(Sheele!$C$24:$H$35,C167)</f>
        <v>0</v>
      </c>
      <c r="G167" s="2457">
        <v>1</v>
      </c>
      <c r="H167" s="2457">
        <f>IF(OR($F167=0,$G167=0),0,MAX($H$110:H166)+1)</f>
        <v>0</v>
      </c>
      <c r="I167" s="2435">
        <v>300</v>
      </c>
      <c r="J167" s="2457">
        <f>Sheele!$F$45+100</f>
        <v>150</v>
      </c>
      <c r="K167" s="2440">
        <f>Sheele!L27*2</f>
        <v>50</v>
      </c>
      <c r="L167" s="6392" t="s">
        <v>9662</v>
      </c>
      <c r="M167" s="6393"/>
      <c r="N167" s="6393"/>
      <c r="O167" s="6393"/>
      <c r="P167" s="6393"/>
      <c r="Q167" s="6393"/>
      <c r="R167" s="653" t="s">
        <v>1456</v>
      </c>
    </row>
    <row r="168" spans="1:18" x14ac:dyDescent="0.2">
      <c r="A168" s="282">
        <v>168</v>
      </c>
      <c r="B168" s="645">
        <f t="shared" si="2"/>
        <v>0</v>
      </c>
      <c r="C168" s="326" t="s">
        <v>2726</v>
      </c>
      <c r="D168" s="2349" t="s">
        <v>2726</v>
      </c>
      <c r="E168" s="2349"/>
      <c r="F168" s="319">
        <f>COUNTIF(Sheele!$C$24:$H$35,C168)</f>
        <v>0</v>
      </c>
      <c r="G168" s="2457">
        <v>1</v>
      </c>
      <c r="H168" s="2457">
        <f>IF(OR($F168=0,$G168=0),0,MAX($H$110:H167)+1)</f>
        <v>0</v>
      </c>
      <c r="I168" s="2435">
        <v>250</v>
      </c>
      <c r="J168" s="2457">
        <f>Sheele!$F$47</f>
        <v>50</v>
      </c>
      <c r="K168" s="2440" t="s">
        <v>1456</v>
      </c>
      <c r="L168" s="6393" t="str">
        <f>"Defensa. RM "&amp;Sheele!L27*2+Sheele!H15&amp;": -50 a toda acción que se recupera a 10/asalto"</f>
        <v>Defensa. RM 60: -50 a toda acción que se recupera a 10/asalto</v>
      </c>
      <c r="M168" s="6393"/>
      <c r="N168" s="6393"/>
      <c r="O168" s="6393"/>
      <c r="P168" s="6393"/>
      <c r="Q168" s="6393"/>
      <c r="R168" s="653" t="s">
        <v>1456</v>
      </c>
    </row>
    <row r="169" spans="1:18" x14ac:dyDescent="0.2">
      <c r="A169" s="282">
        <v>169</v>
      </c>
      <c r="B169" s="645">
        <f t="shared" si="2"/>
        <v>0</v>
      </c>
      <c r="C169" s="326" t="s">
        <v>2727</v>
      </c>
      <c r="D169" s="2349" t="s">
        <v>2727</v>
      </c>
      <c r="E169" s="2349"/>
      <c r="F169" s="319">
        <f>COUNTIF(Sheele!$C$24:$H$35,C169)</f>
        <v>0</v>
      </c>
      <c r="G169" s="2457">
        <v>1</v>
      </c>
      <c r="H169" s="2457">
        <f>IF(OR($F169=0,$G169=0),0,MAX($H$110:H168)+1)</f>
        <v>0</v>
      </c>
      <c r="I169" s="2435">
        <v>20</v>
      </c>
      <c r="J169" s="2457" t="s">
        <v>1456</v>
      </c>
      <c r="K169" s="2440" t="s">
        <v>1456</v>
      </c>
      <c r="L169" s="6393" t="s">
        <v>2728</v>
      </c>
      <c r="M169" s="6393"/>
      <c r="N169" s="6393"/>
      <c r="O169" s="6393"/>
      <c r="P169" s="6393"/>
      <c r="Q169" s="6393"/>
      <c r="R169" s="653" t="s">
        <v>1456</v>
      </c>
    </row>
    <row r="170" spans="1:18" x14ac:dyDescent="0.2">
      <c r="A170" s="282">
        <v>170</v>
      </c>
      <c r="B170" s="645">
        <f t="shared" si="2"/>
        <v>0</v>
      </c>
      <c r="C170" s="326" t="s">
        <v>2729</v>
      </c>
      <c r="D170" s="2349" t="s">
        <v>2729</v>
      </c>
      <c r="E170" s="2349"/>
      <c r="F170" s="319">
        <f>COUNTIF(Sheele!$C$24:$H$35,C170)</f>
        <v>0</v>
      </c>
      <c r="G170" s="2457">
        <v>1</v>
      </c>
      <c r="H170" s="2457">
        <f>IF(OR($F170=0,$G170=0),0,MAX($H$110:H169)+1)</f>
        <v>0</v>
      </c>
      <c r="I170" s="2435">
        <v>200</v>
      </c>
      <c r="J170" s="2457" t="s">
        <v>1456</v>
      </c>
      <c r="K170" s="2440" t="s">
        <v>1456</v>
      </c>
      <c r="L170" s="6393" t="str">
        <f>"Automático 50m. RM "&amp;Sheele!L27*2&amp;": -"&amp;Sheele!H15*2&amp;" a toda acción."</f>
        <v>Automático 50m. RM 50: -20 a toda acción.</v>
      </c>
      <c r="M170" s="6393"/>
      <c r="N170" s="6393"/>
      <c r="O170" s="6393"/>
      <c r="P170" s="6393"/>
      <c r="Q170" s="6393"/>
      <c r="R170" s="653" t="s">
        <v>1456</v>
      </c>
    </row>
    <row r="171" spans="1:18" x14ac:dyDescent="0.2">
      <c r="A171" s="282">
        <v>171</v>
      </c>
      <c r="B171" s="645">
        <f t="shared" si="2"/>
        <v>0</v>
      </c>
      <c r="C171" s="326" t="s">
        <v>2730</v>
      </c>
      <c r="D171" s="2349" t="s">
        <v>2730</v>
      </c>
      <c r="E171" s="2349"/>
      <c r="F171" s="319">
        <f>COUNTIF(Sheele!$C$24:$H$35,C171)</f>
        <v>0</v>
      </c>
      <c r="G171" s="2457">
        <v>1</v>
      </c>
      <c r="H171" s="2457">
        <f>IF(OR($F171=0,$G171=0),0,MAX($H$110:H170)+1)</f>
        <v>0</v>
      </c>
      <c r="I171" s="2435">
        <v>250</v>
      </c>
      <c r="J171" s="2457" t="s">
        <v>1456</v>
      </c>
      <c r="K171" s="2440" t="s">
        <v>1456</v>
      </c>
      <c r="L171" s="6393" t="str">
        <f>"5 asaltos. +"&amp;Sheele!H15*2&amp;" ATA y al ACT trasferible. Al finalizar, -50 ATA (-10/asalto)"</f>
        <v>5 asaltos. +20 ATA y al ACT trasferible. Al finalizar, -50 ATA (-10/asalto)</v>
      </c>
      <c r="M171" s="6393"/>
      <c r="N171" s="6393"/>
      <c r="O171" s="6393"/>
      <c r="P171" s="6393"/>
      <c r="Q171" s="6393"/>
      <c r="R171" s="653" t="s">
        <v>1456</v>
      </c>
    </row>
    <row r="172" spans="1:18" x14ac:dyDescent="0.2">
      <c r="A172" s="282">
        <v>172</v>
      </c>
      <c r="B172" s="645">
        <f t="shared" si="2"/>
        <v>0</v>
      </c>
      <c r="C172" s="326" t="s">
        <v>2731</v>
      </c>
      <c r="D172" s="2349" t="s">
        <v>2731</v>
      </c>
      <c r="E172" s="2349"/>
      <c r="F172" s="319">
        <f>COUNTIF(Sheele!$C$24:$H$35,C172)</f>
        <v>0</v>
      </c>
      <c r="G172" s="2457">
        <v>1</v>
      </c>
      <c r="H172" s="2457">
        <f>IF(OR($F172=0,$G172=0),0,MAX($H$110:H171)+1)</f>
        <v>0</v>
      </c>
      <c r="I172" s="2435" t="s">
        <v>1456</v>
      </c>
      <c r="J172" s="2462" t="s">
        <v>1456</v>
      </c>
      <c r="K172" s="2440" t="s">
        <v>1456</v>
      </c>
      <c r="L172" s="6393" t="str">
        <f>"Objetivo durmiendo. RM "&amp;Sheele!L27*2+Sheele!H15&amp;" o malos sueños. En la Vigilia es más potente. Ver"</f>
        <v>Objetivo durmiendo. RM 60 o malos sueños. En la Vigilia es más potente. Ver</v>
      </c>
      <c r="M172" s="6393"/>
      <c r="N172" s="6393"/>
      <c r="O172" s="6393"/>
      <c r="P172" s="6393"/>
      <c r="Q172" s="6393"/>
      <c r="R172" s="653" t="s">
        <v>1456</v>
      </c>
    </row>
    <row r="173" spans="1:18" x14ac:dyDescent="0.2">
      <c r="A173" s="282">
        <v>173</v>
      </c>
      <c r="B173" s="645">
        <f t="shared" si="2"/>
        <v>0</v>
      </c>
      <c r="C173" s="326" t="s">
        <v>2732</v>
      </c>
      <c r="D173" s="2349" t="s">
        <v>2732</v>
      </c>
      <c r="E173" s="2349"/>
      <c r="F173" s="319">
        <f>COUNTIF(Sheele!$C$24:$H$35,C173)</f>
        <v>0</v>
      </c>
      <c r="G173" s="2457">
        <v>1</v>
      </c>
      <c r="H173" s="2457">
        <f>IF(OR($F173=0,$G173=0),0,MAX($H$110:H172)+1)</f>
        <v>0</v>
      </c>
      <c r="I173" s="2435" t="s">
        <v>1456</v>
      </c>
      <c r="J173" s="2457" t="s">
        <v>1456</v>
      </c>
      <c r="K173" s="2440" t="s">
        <v>1456</v>
      </c>
      <c r="L173" s="6392" t="s">
        <v>9663</v>
      </c>
      <c r="M173" s="6393"/>
      <c r="N173" s="6393"/>
      <c r="O173" s="6393"/>
      <c r="P173" s="6393"/>
      <c r="Q173" s="6393"/>
      <c r="R173" s="653" t="s">
        <v>1381</v>
      </c>
    </row>
    <row r="174" spans="1:18" x14ac:dyDescent="0.2">
      <c r="A174" s="282">
        <v>174</v>
      </c>
      <c r="B174" s="645">
        <f t="shared" si="2"/>
        <v>0</v>
      </c>
      <c r="C174" s="326" t="s">
        <v>10419</v>
      </c>
      <c r="D174" s="2349" t="s">
        <v>2675</v>
      </c>
      <c r="E174" s="2349"/>
      <c r="F174" s="319">
        <f>COUNTIF(Sheele!$C$24:$H$35,C174)</f>
        <v>0</v>
      </c>
      <c r="G174" s="2457"/>
      <c r="H174" s="2457">
        <f>IF(OR($F174=0,$G174=0),0,MAX($H$110:H173)+1)</f>
        <v>0</v>
      </c>
      <c r="I174" s="2435" t="s">
        <v>1456</v>
      </c>
      <c r="J174" s="2462" t="s">
        <v>1456</v>
      </c>
      <c r="K174" s="2440" t="s">
        <v>1456</v>
      </c>
      <c r="L174" s="6394" t="s">
        <v>2676</v>
      </c>
      <c r="M174" s="6393"/>
      <c r="N174" s="6393"/>
      <c r="O174" s="6393"/>
      <c r="P174" s="6393"/>
      <c r="Q174" s="6393"/>
      <c r="R174" s="653" t="s">
        <v>1456</v>
      </c>
    </row>
    <row r="175" spans="1:18" x14ac:dyDescent="0.2">
      <c r="A175" s="282">
        <v>175</v>
      </c>
      <c r="B175" s="645">
        <f t="shared" si="2"/>
        <v>0</v>
      </c>
      <c r="C175" s="326" t="s">
        <v>2733</v>
      </c>
      <c r="D175" s="2349" t="s">
        <v>2733</v>
      </c>
      <c r="E175" s="2349"/>
      <c r="F175" s="319">
        <f>COUNTIF(Sheele!$C$24:$H$35,C175)</f>
        <v>0</v>
      </c>
      <c r="G175" s="2457">
        <v>1</v>
      </c>
      <c r="H175" s="2457">
        <f>IF(OR($F175=0,$G175=0),0,MAX($H$110:H174)+1)</f>
        <v>0</v>
      </c>
      <c r="I175" s="2435" t="s">
        <v>1456</v>
      </c>
      <c r="J175" s="2457" t="s">
        <v>1456</v>
      </c>
      <c r="K175" s="2440">
        <f>Sheele!L27+Sheele!H12</f>
        <v>5</v>
      </c>
      <c r="L175" s="6397" t="str">
        <f>"Puede atacar y defender usando su proyección. Daño base [Presencia]+[Bono Fue]"</f>
        <v>Puede atacar y defender usando su proyección. Daño base [Presencia]+[Bono Fue]</v>
      </c>
      <c r="M175" s="6397"/>
      <c r="N175" s="6397"/>
      <c r="O175" s="6397"/>
      <c r="P175" s="6397"/>
      <c r="Q175" s="6397"/>
      <c r="R175" s="653"/>
    </row>
    <row r="176" spans="1:18" x14ac:dyDescent="0.2">
      <c r="A176" s="282">
        <v>176</v>
      </c>
      <c r="B176" s="645">
        <f t="shared" si="2"/>
        <v>0</v>
      </c>
      <c r="C176" s="2466" t="s">
        <v>10410</v>
      </c>
      <c r="D176" s="2458"/>
      <c r="E176" s="2458"/>
      <c r="F176" s="2446"/>
      <c r="G176" s="2445"/>
      <c r="H176" s="2459"/>
      <c r="I176" s="325" t="s">
        <v>2662</v>
      </c>
      <c r="J176" s="2460" t="s">
        <v>2663</v>
      </c>
      <c r="K176" s="322" t="s">
        <v>1566</v>
      </c>
      <c r="L176" s="6398" t="s">
        <v>1549</v>
      </c>
      <c r="M176" s="6398"/>
      <c r="N176" s="6398"/>
      <c r="O176" s="6398"/>
      <c r="P176" s="6398"/>
      <c r="Q176" s="6398"/>
      <c r="R176" s="656"/>
    </row>
    <row r="177" spans="1:18" x14ac:dyDescent="0.2">
      <c r="A177" s="282">
        <v>177</v>
      </c>
      <c r="B177" s="645">
        <f t="shared" si="2"/>
        <v>0</v>
      </c>
      <c r="C177" s="326" t="s">
        <v>2734</v>
      </c>
      <c r="D177" s="2349" t="s">
        <v>2734</v>
      </c>
      <c r="E177" s="2349"/>
      <c r="F177" s="319">
        <f>COUNTIF(Sheele!$C$24:$H$35,C177)</f>
        <v>0</v>
      </c>
      <c r="G177" s="2457">
        <v>1</v>
      </c>
      <c r="H177" s="2457">
        <f>IF(OR($F177=0,$G177=0),0,MAX($H$110:H176)+1)</f>
        <v>0</v>
      </c>
      <c r="I177" s="2436" t="s">
        <v>9664</v>
      </c>
      <c r="J177" s="2457">
        <f>50+Sheele!F45</f>
        <v>100</v>
      </c>
      <c r="K177" s="327" t="s">
        <v>1456</v>
      </c>
      <c r="L177" s="6393" t="str">
        <f>"Presa de FUE "&amp;Sheele!G15&amp;". Se puede mantener pagando el coste de zeon."</f>
        <v>Presa de FUE 8. Se puede mantener pagando el coste de zeon.</v>
      </c>
      <c r="M177" s="6393"/>
      <c r="N177" s="6393"/>
      <c r="O177" s="6393"/>
      <c r="P177" s="6393"/>
      <c r="Q177" s="6393"/>
      <c r="R177" s="653" t="s">
        <v>1456</v>
      </c>
    </row>
    <row r="178" spans="1:18" x14ac:dyDescent="0.2">
      <c r="A178" s="282">
        <v>178</v>
      </c>
      <c r="B178" s="645">
        <f t="shared" si="2"/>
        <v>0</v>
      </c>
      <c r="C178" s="326" t="s">
        <v>2735</v>
      </c>
      <c r="D178" s="2349" t="s">
        <v>2735</v>
      </c>
      <c r="E178" s="2349"/>
      <c r="F178" s="319">
        <f>COUNTIF(Sheele!$C$24:$H$35,C178)</f>
        <v>0</v>
      </c>
      <c r="G178" s="2457">
        <v>1</v>
      </c>
      <c r="H178" s="2457">
        <f>IF(OR($F178=0,$G178=0),0,MAX($H$110:H177)+1)</f>
        <v>0</v>
      </c>
      <c r="I178" s="2435">
        <v>150</v>
      </c>
      <c r="J178" s="2462">
        <f>Sheele!$F$47+50</f>
        <v>100</v>
      </c>
      <c r="K178" s="2440" t="s">
        <v>1456</v>
      </c>
      <c r="L178" s="6393" t="str">
        <f>"Escudo sobrenatural "&amp;10*Sheele!L27&amp;" PV, que dura máximo "&amp;Sheele!G16&amp;" asaltos."</f>
        <v>Escudo sobrenatural 250 PV, que dura máximo 6 asaltos.</v>
      </c>
      <c r="M178" s="6393"/>
      <c r="N178" s="6393"/>
      <c r="O178" s="6393"/>
      <c r="P178" s="6393"/>
      <c r="Q178" s="6393"/>
      <c r="R178" s="653" t="s">
        <v>1456</v>
      </c>
    </row>
    <row r="179" spans="1:18" x14ac:dyDescent="0.2">
      <c r="A179" s="282">
        <v>179</v>
      </c>
      <c r="B179" s="645">
        <f t="shared" si="2"/>
        <v>0</v>
      </c>
      <c r="C179" s="326" t="s">
        <v>2736</v>
      </c>
      <c r="D179" s="2349" t="s">
        <v>2736</v>
      </c>
      <c r="E179" s="2349"/>
      <c r="F179" s="319">
        <f>COUNTIF(Sheele!$C$24:$H$35,C179)</f>
        <v>0</v>
      </c>
      <c r="G179" s="2457">
        <v>1</v>
      </c>
      <c r="H179" s="2457">
        <f>IF(OR($F179=0,$G179=0),0,MAX($H$110:H178)+1)</f>
        <v>0</v>
      </c>
      <c r="I179" s="2435">
        <v>50</v>
      </c>
      <c r="J179" s="2462" t="s">
        <v>1456</v>
      </c>
      <c r="K179" s="2440" t="s">
        <v>1456</v>
      </c>
      <c r="L179" s="6393" t="s">
        <v>2737</v>
      </c>
      <c r="M179" s="6393"/>
      <c r="N179" s="6393"/>
      <c r="O179" s="6393"/>
      <c r="P179" s="6393"/>
      <c r="Q179" s="6393"/>
      <c r="R179" s="653" t="s">
        <v>1456</v>
      </c>
    </row>
    <row r="180" spans="1:18" ht="12.75" customHeight="1" x14ac:dyDescent="0.2">
      <c r="A180" s="282">
        <v>180</v>
      </c>
      <c r="B180" s="645">
        <f t="shared" si="2"/>
        <v>0</v>
      </c>
      <c r="C180" s="326" t="s">
        <v>2738</v>
      </c>
      <c r="D180" s="2349" t="s">
        <v>2738</v>
      </c>
      <c r="E180" s="2349"/>
      <c r="F180" s="319">
        <f>COUNTIF(Sheele!$C$24:$H$35,C180)</f>
        <v>0</v>
      </c>
      <c r="G180" s="2457">
        <v>1</v>
      </c>
      <c r="H180" s="2457">
        <f>IF(OR($F180=0,$G180=0),0,MAX($H$110:H179)+1)</f>
        <v>0</v>
      </c>
      <c r="I180" s="2435">
        <v>10</v>
      </c>
      <c r="J180" s="2457" t="s">
        <v>1456</v>
      </c>
      <c r="K180" s="2440" t="s">
        <v>1456</v>
      </c>
      <c r="L180" s="6393" t="str">
        <f>"Cura "&amp;Sheele!L27*2&amp;" PV. 1 uso/ persona/ día."</f>
        <v>Cura 50 PV. 1 uso/ persona/ día.</v>
      </c>
      <c r="M180" s="6393"/>
      <c r="N180" s="6393"/>
      <c r="O180" s="6393"/>
      <c r="P180" s="6393"/>
      <c r="Q180" s="6393"/>
      <c r="R180" s="653" t="s">
        <v>1456</v>
      </c>
    </row>
    <row r="181" spans="1:18" ht="13.5" customHeight="1" x14ac:dyDescent="0.2">
      <c r="A181" s="282">
        <v>181</v>
      </c>
      <c r="B181" s="645">
        <f t="shared" si="2"/>
        <v>0</v>
      </c>
      <c r="C181" s="326" t="s">
        <v>2681</v>
      </c>
      <c r="D181" s="2349" t="s">
        <v>2681</v>
      </c>
      <c r="E181" s="2349"/>
      <c r="F181" s="319">
        <f>COUNTIF(Sheele!$C$24:$H$35,C181)</f>
        <v>0</v>
      </c>
      <c r="G181" s="2457">
        <v>1</v>
      </c>
      <c r="H181" s="2457">
        <f>IF(OR($F181=0,$G181=0),0,MAX($H$110:H180)+1)</f>
        <v>0</v>
      </c>
      <c r="I181" s="2435">
        <v>150</v>
      </c>
      <c r="J181" s="2457">
        <f>Sheele!F45</f>
        <v>50</v>
      </c>
      <c r="K181" s="2440">
        <f>Sheele!L27</f>
        <v>25</v>
      </c>
      <c r="L181" s="6392" t="s">
        <v>9665</v>
      </c>
      <c r="M181" s="6393"/>
      <c r="N181" s="6393"/>
      <c r="O181" s="6393"/>
      <c r="P181" s="6393"/>
      <c r="Q181" s="6393"/>
      <c r="R181" s="653" t="s">
        <v>1456</v>
      </c>
    </row>
    <row r="182" spans="1:18" x14ac:dyDescent="0.2">
      <c r="A182" s="282">
        <v>182</v>
      </c>
      <c r="B182" s="645">
        <f t="shared" si="2"/>
        <v>0</v>
      </c>
      <c r="C182" s="326" t="s">
        <v>2739</v>
      </c>
      <c r="D182" s="2349" t="s">
        <v>2739</v>
      </c>
      <c r="E182" s="2349"/>
      <c r="F182" s="319">
        <f>COUNTIF(Sheele!$C$24:$H$35,C182)</f>
        <v>0</v>
      </c>
      <c r="G182" s="2457">
        <v>1</v>
      </c>
      <c r="H182" s="2457">
        <f>IF(OR($F182=0,$G182=0),0,MAX($H$110:H181)+1)</f>
        <v>0</v>
      </c>
      <c r="I182" s="2438" t="s">
        <v>1456</v>
      </c>
      <c r="J182" s="2457" t="s">
        <v>1456</v>
      </c>
      <c r="K182" s="2440" t="s">
        <v>1456</v>
      </c>
      <c r="L182" s="6394" t="s">
        <v>2740</v>
      </c>
      <c r="M182" s="6393"/>
      <c r="N182" s="6393"/>
      <c r="O182" s="6393"/>
      <c r="P182" s="6393"/>
      <c r="Q182" s="6393"/>
      <c r="R182" s="653" t="s">
        <v>1381</v>
      </c>
    </row>
    <row r="183" spans="1:18" x14ac:dyDescent="0.2">
      <c r="A183" s="282">
        <v>183</v>
      </c>
      <c r="B183" s="645">
        <f t="shared" si="2"/>
        <v>0</v>
      </c>
      <c r="C183" s="326" t="s">
        <v>2741</v>
      </c>
      <c r="D183" s="2349" t="s">
        <v>2741</v>
      </c>
      <c r="E183" s="2349"/>
      <c r="F183" s="319">
        <f>COUNTIF(Sheele!$C$24:$H$35,C183)</f>
        <v>0</v>
      </c>
      <c r="G183" s="2457">
        <v>1</v>
      </c>
      <c r="H183" s="2457">
        <f>IF(OR($F183=0,$G183=0),0,MAX($H$110:H182)+1)</f>
        <v>0</v>
      </c>
      <c r="I183" s="2438" t="s">
        <v>1456</v>
      </c>
      <c r="J183" s="2462" t="s">
        <v>1456</v>
      </c>
      <c r="K183" s="2440" t="s">
        <v>1456</v>
      </c>
      <c r="L183" s="6392" t="s">
        <v>9666</v>
      </c>
      <c r="M183" s="6393"/>
      <c r="N183" s="6393"/>
      <c r="O183" s="6393"/>
      <c r="P183" s="6393"/>
      <c r="Q183" s="6393"/>
      <c r="R183" s="653" t="s">
        <v>1381</v>
      </c>
    </row>
    <row r="184" spans="1:18" x14ac:dyDescent="0.2">
      <c r="A184" s="282">
        <v>184</v>
      </c>
      <c r="B184" s="645">
        <f t="shared" si="2"/>
        <v>0</v>
      </c>
      <c r="C184" s="326" t="s">
        <v>10420</v>
      </c>
      <c r="D184" s="2349" t="s">
        <v>2675</v>
      </c>
      <c r="E184" s="2349"/>
      <c r="F184" s="319">
        <f>COUNTIF(Sheele!$C$24:$H$35,C184)</f>
        <v>0</v>
      </c>
      <c r="G184" s="2457"/>
      <c r="H184" s="2457">
        <f>IF(OR($F184=0,$G184=0),0,MAX($H$110:H183)+1)</f>
        <v>0</v>
      </c>
      <c r="I184" s="2435" t="s">
        <v>1456</v>
      </c>
      <c r="J184" s="2462" t="s">
        <v>1456</v>
      </c>
      <c r="K184" s="2440" t="s">
        <v>1456</v>
      </c>
      <c r="L184" s="6394" t="s">
        <v>2676</v>
      </c>
      <c r="M184" s="6393"/>
      <c r="N184" s="6393"/>
      <c r="O184" s="6393"/>
      <c r="P184" s="6393"/>
      <c r="Q184" s="6393"/>
      <c r="R184" s="653" t="s">
        <v>1456</v>
      </c>
    </row>
    <row r="185" spans="1:18" x14ac:dyDescent="0.2">
      <c r="A185" s="282">
        <v>185</v>
      </c>
      <c r="B185" s="645">
        <f t="shared" si="2"/>
        <v>0</v>
      </c>
      <c r="C185" s="326" t="s">
        <v>2742</v>
      </c>
      <c r="D185" s="2349" t="s">
        <v>2742</v>
      </c>
      <c r="E185" s="2349"/>
      <c r="F185" s="319">
        <f>COUNTIF(Sheele!$C$24:$H$35,C185)</f>
        <v>0</v>
      </c>
      <c r="G185" s="2457">
        <v>1</v>
      </c>
      <c r="H185" s="2457">
        <f>IF(OR($F185=0,$G185=0),0,MAX($H$110:H184)+1)</f>
        <v>0</v>
      </c>
      <c r="I185" s="2436" t="s">
        <v>9668</v>
      </c>
      <c r="J185" s="2462" t="s">
        <v>1456</v>
      </c>
      <c r="K185" s="2440" t="s">
        <v>1456</v>
      </c>
      <c r="L185" s="6392" t="s">
        <v>9667</v>
      </c>
      <c r="M185" s="6393"/>
      <c r="N185" s="6393"/>
      <c r="O185" s="6393"/>
      <c r="P185" s="6393"/>
      <c r="Q185" s="6393"/>
      <c r="R185" s="653" t="s">
        <v>1456</v>
      </c>
    </row>
    <row r="186" spans="1:18" x14ac:dyDescent="0.2">
      <c r="A186" s="282">
        <v>186</v>
      </c>
      <c r="B186" s="645">
        <f t="shared" si="2"/>
        <v>0</v>
      </c>
      <c r="C186" s="326" t="s">
        <v>2743</v>
      </c>
      <c r="D186" s="2349" t="s">
        <v>2743</v>
      </c>
      <c r="E186" s="2349"/>
      <c r="F186" s="319">
        <f>COUNTIF(Sheele!$C$24:$H$35,C186)</f>
        <v>0</v>
      </c>
      <c r="G186" s="2457"/>
      <c r="H186" s="2457">
        <f>IF(OR($F186=0,$G186=0),0,MAX($H$110:H185)+1)</f>
        <v>0</v>
      </c>
      <c r="I186" s="2435" t="s">
        <v>1456</v>
      </c>
      <c r="J186" s="2462" t="s">
        <v>1456</v>
      </c>
      <c r="K186" s="2440" t="s">
        <v>1456</v>
      </c>
      <c r="L186" s="6396" t="s">
        <v>2744</v>
      </c>
      <c r="M186" s="6397"/>
      <c r="N186" s="6397"/>
      <c r="O186" s="6397"/>
      <c r="P186" s="6397"/>
      <c r="Q186" s="6397"/>
      <c r="R186" s="653" t="s">
        <v>1456</v>
      </c>
    </row>
    <row r="187" spans="1:18" x14ac:dyDescent="0.2">
      <c r="A187" s="282">
        <v>187</v>
      </c>
      <c r="B187" s="645">
        <f t="shared" si="2"/>
        <v>0</v>
      </c>
      <c r="C187" s="2466" t="s">
        <v>10411</v>
      </c>
      <c r="D187" s="2458"/>
      <c r="E187" s="2458"/>
      <c r="F187" s="2446"/>
      <c r="G187" s="2445"/>
      <c r="H187" s="2459"/>
      <c r="I187" s="325" t="s">
        <v>2662</v>
      </c>
      <c r="J187" s="2460" t="s">
        <v>2663</v>
      </c>
      <c r="K187" s="322" t="s">
        <v>1566</v>
      </c>
      <c r="L187" s="6398" t="s">
        <v>1549</v>
      </c>
      <c r="M187" s="6398"/>
      <c r="N187" s="6398"/>
      <c r="O187" s="6398"/>
      <c r="P187" s="6398"/>
      <c r="Q187" s="6398"/>
      <c r="R187" s="656"/>
    </row>
    <row r="188" spans="1:18" x14ac:dyDescent="0.2">
      <c r="A188" s="282">
        <v>188</v>
      </c>
      <c r="B188" s="645">
        <f t="shared" si="2"/>
        <v>0</v>
      </c>
      <c r="C188" s="326" t="s">
        <v>2745</v>
      </c>
      <c r="D188" s="2349" t="s">
        <v>2745</v>
      </c>
      <c r="E188" s="2349"/>
      <c r="F188" s="319">
        <f>COUNTIF(Sheele!$C$24:$H$35,C188)</f>
        <v>0</v>
      </c>
      <c r="G188" s="2457">
        <v>1</v>
      </c>
      <c r="H188" s="2457">
        <f>IF(OR($F188=0,$G188=0),0,MAX($H$110:H187)+1)</f>
        <v>0</v>
      </c>
      <c r="I188" s="2435">
        <v>100</v>
      </c>
      <c r="J188" s="2457">
        <f>Sheele!F45+50</f>
        <v>100</v>
      </c>
      <c r="K188" s="2440">
        <f>Sheele!L27*2</f>
        <v>50</v>
      </c>
      <c r="L188" s="6392" t="s">
        <v>2746</v>
      </c>
      <c r="M188" s="6393"/>
      <c r="N188" s="6393"/>
      <c r="O188" s="6393"/>
      <c r="P188" s="6393"/>
      <c r="Q188" s="6393"/>
      <c r="R188" s="653" t="s">
        <v>1456</v>
      </c>
    </row>
    <row r="189" spans="1:18" x14ac:dyDescent="0.2">
      <c r="A189" s="282">
        <v>189</v>
      </c>
      <c r="B189" s="645">
        <f t="shared" si="2"/>
        <v>0</v>
      </c>
      <c r="C189" s="326" t="s">
        <v>2747</v>
      </c>
      <c r="D189" s="2349" t="s">
        <v>2747</v>
      </c>
      <c r="E189" s="2349"/>
      <c r="F189" s="319">
        <f>COUNTIF(Sheele!$C$24:$H$35,C189)</f>
        <v>0</v>
      </c>
      <c r="G189" s="2457">
        <v>1</v>
      </c>
      <c r="H189" s="2457">
        <f>IF(OR($F189=0,$G189=0),0,MAX($H$110:H188)+1)</f>
        <v>0</v>
      </c>
      <c r="I189" s="2435">
        <v>200</v>
      </c>
      <c r="J189" s="2462" t="s">
        <v>1456</v>
      </c>
      <c r="K189" s="2440" t="s">
        <v>1456</v>
      </c>
      <c r="L189" s="6392" t="s">
        <v>9669</v>
      </c>
      <c r="M189" s="6393"/>
      <c r="N189" s="6393"/>
      <c r="O189" s="6393"/>
      <c r="P189" s="6393"/>
      <c r="Q189" s="6393"/>
      <c r="R189" s="653" t="s">
        <v>1456</v>
      </c>
    </row>
    <row r="190" spans="1:18" x14ac:dyDescent="0.2">
      <c r="A190" s="282">
        <v>190</v>
      </c>
      <c r="B190" s="645">
        <f t="shared" si="2"/>
        <v>0</v>
      </c>
      <c r="C190" s="326" t="s">
        <v>2748</v>
      </c>
      <c r="D190" s="2349" t="s">
        <v>2748</v>
      </c>
      <c r="E190" s="2349"/>
      <c r="F190" s="319">
        <f>COUNTIF(Sheele!$C$24:$H$35,C190)</f>
        <v>0</v>
      </c>
      <c r="G190" s="2457">
        <v>1</v>
      </c>
      <c r="H190" s="2457">
        <f>IF(OR($F190=0,$G190=0),0,MAX($H$110:H189)+1)</f>
        <v>0</v>
      </c>
      <c r="I190" s="2435" t="s">
        <v>1456</v>
      </c>
      <c r="J190" s="2462" t="s">
        <v>1456</v>
      </c>
      <c r="K190" s="2440" t="s">
        <v>1456</v>
      </c>
      <c r="L190" s="6393" t="s">
        <v>2749</v>
      </c>
      <c r="M190" s="6393"/>
      <c r="N190" s="6393"/>
      <c r="O190" s="6393"/>
      <c r="P190" s="6393"/>
      <c r="Q190" s="6393"/>
      <c r="R190" s="653" t="s">
        <v>1456</v>
      </c>
    </row>
    <row r="191" spans="1:18" x14ac:dyDescent="0.2">
      <c r="A191" s="282">
        <v>191</v>
      </c>
      <c r="B191" s="645">
        <f t="shared" si="2"/>
        <v>0</v>
      </c>
      <c r="C191" s="326" t="s">
        <v>2750</v>
      </c>
      <c r="D191" s="2349" t="s">
        <v>2750</v>
      </c>
      <c r="E191" s="2349"/>
      <c r="F191" s="319">
        <f>COUNTIF(Sheele!$C$24:$H$35,C191)</f>
        <v>0</v>
      </c>
      <c r="G191" s="2457">
        <v>1</v>
      </c>
      <c r="H191" s="2457">
        <f>IF(OR($F191=0,$G191=0),0,MAX($H$110:H190)+1)</f>
        <v>0</v>
      </c>
      <c r="I191" s="2435">
        <v>100</v>
      </c>
      <c r="J191" s="2463" t="s">
        <v>3210</v>
      </c>
      <c r="K191" s="2440" t="s">
        <v>1456</v>
      </c>
      <c r="L191" s="6393" t="str">
        <f>"Área 25m. RM "&amp;Sheele!L27*2+Sheele!H15&amp;": -[fracaso] Hab. PER y -0.5*[fracaso] ata. En contacto: Inmune"</f>
        <v>Área 25m. RM 60: -[fracaso] Hab. PER y -0.5*[fracaso] ata. En contacto: Inmune</v>
      </c>
      <c r="M191" s="6393"/>
      <c r="N191" s="6393"/>
      <c r="O191" s="6393"/>
      <c r="P191" s="6393"/>
      <c r="Q191" s="6393"/>
      <c r="R191" s="653" t="s">
        <v>1456</v>
      </c>
    </row>
    <row r="192" spans="1:18" x14ac:dyDescent="0.2">
      <c r="A192" s="282">
        <v>192</v>
      </c>
      <c r="B192" s="645">
        <f t="shared" si="2"/>
        <v>0</v>
      </c>
      <c r="C192" s="326" t="s">
        <v>2751</v>
      </c>
      <c r="D192" s="2349" t="s">
        <v>2751</v>
      </c>
      <c r="E192" s="2349"/>
      <c r="F192" s="319">
        <f>COUNTIF(Sheele!$C$24:$H$35,C192)</f>
        <v>0</v>
      </c>
      <c r="G192" s="2457">
        <v>1</v>
      </c>
      <c r="H192" s="2457">
        <f>IF(OR($F192=0,$G192=0),0,MAX($H$110:H191)+1)</f>
        <v>0</v>
      </c>
      <c r="I192" s="2435" t="s">
        <v>1456</v>
      </c>
      <c r="J192" s="2462" t="s">
        <v>1456</v>
      </c>
      <c r="K192" s="2440" t="s">
        <v>1456</v>
      </c>
      <c r="L192" s="6393" t="s">
        <v>2752</v>
      </c>
      <c r="M192" s="6393"/>
      <c r="N192" s="6393"/>
      <c r="O192" s="6393"/>
      <c r="P192" s="6393"/>
      <c r="Q192" s="6393"/>
      <c r="R192" s="653" t="s">
        <v>1456</v>
      </c>
    </row>
    <row r="193" spans="1:18" x14ac:dyDescent="0.2">
      <c r="A193" s="282">
        <v>193</v>
      </c>
      <c r="B193" s="645">
        <f t="shared" si="2"/>
        <v>0</v>
      </c>
      <c r="C193" s="326" t="s">
        <v>2753</v>
      </c>
      <c r="D193" s="2349" t="s">
        <v>2753</v>
      </c>
      <c r="E193" s="2349"/>
      <c r="F193" s="319">
        <f>COUNTIF(Sheele!$C$24:$H$35,C193)</f>
        <v>0</v>
      </c>
      <c r="G193" s="2457">
        <v>1</v>
      </c>
      <c r="H193" s="2457">
        <f>IF(OR($F193=0,$G193=0),0,MAX($H$110:H192)+1)</f>
        <v>0</v>
      </c>
      <c r="I193" s="2435" t="s">
        <v>1456</v>
      </c>
      <c r="J193" s="2462" t="s">
        <v>1456</v>
      </c>
      <c r="K193" s="2440" t="s">
        <v>1456</v>
      </c>
      <c r="L193" s="6394" t="s">
        <v>2754</v>
      </c>
      <c r="M193" s="6393"/>
      <c r="N193" s="6393"/>
      <c r="O193" s="6393"/>
      <c r="P193" s="6393"/>
      <c r="Q193" s="6393"/>
      <c r="R193" s="653" t="s">
        <v>1381</v>
      </c>
    </row>
    <row r="194" spans="1:18" x14ac:dyDescent="0.2">
      <c r="A194" s="282">
        <v>194</v>
      </c>
      <c r="B194" s="645">
        <f t="shared" si="2"/>
        <v>0</v>
      </c>
      <c r="C194" s="326" t="s">
        <v>2755</v>
      </c>
      <c r="D194" s="2349" t="s">
        <v>2755</v>
      </c>
      <c r="E194" s="2349"/>
      <c r="F194" s="319">
        <f>COUNTIF(Sheele!$C$24:$H$35,C194)</f>
        <v>0</v>
      </c>
      <c r="G194" s="2457">
        <v>1</v>
      </c>
      <c r="H194" s="2457">
        <f>IF(OR($F194=0,$G194=0),0,MAX($H$110:H193)+1)</f>
        <v>0</v>
      </c>
      <c r="I194" s="2435">
        <v>200</v>
      </c>
      <c r="J194" s="2462" t="str">
        <f>"+10/c"</f>
        <v>+10/c</v>
      </c>
      <c r="K194" s="2440" t="s">
        <v>1456</v>
      </c>
      <c r="L194" s="6393" t="str">
        <f>"Defensa. Crea "&amp;Sheele!G15&amp;" copias. Se desvanece 1/ turno y 1/ defensa. Ver."</f>
        <v>Defensa. Crea 8 copias. Se desvanece 1/ turno y 1/ defensa. Ver.</v>
      </c>
      <c r="M194" s="6393"/>
      <c r="N194" s="6393"/>
      <c r="O194" s="6393"/>
      <c r="P194" s="6393"/>
      <c r="Q194" s="6393"/>
      <c r="R194" s="653" t="s">
        <v>1456</v>
      </c>
    </row>
    <row r="195" spans="1:18" x14ac:dyDescent="0.2">
      <c r="A195" s="282">
        <v>195</v>
      </c>
      <c r="B195" s="645">
        <f t="shared" si="2"/>
        <v>0</v>
      </c>
      <c r="C195" s="326" t="s">
        <v>2756</v>
      </c>
      <c r="D195" s="2349" t="s">
        <v>2756</v>
      </c>
      <c r="E195" s="2349"/>
      <c r="F195" s="319">
        <f>COUNTIF(Sheele!$C$24:$H$35,C195)</f>
        <v>0</v>
      </c>
      <c r="G195" s="2457">
        <v>1</v>
      </c>
      <c r="H195" s="2457">
        <f>IF(OR($F195=0,$G195=0),0,MAX($H$110:H194)+1)</f>
        <v>0</v>
      </c>
      <c r="I195" s="2435" t="s">
        <v>1456</v>
      </c>
      <c r="J195" s="2462" t="s">
        <v>1456</v>
      </c>
      <c r="K195" s="2440" t="s">
        <v>1456</v>
      </c>
      <c r="L195" s="6392" t="s">
        <v>9670</v>
      </c>
      <c r="M195" s="6393"/>
      <c r="N195" s="6393"/>
      <c r="O195" s="6393"/>
      <c r="P195" s="6393"/>
      <c r="Q195" s="6393"/>
      <c r="R195" s="653"/>
    </row>
    <row r="196" spans="1:18" x14ac:dyDescent="0.2">
      <c r="A196" s="282">
        <v>196</v>
      </c>
      <c r="B196" s="645">
        <f t="shared" si="2"/>
        <v>0</v>
      </c>
      <c r="C196" s="326" t="s">
        <v>10421</v>
      </c>
      <c r="D196" s="2349" t="s">
        <v>2675</v>
      </c>
      <c r="E196" s="2349"/>
      <c r="F196" s="319">
        <f>COUNTIF(Sheele!$C$24:$H$35,C196)</f>
        <v>0</v>
      </c>
      <c r="G196" s="2457"/>
      <c r="H196" s="2457">
        <f>IF(OR($F196=0,$G196=0),0,MAX($H$110:H195)+1)</f>
        <v>0</v>
      </c>
      <c r="I196" s="2435" t="s">
        <v>1456</v>
      </c>
      <c r="J196" s="2462" t="s">
        <v>1456</v>
      </c>
      <c r="K196" s="2440" t="s">
        <v>1456</v>
      </c>
      <c r="L196" s="6394" t="s">
        <v>2676</v>
      </c>
      <c r="M196" s="6393"/>
      <c r="N196" s="6393"/>
      <c r="O196" s="6393"/>
      <c r="P196" s="6393"/>
      <c r="Q196" s="6393"/>
      <c r="R196" s="653" t="s">
        <v>1456</v>
      </c>
    </row>
    <row r="197" spans="1:18" ht="13.5" thickBot="1" x14ac:dyDescent="0.25">
      <c r="A197" s="282">
        <v>197</v>
      </c>
      <c r="B197" s="2447">
        <f t="shared" si="2"/>
        <v>0</v>
      </c>
      <c r="C197" s="664" t="s">
        <v>2757</v>
      </c>
      <c r="D197" s="328" t="s">
        <v>2757</v>
      </c>
      <c r="E197" s="328"/>
      <c r="F197" s="2464">
        <f>COUNTIF(Sheele!$C$24:$H$35,C197)</f>
        <v>0</v>
      </c>
      <c r="G197" s="2439">
        <v>1</v>
      </c>
      <c r="H197" s="2439">
        <f>IF(OR($F197=0,$G197=0),0,MAX($H$110:H196)+1)</f>
        <v>0</v>
      </c>
      <c r="I197" s="2338" t="s">
        <v>9671</v>
      </c>
      <c r="J197" s="657" t="s">
        <v>1456</v>
      </c>
      <c r="K197" s="2441" t="s">
        <v>1456</v>
      </c>
      <c r="L197" s="6395" t="str">
        <f>"A voluntad. Solo vulnerable a destrucción de sortilegios (Base, valor zeonico "&amp;Sheele!J9&amp;")"</f>
        <v>A voluntad. Solo vulnerable a destrucción de sortilegios (Base, valor zeonico 50)</v>
      </c>
      <c r="M197" s="6395"/>
      <c r="N197" s="6395"/>
      <c r="O197" s="6395"/>
      <c r="P197" s="6395"/>
      <c r="Q197" s="6395"/>
      <c r="R197" s="2465"/>
    </row>
    <row r="198" spans="1:18" ht="13.5" thickBot="1" x14ac:dyDescent="0.25">
      <c r="A198" s="282">
        <v>198</v>
      </c>
      <c r="B198" s="329">
        <f t="shared" si="2"/>
        <v>0</v>
      </c>
      <c r="F198" s="646" t="s">
        <v>2758</v>
      </c>
      <c r="G198" s="647"/>
      <c r="H198" s="305">
        <f>COUNTIF(H111:H197,"&gt;0")</f>
        <v>0</v>
      </c>
    </row>
    <row r="199" spans="1:18" ht="13.5" thickBot="1" x14ac:dyDescent="0.25">
      <c r="A199" s="282">
        <v>199</v>
      </c>
    </row>
    <row r="200" spans="1:18" x14ac:dyDescent="0.2">
      <c r="A200" s="282">
        <v>200</v>
      </c>
      <c r="B200" s="6366" t="s">
        <v>2759</v>
      </c>
      <c r="C200" s="6367"/>
      <c r="D200" s="6367"/>
      <c r="E200" s="6367"/>
      <c r="F200" s="6367"/>
      <c r="G200" s="6367"/>
      <c r="H200" s="6367"/>
      <c r="I200" s="6367"/>
      <c r="J200" s="6367"/>
      <c r="K200" s="6367"/>
      <c r="L200" s="6367"/>
      <c r="M200" s="6368"/>
    </row>
    <row r="201" spans="1:18" x14ac:dyDescent="0.2">
      <c r="A201" s="282">
        <v>201</v>
      </c>
      <c r="B201" s="6369"/>
      <c r="C201" s="6370"/>
      <c r="D201" s="6370"/>
      <c r="E201" s="6370"/>
      <c r="F201" s="6370"/>
      <c r="G201" s="6370"/>
      <c r="H201" s="6370"/>
      <c r="I201" s="6370"/>
      <c r="J201" s="6370"/>
      <c r="K201" s="6370"/>
      <c r="L201" s="6370"/>
      <c r="M201" s="6371"/>
    </row>
    <row r="202" spans="1:18" x14ac:dyDescent="0.2">
      <c r="A202" s="282">
        <v>202</v>
      </c>
      <c r="B202" s="465"/>
      <c r="C202" s="455">
        <v>1</v>
      </c>
      <c r="D202" s="455">
        <v>2</v>
      </c>
      <c r="E202" s="455">
        <v>3</v>
      </c>
      <c r="F202" s="455">
        <v>4</v>
      </c>
      <c r="G202" s="455">
        <v>5</v>
      </c>
      <c r="H202" s="455">
        <v>6</v>
      </c>
      <c r="I202" s="455">
        <v>7</v>
      </c>
      <c r="J202" s="455">
        <v>8</v>
      </c>
      <c r="K202" s="463" t="s">
        <v>6246</v>
      </c>
      <c r="L202" s="6388" t="s">
        <v>2760</v>
      </c>
      <c r="M202" s="6389"/>
    </row>
    <row r="203" spans="1:18" x14ac:dyDescent="0.2">
      <c r="A203" s="282">
        <v>203</v>
      </c>
      <c r="B203" s="462"/>
      <c r="C203" s="6380" t="s">
        <v>1603</v>
      </c>
      <c r="D203" s="6381"/>
      <c r="E203" s="464" t="str">
        <f t="array" ref="E203:H203">TRANSPOSE(C204:D207)</f>
        <v>Vuelo Místico 10</v>
      </c>
      <c r="F203" s="464" t="str">
        <v>Movimiento Defensivo</v>
      </c>
      <c r="G203" s="464" t="str">
        <v xml:space="preserve"> </v>
      </c>
      <c r="H203" s="464" t="str">
        <v xml:space="preserve"> </v>
      </c>
      <c r="I203" s="464"/>
      <c r="J203" s="2469"/>
      <c r="K203" s="458"/>
      <c r="L203" s="6390"/>
      <c r="M203" s="6391"/>
    </row>
    <row r="204" spans="1:18" x14ac:dyDescent="0.2">
      <c r="A204" s="282">
        <v>204</v>
      </c>
      <c r="B204" s="326"/>
      <c r="C204" s="6376" t="s">
        <v>2761</v>
      </c>
      <c r="D204" s="6377"/>
      <c r="E204" s="6382" t="s">
        <v>2762</v>
      </c>
      <c r="F204" s="6382"/>
      <c r="G204" s="6382"/>
      <c r="H204" s="6382"/>
      <c r="I204" s="6382"/>
      <c r="J204" s="6382"/>
      <c r="K204" s="319" t="s">
        <v>1456</v>
      </c>
      <c r="L204" s="6362">
        <v>10</v>
      </c>
      <c r="M204" s="6363"/>
    </row>
    <row r="205" spans="1:18" x14ac:dyDescent="0.2">
      <c r="A205" s="282">
        <v>205</v>
      </c>
      <c r="B205" s="326"/>
      <c r="C205" s="6376" t="s">
        <v>2763</v>
      </c>
      <c r="D205" s="6377"/>
      <c r="E205" s="6382" t="s">
        <v>2764</v>
      </c>
      <c r="F205" s="6383"/>
      <c r="G205" s="6383"/>
      <c r="H205" s="6383"/>
      <c r="I205" s="6383"/>
      <c r="J205" s="6383"/>
      <c r="K205" s="319" t="s">
        <v>1456</v>
      </c>
      <c r="L205" s="6362"/>
      <c r="M205" s="6363"/>
    </row>
    <row r="206" spans="1:18" x14ac:dyDescent="0.2">
      <c r="A206" s="282">
        <v>206</v>
      </c>
      <c r="B206" s="287"/>
      <c r="C206" s="6378" t="s">
        <v>2765</v>
      </c>
      <c r="D206" s="6379"/>
      <c r="E206" s="6382"/>
      <c r="F206" s="6383"/>
      <c r="G206" s="6383"/>
      <c r="H206" s="6383"/>
      <c r="I206" s="6383"/>
      <c r="J206" s="6383"/>
      <c r="K206" s="319"/>
      <c r="L206" s="6372"/>
      <c r="M206" s="6373"/>
    </row>
    <row r="207" spans="1:18" x14ac:dyDescent="0.2">
      <c r="A207" s="282">
        <v>207</v>
      </c>
      <c r="B207" s="287"/>
      <c r="C207" s="6378" t="s">
        <v>2765</v>
      </c>
      <c r="D207" s="6379"/>
      <c r="E207" s="6382"/>
      <c r="F207" s="6383"/>
      <c r="G207" s="6383"/>
      <c r="H207" s="6383"/>
      <c r="I207" s="6383"/>
      <c r="J207" s="6383"/>
      <c r="K207" s="319"/>
      <c r="L207" s="6372"/>
      <c r="M207" s="6373"/>
    </row>
    <row r="208" spans="1:18" x14ac:dyDescent="0.2">
      <c r="A208" s="282">
        <v>208</v>
      </c>
      <c r="B208" s="462"/>
      <c r="C208" s="6380" t="s">
        <v>1606</v>
      </c>
      <c r="D208" s="6381"/>
      <c r="E208" s="464" t="str">
        <f t="array" ref="E208:H208">TRANSPOSE(C209:D212)</f>
        <v>Vuelo Místico 4</v>
      </c>
      <c r="F208" s="464" t="str">
        <v>Movimiento Acuático</v>
      </c>
      <c r="G208" s="464" t="str">
        <v>Respiración Acuática</v>
      </c>
      <c r="H208" s="464" t="str">
        <v>Resistencia Física</v>
      </c>
      <c r="I208" s="464"/>
      <c r="J208" s="2469"/>
      <c r="K208" s="461"/>
      <c r="L208" s="6374"/>
      <c r="M208" s="6375"/>
    </row>
    <row r="209" spans="1:13" x14ac:dyDescent="0.2">
      <c r="A209" s="282">
        <v>209</v>
      </c>
      <c r="B209" s="326"/>
      <c r="C209" s="6376" t="s">
        <v>2766</v>
      </c>
      <c r="D209" s="6377"/>
      <c r="E209" s="6382" t="s">
        <v>2767</v>
      </c>
      <c r="F209" s="6382"/>
      <c r="G209" s="6382"/>
      <c r="H209" s="6382"/>
      <c r="I209" s="6382"/>
      <c r="J209" s="6382"/>
      <c r="K209" s="319" t="s">
        <v>1456</v>
      </c>
      <c r="L209" s="6362">
        <v>4</v>
      </c>
      <c r="M209" s="6363"/>
    </row>
    <row r="210" spans="1:13" x14ac:dyDescent="0.2">
      <c r="A210" s="282">
        <v>210</v>
      </c>
      <c r="B210" s="326"/>
      <c r="C210" s="6376" t="s">
        <v>2768</v>
      </c>
      <c r="D210" s="6377"/>
      <c r="E210" s="6382" t="s">
        <v>2769</v>
      </c>
      <c r="F210" s="6383"/>
      <c r="G210" s="6383"/>
      <c r="H210" s="6383"/>
      <c r="I210" s="6383"/>
      <c r="J210" s="6383"/>
      <c r="K210" s="319" t="s">
        <v>1456</v>
      </c>
      <c r="L210" s="6362"/>
      <c r="M210" s="6363"/>
    </row>
    <row r="211" spans="1:13" x14ac:dyDescent="0.2">
      <c r="A211" s="282">
        <v>211</v>
      </c>
      <c r="B211" s="287"/>
      <c r="C211" s="6378" t="s">
        <v>2770</v>
      </c>
      <c r="D211" s="6379"/>
      <c r="E211" s="6382" t="s">
        <v>2771</v>
      </c>
      <c r="F211" s="6383"/>
      <c r="G211" s="6383"/>
      <c r="H211" s="6383"/>
      <c r="I211" s="6383"/>
      <c r="J211" s="6383"/>
      <c r="K211" s="319" t="s">
        <v>1456</v>
      </c>
      <c r="L211" s="6362"/>
      <c r="M211" s="6363"/>
    </row>
    <row r="212" spans="1:13" x14ac:dyDescent="0.2">
      <c r="A212" s="282">
        <v>212</v>
      </c>
      <c r="B212" s="287"/>
      <c r="C212" s="6378" t="s">
        <v>2772</v>
      </c>
      <c r="D212" s="6379"/>
      <c r="E212" s="6382" t="s">
        <v>2773</v>
      </c>
      <c r="F212" s="6383"/>
      <c r="G212" s="6383"/>
      <c r="H212" s="6383"/>
      <c r="I212" s="6383"/>
      <c r="J212" s="6383"/>
      <c r="K212" s="319" t="s">
        <v>1456</v>
      </c>
      <c r="L212" s="6362"/>
      <c r="M212" s="6363"/>
    </row>
    <row r="213" spans="1:13" x14ac:dyDescent="0.2">
      <c r="A213" s="282">
        <v>213</v>
      </c>
      <c r="B213" s="462"/>
      <c r="C213" s="6380" t="s">
        <v>1610</v>
      </c>
      <c r="D213" s="6381"/>
      <c r="E213" s="464" t="str">
        <f t="array" ref="E213:H213">TRANSPOSE(C214:D217)</f>
        <v>Vuelo Místico 6</v>
      </c>
      <c r="F213" s="464" t="str">
        <v>Control de Llamas</v>
      </c>
      <c r="G213" s="464" t="str">
        <v xml:space="preserve"> </v>
      </c>
      <c r="H213" s="464" t="str">
        <v xml:space="preserve"> </v>
      </c>
      <c r="I213" s="464"/>
      <c r="J213" s="2469"/>
      <c r="K213" s="461"/>
      <c r="L213" s="6374"/>
      <c r="M213" s="6375"/>
    </row>
    <row r="214" spans="1:13" x14ac:dyDescent="0.2">
      <c r="A214" s="282">
        <v>214</v>
      </c>
      <c r="B214" s="326"/>
      <c r="C214" s="6376" t="s">
        <v>2774</v>
      </c>
      <c r="D214" s="6377"/>
      <c r="E214" s="6382" t="s">
        <v>2775</v>
      </c>
      <c r="F214" s="6382"/>
      <c r="G214" s="6382"/>
      <c r="H214" s="6382"/>
      <c r="I214" s="6382"/>
      <c r="J214" s="6382"/>
      <c r="K214" s="319" t="s">
        <v>1456</v>
      </c>
      <c r="L214" s="6362">
        <v>6</v>
      </c>
      <c r="M214" s="6363"/>
    </row>
    <row r="215" spans="1:13" x14ac:dyDescent="0.2">
      <c r="A215" s="282">
        <v>215</v>
      </c>
      <c r="B215" s="326"/>
      <c r="C215" s="6376" t="s">
        <v>2776</v>
      </c>
      <c r="D215" s="6377"/>
      <c r="E215" s="6382" t="str">
        <f>"Controlar llamas de intensidades no superiores a "&amp;Sheele!G15/2&amp;". Puede atacar con ellas."</f>
        <v>Controlar llamas de intensidades no superiores a 4. Puede atacar con ellas.</v>
      </c>
      <c r="F215" s="6383"/>
      <c r="G215" s="6383"/>
      <c r="H215" s="6383"/>
      <c r="I215" s="6383"/>
      <c r="J215" s="6383"/>
      <c r="K215" s="319" t="s">
        <v>1456</v>
      </c>
      <c r="L215" s="6362"/>
      <c r="M215" s="6363"/>
    </row>
    <row r="216" spans="1:13" x14ac:dyDescent="0.2">
      <c r="A216" s="282">
        <v>216</v>
      </c>
      <c r="B216" s="287"/>
      <c r="C216" s="6378" t="s">
        <v>2765</v>
      </c>
      <c r="D216" s="6379"/>
      <c r="E216" s="6382"/>
      <c r="F216" s="6383"/>
      <c r="G216" s="6383"/>
      <c r="H216" s="6383"/>
      <c r="I216" s="6383"/>
      <c r="J216" s="6383"/>
      <c r="K216" s="319"/>
      <c r="L216" s="6372"/>
      <c r="M216" s="6373"/>
    </row>
    <row r="217" spans="1:13" x14ac:dyDescent="0.2">
      <c r="A217" s="282">
        <v>217</v>
      </c>
      <c r="B217" s="287"/>
      <c r="C217" s="6378" t="s">
        <v>2765</v>
      </c>
      <c r="D217" s="6379"/>
      <c r="E217" s="6382"/>
      <c r="F217" s="6383"/>
      <c r="G217" s="6383"/>
      <c r="H217" s="6383"/>
      <c r="I217" s="6383"/>
      <c r="J217" s="6383"/>
      <c r="K217" s="319"/>
      <c r="L217" s="6372"/>
      <c r="M217" s="6373"/>
    </row>
    <row r="218" spans="1:13" x14ac:dyDescent="0.2">
      <c r="A218" s="282">
        <v>218</v>
      </c>
      <c r="B218" s="462"/>
      <c r="C218" s="6380" t="s">
        <v>1704</v>
      </c>
      <c r="D218" s="6381"/>
      <c r="E218" s="464" t="str">
        <f t="array" ref="E218:H218">TRANSPOSE(C219:D222)</f>
        <v>Vuelo Místico 4</v>
      </c>
      <c r="F218" s="464" t="str">
        <v>Resistencia</v>
      </c>
      <c r="G218" s="464" t="str">
        <v xml:space="preserve"> </v>
      </c>
      <c r="H218" s="464" t="str">
        <v xml:space="preserve"> </v>
      </c>
      <c r="I218" s="464"/>
      <c r="J218" s="2469"/>
      <c r="K218" s="461"/>
      <c r="L218" s="6374"/>
      <c r="M218" s="6375"/>
    </row>
    <row r="219" spans="1:13" x14ac:dyDescent="0.2">
      <c r="A219" s="282">
        <v>219</v>
      </c>
      <c r="B219" s="326"/>
      <c r="C219" s="6376" t="s">
        <v>2766</v>
      </c>
      <c r="D219" s="6377"/>
      <c r="E219" s="6382" t="s">
        <v>2767</v>
      </c>
      <c r="F219" s="6382"/>
      <c r="G219" s="6382"/>
      <c r="H219" s="6382"/>
      <c r="I219" s="6382"/>
      <c r="J219" s="6382"/>
      <c r="K219" s="319" t="s">
        <v>1456</v>
      </c>
      <c r="L219" s="6362">
        <v>4</v>
      </c>
      <c r="M219" s="6363"/>
    </row>
    <row r="220" spans="1:13" x14ac:dyDescent="0.2">
      <c r="A220" s="282">
        <v>220</v>
      </c>
      <c r="B220" s="326"/>
      <c r="C220" s="6376" t="s">
        <v>2722</v>
      </c>
      <c r="D220" s="6377"/>
      <c r="E220" s="6382" t="s">
        <v>2777</v>
      </c>
      <c r="F220" s="6383"/>
      <c r="G220" s="6383"/>
      <c r="H220" s="6383"/>
      <c r="I220" s="6383"/>
      <c r="J220" s="6383"/>
      <c r="K220" s="319" t="s">
        <v>1456</v>
      </c>
      <c r="L220" s="6362"/>
      <c r="M220" s="6363"/>
    </row>
    <row r="221" spans="1:13" x14ac:dyDescent="0.2">
      <c r="A221" s="282">
        <v>221</v>
      </c>
      <c r="B221" s="287"/>
      <c r="C221" s="6378" t="s">
        <v>2765</v>
      </c>
      <c r="D221" s="6379"/>
      <c r="E221" s="6382"/>
      <c r="F221" s="6383"/>
      <c r="G221" s="6383"/>
      <c r="H221" s="6383"/>
      <c r="I221" s="6383"/>
      <c r="J221" s="6383"/>
      <c r="K221" s="319"/>
      <c r="L221" s="6372"/>
      <c r="M221" s="6373"/>
    </row>
    <row r="222" spans="1:13" x14ac:dyDescent="0.2">
      <c r="A222" s="282">
        <v>222</v>
      </c>
      <c r="B222" s="287"/>
      <c r="C222" s="6378" t="s">
        <v>2765</v>
      </c>
      <c r="D222" s="6379"/>
      <c r="E222" s="6382"/>
      <c r="F222" s="6383"/>
      <c r="G222" s="6383"/>
      <c r="H222" s="6383"/>
      <c r="I222" s="6383"/>
      <c r="J222" s="6383"/>
      <c r="K222" s="319"/>
      <c r="L222" s="6372"/>
      <c r="M222" s="6373"/>
    </row>
    <row r="223" spans="1:13" x14ac:dyDescent="0.2">
      <c r="A223" s="282">
        <v>223</v>
      </c>
      <c r="B223" s="462"/>
      <c r="C223" s="6380" t="s">
        <v>1699</v>
      </c>
      <c r="D223" s="6381"/>
      <c r="E223" s="464" t="str">
        <f t="array" ref="E223:H223">TRANSPOSE(C224:D227)</f>
        <v>Vuelo  Místico 6</v>
      </c>
      <c r="F223" s="464" t="str">
        <v>Visión de Luz</v>
      </c>
      <c r="G223" s="464" t="str">
        <v>Luminosa</v>
      </c>
      <c r="H223" s="464" t="str">
        <v xml:space="preserve"> </v>
      </c>
      <c r="I223" s="464"/>
      <c r="J223" s="2469"/>
      <c r="K223" s="461"/>
      <c r="L223" s="6374"/>
      <c r="M223" s="6375"/>
    </row>
    <row r="224" spans="1:13" x14ac:dyDescent="0.2">
      <c r="A224" s="282">
        <v>224</v>
      </c>
      <c r="B224" s="326"/>
      <c r="C224" s="6376" t="s">
        <v>2778</v>
      </c>
      <c r="D224" s="6377"/>
      <c r="E224" s="6382" t="s">
        <v>2775</v>
      </c>
      <c r="F224" s="6382"/>
      <c r="G224" s="6382"/>
      <c r="H224" s="6382"/>
      <c r="I224" s="6382"/>
      <c r="J224" s="6382"/>
      <c r="K224" s="319" t="s">
        <v>1456</v>
      </c>
      <c r="L224" s="6362">
        <v>6</v>
      </c>
      <c r="M224" s="6363"/>
    </row>
    <row r="225" spans="1:13" x14ac:dyDescent="0.2">
      <c r="A225" s="282">
        <v>225</v>
      </c>
      <c r="B225" s="326"/>
      <c r="C225" s="6376" t="s">
        <v>2779</v>
      </c>
      <c r="D225" s="6377"/>
      <c r="E225" s="6382" t="s">
        <v>2780</v>
      </c>
      <c r="F225" s="6383"/>
      <c r="G225" s="6383"/>
      <c r="H225" s="6383"/>
      <c r="I225" s="6383"/>
      <c r="J225" s="6383"/>
      <c r="K225" s="319" t="s">
        <v>1456</v>
      </c>
      <c r="L225" s="6362"/>
      <c r="M225" s="6363"/>
    </row>
    <row r="226" spans="1:13" x14ac:dyDescent="0.2">
      <c r="A226" s="282">
        <v>226</v>
      </c>
      <c r="B226" s="287"/>
      <c r="C226" s="6378" t="s">
        <v>2781</v>
      </c>
      <c r="D226" s="6379"/>
      <c r="E226" s="6382" t="s">
        <v>2782</v>
      </c>
      <c r="F226" s="6383"/>
      <c r="G226" s="6383"/>
      <c r="H226" s="6383"/>
      <c r="I226" s="6383"/>
      <c r="J226" s="6383"/>
      <c r="K226" s="319" t="s">
        <v>1456</v>
      </c>
      <c r="L226" s="6362"/>
      <c r="M226" s="6363"/>
    </row>
    <row r="227" spans="1:13" x14ac:dyDescent="0.2">
      <c r="A227" s="282">
        <v>227</v>
      </c>
      <c r="B227" s="287"/>
      <c r="C227" s="6378" t="s">
        <v>2765</v>
      </c>
      <c r="D227" s="6379"/>
      <c r="E227" s="6382"/>
      <c r="F227" s="6383"/>
      <c r="G227" s="6383"/>
      <c r="H227" s="6383"/>
      <c r="I227" s="6383"/>
      <c r="J227" s="6383"/>
      <c r="K227" s="319"/>
      <c r="L227" s="6372"/>
      <c r="M227" s="6373"/>
    </row>
    <row r="228" spans="1:13" x14ac:dyDescent="0.2">
      <c r="A228" s="282">
        <v>228</v>
      </c>
      <c r="B228" s="462"/>
      <c r="C228" s="6380" t="s">
        <v>1700</v>
      </c>
      <c r="D228" s="6381"/>
      <c r="E228" s="464" t="str">
        <f t="array" ref="E228:H228">TRANSPOSE(C229:D232)</f>
        <v>Vuelo Místico 8</v>
      </c>
      <c r="F228" s="464" t="str">
        <v>Visión oscura</v>
      </c>
      <c r="G228" s="464" t="str">
        <v>Invisible en la Sombra</v>
      </c>
      <c r="H228" s="464" t="str">
        <v xml:space="preserve"> </v>
      </c>
      <c r="I228" s="464"/>
      <c r="J228" s="2469"/>
      <c r="K228" s="461"/>
      <c r="L228" s="6374"/>
      <c r="M228" s="6375"/>
    </row>
    <row r="229" spans="1:13" x14ac:dyDescent="0.2">
      <c r="A229" s="282">
        <v>229</v>
      </c>
      <c r="B229" s="326"/>
      <c r="C229" s="6376" t="s">
        <v>2783</v>
      </c>
      <c r="D229" s="6377"/>
      <c r="E229" s="6382" t="s">
        <v>2784</v>
      </c>
      <c r="F229" s="6382"/>
      <c r="G229" s="6382"/>
      <c r="H229" s="6382"/>
      <c r="I229" s="6382"/>
      <c r="J229" s="6382"/>
      <c r="K229" s="319" t="s">
        <v>1456</v>
      </c>
      <c r="L229" s="6362">
        <v>8</v>
      </c>
      <c r="M229" s="6363"/>
    </row>
    <row r="230" spans="1:13" x14ac:dyDescent="0.2">
      <c r="A230" s="282">
        <v>230</v>
      </c>
      <c r="B230" s="326"/>
      <c r="C230" s="6376" t="s">
        <v>2785</v>
      </c>
      <c r="D230" s="6377"/>
      <c r="E230" s="6382" t="s">
        <v>2786</v>
      </c>
      <c r="F230" s="6383"/>
      <c r="G230" s="6383"/>
      <c r="H230" s="6383"/>
      <c r="I230" s="6383"/>
      <c r="J230" s="6383"/>
      <c r="K230" s="319" t="s">
        <v>1456</v>
      </c>
      <c r="L230" s="6362"/>
      <c r="M230" s="6363"/>
    </row>
    <row r="231" spans="1:13" x14ac:dyDescent="0.2">
      <c r="A231" s="282">
        <v>231</v>
      </c>
      <c r="B231" s="287"/>
      <c r="C231" s="6378" t="s">
        <v>2787</v>
      </c>
      <c r="D231" s="6379"/>
      <c r="E231" s="6382" t="s">
        <v>2788</v>
      </c>
      <c r="F231" s="6383"/>
      <c r="G231" s="6383"/>
      <c r="H231" s="6383"/>
      <c r="I231" s="6383"/>
      <c r="J231" s="6383"/>
      <c r="K231" s="319" t="s">
        <v>1456</v>
      </c>
      <c r="L231" s="6362"/>
      <c r="M231" s="6363"/>
    </row>
    <row r="232" spans="1:13" x14ac:dyDescent="0.2">
      <c r="A232" s="282">
        <v>232</v>
      </c>
      <c r="B232" s="287"/>
      <c r="C232" s="6378" t="s">
        <v>2765</v>
      </c>
      <c r="D232" s="6379"/>
      <c r="E232" s="6382"/>
      <c r="F232" s="6383"/>
      <c r="G232" s="6383"/>
      <c r="H232" s="6383"/>
      <c r="I232" s="6383"/>
      <c r="J232" s="6383"/>
      <c r="K232" s="319"/>
      <c r="L232" s="6372"/>
      <c r="M232" s="6373"/>
    </row>
    <row r="233" spans="1:13" x14ac:dyDescent="0.2">
      <c r="A233" s="282">
        <v>233</v>
      </c>
      <c r="B233" s="462"/>
      <c r="C233" s="6380" t="s">
        <v>2605</v>
      </c>
      <c r="D233" s="6381"/>
      <c r="E233" s="464" t="str">
        <f t="array" ref="E233:H233">TRANSPOSE(C234:D237)</f>
        <v>Vuelo Místico 6</v>
      </c>
      <c r="F233" s="464" t="str">
        <v>Naturaleza Sanadora</v>
      </c>
      <c r="G233" s="464" t="str">
        <v xml:space="preserve"> </v>
      </c>
      <c r="H233" s="464" t="str">
        <v xml:space="preserve"> </v>
      </c>
      <c r="I233" s="464"/>
      <c r="J233" s="2469"/>
      <c r="K233" s="461"/>
      <c r="L233" s="6374"/>
      <c r="M233" s="6375"/>
    </row>
    <row r="234" spans="1:13" x14ac:dyDescent="0.2">
      <c r="A234" s="282">
        <v>234</v>
      </c>
      <c r="B234" s="326"/>
      <c r="C234" s="6376" t="s">
        <v>2774</v>
      </c>
      <c r="D234" s="6377"/>
      <c r="E234" s="6382" t="s">
        <v>2775</v>
      </c>
      <c r="F234" s="6382"/>
      <c r="G234" s="6382"/>
      <c r="H234" s="6382"/>
      <c r="I234" s="6382"/>
      <c r="J234" s="6382"/>
      <c r="K234" s="319" t="s">
        <v>1456</v>
      </c>
      <c r="L234" s="6362">
        <v>6</v>
      </c>
      <c r="M234" s="6363"/>
    </row>
    <row r="235" spans="1:13" x14ac:dyDescent="0.2">
      <c r="A235" s="282">
        <v>235</v>
      </c>
      <c r="B235" s="326"/>
      <c r="C235" s="6376" t="s">
        <v>2789</v>
      </c>
      <c r="D235" s="6377"/>
      <c r="E235" s="6382" t="s">
        <v>2790</v>
      </c>
      <c r="F235" s="6383"/>
      <c r="G235" s="6383"/>
      <c r="H235" s="6383"/>
      <c r="I235" s="6383"/>
      <c r="J235" s="6383"/>
      <c r="K235" s="319" t="s">
        <v>1456</v>
      </c>
      <c r="L235" s="6362"/>
      <c r="M235" s="6363"/>
    </row>
    <row r="236" spans="1:13" x14ac:dyDescent="0.2">
      <c r="A236" s="282">
        <v>236</v>
      </c>
      <c r="B236" s="287"/>
      <c r="C236" s="6378" t="s">
        <v>2765</v>
      </c>
      <c r="D236" s="6379"/>
      <c r="E236" s="6382"/>
      <c r="F236" s="6383"/>
      <c r="G236" s="6383"/>
      <c r="H236" s="6383"/>
      <c r="I236" s="6383"/>
      <c r="J236" s="6383"/>
      <c r="K236" s="319"/>
      <c r="L236" s="6372"/>
      <c r="M236" s="6373"/>
    </row>
    <row r="237" spans="1:13" x14ac:dyDescent="0.2">
      <c r="A237" s="282">
        <v>237</v>
      </c>
      <c r="B237" s="287"/>
      <c r="C237" s="6378" t="s">
        <v>2765</v>
      </c>
      <c r="D237" s="6379"/>
      <c r="E237" s="6382"/>
      <c r="F237" s="6383"/>
      <c r="G237" s="6383"/>
      <c r="H237" s="6383"/>
      <c r="I237" s="6383"/>
      <c r="J237" s="6383"/>
      <c r="K237" s="319"/>
      <c r="L237" s="6372"/>
      <c r="M237" s="6373"/>
    </row>
    <row r="238" spans="1:13" x14ac:dyDescent="0.2">
      <c r="A238" s="282">
        <v>238</v>
      </c>
      <c r="B238" s="462"/>
      <c r="C238" s="6380" t="s">
        <v>1711</v>
      </c>
      <c r="D238" s="6381"/>
      <c r="E238" s="464" t="str">
        <f t="array" ref="E238:H238">TRANSPOSE(C239:D242)</f>
        <v>Vuelo Místico 6</v>
      </c>
      <c r="F238" s="464" t="str">
        <v>La que Todo lo Ve</v>
      </c>
      <c r="G238" s="464" t="str">
        <v>Destellos de Ilusión</v>
      </c>
      <c r="H238" s="464" t="str">
        <v xml:space="preserve"> </v>
      </c>
      <c r="I238" s="464"/>
      <c r="J238" s="2469"/>
      <c r="K238" s="461"/>
      <c r="L238" s="6374"/>
      <c r="M238" s="6375"/>
    </row>
    <row r="239" spans="1:13" x14ac:dyDescent="0.2">
      <c r="A239" s="282">
        <v>239</v>
      </c>
      <c r="B239" s="326"/>
      <c r="C239" s="6376" t="s">
        <v>2774</v>
      </c>
      <c r="D239" s="6377"/>
      <c r="E239" s="6382" t="s">
        <v>2775</v>
      </c>
      <c r="F239" s="6382"/>
      <c r="G239" s="6382"/>
      <c r="H239" s="6382"/>
      <c r="I239" s="6382"/>
      <c r="J239" s="6382"/>
      <c r="K239" s="319" t="s">
        <v>1456</v>
      </c>
      <c r="L239" s="6362">
        <v>6</v>
      </c>
      <c r="M239" s="6363"/>
    </row>
    <row r="240" spans="1:13" x14ac:dyDescent="0.2">
      <c r="A240" s="282">
        <v>240</v>
      </c>
      <c r="B240" s="326"/>
      <c r="C240" s="6376" t="s">
        <v>2791</v>
      </c>
      <c r="D240" s="6377"/>
      <c r="E240" s="6382" t="s">
        <v>2792</v>
      </c>
      <c r="F240" s="6383"/>
      <c r="G240" s="6383"/>
      <c r="H240" s="6383"/>
      <c r="I240" s="6383"/>
      <c r="J240" s="6383"/>
      <c r="K240" s="319" t="s">
        <v>1456</v>
      </c>
      <c r="L240" s="6362"/>
      <c r="M240" s="6363"/>
    </row>
    <row r="241" spans="1:13" x14ac:dyDescent="0.2">
      <c r="A241" s="282">
        <v>241</v>
      </c>
      <c r="B241" s="287"/>
      <c r="C241" s="6378" t="s">
        <v>2793</v>
      </c>
      <c r="D241" s="6379"/>
      <c r="E241" s="6382" t="s">
        <v>2794</v>
      </c>
      <c r="F241" s="6383"/>
      <c r="G241" s="6383"/>
      <c r="H241" s="6383"/>
      <c r="I241" s="6383"/>
      <c r="J241" s="6383"/>
      <c r="K241" s="319" t="s">
        <v>1456</v>
      </c>
      <c r="L241" s="6362"/>
      <c r="M241" s="6363"/>
    </row>
    <row r="242" spans="1:13" ht="13.5" thickBot="1" x14ac:dyDescent="0.25">
      <c r="A242" s="282">
        <v>242</v>
      </c>
      <c r="B242" s="459"/>
      <c r="C242" s="6384" t="s">
        <v>2765</v>
      </c>
      <c r="D242" s="6385"/>
      <c r="E242" s="6386"/>
      <c r="F242" s="6387"/>
      <c r="G242" s="6387"/>
      <c r="H242" s="6387"/>
      <c r="I242" s="6387"/>
      <c r="J242" s="6387"/>
      <c r="K242" s="460"/>
      <c r="L242" s="6364"/>
      <c r="M242" s="636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M27:N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topLeftCell="A80" zoomScaleNormal="100" workbookViewId="0">
      <selection activeCell="R96" sqref="R96"/>
    </sheetView>
  </sheetViews>
  <sheetFormatPr baseColWidth="10" defaultColWidth="11.42578125" defaultRowHeight="12.75" x14ac:dyDescent="0.2"/>
  <cols>
    <col min="1" max="1" width="3.140625" style="766" customWidth="1"/>
    <col min="2" max="38" width="6.140625" style="357" customWidth="1"/>
    <col min="39" max="16384" width="11.42578125" style="357"/>
  </cols>
  <sheetData>
    <row r="1" spans="1:38" ht="12.75" customHeight="1" x14ac:dyDescent="0.2">
      <c r="A1" s="766">
        <v>1</v>
      </c>
    </row>
    <row r="2" spans="1:38" ht="12.75" customHeight="1" thickBot="1" x14ac:dyDescent="0.25">
      <c r="A2" s="766">
        <v>2</v>
      </c>
      <c r="S2" s="361"/>
      <c r="T2" s="361"/>
    </row>
    <row r="3" spans="1:38" ht="12.75" customHeight="1" x14ac:dyDescent="0.2">
      <c r="A3" s="766">
        <v>3</v>
      </c>
      <c r="B3" s="360"/>
      <c r="C3" s="882" t="s">
        <v>5723</v>
      </c>
      <c r="D3" s="883"/>
      <c r="E3" s="883"/>
      <c r="F3" s="883"/>
      <c r="G3" s="883"/>
      <c r="H3" s="883"/>
      <c r="I3" s="883"/>
      <c r="J3" s="883"/>
      <c r="K3" s="883"/>
      <c r="L3" s="883"/>
      <c r="M3" s="883"/>
      <c r="N3" s="883"/>
      <c r="O3" s="883"/>
      <c r="P3" s="883"/>
      <c r="Q3" s="883"/>
      <c r="R3" s="884"/>
      <c r="S3" s="361"/>
      <c r="T3" s="361"/>
      <c r="U3" s="6422" t="s">
        <v>9300</v>
      </c>
      <c r="V3" s="6423"/>
      <c r="W3" s="6423"/>
      <c r="X3" s="6423"/>
      <c r="Y3" s="6423"/>
      <c r="Z3" s="6423"/>
      <c r="AA3" s="6423"/>
      <c r="AB3" s="6423"/>
      <c r="AC3" s="6423"/>
      <c r="AD3" s="6423"/>
      <c r="AE3" s="6423"/>
      <c r="AF3" s="6423"/>
      <c r="AG3" s="6423"/>
      <c r="AH3" s="6424"/>
      <c r="AJ3" s="6432" t="s">
        <v>8792</v>
      </c>
      <c r="AK3" s="6433"/>
      <c r="AL3" s="6434"/>
    </row>
    <row r="4" spans="1:38" ht="12.75" customHeight="1" thickBot="1" x14ac:dyDescent="0.25">
      <c r="A4" s="766">
        <v>4</v>
      </c>
      <c r="B4" s="360"/>
      <c r="C4" s="885"/>
      <c r="D4" s="886"/>
      <c r="E4" s="886"/>
      <c r="F4" s="886"/>
      <c r="G4" s="886"/>
      <c r="H4" s="886"/>
      <c r="I4" s="886"/>
      <c r="J4" s="886"/>
      <c r="K4" s="886"/>
      <c r="L4" s="886"/>
      <c r="M4" s="886"/>
      <c r="N4" s="886"/>
      <c r="O4" s="886"/>
      <c r="P4" s="886"/>
      <c r="Q4" s="886"/>
      <c r="R4" s="887"/>
      <c r="S4" s="365"/>
      <c r="T4" s="365"/>
      <c r="U4" s="6425"/>
      <c r="V4" s="6426"/>
      <c r="W4" s="6426"/>
      <c r="X4" s="6426"/>
      <c r="Y4" s="6426"/>
      <c r="Z4" s="6426"/>
      <c r="AA4" s="6426"/>
      <c r="AB4" s="6426"/>
      <c r="AC4" s="6426"/>
      <c r="AD4" s="6426"/>
      <c r="AE4" s="6426"/>
      <c r="AF4" s="6426"/>
      <c r="AG4" s="6426"/>
      <c r="AH4" s="6427"/>
      <c r="AJ4" s="6435"/>
      <c r="AK4" s="6436"/>
      <c r="AL4" s="6437"/>
    </row>
    <row r="5" spans="1:38" ht="12.75" customHeight="1" x14ac:dyDescent="0.2">
      <c r="A5" s="766">
        <v>5</v>
      </c>
      <c r="B5" s="6355" t="s">
        <v>6976</v>
      </c>
      <c r="C5" s="362"/>
      <c r="D5" s="355">
        <v>1</v>
      </c>
      <c r="E5" s="355">
        <v>2</v>
      </c>
      <c r="F5" s="355">
        <v>3</v>
      </c>
      <c r="G5" s="355">
        <v>4</v>
      </c>
      <c r="H5" s="355">
        <v>5</v>
      </c>
      <c r="I5" s="355">
        <v>6</v>
      </c>
      <c r="J5" s="355">
        <v>7</v>
      </c>
      <c r="K5" s="355">
        <v>8</v>
      </c>
      <c r="L5" s="363">
        <v>9</v>
      </c>
      <c r="M5" s="363">
        <v>10</v>
      </c>
      <c r="N5" s="363">
        <v>11</v>
      </c>
      <c r="O5" s="363">
        <v>12</v>
      </c>
      <c r="P5" s="363">
        <v>13</v>
      </c>
      <c r="Q5" s="363">
        <v>14</v>
      </c>
      <c r="R5" s="364">
        <v>15</v>
      </c>
      <c r="S5" s="6355" t="s">
        <v>6975</v>
      </c>
      <c r="T5" s="368"/>
      <c r="U5" s="2019">
        <v>1</v>
      </c>
      <c r="V5" s="2020">
        <v>2</v>
      </c>
      <c r="W5" s="2020">
        <v>3</v>
      </c>
      <c r="X5" s="2020">
        <v>4</v>
      </c>
      <c r="Y5" s="2020">
        <v>5</v>
      </c>
      <c r="Z5" s="2020">
        <v>6</v>
      </c>
      <c r="AA5" s="2020">
        <v>7</v>
      </c>
      <c r="AB5" s="2020">
        <v>8</v>
      </c>
      <c r="AC5" s="2020">
        <v>9</v>
      </c>
      <c r="AD5" s="2020">
        <v>10</v>
      </c>
      <c r="AE5" s="2020">
        <v>11</v>
      </c>
      <c r="AF5" s="2020">
        <v>12</v>
      </c>
      <c r="AG5" s="2020">
        <v>13</v>
      </c>
      <c r="AH5" s="2021">
        <v>14</v>
      </c>
      <c r="AJ5" s="2289"/>
      <c r="AK5" s="2290" t="s">
        <v>9620</v>
      </c>
      <c r="AL5" s="2300" t="s">
        <v>2828</v>
      </c>
    </row>
    <row r="6" spans="1:38" ht="12.75" customHeight="1" thickBot="1" x14ac:dyDescent="0.25">
      <c r="A6" s="766">
        <v>6</v>
      </c>
      <c r="B6" s="6428"/>
      <c r="C6" s="366"/>
      <c r="D6" s="367" t="s">
        <v>1442</v>
      </c>
      <c r="E6" s="367" t="s">
        <v>118</v>
      </c>
      <c r="F6" s="367" t="s">
        <v>1403</v>
      </c>
      <c r="G6" s="367" t="s">
        <v>5724</v>
      </c>
      <c r="H6" s="367" t="s">
        <v>2820</v>
      </c>
      <c r="I6" s="367" t="s">
        <v>7179</v>
      </c>
      <c r="J6" s="367" t="s">
        <v>7180</v>
      </c>
      <c r="K6" s="367" t="s">
        <v>7181</v>
      </c>
      <c r="L6" s="367" t="s">
        <v>7190</v>
      </c>
      <c r="M6" s="367" t="s">
        <v>7182</v>
      </c>
      <c r="N6" s="367" t="s">
        <v>7183</v>
      </c>
      <c r="O6" s="367" t="s">
        <v>7184</v>
      </c>
      <c r="P6" s="367" t="s">
        <v>7185</v>
      </c>
      <c r="Q6" s="367" t="s">
        <v>7186</v>
      </c>
      <c r="R6" s="389" t="s">
        <v>7187</v>
      </c>
      <c r="S6" s="6428"/>
      <c r="U6" s="2022" t="s">
        <v>1442</v>
      </c>
      <c r="V6" s="2023" t="s">
        <v>9302</v>
      </c>
      <c r="W6" s="2023" t="s">
        <v>9303</v>
      </c>
      <c r="X6" s="2023" t="s">
        <v>7179</v>
      </c>
      <c r="Y6" s="2023" t="s">
        <v>7180</v>
      </c>
      <c r="Z6" s="2023" t="s">
        <v>7181</v>
      </c>
      <c r="AA6" s="2023" t="s">
        <v>7190</v>
      </c>
      <c r="AB6" s="2023" t="s">
        <v>7182</v>
      </c>
      <c r="AC6" s="2023" t="s">
        <v>7183</v>
      </c>
      <c r="AD6" s="2023" t="s">
        <v>7184</v>
      </c>
      <c r="AE6" s="2023" t="s">
        <v>7185</v>
      </c>
      <c r="AF6" s="2023" t="s">
        <v>7186</v>
      </c>
      <c r="AG6" s="2023" t="s">
        <v>7187</v>
      </c>
      <c r="AH6" s="2013" t="s">
        <v>9301</v>
      </c>
      <c r="AJ6" s="2301" t="s">
        <v>9621</v>
      </c>
      <c r="AK6" s="2291" t="str">
        <f>"'Tablas Psiquica'!"&amp;ADDRESS(ROW($AK$7),COLUMN($AK$7))&amp;":"&amp;ADDRESS(ROW($AK$7)+COUNTIF(AK7:AK145,"?*")-1,COLUMN($AK$7))</f>
        <v>'Tablas Psiquica'!$AK$7:$AK$11</v>
      </c>
      <c r="AL6" s="2302" t="str">
        <f>"'Tablas Psiquica'!"&amp;ADDRESS(ROW($AL$7),COLUMN($AL$7))&amp;":"&amp;ADDRESS(ROW($AL$7)+COUNTIF(AL7:AL145,"?*")-1,COLUMN($AL$7))</f>
        <v>'Tablas Psiquica'!$AL$7:$AL$11</v>
      </c>
    </row>
    <row r="7" spans="1:38" ht="12.75" customHeight="1" x14ac:dyDescent="0.2">
      <c r="A7" s="766">
        <v>7</v>
      </c>
      <c r="B7" s="761">
        <f>IF(OR(S7=0),0,SUM($S$6:S7))</f>
        <v>0</v>
      </c>
      <c r="C7" s="376"/>
      <c r="D7" s="271" t="s">
        <v>119</v>
      </c>
      <c r="E7" s="370"/>
      <c r="F7" s="371"/>
      <c r="G7" s="371"/>
      <c r="H7" s="372"/>
      <c r="I7" s="370"/>
      <c r="J7" s="370"/>
      <c r="K7" s="370"/>
      <c r="L7" s="370"/>
      <c r="M7" s="370"/>
      <c r="N7" s="370"/>
      <c r="O7" s="370"/>
      <c r="P7" s="370"/>
      <c r="Q7" s="370"/>
      <c r="R7" s="390"/>
      <c r="S7" s="765">
        <f>S8</f>
        <v>0</v>
      </c>
      <c r="U7" s="2014" t="s">
        <v>119</v>
      </c>
      <c r="V7" s="370"/>
      <c r="W7" s="370"/>
      <c r="X7" s="888"/>
      <c r="Y7" s="888"/>
      <c r="Z7" s="888"/>
      <c r="AA7" s="888"/>
      <c r="AB7" s="888"/>
      <c r="AC7" s="888"/>
      <c r="AD7" s="888"/>
      <c r="AE7" s="888"/>
      <c r="AF7" s="888"/>
      <c r="AG7" s="888"/>
      <c r="AH7" s="2015" t="e">
        <f>IF(COUNTIF(Psíquicos!$AD$17:$AH$62,U7),VALUE(INDEX('Tablas psiquica'!$X7:$AG7,MATCH('Tablas psiquica'!$W7,'Tablas psiquica'!$X$6:$AG$6,0))),0)</f>
        <v>#N/A</v>
      </c>
      <c r="AJ7" s="2294">
        <f>IFERROR(IF(VLOOKUP(AK7,$D$7:$G$145,4,FALSE)&lt;&gt;"No",MAX(AJ$5:AJ5)+1,0),"")</f>
        <v>1</v>
      </c>
      <c r="AK7" s="2295" t="str">
        <f t="shared" ref="AK7:AK38" si="0">IF(ISNA(VLOOKUP(A1,$B$7:$D$145,3,FALSE)),"",VLOOKUP(A1,$B$7:$D$145,3,FALSE))</f>
        <v>&gt; PODERES MATRICIALES</v>
      </c>
      <c r="AL7" s="2303" t="str">
        <f>IFERROR(VLOOKUP(Tablas!$A1,$AJ$7:$AK$145,2,FALSE),"")</f>
        <v>&gt; PODERES MATRICIALES</v>
      </c>
    </row>
    <row r="8" spans="1:38" ht="12.75" customHeight="1" x14ac:dyDescent="0.2">
      <c r="A8" s="766">
        <v>8</v>
      </c>
      <c r="B8" s="761">
        <f>IF(OR(S8=0),0,SUM($S$6:S8))</f>
        <v>0</v>
      </c>
      <c r="C8" s="376"/>
      <c r="D8" s="272" t="s">
        <v>120</v>
      </c>
      <c r="E8" s="370" t="s">
        <v>99</v>
      </c>
      <c r="F8" s="371">
        <v>1</v>
      </c>
      <c r="G8" s="371" t="s">
        <v>2584</v>
      </c>
      <c r="H8" s="372" t="s">
        <v>1305</v>
      </c>
      <c r="I8" s="370" t="s">
        <v>5725</v>
      </c>
      <c r="J8" s="370" t="s">
        <v>5726</v>
      </c>
      <c r="K8" s="370" t="s">
        <v>5727</v>
      </c>
      <c r="L8" s="370" t="s">
        <v>5728</v>
      </c>
      <c r="M8" s="370" t="s">
        <v>5729</v>
      </c>
      <c r="N8" s="370" t="s">
        <v>5730</v>
      </c>
      <c r="O8" s="370" t="s">
        <v>5731</v>
      </c>
      <c r="P8" s="370" t="s">
        <v>5732</v>
      </c>
      <c r="Q8" s="370" t="s">
        <v>5733</v>
      </c>
      <c r="R8" s="390" t="s">
        <v>5734</v>
      </c>
      <c r="S8" s="763">
        <f>IF(COUNTIF(Psíquicos!$C$25:$E$36,E8)=0,0,1)</f>
        <v>0</v>
      </c>
      <c r="U8" s="2014" t="s">
        <v>120</v>
      </c>
      <c r="V8" s="370" t="str">
        <f t="shared" ref="V8:V14" si="1">INDEX($I$6:$R$6,SUMPRODUCT(ISNUMBER(SEARCH("Fatiga",I8:R8))*1)+1)</f>
        <v>MED</v>
      </c>
      <c r="W8" s="370" t="str">
        <f>IFERROR(VLOOKUP(U8,Psíquicos!$AD$11:$AK$64,8,FALSE),V8)</f>
        <v>MED</v>
      </c>
      <c r="X8" s="888"/>
      <c r="Y8" s="888"/>
      <c r="Z8" s="888" t="str">
        <f t="shared" ref="Z8:AG8" si="2">MID(K8,5,LEN(K8))</f>
        <v>10</v>
      </c>
      <c r="AA8" s="888" t="str">
        <f t="shared" si="2"/>
        <v>30</v>
      </c>
      <c r="AB8" s="888" t="str">
        <f t="shared" si="2"/>
        <v>50</v>
      </c>
      <c r="AC8" s="888" t="str">
        <f t="shared" si="2"/>
        <v>80</v>
      </c>
      <c r="AD8" s="888" t="str">
        <f t="shared" si="2"/>
        <v>120</v>
      </c>
      <c r="AE8" s="888" t="str">
        <f t="shared" si="2"/>
        <v>160</v>
      </c>
      <c r="AF8" s="888" t="str">
        <f t="shared" si="2"/>
        <v>200</v>
      </c>
      <c r="AG8" s="888" t="str">
        <f t="shared" si="2"/>
        <v>240</v>
      </c>
      <c r="AH8" s="2015">
        <f>IF(COUNTIF(Psíquicos!$AD$17:$AH$62,U8),VALUE(INDEX('Tablas psiquica'!$X8:$AG8,MATCH('Tablas psiquica'!$W8,'Tablas psiquica'!$X$6:$AG$6,0))),0)</f>
        <v>0</v>
      </c>
      <c r="AJ8" s="2292">
        <f>IFERROR(IF(VLOOKUP(AK8,$D$7:$G$145,4,FALSE)&lt;&gt;"No",MAX(AJ$5:AJ7)+1,0),"")</f>
        <v>2</v>
      </c>
      <c r="AK8" s="2293" t="str">
        <f t="shared" si="0"/>
        <v>Destruir matrices</v>
      </c>
      <c r="AL8" s="2304" t="str">
        <f>IFERROR(VLOOKUP(Tablas!$A2,$AJ$7:$AK$145,2,FALSE),"")</f>
        <v>Destruir matrices</v>
      </c>
    </row>
    <row r="9" spans="1:38" ht="12.75" customHeight="1" x14ac:dyDescent="0.2">
      <c r="A9" s="766">
        <v>9</v>
      </c>
      <c r="B9" s="761">
        <f>IF(OR(S9=0),0,SUM($S$6:S9))</f>
        <v>0</v>
      </c>
      <c r="C9" s="376"/>
      <c r="D9" s="272" t="s">
        <v>121</v>
      </c>
      <c r="E9" s="370" t="s">
        <v>99</v>
      </c>
      <c r="F9" s="371">
        <v>1</v>
      </c>
      <c r="G9" s="371" t="s">
        <v>2584</v>
      </c>
      <c r="H9" s="372" t="s">
        <v>1304</v>
      </c>
      <c r="I9" s="370" t="s">
        <v>5725</v>
      </c>
      <c r="J9" s="370" t="s">
        <v>5726</v>
      </c>
      <c r="K9" s="370" t="s">
        <v>5735</v>
      </c>
      <c r="L9" s="370" t="s">
        <v>5736</v>
      </c>
      <c r="M9" s="370" t="s">
        <v>5737</v>
      </c>
      <c r="N9" s="370" t="s">
        <v>5738</v>
      </c>
      <c r="O9" s="370" t="s">
        <v>5739</v>
      </c>
      <c r="P9" s="370" t="s">
        <v>5740</v>
      </c>
      <c r="Q9" s="370" t="s">
        <v>5741</v>
      </c>
      <c r="R9" s="390" t="s">
        <v>5742</v>
      </c>
      <c r="S9" s="763">
        <f>IF(COUNTIF(Psíquicos!$C$25:$E$36,E9)=0,0,1)</f>
        <v>0</v>
      </c>
      <c r="U9" s="2014" t="s">
        <v>121</v>
      </c>
      <c r="V9" s="370" t="str">
        <f t="shared" si="1"/>
        <v>MED</v>
      </c>
      <c r="W9" s="370" t="str">
        <f>IFERROR(VLOOKUP(U9,Psíquicos!$AD$11:$AK$64,8,FALSE),V9)</f>
        <v>MED</v>
      </c>
      <c r="X9" s="888"/>
      <c r="Y9" s="888"/>
      <c r="Z9" s="888"/>
      <c r="AA9" s="888"/>
      <c r="AB9" s="888"/>
      <c r="AC9" s="888"/>
      <c r="AD9" s="888"/>
      <c r="AE9" s="888"/>
      <c r="AF9" s="888"/>
      <c r="AG9" s="888"/>
      <c r="AH9" s="2015">
        <f>IF(COUNTIF(Psíquicos!$AD$17:$AH$62,U9),VALUE(INDEX('Tablas psiquica'!$X9:$AG9,MATCH('Tablas psiquica'!$W9,'Tablas psiquica'!$X$6:$AG$6,0))),0)</f>
        <v>0</v>
      </c>
      <c r="AJ9" s="2292">
        <f>IFERROR(IF(VLOOKUP(AK9,$D$7:$G$145,4,FALSE)&lt;&gt;"No",MAX(AJ$5:AJ8)+1,0),"")</f>
        <v>3</v>
      </c>
      <c r="AK9" s="2293" t="str">
        <f t="shared" si="0"/>
        <v>Sentir matrices</v>
      </c>
      <c r="AL9" s="2304" t="str">
        <f>IFERROR(VLOOKUP(Tablas!$A3,$AJ$7:$AK$145,2,FALSE),"")</f>
        <v>Sentir matrices</v>
      </c>
    </row>
    <row r="10" spans="1:38" ht="12.75" customHeight="1" x14ac:dyDescent="0.2">
      <c r="A10" s="766">
        <v>10</v>
      </c>
      <c r="B10" s="761">
        <f>IF(OR(S10=0),0,SUM($S$6:S10))</f>
        <v>0</v>
      </c>
      <c r="C10" s="376"/>
      <c r="D10" s="272" t="s">
        <v>122</v>
      </c>
      <c r="E10" s="370" t="s">
        <v>99</v>
      </c>
      <c r="F10" s="371">
        <v>1</v>
      </c>
      <c r="G10" s="371" t="s">
        <v>2584</v>
      </c>
      <c r="H10" s="372" t="s">
        <v>1304</v>
      </c>
      <c r="I10" s="370" t="s">
        <v>5725</v>
      </c>
      <c r="J10" s="370" t="s">
        <v>5726</v>
      </c>
      <c r="K10" s="370" t="s">
        <v>5743</v>
      </c>
      <c r="L10" s="370" t="s">
        <v>5744</v>
      </c>
      <c r="M10" s="370" t="s">
        <v>5745</v>
      </c>
      <c r="N10" s="370" t="s">
        <v>5746</v>
      </c>
      <c r="O10" s="370" t="s">
        <v>5747</v>
      </c>
      <c r="P10" s="370" t="s">
        <v>5748</v>
      </c>
      <c r="Q10" s="370" t="s">
        <v>5749</v>
      </c>
      <c r="R10" s="390" t="s">
        <v>5750</v>
      </c>
      <c r="S10" s="763">
        <f>IF(COUNTIF(Psíquicos!$C$25:$E$36,E10)=0,0,1)</f>
        <v>0</v>
      </c>
      <c r="U10" s="2014" t="s">
        <v>122</v>
      </c>
      <c r="V10" s="370" t="str">
        <f t="shared" si="1"/>
        <v>MED</v>
      </c>
      <c r="W10" s="370" t="str">
        <f>IFERROR(VLOOKUP(U10,Psíquicos!$AD$11:$AK$64,8,FALSE),V10)</f>
        <v>MED</v>
      </c>
      <c r="X10" s="888"/>
      <c r="Y10" s="888"/>
      <c r="Z10" s="888"/>
      <c r="AA10" s="888"/>
      <c r="AB10" s="888"/>
      <c r="AC10" s="888"/>
      <c r="AD10" s="888"/>
      <c r="AE10" s="888"/>
      <c r="AF10" s="888"/>
      <c r="AG10" s="888"/>
      <c r="AH10" s="2015">
        <f>IF(COUNTIF(Psíquicos!$AD$17:$AH$62,U10),VALUE(INDEX('Tablas psiquica'!$X10:$AG10,MATCH('Tablas psiquica'!$W10,'Tablas psiquica'!$X$6:$AG$6,0))),0)</f>
        <v>0</v>
      </c>
      <c r="AJ10" s="2292">
        <f>IFERROR(IF(VLOOKUP(AK10,$D$7:$G$145,4,FALSE)&lt;&gt;"No",MAX(AJ$5:AJ9)+1,0),"")</f>
        <v>4</v>
      </c>
      <c r="AK10" s="2293" t="str">
        <f t="shared" si="0"/>
        <v>Ocultar matrices</v>
      </c>
      <c r="AL10" s="2296" t="str">
        <f>IFERROR(VLOOKUP(Tablas!$A4,$AJ$7:$AK$145,2,FALSE),"")</f>
        <v>Ocultar matrices</v>
      </c>
    </row>
    <row r="11" spans="1:38" ht="12.75" customHeight="1" x14ac:dyDescent="0.2">
      <c r="A11" s="766">
        <v>11</v>
      </c>
      <c r="B11" s="761">
        <f>IF(OR(S11=0),0,SUM($S$6:S11))</f>
        <v>0</v>
      </c>
      <c r="C11" s="376"/>
      <c r="D11" s="272" t="s">
        <v>123</v>
      </c>
      <c r="E11" s="370" t="s">
        <v>99</v>
      </c>
      <c r="F11" s="371">
        <v>1</v>
      </c>
      <c r="G11" s="371" t="s">
        <v>2584</v>
      </c>
      <c r="H11" s="372" t="s">
        <v>1304</v>
      </c>
      <c r="I11" s="370" t="s">
        <v>5751</v>
      </c>
      <c r="J11" s="370" t="s">
        <v>5726</v>
      </c>
      <c r="K11" s="370" t="s">
        <v>5752</v>
      </c>
      <c r="L11" s="370" t="s">
        <v>5753</v>
      </c>
      <c r="M11" s="370" t="s">
        <v>5754</v>
      </c>
      <c r="N11" s="370" t="s">
        <v>5755</v>
      </c>
      <c r="O11" s="370" t="s">
        <v>5756</v>
      </c>
      <c r="P11" s="370" t="s">
        <v>5757</v>
      </c>
      <c r="Q11" s="370" t="s">
        <v>5758</v>
      </c>
      <c r="R11" s="390" t="s">
        <v>5759</v>
      </c>
      <c r="S11" s="763">
        <f>IF(COUNTIF(Psíquicos!$C$25:$E$36,E11)=0,0,1)</f>
        <v>0</v>
      </c>
      <c r="U11" s="2014" t="s">
        <v>123</v>
      </c>
      <c r="V11" s="370" t="str">
        <f t="shared" si="1"/>
        <v>MED</v>
      </c>
      <c r="W11" s="370" t="str">
        <f>IFERROR(VLOOKUP(U11,Psíquicos!$AD$11:$AK$64,8,FALSE),V11)</f>
        <v>MED</v>
      </c>
      <c r="X11" s="888"/>
      <c r="Y11" s="888"/>
      <c r="Z11" s="888"/>
      <c r="AA11" s="888"/>
      <c r="AB11" s="888"/>
      <c r="AC11" s="888"/>
      <c r="AD11" s="888"/>
      <c r="AE11" s="888"/>
      <c r="AF11" s="888"/>
      <c r="AG11" s="888"/>
      <c r="AH11" s="2015">
        <f>IF(COUNTIF(Psíquicos!$AD$17:$AH$62,U11),VALUE(INDEX('Tablas psiquica'!$X11:$AG11,MATCH('Tablas psiquica'!$W11,'Tablas psiquica'!$X$6:$AG$6,0))),0)</f>
        <v>0</v>
      </c>
      <c r="AJ11" s="2292">
        <f>IFERROR(IF(VLOOKUP(AK11,$D$7:$G$145,4,FALSE)&lt;&gt;"No",MAX(AJ$5:AJ10)+1,0),"")</f>
        <v>5</v>
      </c>
      <c r="AK11" s="2293" t="str">
        <f t="shared" si="0"/>
        <v>Conectar matrices</v>
      </c>
      <c r="AL11" s="2296" t="str">
        <f>IFERROR(VLOOKUP(Tablas!$A5,$AJ$7:$AK$145,2,FALSE),"")</f>
        <v>Conectar matrices</v>
      </c>
    </row>
    <row r="12" spans="1:38" ht="12.75" customHeight="1" x14ac:dyDescent="0.2">
      <c r="A12" s="766">
        <v>12</v>
      </c>
      <c r="B12" s="761">
        <f>IF(OR(S12=0),0,SUM($S$6:S12))</f>
        <v>0</v>
      </c>
      <c r="C12" s="376"/>
      <c r="D12" s="272" t="s">
        <v>124</v>
      </c>
      <c r="E12" s="370" t="s">
        <v>99</v>
      </c>
      <c r="F12" s="371">
        <v>1</v>
      </c>
      <c r="G12" s="371" t="s">
        <v>2584</v>
      </c>
      <c r="H12" s="372" t="s">
        <v>1304</v>
      </c>
      <c r="I12" s="370" t="s">
        <v>5725</v>
      </c>
      <c r="J12" s="370" t="s">
        <v>5726</v>
      </c>
      <c r="K12" s="370" t="s">
        <v>5760</v>
      </c>
      <c r="L12" s="370" t="s">
        <v>5743</v>
      </c>
      <c r="M12" s="370" t="s">
        <v>5744</v>
      </c>
      <c r="N12" s="370" t="s">
        <v>5745</v>
      </c>
      <c r="O12" s="370" t="s">
        <v>5746</v>
      </c>
      <c r="P12" s="370" t="s">
        <v>5747</v>
      </c>
      <c r="Q12" s="370" t="s">
        <v>5748</v>
      </c>
      <c r="R12" s="390" t="s">
        <v>5749</v>
      </c>
      <c r="S12" s="763">
        <f>IF(COUNTIF(Psíquicos!$C$25:$E$36,E12)=0,0,1)</f>
        <v>0</v>
      </c>
      <c r="U12" s="2014" t="s">
        <v>124</v>
      </c>
      <c r="V12" s="370" t="str">
        <f t="shared" si="1"/>
        <v>MED</v>
      </c>
      <c r="W12" s="370" t="str">
        <f>IFERROR(VLOOKUP(U12,Psíquicos!$AD$11:$AK$64,8,FALSE),V12)</f>
        <v>MED</v>
      </c>
      <c r="X12" s="888"/>
      <c r="Y12" s="888"/>
      <c r="Z12" s="888"/>
      <c r="AA12" s="888"/>
      <c r="AB12" s="888"/>
      <c r="AC12" s="888"/>
      <c r="AD12" s="888"/>
      <c r="AE12" s="888"/>
      <c r="AF12" s="888"/>
      <c r="AG12" s="888"/>
      <c r="AH12" s="2015">
        <f>IF(COUNTIF(Psíquicos!$AD$17:$AH$62,U12),VALUE(INDEX('Tablas psiquica'!$X12:$AG12,MATCH('Tablas psiquica'!$W12,'Tablas psiquica'!$X$6:$AG$6,0))),0)</f>
        <v>0</v>
      </c>
      <c r="AJ12" s="2292" t="str">
        <f>IFERROR(IF(VLOOKUP(AK12,$D$7:$G$145,4,FALSE)&lt;&gt;"No",MAX(AJ$5:AJ11)+1,0),"")</f>
        <v/>
      </c>
      <c r="AK12" s="2293" t="str">
        <f t="shared" si="0"/>
        <v/>
      </c>
      <c r="AL12" s="2296" t="str">
        <f>IFERROR(VLOOKUP(Tablas!$A6,$AJ$7:$AK$145,2,FALSE),"")</f>
        <v/>
      </c>
    </row>
    <row r="13" spans="1:38" ht="12.75" customHeight="1" x14ac:dyDescent="0.2">
      <c r="A13" s="766">
        <v>13</v>
      </c>
      <c r="B13" s="761">
        <f>IF(OR(S13=0),0,SUM($S$6:S13))</f>
        <v>0</v>
      </c>
      <c r="C13" s="376"/>
      <c r="D13" s="272" t="s">
        <v>125</v>
      </c>
      <c r="E13" s="370" t="s">
        <v>99</v>
      </c>
      <c r="F13" s="371">
        <v>1</v>
      </c>
      <c r="G13" s="371" t="s">
        <v>2584</v>
      </c>
      <c r="H13" s="372" t="s">
        <v>1304</v>
      </c>
      <c r="I13" s="370" t="s">
        <v>5761</v>
      </c>
      <c r="J13" s="370" t="s">
        <v>5725</v>
      </c>
      <c r="K13" s="370" t="s">
        <v>5760</v>
      </c>
      <c r="L13" s="370" t="s">
        <v>5743</v>
      </c>
      <c r="M13" s="370" t="s">
        <v>5744</v>
      </c>
      <c r="N13" s="370" t="s">
        <v>5745</v>
      </c>
      <c r="O13" s="370" t="s">
        <v>5746</v>
      </c>
      <c r="P13" s="370" t="s">
        <v>5747</v>
      </c>
      <c r="Q13" s="370" t="s">
        <v>5748</v>
      </c>
      <c r="R13" s="390" t="s">
        <v>5749</v>
      </c>
      <c r="S13" s="763">
        <f>IF(COUNTIF(Psíquicos!$C$25:$E$36,E13)=0,0,1)</f>
        <v>0</v>
      </c>
      <c r="U13" s="2014" t="s">
        <v>125</v>
      </c>
      <c r="V13" s="370" t="str">
        <f t="shared" si="1"/>
        <v>MED</v>
      </c>
      <c r="W13" s="370" t="str">
        <f>IFERROR(VLOOKUP(U13,Psíquicos!$AD$11:$AK$64,8,FALSE),V13)</f>
        <v>MED</v>
      </c>
      <c r="X13" s="888"/>
      <c r="Y13" s="888"/>
      <c r="Z13" s="888"/>
      <c r="AA13" s="888"/>
      <c r="AB13" s="888"/>
      <c r="AC13" s="888"/>
      <c r="AD13" s="888"/>
      <c r="AE13" s="888"/>
      <c r="AF13" s="888"/>
      <c r="AG13" s="888"/>
      <c r="AH13" s="2015">
        <f>IF(COUNTIF(Psíquicos!$AD$17:$AH$62,U13),VALUE(INDEX('Tablas psiquica'!$X13:$AG13,MATCH('Tablas psiquica'!$W13,'Tablas psiquica'!$X$6:$AG$6,0))),0)</f>
        <v>0</v>
      </c>
      <c r="AJ13" s="2292" t="str">
        <f>IFERROR(IF(VLOOKUP(AK13,$D$7:$G$145,4,FALSE)&lt;&gt;"No",MAX(AJ$5:AJ12)+1,0),"")</f>
        <v/>
      </c>
      <c r="AK13" s="2293" t="str">
        <f t="shared" si="0"/>
        <v/>
      </c>
      <c r="AL13" s="2296" t="str">
        <f>IFERROR(VLOOKUP(Tablas!$A7,$AJ$7:$AK$145,2,FALSE),"")</f>
        <v/>
      </c>
    </row>
    <row r="14" spans="1:38" ht="12.75" customHeight="1" x14ac:dyDescent="0.2">
      <c r="A14" s="766">
        <v>14</v>
      </c>
      <c r="B14" s="761">
        <f>IF(OR(S14=0),0,SUM($S$6:S14))</f>
        <v>0</v>
      </c>
      <c r="C14" s="376"/>
      <c r="D14" s="272" t="s">
        <v>126</v>
      </c>
      <c r="E14" s="370" t="s">
        <v>99</v>
      </c>
      <c r="F14" s="371">
        <v>2</v>
      </c>
      <c r="G14" s="371" t="s">
        <v>2584</v>
      </c>
      <c r="H14" s="372" t="s">
        <v>1304</v>
      </c>
      <c r="I14" s="370" t="s">
        <v>5762</v>
      </c>
      <c r="J14" s="370" t="s">
        <v>5761</v>
      </c>
      <c r="K14" s="370" t="s">
        <v>5725</v>
      </c>
      <c r="L14" s="370" t="s">
        <v>5743</v>
      </c>
      <c r="M14" s="370" t="s">
        <v>5744</v>
      </c>
      <c r="N14" s="370" t="s">
        <v>5745</v>
      </c>
      <c r="O14" s="370" t="s">
        <v>5746</v>
      </c>
      <c r="P14" s="370" t="s">
        <v>5747</v>
      </c>
      <c r="Q14" s="370" t="s">
        <v>5748</v>
      </c>
      <c r="R14" s="390" t="s">
        <v>5750</v>
      </c>
      <c r="S14" s="763">
        <f>IF(COUNTIF(Psíquicos!$C$25:$E$36,E14)=0,0,1)</f>
        <v>0</v>
      </c>
      <c r="U14" s="2014" t="s">
        <v>126</v>
      </c>
      <c r="V14" s="370" t="str">
        <f t="shared" si="1"/>
        <v>DIF</v>
      </c>
      <c r="W14" s="370" t="str">
        <f>IFERROR(VLOOKUP(U14,Psíquicos!$AD$11:$AK$64,8,FALSE),V14)</f>
        <v>DIF</v>
      </c>
      <c r="X14" s="888"/>
      <c r="Y14" s="888"/>
      <c r="Z14" s="888"/>
      <c r="AA14" s="888"/>
      <c r="AB14" s="888"/>
      <c r="AC14" s="888"/>
      <c r="AD14" s="888"/>
      <c r="AE14" s="888"/>
      <c r="AF14" s="888"/>
      <c r="AG14" s="888"/>
      <c r="AH14" s="2015">
        <f>IF(COUNTIF(Psíquicos!$AD$17:$AH$62,U14),VALUE(INDEX('Tablas psiquica'!$X14:$AG14,MATCH('Tablas psiquica'!$W14,'Tablas psiquica'!$X$6:$AG$6,0))),0)</f>
        <v>0</v>
      </c>
      <c r="AJ14" s="2292" t="str">
        <f>IFERROR(IF(VLOOKUP(AK14,$D$7:$G$145,4,FALSE)&lt;&gt;"No",MAX(AJ$5:AJ13)+1,0),"")</f>
        <v/>
      </c>
      <c r="AK14" s="2293" t="str">
        <f t="shared" si="0"/>
        <v/>
      </c>
      <c r="AL14" s="2296" t="str">
        <f>IFERROR(VLOOKUP(Tablas!$A8,$AJ$7:$AK$145,2,FALSE),"")</f>
        <v/>
      </c>
    </row>
    <row r="15" spans="1:38" ht="12.75" customHeight="1" x14ac:dyDescent="0.2">
      <c r="A15" s="766">
        <v>15</v>
      </c>
      <c r="B15" s="761">
        <f>IF(OR(S15=0),0,SUM($S$6:S15))</f>
        <v>0</v>
      </c>
      <c r="C15" s="376"/>
      <c r="D15" s="272" t="s">
        <v>127</v>
      </c>
      <c r="E15" s="370" t="s">
        <v>99</v>
      </c>
      <c r="F15" s="371">
        <v>2</v>
      </c>
      <c r="G15" s="371" t="s">
        <v>1381</v>
      </c>
      <c r="H15" s="372" t="s">
        <v>1304</v>
      </c>
      <c r="I15" s="370" t="s">
        <v>5763</v>
      </c>
      <c r="J15" s="370" t="s">
        <v>5761</v>
      </c>
      <c r="K15" s="370" t="s">
        <v>5725</v>
      </c>
      <c r="L15" s="370" t="s">
        <v>5744</v>
      </c>
      <c r="M15" s="370" t="s">
        <v>5745</v>
      </c>
      <c r="N15" s="370" t="s">
        <v>5746</v>
      </c>
      <c r="O15" s="370" t="s">
        <v>5747</v>
      </c>
      <c r="P15" s="370" t="s">
        <v>5748</v>
      </c>
      <c r="Q15" s="370" t="s">
        <v>5749</v>
      </c>
      <c r="R15" s="390" t="s">
        <v>5764</v>
      </c>
      <c r="S15" s="763">
        <f>IF(COUNTIF(Psíquicos!$C$25:$E$36,E15)=0,0,1)</f>
        <v>0</v>
      </c>
      <c r="U15" s="2014" t="s">
        <v>128</v>
      </c>
      <c r="V15" s="370" t="str">
        <f>INDEX($I$6:$R$6,SUMPRODUCT(ISNUMBER(SEARCH("Fatiga",I16:R16))*1)+1)</f>
        <v>DIF</v>
      </c>
      <c r="W15" s="370" t="str">
        <f>IFERROR(VLOOKUP(U15,Psíquicos!$AD$11:$AK$64,8,FALSE),V15)</f>
        <v>DIF</v>
      </c>
      <c r="X15" s="888"/>
      <c r="Y15" s="888"/>
      <c r="Z15" s="888"/>
      <c r="AA15" s="888"/>
      <c r="AB15" s="888"/>
      <c r="AC15" s="888"/>
      <c r="AD15" s="888"/>
      <c r="AE15" s="888"/>
      <c r="AF15" s="888"/>
      <c r="AG15" s="888"/>
      <c r="AH15" s="2015">
        <f>IF(COUNTIF(Psíquicos!$AD$17:$AH$62,U15),VALUE(INDEX('Tablas psiquica'!$X15:$AG15,MATCH('Tablas psiquica'!$W15,'Tablas psiquica'!$X$6:$AG$6,0))),0)</f>
        <v>0</v>
      </c>
      <c r="AJ15" s="2292" t="str">
        <f>IFERROR(IF(VLOOKUP(AK15,$D$7:$G$145,4,FALSE)&lt;&gt;"No",MAX(AJ$5:AJ14)+1,0),"")</f>
        <v/>
      </c>
      <c r="AK15" s="2293" t="str">
        <f t="shared" si="0"/>
        <v/>
      </c>
      <c r="AL15" s="2296" t="str">
        <f>IFERROR(VLOOKUP(Tablas!$A9,$AJ$7:$AK$145,2,FALSE),"")</f>
        <v/>
      </c>
    </row>
    <row r="16" spans="1:38" ht="12.75" customHeight="1" x14ac:dyDescent="0.2">
      <c r="A16" s="766">
        <v>16</v>
      </c>
      <c r="B16" s="761">
        <f>IF(OR(S16=0),0,SUM($S$6:S16))</f>
        <v>0</v>
      </c>
      <c r="C16" s="376"/>
      <c r="D16" s="272" t="s">
        <v>128</v>
      </c>
      <c r="E16" s="370" t="s">
        <v>99</v>
      </c>
      <c r="F16" s="371">
        <v>2</v>
      </c>
      <c r="G16" s="371" t="s">
        <v>2584</v>
      </c>
      <c r="H16" s="372" t="s">
        <v>1304</v>
      </c>
      <c r="I16" s="370" t="s">
        <v>5762</v>
      </c>
      <c r="J16" s="370" t="s">
        <v>5761</v>
      </c>
      <c r="K16" s="370" t="s">
        <v>5725</v>
      </c>
      <c r="L16" s="370" t="s">
        <v>5735</v>
      </c>
      <c r="M16" s="370" t="s">
        <v>5736</v>
      </c>
      <c r="N16" s="370" t="s">
        <v>5737</v>
      </c>
      <c r="O16" s="370" t="s">
        <v>5738</v>
      </c>
      <c r="P16" s="370" t="s">
        <v>5739</v>
      </c>
      <c r="Q16" s="370" t="s">
        <v>5740</v>
      </c>
      <c r="R16" s="390" t="s">
        <v>5742</v>
      </c>
      <c r="S16" s="763">
        <f>IF(COUNTIF(Psíquicos!$C$25:$E$36,E16)=0,0,1)</f>
        <v>0</v>
      </c>
      <c r="U16" s="2014" t="s">
        <v>130</v>
      </c>
      <c r="V16" s="370" t="str">
        <f>INDEX($I$6:$R$6,SUMPRODUCT(ISNUMBER(SEARCH("Fatiga",I18:R18))*1)+1)</f>
        <v>MDF</v>
      </c>
      <c r="W16" s="370" t="str">
        <f>IFERROR(VLOOKUP(U16,Psíquicos!$AD$11:$AK$64,8,FALSE),V16)</f>
        <v>MDF</v>
      </c>
      <c r="X16" s="888"/>
      <c r="Y16" s="888"/>
      <c r="Z16" s="888"/>
      <c r="AA16" s="888"/>
      <c r="AB16" s="888"/>
      <c r="AC16" s="888"/>
      <c r="AD16" s="888"/>
      <c r="AE16" s="888"/>
      <c r="AF16" s="888"/>
      <c r="AG16" s="888"/>
      <c r="AH16" s="2015">
        <f>IF(COUNTIF(Psíquicos!$AD$17:$AH$62,U16),VALUE(INDEX('Tablas psiquica'!$X16:$AG16,MATCH('Tablas psiquica'!$W16,'Tablas psiquica'!$X$6:$AG$6,0))),0)</f>
        <v>0</v>
      </c>
      <c r="AJ16" s="2292" t="str">
        <f>IFERROR(IF(VLOOKUP(AK16,$D$7:$G$145,4,FALSE)&lt;&gt;"No",MAX(AJ$5:AJ15)+1,0),"")</f>
        <v/>
      </c>
      <c r="AK16" s="2293" t="str">
        <f t="shared" si="0"/>
        <v/>
      </c>
      <c r="AL16" s="2296" t="str">
        <f>IFERROR(VLOOKUP(Tablas!$A10,$AJ$7:$AK$145,2,FALSE),"")</f>
        <v/>
      </c>
    </row>
    <row r="17" spans="1:38" ht="12.75" customHeight="1" x14ac:dyDescent="0.2">
      <c r="A17" s="766">
        <v>17</v>
      </c>
      <c r="B17" s="761">
        <f>IF(OR(S17=0),0,SUM($S$6:S17))</f>
        <v>0</v>
      </c>
      <c r="C17" s="376"/>
      <c r="D17" s="272" t="s">
        <v>129</v>
      </c>
      <c r="E17" s="370" t="s">
        <v>99</v>
      </c>
      <c r="F17" s="371">
        <v>2</v>
      </c>
      <c r="G17" s="371" t="s">
        <v>1381</v>
      </c>
      <c r="H17" s="372" t="s">
        <v>1304</v>
      </c>
      <c r="I17" s="370" t="s">
        <v>5763</v>
      </c>
      <c r="J17" s="370" t="s">
        <v>5762</v>
      </c>
      <c r="K17" s="370" t="s">
        <v>5761</v>
      </c>
      <c r="L17" s="370" t="s">
        <v>5725</v>
      </c>
      <c r="M17" s="370" t="s">
        <v>5743</v>
      </c>
      <c r="N17" s="370" t="s">
        <v>5744</v>
      </c>
      <c r="O17" s="370" t="s">
        <v>5745</v>
      </c>
      <c r="P17" s="370" t="s">
        <v>5746</v>
      </c>
      <c r="Q17" s="370" t="s">
        <v>5747</v>
      </c>
      <c r="R17" s="390" t="s">
        <v>5748</v>
      </c>
      <c r="S17" s="763">
        <f>IF(COUNTIF(Psíquicos!$C$25:$E$36,E17)=0,0,1)</f>
        <v>0</v>
      </c>
      <c r="U17" s="2014" t="s">
        <v>131</v>
      </c>
      <c r="V17" s="370" t="str">
        <f>INDEX($I$6:$R$6,SUMPRODUCT(ISNUMBER(SEARCH("Fatiga",I19:R19))*1)+1)</f>
        <v>MDF</v>
      </c>
      <c r="W17" s="370" t="str">
        <f>IFERROR(VLOOKUP(U17,Psíquicos!$AD$11:$AK$64,8,FALSE),V17)</f>
        <v>MDF</v>
      </c>
      <c r="X17" s="888"/>
      <c r="Y17" s="888"/>
      <c r="Z17" s="888"/>
      <c r="AA17" s="888"/>
      <c r="AB17" s="888"/>
      <c r="AC17" s="888"/>
      <c r="AD17" s="888"/>
      <c r="AE17" s="888"/>
      <c r="AF17" s="888"/>
      <c r="AG17" s="888"/>
      <c r="AH17" s="2015">
        <f>IF(COUNTIF(Psíquicos!$AD$17:$AH$62,U17),VALUE(INDEX('Tablas psiquica'!$X17:$AG17,MATCH('Tablas psiquica'!$W17,'Tablas psiquica'!$X$6:$AG$6,0))),0)</f>
        <v>0</v>
      </c>
      <c r="AJ17" s="2292" t="str">
        <f>IFERROR(IF(VLOOKUP(AK17,$D$7:$G$145,4,FALSE)&lt;&gt;"No",MAX(AJ$5:AJ16)+1,0),"")</f>
        <v/>
      </c>
      <c r="AK17" s="2293" t="str">
        <f t="shared" si="0"/>
        <v/>
      </c>
      <c r="AL17" s="2296" t="str">
        <f>IFERROR(VLOOKUP(Tablas!$A11,$AJ$7:$AK$145,2,FALSE),"")</f>
        <v/>
      </c>
    </row>
    <row r="18" spans="1:38" ht="12.75" customHeight="1" x14ac:dyDescent="0.2">
      <c r="A18" s="766">
        <v>18</v>
      </c>
      <c r="B18" s="761">
        <f>IF(OR(S18=0),0,SUM($S$6:S18))</f>
        <v>0</v>
      </c>
      <c r="C18" s="376"/>
      <c r="D18" s="272" t="s">
        <v>130</v>
      </c>
      <c r="E18" s="370" t="s">
        <v>99</v>
      </c>
      <c r="F18" s="371">
        <v>2</v>
      </c>
      <c r="G18" s="371" t="s">
        <v>2584</v>
      </c>
      <c r="H18" s="372" t="s">
        <v>1304</v>
      </c>
      <c r="I18" s="370" t="s">
        <v>5763</v>
      </c>
      <c r="J18" s="370" t="s">
        <v>5762</v>
      </c>
      <c r="K18" s="370" t="s">
        <v>5761</v>
      </c>
      <c r="L18" s="370" t="s">
        <v>5725</v>
      </c>
      <c r="M18" s="370" t="s">
        <v>5765</v>
      </c>
      <c r="N18" s="370" t="s">
        <v>5766</v>
      </c>
      <c r="O18" s="370" t="s">
        <v>5767</v>
      </c>
      <c r="P18" s="370" t="s">
        <v>5768</v>
      </c>
      <c r="Q18" s="370" t="s">
        <v>5769</v>
      </c>
      <c r="R18" s="390" t="s">
        <v>5742</v>
      </c>
      <c r="S18" s="763">
        <f>IF(COUNTIF(Psíquicos!$C$25:$E$36,E18)=0,0,1)</f>
        <v>0</v>
      </c>
      <c r="U18" s="2014" t="s">
        <v>132</v>
      </c>
      <c r="V18" s="370" t="str">
        <f>INDEX($I$6:$R$6,SUMPRODUCT(ISNUMBER(SEARCH("Fatiga",I20:R20))*1)+1)</f>
        <v>MDF</v>
      </c>
      <c r="W18" s="370" t="str">
        <f>IFERROR(VLOOKUP(U18,Psíquicos!$AD$11:$AK$64,8,FALSE),V18)</f>
        <v>MDF</v>
      </c>
      <c r="X18" s="888"/>
      <c r="Y18" s="888"/>
      <c r="Z18" s="888"/>
      <c r="AA18" s="888"/>
      <c r="AB18" s="888"/>
      <c r="AC18" s="888"/>
      <c r="AD18" s="888"/>
      <c r="AE18" s="888"/>
      <c r="AF18" s="888"/>
      <c r="AG18" s="888"/>
      <c r="AH18" s="2015">
        <f>IF(COUNTIF(Psíquicos!$AD$17:$AH$62,U18),VALUE(INDEX('Tablas psiquica'!$X18:$AG18,MATCH('Tablas psiquica'!$W18,'Tablas psiquica'!$X$6:$AG$6,0))),0)</f>
        <v>0</v>
      </c>
      <c r="AJ18" s="2292" t="str">
        <f>IFERROR(IF(VLOOKUP(AK18,$D$7:$G$145,4,FALSE)&lt;&gt;"No",MAX(AJ$5:AJ17)+1,0),"")</f>
        <v/>
      </c>
      <c r="AK18" s="2293" t="str">
        <f t="shared" si="0"/>
        <v/>
      </c>
      <c r="AL18" s="2296" t="str">
        <f>IFERROR(VLOOKUP(Tablas!$A12,$AJ$7:$AK$145,2,FALSE),"")</f>
        <v/>
      </c>
    </row>
    <row r="19" spans="1:38" ht="12.75" customHeight="1" x14ac:dyDescent="0.2">
      <c r="A19" s="766">
        <v>19</v>
      </c>
      <c r="B19" s="761">
        <f>IF(OR(S19=0),0,SUM($S$6:S19))</f>
        <v>0</v>
      </c>
      <c r="C19" s="376"/>
      <c r="D19" s="272" t="s">
        <v>131</v>
      </c>
      <c r="E19" s="370" t="s">
        <v>99</v>
      </c>
      <c r="F19" s="371">
        <v>2</v>
      </c>
      <c r="G19" s="371" t="s">
        <v>2584</v>
      </c>
      <c r="H19" s="372" t="s">
        <v>1304</v>
      </c>
      <c r="I19" s="370" t="s">
        <v>5763</v>
      </c>
      <c r="J19" s="370" t="s">
        <v>5762</v>
      </c>
      <c r="K19" s="370" t="s">
        <v>5761</v>
      </c>
      <c r="L19" s="370" t="s">
        <v>5725</v>
      </c>
      <c r="M19" s="370" t="s">
        <v>5770</v>
      </c>
      <c r="N19" s="370" t="s">
        <v>5771</v>
      </c>
      <c r="O19" s="370" t="s">
        <v>5772</v>
      </c>
      <c r="P19" s="370" t="s">
        <v>5773</v>
      </c>
      <c r="Q19" s="370" t="s">
        <v>5774</v>
      </c>
      <c r="R19" s="390" t="s">
        <v>5775</v>
      </c>
      <c r="S19" s="763">
        <f>IF(COUNTIF(Psíquicos!$C$25:$E$36,E19)=0,0,1)</f>
        <v>0</v>
      </c>
      <c r="U19" s="2014" t="s">
        <v>10064</v>
      </c>
      <c r="V19" s="370" t="str">
        <f>INDEX($I$6:$R$6,SUMPRODUCT(ISNUMBER(SEARCH("Fatiga",I22:R22))*1)+1)</f>
        <v>MDF</v>
      </c>
      <c r="W19" s="370" t="str">
        <f>IFERROR(VLOOKUP(U19,Psíquicos!$AD$11:$AK$64,8,FALSE),V19)</f>
        <v>MDF</v>
      </c>
      <c r="X19" s="888"/>
      <c r="Y19" s="888"/>
      <c r="Z19" s="888"/>
      <c r="AA19" s="888"/>
      <c r="AB19" s="888"/>
      <c r="AC19" s="888"/>
      <c r="AD19" s="888"/>
      <c r="AE19" s="888"/>
      <c r="AF19" s="888"/>
      <c r="AG19" s="888"/>
      <c r="AH19" s="2015">
        <f>IF(COUNTIF(Psíquicos!$AD$17:$AH$62,U19),VALUE(INDEX('Tablas psiquica'!$X19:$AG19,MATCH('Tablas psiquica'!$W19,'Tablas psiquica'!$X$6:$AG$6,0))),0)</f>
        <v>0</v>
      </c>
      <c r="AJ19" s="2292" t="str">
        <f>IFERROR(IF(VLOOKUP(AK19,$D$7:$G$145,4,FALSE)&lt;&gt;"No",MAX(AJ$5:AJ18)+1,0),"")</f>
        <v/>
      </c>
      <c r="AK19" s="2293" t="str">
        <f t="shared" si="0"/>
        <v/>
      </c>
      <c r="AL19" s="2296" t="str">
        <f>IFERROR(VLOOKUP(Tablas!$A13,$AJ$7:$AK$145,2,FALSE),"")</f>
        <v/>
      </c>
    </row>
    <row r="20" spans="1:38" ht="12.75" customHeight="1" x14ac:dyDescent="0.2">
      <c r="A20" s="766">
        <v>20</v>
      </c>
      <c r="B20" s="761">
        <f>IF(OR(S20=0),0,SUM($S$6:S20))</f>
        <v>0</v>
      </c>
      <c r="C20" s="376"/>
      <c r="D20" s="272" t="s">
        <v>132</v>
      </c>
      <c r="E20" s="370" t="s">
        <v>99</v>
      </c>
      <c r="F20" s="371">
        <v>3</v>
      </c>
      <c r="G20" s="371" t="s">
        <v>2584</v>
      </c>
      <c r="H20" s="372" t="s">
        <v>1304</v>
      </c>
      <c r="I20" s="370" t="s">
        <v>5776</v>
      </c>
      <c r="J20" s="370" t="s">
        <v>5763</v>
      </c>
      <c r="K20" s="370" t="s">
        <v>5762</v>
      </c>
      <c r="L20" s="370" t="s">
        <v>5761</v>
      </c>
      <c r="M20" s="370" t="s">
        <v>5743</v>
      </c>
      <c r="N20" s="370" t="s">
        <v>5744</v>
      </c>
      <c r="O20" s="370" t="s">
        <v>5745</v>
      </c>
      <c r="P20" s="370" t="s">
        <v>5746</v>
      </c>
      <c r="Q20" s="370" t="s">
        <v>5747</v>
      </c>
      <c r="R20" s="390" t="s">
        <v>5749</v>
      </c>
      <c r="S20" s="763">
        <f>IF(COUNTIF(Psíquicos!$C$25:$E$36,E20)=0,0,1)</f>
        <v>0</v>
      </c>
      <c r="U20" s="2014" t="s">
        <v>135</v>
      </c>
      <c r="V20" s="888"/>
      <c r="W20" s="370"/>
      <c r="X20" s="888"/>
      <c r="Y20" s="888"/>
      <c r="Z20" s="888"/>
      <c r="AA20" s="888"/>
      <c r="AB20" s="888"/>
      <c r="AC20" s="888"/>
      <c r="AD20" s="888"/>
      <c r="AE20" s="888"/>
      <c r="AF20" s="888"/>
      <c r="AG20" s="888"/>
      <c r="AH20" s="2015" t="e">
        <f>IF(COUNTIF(Psíquicos!$AD$17:$AH$62,U20),VALUE(INDEX('Tablas psiquica'!$X20:$AG20,MATCH('Tablas psiquica'!$W20,'Tablas psiquica'!$X$6:$AG$6,0))),0)</f>
        <v>#N/A</v>
      </c>
      <c r="AJ20" s="2292" t="str">
        <f>IFERROR(IF(VLOOKUP(AK20,$D$7:$G$145,4,FALSE)&lt;&gt;"No",MAX(AJ$5:AJ19)+1,0),"")</f>
        <v/>
      </c>
      <c r="AK20" s="2293" t="str">
        <f t="shared" si="0"/>
        <v/>
      </c>
      <c r="AL20" s="2296" t="str">
        <f>IFERROR(VLOOKUP(Tablas!$A14,$AJ$7:$AK$145,2,FALSE),"")</f>
        <v/>
      </c>
    </row>
    <row r="21" spans="1:38" ht="12.75" customHeight="1" x14ac:dyDescent="0.2">
      <c r="A21" s="766">
        <v>21</v>
      </c>
      <c r="B21" s="761">
        <f>IF(OR(S21=0),0,SUM($S$6:S21))</f>
        <v>0</v>
      </c>
      <c r="C21" s="376"/>
      <c r="D21" s="272" t="s">
        <v>133</v>
      </c>
      <c r="E21" s="370" t="s">
        <v>99</v>
      </c>
      <c r="F21" s="371">
        <v>3</v>
      </c>
      <c r="G21" s="371" t="s">
        <v>1381</v>
      </c>
      <c r="H21" s="372" t="s">
        <v>1304</v>
      </c>
      <c r="I21" s="370" t="s">
        <v>5777</v>
      </c>
      <c r="J21" s="370" t="s">
        <v>5776</v>
      </c>
      <c r="K21" s="370" t="s">
        <v>5763</v>
      </c>
      <c r="L21" s="370" t="s">
        <v>5762</v>
      </c>
      <c r="M21" s="370" t="s">
        <v>5761</v>
      </c>
      <c r="N21" s="370" t="s">
        <v>5745</v>
      </c>
      <c r="O21" s="370" t="s">
        <v>5746</v>
      </c>
      <c r="P21" s="370" t="s">
        <v>5747</v>
      </c>
      <c r="Q21" s="370" t="s">
        <v>5749</v>
      </c>
      <c r="R21" s="390" t="s">
        <v>5750</v>
      </c>
      <c r="S21" s="763">
        <f>IF(COUNTIF(Psíquicos!$C$25:$E$36,E21)=0,0,1)</f>
        <v>0</v>
      </c>
      <c r="U21" s="2014" t="s">
        <v>136</v>
      </c>
      <c r="V21" s="370" t="str">
        <f>INDEX($I$6:$R$6,SUMPRODUCT(ISNUMBER(SEARCH("Fatiga",I24:R24))*1)+1)</f>
        <v>FAC</v>
      </c>
      <c r="W21" s="370" t="str">
        <f>IFERROR(VLOOKUP(U21,Psíquicos!$AD$11:$AK$64,8,FALSE),V21)</f>
        <v>FAC</v>
      </c>
      <c r="X21" s="888"/>
      <c r="Y21" s="888"/>
      <c r="Z21" s="888"/>
      <c r="AA21" s="888"/>
      <c r="AB21" s="888"/>
      <c r="AC21" s="888"/>
      <c r="AD21" s="888"/>
      <c r="AE21" s="888"/>
      <c r="AF21" s="888"/>
      <c r="AG21" s="888"/>
      <c r="AH21" s="2015">
        <f>IF(COUNTIF(Psíquicos!$AD$17:$AH$62,U21),VALUE(INDEX('Tablas psiquica'!$X21:$AG21,MATCH('Tablas psiquica'!$W21,'Tablas psiquica'!$X$6:$AG$6,0))),0)</f>
        <v>0</v>
      </c>
      <c r="AJ21" s="2292" t="str">
        <f>IFERROR(IF(VLOOKUP(AK21,$D$7:$G$145,4,FALSE)&lt;&gt;"No",MAX(AJ$5:AJ20)+1,0),"")</f>
        <v/>
      </c>
      <c r="AK21" s="2293" t="str">
        <f t="shared" si="0"/>
        <v/>
      </c>
      <c r="AL21" s="2296" t="str">
        <f>IFERROR(VLOOKUP(Tablas!$A15,$AJ$7:$AK$145,2,FALSE),"")</f>
        <v/>
      </c>
    </row>
    <row r="22" spans="1:38" ht="12.75" customHeight="1" x14ac:dyDescent="0.2">
      <c r="A22" s="766">
        <v>22</v>
      </c>
      <c r="B22" s="761">
        <f>IF(OR(S22=0),0,SUM($S$6:S22))</f>
        <v>0</v>
      </c>
      <c r="C22" s="376"/>
      <c r="D22" s="272" t="s">
        <v>10064</v>
      </c>
      <c r="E22" s="370" t="s">
        <v>99</v>
      </c>
      <c r="F22" s="371">
        <v>3</v>
      </c>
      <c r="G22" s="371" t="s">
        <v>2584</v>
      </c>
      <c r="H22" s="372" t="s">
        <v>1304</v>
      </c>
      <c r="I22" s="370" t="s">
        <v>5777</v>
      </c>
      <c r="J22" s="370" t="s">
        <v>5776</v>
      </c>
      <c r="K22" s="370" t="s">
        <v>5763</v>
      </c>
      <c r="L22" s="370" t="s">
        <v>5761</v>
      </c>
      <c r="M22" s="370" t="s">
        <v>5778</v>
      </c>
      <c r="N22" s="370" t="s">
        <v>5735</v>
      </c>
      <c r="O22" s="370" t="s">
        <v>5737</v>
      </c>
      <c r="P22" s="370" t="s">
        <v>5738</v>
      </c>
      <c r="Q22" s="370" t="s">
        <v>5739</v>
      </c>
      <c r="R22" s="390" t="s">
        <v>5779</v>
      </c>
      <c r="S22" s="763">
        <f>IF(COUNTIF(Psíquicos!$C$25:$E$36,E22)=0,0,1)</f>
        <v>0</v>
      </c>
      <c r="U22" s="2014" t="s">
        <v>138</v>
      </c>
      <c r="V22" s="370" t="str">
        <f>INDEX($I$6:$R$6,SUMPRODUCT(ISNUMBER(SEARCH("Fatiga",I26:R26))*1)+1)</f>
        <v>MED</v>
      </c>
      <c r="W22" s="370" t="str">
        <f>IFERROR(VLOOKUP(U22,Psíquicos!$AD$11:$AK$64,8,FALSE),V22)</f>
        <v>MED</v>
      </c>
      <c r="X22" s="888"/>
      <c r="Y22" s="888"/>
      <c r="Z22" s="888"/>
      <c r="AA22" s="888"/>
      <c r="AB22" s="888"/>
      <c r="AC22" s="888"/>
      <c r="AD22" s="888"/>
      <c r="AE22" s="888"/>
      <c r="AF22" s="888"/>
      <c r="AG22" s="888"/>
      <c r="AH22" s="2015">
        <f>IF(COUNTIF(Psíquicos!$AD$17:$AH$62,U22),VALUE(INDEX('Tablas psiquica'!$X22:$AG22,MATCH('Tablas psiquica'!$W22,'Tablas psiquica'!$X$6:$AG$6,0))),0)</f>
        <v>0</v>
      </c>
      <c r="AJ22" s="2292" t="str">
        <f>IFERROR(IF(VLOOKUP(AK22,$D$7:$G$145,4,FALSE)&lt;&gt;"No",MAX(AJ$5:AJ21)+1,0),"")</f>
        <v/>
      </c>
      <c r="AK22" s="2293" t="str">
        <f t="shared" si="0"/>
        <v/>
      </c>
      <c r="AL22" s="2296" t="str">
        <f>IFERROR(VLOOKUP(Tablas!$A16,$AJ$7:$AK$145,2,FALSE),"")</f>
        <v/>
      </c>
    </row>
    <row r="23" spans="1:38" ht="12.75" customHeight="1" x14ac:dyDescent="0.2">
      <c r="A23" s="766">
        <v>23</v>
      </c>
      <c r="B23" s="761">
        <f>IF(OR(S23=0),0,SUM($S$6:S23))</f>
        <v>0</v>
      </c>
      <c r="C23" s="376"/>
      <c r="D23" s="272" t="s">
        <v>135</v>
      </c>
      <c r="E23" s="370"/>
      <c r="F23" s="371"/>
      <c r="G23" s="371"/>
      <c r="H23" s="372"/>
      <c r="I23" s="370"/>
      <c r="J23" s="370"/>
      <c r="K23" s="370"/>
      <c r="L23" s="370"/>
      <c r="M23" s="370"/>
      <c r="N23" s="370"/>
      <c r="O23" s="370"/>
      <c r="P23" s="370"/>
      <c r="Q23" s="370"/>
      <c r="R23" s="390"/>
      <c r="S23" s="763">
        <f>S24</f>
        <v>0</v>
      </c>
      <c r="U23" s="2014" t="s">
        <v>139</v>
      </c>
      <c r="V23" s="370" t="str">
        <f>INDEX($I$6:$R$6,SUMPRODUCT(ISNUMBER(SEARCH("Fatiga",I27:R27))*1)+1)</f>
        <v>MED</v>
      </c>
      <c r="W23" s="370" t="str">
        <f>IFERROR(VLOOKUP(U23,Psíquicos!$AD$11:$AK$64,8,FALSE),V23)</f>
        <v>MED</v>
      </c>
      <c r="X23" s="888"/>
      <c r="Y23" s="888"/>
      <c r="Z23" s="888" t="str">
        <f t="shared" ref="Z23:AG23" si="3">MID(K27,4,LEN(K27))</f>
        <v>1</v>
      </c>
      <c r="AA23" s="888" t="str">
        <f t="shared" si="3"/>
        <v>2</v>
      </c>
      <c r="AB23" s="888" t="str">
        <f t="shared" si="3"/>
        <v>4</v>
      </c>
      <c r="AC23" s="888" t="str">
        <f t="shared" si="3"/>
        <v>6</v>
      </c>
      <c r="AD23" s="888" t="str">
        <f t="shared" si="3"/>
        <v>8</v>
      </c>
      <c r="AE23" s="888" t="str">
        <f t="shared" si="3"/>
        <v>10</v>
      </c>
      <c r="AF23" s="888" t="str">
        <f t="shared" si="3"/>
        <v>12</v>
      </c>
      <c r="AG23" s="888" t="str">
        <f t="shared" si="3"/>
        <v>14</v>
      </c>
      <c r="AH23" s="2015">
        <f>IF(COUNTIF(Psíquicos!$AD$17:$AH$62,U23),VALUE(INDEX('Tablas psiquica'!$X23:$AG23,MATCH('Tablas psiquica'!$W23,'Tablas psiquica'!$X$6:$AG$6,0))),0)</f>
        <v>0</v>
      </c>
      <c r="AJ23" s="2292" t="str">
        <f>IFERROR(IF(VLOOKUP(AK23,$D$7:$G$145,4,FALSE)&lt;&gt;"No",MAX(AJ$5:AJ22)+1,0),"")</f>
        <v/>
      </c>
      <c r="AK23" s="2293" t="str">
        <f t="shared" si="0"/>
        <v/>
      </c>
      <c r="AL23" s="2296" t="str">
        <f>IFERROR(VLOOKUP(Tablas!$A17,$AJ$7:$AK$145,2,FALSE),"")</f>
        <v/>
      </c>
    </row>
    <row r="24" spans="1:38" ht="12.75" customHeight="1" x14ac:dyDescent="0.2">
      <c r="A24" s="766">
        <v>24</v>
      </c>
      <c r="B24" s="761">
        <f>IF(OR(S24=0),0,SUM($S$6:S24))</f>
        <v>0</v>
      </c>
      <c r="C24" s="376"/>
      <c r="D24" s="272" t="s">
        <v>136</v>
      </c>
      <c r="E24" s="370" t="s">
        <v>101</v>
      </c>
      <c r="F24" s="371">
        <v>1</v>
      </c>
      <c r="G24" s="371" t="s">
        <v>2584</v>
      </c>
      <c r="H24" s="372" t="s">
        <v>1304</v>
      </c>
      <c r="I24" s="370" t="s">
        <v>5726</v>
      </c>
      <c r="J24" s="370" t="s">
        <v>5780</v>
      </c>
      <c r="K24" s="370" t="s">
        <v>5781</v>
      </c>
      <c r="L24" s="370" t="s">
        <v>5782</v>
      </c>
      <c r="M24" s="370" t="s">
        <v>5783</v>
      </c>
      <c r="N24" s="370" t="s">
        <v>5784</v>
      </c>
      <c r="O24" s="370" t="s">
        <v>5785</v>
      </c>
      <c r="P24" s="370" t="s">
        <v>5786</v>
      </c>
      <c r="Q24" s="370" t="s">
        <v>5787</v>
      </c>
      <c r="R24" s="390" t="s">
        <v>5788</v>
      </c>
      <c r="S24" s="763">
        <f>IF(COUNTIF(Psíquicos!$C$25:$E$36,E24)=0,0,1)</f>
        <v>0</v>
      </c>
      <c r="U24" s="2014" t="s">
        <v>140</v>
      </c>
      <c r="V24" s="370" t="str">
        <f>INDEX($I$6:$R$6,SUMPRODUCT(ISNUMBER(SEARCH("Fatiga",I28:R28))*1)+1)</f>
        <v>MED</v>
      </c>
      <c r="W24" s="370" t="str">
        <f>IFERROR(VLOOKUP(U24,Psíquicos!$AD$11:$AK$64,8,FALSE),V24)</f>
        <v>MED</v>
      </c>
      <c r="X24" s="888"/>
      <c r="Y24" s="888"/>
      <c r="Z24" s="888"/>
      <c r="AA24" s="888"/>
      <c r="AB24" s="888"/>
      <c r="AC24" s="888"/>
      <c r="AD24" s="888"/>
      <c r="AE24" s="888"/>
      <c r="AF24" s="888"/>
      <c r="AG24" s="888"/>
      <c r="AH24" s="2015">
        <f>IF(COUNTIF(Psíquicos!$AD$17:$AH$62,U24),VALUE(INDEX('Tablas psiquica'!$X24:$AG24,MATCH('Tablas psiquica'!$W24,'Tablas psiquica'!$X$6:$AG$6,0))),0)</f>
        <v>0</v>
      </c>
      <c r="AJ24" s="2292" t="str">
        <f>IFERROR(IF(VLOOKUP(AK24,$D$7:$G$145,4,FALSE)&lt;&gt;"No",MAX(AJ$5:AJ23)+1,0),"")</f>
        <v/>
      </c>
      <c r="AK24" s="2293" t="str">
        <f t="shared" si="0"/>
        <v/>
      </c>
      <c r="AL24" s="2296" t="str">
        <f>IFERROR(VLOOKUP(Tablas!$A18,$AJ$7:$AK$145,2,FALSE),"")</f>
        <v/>
      </c>
    </row>
    <row r="25" spans="1:38" ht="12.75" customHeight="1" x14ac:dyDescent="0.2">
      <c r="A25" s="766">
        <v>25</v>
      </c>
      <c r="B25" s="761">
        <f>IF(OR(S25=0),0,SUM($S$6:S25))</f>
        <v>0</v>
      </c>
      <c r="C25" s="376"/>
      <c r="D25" s="272" t="s">
        <v>137</v>
      </c>
      <c r="E25" s="370" t="s">
        <v>101</v>
      </c>
      <c r="F25" s="371">
        <v>1</v>
      </c>
      <c r="G25" s="371" t="s">
        <v>1381</v>
      </c>
      <c r="H25" s="372" t="s">
        <v>1304</v>
      </c>
      <c r="I25" s="370" t="s">
        <v>5725</v>
      </c>
      <c r="J25" s="370" t="s">
        <v>5726</v>
      </c>
      <c r="K25" s="370" t="s">
        <v>5789</v>
      </c>
      <c r="L25" s="370" t="s">
        <v>5790</v>
      </c>
      <c r="M25" s="370" t="s">
        <v>5791</v>
      </c>
      <c r="N25" s="370" t="s">
        <v>5792</v>
      </c>
      <c r="O25" s="370" t="s">
        <v>5793</v>
      </c>
      <c r="P25" s="370" t="s">
        <v>5794</v>
      </c>
      <c r="Q25" s="370" t="s">
        <v>5795</v>
      </c>
      <c r="R25" s="390" t="s">
        <v>5796</v>
      </c>
      <c r="S25" s="763">
        <f>IF(COUNTIF(Psíquicos!$C$25:$E$36,E25)=0,0,1)</f>
        <v>0</v>
      </c>
      <c r="U25" s="2014" t="s">
        <v>142</v>
      </c>
      <c r="V25" s="370" t="str">
        <f>INDEX($I$6:$R$6,SUMPRODUCT(ISNUMBER(SEARCH("Fatiga",I30:R30))*1)+1)</f>
        <v>DIF</v>
      </c>
      <c r="W25" s="370" t="str">
        <f>IFERROR(VLOOKUP(U25,Psíquicos!$AD$11:$AK$64,8,FALSE),V25)</f>
        <v>DIF</v>
      </c>
      <c r="X25" s="888"/>
      <c r="Y25" s="888"/>
      <c r="Z25" s="888"/>
      <c r="AA25" s="888"/>
      <c r="AB25" s="888"/>
      <c r="AC25" s="888"/>
      <c r="AD25" s="888"/>
      <c r="AE25" s="888"/>
      <c r="AF25" s="888"/>
      <c r="AG25" s="888"/>
      <c r="AH25" s="2015">
        <f>IF(COUNTIF(Psíquicos!$AD$17:$AH$62,U25),VALUE(INDEX('Tablas psiquica'!$X25:$AG25,MATCH('Tablas psiquica'!$W25,'Tablas psiquica'!$X$6:$AG$6,0))),0)</f>
        <v>0</v>
      </c>
      <c r="AJ25" s="2292" t="str">
        <f>IFERROR(IF(VLOOKUP(AK25,$D$7:$G$145,4,FALSE)&lt;&gt;"No",MAX(AJ$5:AJ24)+1,0),"")</f>
        <v/>
      </c>
      <c r="AK25" s="2293" t="str">
        <f t="shared" si="0"/>
        <v/>
      </c>
      <c r="AL25" s="2296" t="str">
        <f>IFERROR(VLOOKUP(Tablas!$A19,$AJ$7:$AK$145,2,FALSE),"")</f>
        <v/>
      </c>
    </row>
    <row r="26" spans="1:38" ht="12.75" customHeight="1" x14ac:dyDescent="0.2">
      <c r="A26" s="766">
        <v>26</v>
      </c>
      <c r="B26" s="761">
        <f>IF(OR(S26=0),0,SUM($S$6:S26))</f>
        <v>0</v>
      </c>
      <c r="C26" s="376"/>
      <c r="D26" s="272" t="s">
        <v>138</v>
      </c>
      <c r="E26" s="370" t="s">
        <v>101</v>
      </c>
      <c r="F26" s="371">
        <v>1</v>
      </c>
      <c r="G26" s="371" t="s">
        <v>2584</v>
      </c>
      <c r="H26" s="372" t="s">
        <v>1305</v>
      </c>
      <c r="I26" s="370" t="s">
        <v>5725</v>
      </c>
      <c r="J26" s="370" t="s">
        <v>5726</v>
      </c>
      <c r="K26" s="370" t="s">
        <v>5797</v>
      </c>
      <c r="L26" s="370" t="s">
        <v>5798</v>
      </c>
      <c r="M26" s="370" t="s">
        <v>5799</v>
      </c>
      <c r="N26" s="370" t="s">
        <v>5800</v>
      </c>
      <c r="O26" s="370" t="s">
        <v>5801</v>
      </c>
      <c r="P26" s="370" t="s">
        <v>5802</v>
      </c>
      <c r="Q26" s="370" t="s">
        <v>5803</v>
      </c>
      <c r="R26" s="390" t="s">
        <v>5804</v>
      </c>
      <c r="S26" s="763">
        <f>IF(COUNTIF(Psíquicos!$C$25:$E$36,E26)=0,0,1)</f>
        <v>0</v>
      </c>
      <c r="U26" s="2014" t="s">
        <v>143</v>
      </c>
      <c r="V26" s="370" t="str">
        <f>INDEX($I$6:$R$6,SUMPRODUCT(ISNUMBER(SEARCH("Fatiga",I31:R31))*1)+1)</f>
        <v>MDF</v>
      </c>
      <c r="W26" s="370" t="str">
        <f>IFERROR(VLOOKUP(U26,Psíquicos!$AD$11:$AK$64,8,FALSE),V26)</f>
        <v>MDF</v>
      </c>
      <c r="X26" s="888"/>
      <c r="Y26" s="888"/>
      <c r="Z26" s="888"/>
      <c r="AA26" s="888"/>
      <c r="AB26" s="888"/>
      <c r="AC26" s="888"/>
      <c r="AD26" s="888"/>
      <c r="AE26" s="888"/>
      <c r="AF26" s="888"/>
      <c r="AG26" s="888"/>
      <c r="AH26" s="2015">
        <f>IF(COUNTIF(Psíquicos!$AD$17:$AH$62,U26),VALUE(INDEX('Tablas psiquica'!$X26:$AG26,MATCH('Tablas psiquica'!$W26,'Tablas psiquica'!$X$6:$AG$6,0))),0)</f>
        <v>0</v>
      </c>
      <c r="AJ26" s="2292" t="str">
        <f>IFERROR(IF(VLOOKUP(AK26,$D$7:$G$145,4,FALSE)&lt;&gt;"No",MAX(AJ$5:AJ25)+1,0),"")</f>
        <v/>
      </c>
      <c r="AK26" s="2293" t="str">
        <f t="shared" si="0"/>
        <v/>
      </c>
      <c r="AL26" s="2296" t="str">
        <f>IFERROR(VLOOKUP(Tablas!$A20,$AJ$7:$AK$145,2,FALSE),"")</f>
        <v/>
      </c>
    </row>
    <row r="27" spans="1:38" ht="12.75" customHeight="1" x14ac:dyDescent="0.2">
      <c r="A27" s="766">
        <v>27</v>
      </c>
      <c r="B27" s="761">
        <f>IF(OR(S27=0),0,SUM($S$6:S27))</f>
        <v>0</v>
      </c>
      <c r="C27" s="376"/>
      <c r="D27" s="272" t="s">
        <v>139</v>
      </c>
      <c r="E27" s="370" t="s">
        <v>101</v>
      </c>
      <c r="F27" s="371">
        <v>1</v>
      </c>
      <c r="G27" s="371" t="s">
        <v>2584</v>
      </c>
      <c r="H27" s="372" t="s">
        <v>1305</v>
      </c>
      <c r="I27" s="370" t="s">
        <v>5725</v>
      </c>
      <c r="J27" s="370" t="s">
        <v>5726</v>
      </c>
      <c r="K27" s="370" t="s">
        <v>5805</v>
      </c>
      <c r="L27" s="370" t="s">
        <v>4298</v>
      </c>
      <c r="M27" s="370" t="s">
        <v>4299</v>
      </c>
      <c r="N27" s="370" t="s">
        <v>4300</v>
      </c>
      <c r="O27" s="370" t="s">
        <v>4301</v>
      </c>
      <c r="P27" s="370" t="s">
        <v>5806</v>
      </c>
      <c r="Q27" s="370" t="s">
        <v>5807</v>
      </c>
      <c r="R27" s="390" t="s">
        <v>5808</v>
      </c>
      <c r="S27" s="763">
        <f>IF(COUNTIF(Psíquicos!$C$25:$E$36,E27)=0,0,1)</f>
        <v>0</v>
      </c>
      <c r="U27" s="2014" t="s">
        <v>145</v>
      </c>
      <c r="V27" s="370" t="str">
        <f>INDEX($I$6:$R$6,SUMPRODUCT(ISNUMBER(SEARCH("Fatiga",I33:R33))*1)+1)</f>
        <v>DIF</v>
      </c>
      <c r="W27" s="370" t="str">
        <f>IFERROR(VLOOKUP(U27,Psíquicos!$AD$11:$AK$64,8,FALSE),V27)</f>
        <v>DIF</v>
      </c>
      <c r="X27" s="888"/>
      <c r="Y27" s="888"/>
      <c r="Z27" s="888"/>
      <c r="AA27" s="888" t="str">
        <f t="shared" ref="AA27:AG27" si="4">MID(L33,SEARCH("lo ",L33)+3,LEN(L33))</f>
        <v>6</v>
      </c>
      <c r="AB27" s="888" t="str">
        <f t="shared" si="4"/>
        <v>8</v>
      </c>
      <c r="AC27" s="888" t="str">
        <f t="shared" si="4"/>
        <v>10</v>
      </c>
      <c r="AD27" s="888" t="str">
        <f t="shared" si="4"/>
        <v>12</v>
      </c>
      <c r="AE27" s="888" t="str">
        <f t="shared" si="4"/>
        <v>14</v>
      </c>
      <c r="AF27" s="888" t="str">
        <f t="shared" si="4"/>
        <v>16</v>
      </c>
      <c r="AG27" s="888" t="str">
        <f t="shared" si="4"/>
        <v>18</v>
      </c>
      <c r="AH27" s="2015">
        <f>IF(COUNTIF(Psíquicos!$AD$17:$AH$62,U27),VALUE(INDEX('Tablas psiquica'!$X27:$AG27,MATCH('Tablas psiquica'!$W27,'Tablas psiquica'!$X$6:$AG$6,0))),0)</f>
        <v>0</v>
      </c>
      <c r="AJ27" s="2292" t="str">
        <f>IFERROR(IF(VLOOKUP(AK27,$D$7:$G$145,4,FALSE)&lt;&gt;"No",MAX(AJ$5:AJ26)+1,0),"")</f>
        <v/>
      </c>
      <c r="AK27" s="2293" t="str">
        <f t="shared" si="0"/>
        <v/>
      </c>
      <c r="AL27" s="2296" t="str">
        <f>IFERROR(VLOOKUP(Tablas!$A21,$AJ$7:$AK$145,2,FALSE),"")</f>
        <v/>
      </c>
    </row>
    <row r="28" spans="1:38" ht="12.75" customHeight="1" x14ac:dyDescent="0.2">
      <c r="A28" s="766">
        <v>28</v>
      </c>
      <c r="B28" s="761">
        <f>IF(OR(S28=0),0,SUM($S$6:S28))</f>
        <v>0</v>
      </c>
      <c r="C28" s="376"/>
      <c r="D28" s="272" t="s">
        <v>140</v>
      </c>
      <c r="E28" s="370" t="s">
        <v>101</v>
      </c>
      <c r="F28" s="371">
        <v>1</v>
      </c>
      <c r="G28" s="371" t="s">
        <v>2584</v>
      </c>
      <c r="H28" s="372" t="s">
        <v>1304</v>
      </c>
      <c r="I28" s="370" t="s">
        <v>5725</v>
      </c>
      <c r="J28" s="370" t="s">
        <v>5726</v>
      </c>
      <c r="K28" s="370" t="s">
        <v>5809</v>
      </c>
      <c r="L28" s="370" t="s">
        <v>5789</v>
      </c>
      <c r="M28" s="370" t="s">
        <v>5790</v>
      </c>
      <c r="N28" s="370" t="s">
        <v>5810</v>
      </c>
      <c r="O28" s="370" t="s">
        <v>5811</v>
      </c>
      <c r="P28" s="370" t="s">
        <v>5812</v>
      </c>
      <c r="Q28" s="370" t="s">
        <v>5813</v>
      </c>
      <c r="R28" s="390" t="s">
        <v>5814</v>
      </c>
      <c r="S28" s="763">
        <f>IF(COUNTIF(Psíquicos!$C$25:$E$36,E28)=0,0,1)</f>
        <v>0</v>
      </c>
      <c r="U28" s="2014" t="s">
        <v>146</v>
      </c>
      <c r="V28" s="370" t="str">
        <f>INDEX($I$6:$R$6,SUMPRODUCT(ISNUMBER(SEARCH("Fatiga",I34:R34))*1)+1)</f>
        <v>DIF</v>
      </c>
      <c r="W28" s="370" t="str">
        <f>IFERROR(VLOOKUP(U28,Psíquicos!$AD$11:$AK$64,8,FALSE),V28)</f>
        <v>DIF</v>
      </c>
      <c r="X28" s="888"/>
      <c r="Y28" s="888"/>
      <c r="Z28" s="888"/>
      <c r="AA28" s="888"/>
      <c r="AB28" s="888"/>
      <c r="AC28" s="888"/>
      <c r="AD28" s="888"/>
      <c r="AE28" s="888"/>
      <c r="AF28" s="888"/>
      <c r="AG28" s="888"/>
      <c r="AH28" s="2015">
        <f>IF(COUNTIF(Psíquicos!$AD$17:$AH$62,U28),VALUE(INDEX('Tablas psiquica'!$X28:$AG28,MATCH('Tablas psiquica'!$W28,'Tablas psiquica'!$X$6:$AG$6,0))),0)</f>
        <v>0</v>
      </c>
      <c r="AJ28" s="2292" t="str">
        <f>IFERROR(IF(VLOOKUP(AK28,$D$7:$G$145,4,FALSE)&lt;&gt;"No",MAX(AJ$5:AJ27)+1,0),"")</f>
        <v/>
      </c>
      <c r="AK28" s="2293" t="str">
        <f t="shared" si="0"/>
        <v/>
      </c>
      <c r="AL28" s="2296" t="str">
        <f>IFERROR(VLOOKUP(Tablas!$A22,$AJ$7:$AK$145,2,FALSE),"")</f>
        <v/>
      </c>
    </row>
    <row r="29" spans="1:38" ht="12.75" customHeight="1" x14ac:dyDescent="0.2">
      <c r="A29" s="766">
        <v>29</v>
      </c>
      <c r="B29" s="761">
        <f>IF(OR(S29=0),0,SUM($S$6:S29))</f>
        <v>0</v>
      </c>
      <c r="C29" s="376"/>
      <c r="D29" s="272" t="s">
        <v>141</v>
      </c>
      <c r="E29" s="370" t="s">
        <v>101</v>
      </c>
      <c r="F29" s="371">
        <v>2</v>
      </c>
      <c r="G29" s="371" t="s">
        <v>1381</v>
      </c>
      <c r="H29" s="372" t="s">
        <v>1304</v>
      </c>
      <c r="I29" s="370" t="s">
        <v>5761</v>
      </c>
      <c r="J29" s="370" t="s">
        <v>5725</v>
      </c>
      <c r="K29" s="370" t="s">
        <v>5726</v>
      </c>
      <c r="L29" s="378" t="s">
        <v>6915</v>
      </c>
      <c r="M29" s="378" t="s">
        <v>6916</v>
      </c>
      <c r="N29" s="378" t="s">
        <v>6917</v>
      </c>
      <c r="O29" s="378" t="s">
        <v>6918</v>
      </c>
      <c r="P29" s="378" t="s">
        <v>6919</v>
      </c>
      <c r="Q29" s="378" t="s">
        <v>6920</v>
      </c>
      <c r="R29" s="739" t="s">
        <v>6921</v>
      </c>
      <c r="S29" s="763">
        <f>IF(COUNTIF(Psíquicos!$C$25:$E$36,E29)=0,0,1)</f>
        <v>0</v>
      </c>
      <c r="U29" s="2014" t="s">
        <v>148</v>
      </c>
      <c r="V29" s="370" t="str">
        <f>INDEX($I$6:$R$6,SUMPRODUCT(ISNUMBER(SEARCH("Fatiga",I36:R36))*1)+1)</f>
        <v>CIM</v>
      </c>
      <c r="W29" s="370" t="str">
        <f>IFERROR(VLOOKUP(U29,Psíquicos!$AD$11:$AK$64,8,FALSE),V29)</f>
        <v>CIM</v>
      </c>
      <c r="X29" s="888"/>
      <c r="Y29" s="888"/>
      <c r="Z29" s="888"/>
      <c r="AA29" s="888"/>
      <c r="AB29" s="888"/>
      <c r="AC29" s="888"/>
      <c r="AD29" s="888"/>
      <c r="AE29" s="888"/>
      <c r="AF29" s="888"/>
      <c r="AG29" s="888"/>
      <c r="AH29" s="2015">
        <f>IF(COUNTIF(Psíquicos!$AD$17:$AH$62,U29),VALUE(INDEX('Tablas psiquica'!$X29:$AG29,MATCH('Tablas psiquica'!$W29,'Tablas psiquica'!$X$6:$AG$6,0))),0)</f>
        <v>0</v>
      </c>
      <c r="AJ29" s="2292" t="str">
        <f>IFERROR(IF(VLOOKUP(AK29,$D$7:$G$145,4,FALSE)&lt;&gt;"No",MAX(AJ$5:AJ28)+1,0),"")</f>
        <v/>
      </c>
      <c r="AK29" s="2293" t="str">
        <f t="shared" si="0"/>
        <v/>
      </c>
      <c r="AL29" s="2296" t="str">
        <f>IFERROR(VLOOKUP(Tablas!$A23,$AJ$7:$AK$145,2,FALSE),"")</f>
        <v/>
      </c>
    </row>
    <row r="30" spans="1:38" ht="12.75" customHeight="1" x14ac:dyDescent="0.2">
      <c r="A30" s="766">
        <v>30</v>
      </c>
      <c r="B30" s="761">
        <f>IF(OR(S30=0),0,SUM($S$6:S30))</f>
        <v>0</v>
      </c>
      <c r="C30" s="376"/>
      <c r="D30" s="272" t="s">
        <v>142</v>
      </c>
      <c r="E30" s="370" t="s">
        <v>101</v>
      </c>
      <c r="F30" s="371">
        <v>2</v>
      </c>
      <c r="G30" s="371" t="s">
        <v>2584</v>
      </c>
      <c r="H30" s="372" t="s">
        <v>1304</v>
      </c>
      <c r="I30" s="370" t="s">
        <v>5761</v>
      </c>
      <c r="J30" s="370" t="s">
        <v>5725</v>
      </c>
      <c r="K30" s="370" t="s">
        <v>5726</v>
      </c>
      <c r="L30" s="370" t="s">
        <v>10143</v>
      </c>
      <c r="M30" s="370" t="s">
        <v>10144</v>
      </c>
      <c r="N30" s="370" t="s">
        <v>10145</v>
      </c>
      <c r="O30" s="370" t="s">
        <v>10146</v>
      </c>
      <c r="P30" s="370" t="s">
        <v>10147</v>
      </c>
      <c r="Q30" s="370" t="s">
        <v>10148</v>
      </c>
      <c r="R30" s="390" t="s">
        <v>10149</v>
      </c>
      <c r="S30" s="763">
        <f>IF(COUNTIF(Psíquicos!$C$25:$E$36,E30)=0,0,1)</f>
        <v>0</v>
      </c>
      <c r="U30" s="2014" t="s">
        <v>150</v>
      </c>
      <c r="V30" s="888"/>
      <c r="W30" s="370"/>
      <c r="X30" s="888"/>
      <c r="Y30" s="888"/>
      <c r="Z30" s="888"/>
      <c r="AA30" s="888"/>
      <c r="AB30" s="888"/>
      <c r="AC30" s="888"/>
      <c r="AD30" s="888"/>
      <c r="AE30" s="888"/>
      <c r="AF30" s="888"/>
      <c r="AG30" s="888"/>
      <c r="AH30" s="2015" t="e">
        <f>IF(COUNTIF(Psíquicos!$AD$17:$AH$62,U30),VALUE(INDEX('Tablas psiquica'!$X30:$AG30,MATCH('Tablas psiquica'!$W30,'Tablas psiquica'!$X$6:$AG$6,0))),0)</f>
        <v>#N/A</v>
      </c>
      <c r="AJ30" s="2292" t="str">
        <f>IFERROR(IF(VLOOKUP(AK30,$D$7:$G$145,4,FALSE)&lt;&gt;"No",MAX(AJ$5:AJ29)+1,0),"")</f>
        <v/>
      </c>
      <c r="AK30" s="2293" t="str">
        <f t="shared" si="0"/>
        <v/>
      </c>
      <c r="AL30" s="2296" t="str">
        <f>IFERROR(VLOOKUP(Tablas!$A24,$AJ$7:$AK$145,2,FALSE),"")</f>
        <v/>
      </c>
    </row>
    <row r="31" spans="1:38" ht="12.75" customHeight="1" x14ac:dyDescent="0.2">
      <c r="A31" s="766">
        <v>31</v>
      </c>
      <c r="B31" s="761">
        <f>IF(OR(S31=0),0,SUM($S$6:S31))</f>
        <v>0</v>
      </c>
      <c r="C31" s="376"/>
      <c r="D31" s="272" t="s">
        <v>143</v>
      </c>
      <c r="E31" s="370" t="s">
        <v>101</v>
      </c>
      <c r="F31" s="371">
        <v>2</v>
      </c>
      <c r="G31" s="371" t="s">
        <v>2584</v>
      </c>
      <c r="H31" s="372" t="s">
        <v>1304</v>
      </c>
      <c r="I31" s="370" t="s">
        <v>5763</v>
      </c>
      <c r="J31" s="370" t="s">
        <v>5762</v>
      </c>
      <c r="K31" s="370" t="s">
        <v>5761</v>
      </c>
      <c r="L31" s="370" t="s">
        <v>5725</v>
      </c>
      <c r="M31" s="370" t="s">
        <v>5815</v>
      </c>
      <c r="N31" s="370" t="s">
        <v>5816</v>
      </c>
      <c r="O31" s="370" t="s">
        <v>5817</v>
      </c>
      <c r="P31" s="370" t="s">
        <v>5818</v>
      </c>
      <c r="Q31" s="370" t="s">
        <v>5819</v>
      </c>
      <c r="R31" s="390" t="s">
        <v>5820</v>
      </c>
      <c r="S31" s="763">
        <f>IF(COUNTIF(Psíquicos!$C$25:$E$36,E31)=0,0,1)</f>
        <v>0</v>
      </c>
      <c r="U31" s="2014" t="s">
        <v>151</v>
      </c>
      <c r="V31" s="370" t="str">
        <f>INDEX($I$6:$R$6,SUMPRODUCT(ISNUMBER(SEARCH("Fatiga",I39:R39))*1)+1)</f>
        <v>FAC</v>
      </c>
      <c r="W31" s="370" t="str">
        <f>IFERROR(VLOOKUP(U31,Psíquicos!$AD$11:$AK$64,8,FALSE),V31)</f>
        <v>FAC</v>
      </c>
      <c r="X31" s="888"/>
      <c r="Y31" s="888"/>
      <c r="Z31" s="888"/>
      <c r="AA31" s="888"/>
      <c r="AB31" s="888"/>
      <c r="AC31" s="888"/>
      <c r="AD31" s="888"/>
      <c r="AE31" s="888"/>
      <c r="AF31" s="888"/>
      <c r="AG31" s="888"/>
      <c r="AH31" s="2015">
        <f>IF(COUNTIF(Psíquicos!$AD$17:$AH$62,U31),VALUE(INDEX('Tablas psiquica'!$X31:$AG31,MATCH('Tablas psiquica'!$W31,'Tablas psiquica'!$X$6:$AG$6,0))),0)</f>
        <v>0</v>
      </c>
      <c r="AJ31" s="2292" t="str">
        <f>IFERROR(IF(VLOOKUP(AK31,$D$7:$G$145,4,FALSE)&lt;&gt;"No",MAX(AJ$5:AJ30)+1,0),"")</f>
        <v/>
      </c>
      <c r="AK31" s="2293" t="str">
        <f t="shared" si="0"/>
        <v/>
      </c>
      <c r="AL31" s="2296" t="str">
        <f>IFERROR(VLOOKUP(Tablas!$A25,$AJ$7:$AK$145,2,FALSE),"")</f>
        <v/>
      </c>
    </row>
    <row r="32" spans="1:38" ht="12.75" customHeight="1" x14ac:dyDescent="0.2">
      <c r="A32" s="766">
        <v>32</v>
      </c>
      <c r="B32" s="761">
        <f>IF(OR(S32=0),0,SUM($S$6:S32))</f>
        <v>0</v>
      </c>
      <c r="C32" s="376"/>
      <c r="D32" s="272" t="s">
        <v>144</v>
      </c>
      <c r="E32" s="370" t="s">
        <v>101</v>
      </c>
      <c r="F32" s="371">
        <v>2</v>
      </c>
      <c r="G32" s="371" t="s">
        <v>1381</v>
      </c>
      <c r="H32" s="372" t="s">
        <v>1304</v>
      </c>
      <c r="I32" s="370" t="s">
        <v>5763</v>
      </c>
      <c r="J32" s="370" t="s">
        <v>5762</v>
      </c>
      <c r="K32" s="370" t="s">
        <v>5761</v>
      </c>
      <c r="L32" s="370" t="s">
        <v>5725</v>
      </c>
      <c r="M32" s="370" t="s">
        <v>5821</v>
      </c>
      <c r="N32" s="370" t="s">
        <v>5822</v>
      </c>
      <c r="O32" s="370" t="s">
        <v>5823</v>
      </c>
      <c r="P32" s="370" t="s">
        <v>5824</v>
      </c>
      <c r="Q32" s="370" t="s">
        <v>5825</v>
      </c>
      <c r="R32" s="390" t="s">
        <v>5826</v>
      </c>
      <c r="S32" s="763">
        <f>IF(COUNTIF(Psíquicos!$C$25:$E$36,E32)=0,0,1)</f>
        <v>0</v>
      </c>
      <c r="U32" s="2014" t="s">
        <v>153</v>
      </c>
      <c r="V32" s="370" t="str">
        <f>INDEX($I$6:$R$6,SUMPRODUCT(ISNUMBER(SEARCH("Fatiga",I41:R41))*1)+1)</f>
        <v>MED</v>
      </c>
      <c r="W32" s="370" t="str">
        <f>IFERROR(VLOOKUP(U32,Psíquicos!$AD$11:$AK$64,8,FALSE),V32)</f>
        <v>MED</v>
      </c>
      <c r="X32" s="888"/>
      <c r="Y32" s="888"/>
      <c r="Z32" s="888"/>
      <c r="AA32" s="888"/>
      <c r="AB32" s="888"/>
      <c r="AC32" s="888"/>
      <c r="AD32" s="888"/>
      <c r="AE32" s="888"/>
      <c r="AF32" s="888"/>
      <c r="AG32" s="888"/>
      <c r="AH32" s="2015">
        <f>IF(COUNTIF(Psíquicos!$AD$17:$AH$62,U32),VALUE(INDEX('Tablas psiquica'!$X32:$AG32,MATCH('Tablas psiquica'!$W32,'Tablas psiquica'!$X$6:$AG$6,0))),0)</f>
        <v>0</v>
      </c>
      <c r="AJ32" s="2292" t="str">
        <f>IFERROR(IF(VLOOKUP(AK32,$D$7:$G$145,4,FALSE)&lt;&gt;"No",MAX(AJ$5:AJ31)+1,0),"")</f>
        <v/>
      </c>
      <c r="AK32" s="2293" t="str">
        <f t="shared" si="0"/>
        <v/>
      </c>
      <c r="AL32" s="2296" t="str">
        <f>IFERROR(VLOOKUP(Tablas!$A26,$AJ$7:$AK$145,2,FALSE),"")</f>
        <v/>
      </c>
    </row>
    <row r="33" spans="1:38" ht="12.75" customHeight="1" x14ac:dyDescent="0.2">
      <c r="A33" s="766">
        <v>33</v>
      </c>
      <c r="B33" s="761">
        <f>IF(OR(S33=0),0,SUM($S$6:S33))</f>
        <v>0</v>
      </c>
      <c r="C33" s="376"/>
      <c r="D33" s="272" t="s">
        <v>145</v>
      </c>
      <c r="E33" s="370" t="s">
        <v>101</v>
      </c>
      <c r="F33" s="371">
        <v>2</v>
      </c>
      <c r="G33" s="371" t="s">
        <v>2584</v>
      </c>
      <c r="H33" s="372" t="s">
        <v>1304</v>
      </c>
      <c r="I33" s="370" t="s">
        <v>5761</v>
      </c>
      <c r="J33" s="370" t="s">
        <v>5725</v>
      </c>
      <c r="K33" s="370" t="s">
        <v>5726</v>
      </c>
      <c r="L33" s="370" t="s">
        <v>4862</v>
      </c>
      <c r="M33" s="370" t="s">
        <v>4863</v>
      </c>
      <c r="N33" s="370" t="s">
        <v>4864</v>
      </c>
      <c r="O33" s="370" t="s">
        <v>5827</v>
      </c>
      <c r="P33" s="370" t="s">
        <v>5828</v>
      </c>
      <c r="Q33" s="370" t="s">
        <v>5829</v>
      </c>
      <c r="R33" s="390" t="s">
        <v>5830</v>
      </c>
      <c r="S33" s="763">
        <f>IF(COUNTIF(Psíquicos!$C$25:$E$36,E33)=0,0,1)</f>
        <v>0</v>
      </c>
      <c r="U33" s="2014" t="s">
        <v>155</v>
      </c>
      <c r="V33" s="370" t="str">
        <f>INDEX($I$6:$R$6,SUMPRODUCT(ISNUMBER(SEARCH("Fatiga",I43:R43))*1)+1)</f>
        <v>DIF</v>
      </c>
      <c r="W33" s="370" t="str">
        <f>IFERROR(VLOOKUP(U33,Psíquicos!$AD$11:$AK$64,8,FALSE),V33)</f>
        <v>DIF</v>
      </c>
      <c r="X33" s="888"/>
      <c r="Y33" s="888"/>
      <c r="Z33" s="888"/>
      <c r="AA33" s="888"/>
      <c r="AB33" s="888"/>
      <c r="AC33" s="888"/>
      <c r="AD33" s="888"/>
      <c r="AE33" s="888"/>
      <c r="AF33" s="888"/>
      <c r="AG33" s="888"/>
      <c r="AH33" s="2015">
        <f>IF(COUNTIF(Psíquicos!$AD$17:$AH$62,U33),VALUE(INDEX('Tablas psiquica'!$X33:$AG33,MATCH('Tablas psiquica'!$W33,'Tablas psiquica'!$X$6:$AG$6,0))),0)</f>
        <v>0</v>
      </c>
      <c r="AJ33" s="2292" t="str">
        <f>IFERROR(IF(VLOOKUP(AK33,$D$7:$G$145,4,FALSE)&lt;&gt;"No",MAX(AJ$5:AJ32)+1,0),"")</f>
        <v/>
      </c>
      <c r="AK33" s="2293" t="str">
        <f t="shared" si="0"/>
        <v/>
      </c>
      <c r="AL33" s="2296" t="str">
        <f>IFERROR(VLOOKUP(Tablas!$A27,$AJ$7:$AK$145,2,FALSE),"")</f>
        <v/>
      </c>
    </row>
    <row r="34" spans="1:38" ht="12.75" customHeight="1" x14ac:dyDescent="0.2">
      <c r="A34" s="766">
        <v>34</v>
      </c>
      <c r="B34" s="761">
        <f>IF(OR(S34=0),0,SUM($S$6:S34))</f>
        <v>0</v>
      </c>
      <c r="C34" s="376"/>
      <c r="D34" s="272" t="s">
        <v>146</v>
      </c>
      <c r="E34" s="370" t="s">
        <v>101</v>
      </c>
      <c r="F34" s="371">
        <v>2</v>
      </c>
      <c r="G34" s="371" t="s">
        <v>2584</v>
      </c>
      <c r="H34" s="372" t="s">
        <v>1304</v>
      </c>
      <c r="I34" s="370" t="s">
        <v>5762</v>
      </c>
      <c r="J34" s="370" t="s">
        <v>5761</v>
      </c>
      <c r="K34" s="370" t="s">
        <v>5725</v>
      </c>
      <c r="L34" s="370" t="s">
        <v>5831</v>
      </c>
      <c r="M34" s="370" t="s">
        <v>5832</v>
      </c>
      <c r="N34" s="370" t="s">
        <v>5833</v>
      </c>
      <c r="O34" s="370" t="s">
        <v>5834</v>
      </c>
      <c r="P34" s="370" t="s">
        <v>5835</v>
      </c>
      <c r="Q34" s="370" t="s">
        <v>5836</v>
      </c>
      <c r="R34" s="390" t="s">
        <v>5837</v>
      </c>
      <c r="S34" s="763">
        <f>IF(COUNTIF(Psíquicos!$C$25:$E$36,E34)=0,0,1)</f>
        <v>0</v>
      </c>
      <c r="U34" s="2014" t="s">
        <v>156</v>
      </c>
      <c r="V34" s="370" t="str">
        <f>INDEX($I$6:$R$6,SUMPRODUCT(ISNUMBER(SEARCH("Fatiga",I44:R44))*1)+1)</f>
        <v>DIF</v>
      </c>
      <c r="W34" s="370" t="str">
        <f>IFERROR(VLOOKUP(U34,Psíquicos!$AD$11:$AK$64,8,FALSE),V34)</f>
        <v>DIF</v>
      </c>
      <c r="X34" s="888"/>
      <c r="Y34" s="888"/>
      <c r="Z34" s="888"/>
      <c r="AA34" s="888"/>
      <c r="AB34" s="888"/>
      <c r="AC34" s="888"/>
      <c r="AD34" s="888"/>
      <c r="AE34" s="888"/>
      <c r="AF34" s="888"/>
      <c r="AG34" s="888"/>
      <c r="AH34" s="2015">
        <f>IF(COUNTIF(Psíquicos!$AD$17:$AH$62,U34),VALUE(INDEX('Tablas psiquica'!$X34:$AG34,MATCH('Tablas psiquica'!$W34,'Tablas psiquica'!$X$6:$AG$6,0))),0)</f>
        <v>0</v>
      </c>
      <c r="AJ34" s="2292" t="str">
        <f>IFERROR(IF(VLOOKUP(AK34,$D$7:$G$145,4,FALSE)&lt;&gt;"No",MAX(AJ$5:AJ33)+1,0),"")</f>
        <v/>
      </c>
      <c r="AK34" s="2293" t="str">
        <f t="shared" si="0"/>
        <v/>
      </c>
      <c r="AL34" s="2296" t="str">
        <f>IFERROR(VLOOKUP(Tablas!$A28,$AJ$7:$AK$145,2,FALSE),"")</f>
        <v/>
      </c>
    </row>
    <row r="35" spans="1:38" ht="12.75" customHeight="1" x14ac:dyDescent="0.2">
      <c r="A35" s="766">
        <v>35</v>
      </c>
      <c r="B35" s="761">
        <f>IF(OR(S35=0),0,SUM($S$6:S35))</f>
        <v>0</v>
      </c>
      <c r="C35" s="376"/>
      <c r="D35" s="272" t="s">
        <v>147</v>
      </c>
      <c r="E35" s="370" t="s">
        <v>101</v>
      </c>
      <c r="F35" s="371">
        <v>3</v>
      </c>
      <c r="G35" s="371" t="s">
        <v>1381</v>
      </c>
      <c r="H35" s="372" t="s">
        <v>1304</v>
      </c>
      <c r="I35" s="370" t="s">
        <v>5777</v>
      </c>
      <c r="J35" s="370" t="s">
        <v>5776</v>
      </c>
      <c r="K35" s="370" t="s">
        <v>5763</v>
      </c>
      <c r="L35" s="370" t="s">
        <v>5762</v>
      </c>
      <c r="M35" s="370" t="s">
        <v>5761</v>
      </c>
      <c r="N35" s="370" t="s">
        <v>5838</v>
      </c>
      <c r="O35" s="370" t="s">
        <v>5839</v>
      </c>
      <c r="P35" s="370" t="s">
        <v>5840</v>
      </c>
      <c r="Q35" s="370" t="s">
        <v>5841</v>
      </c>
      <c r="R35" s="390" t="s">
        <v>5842</v>
      </c>
      <c r="S35" s="763">
        <f>IF(COUNTIF(Psíquicos!$C$25:$E$36,E35)=0,0,1)</f>
        <v>0</v>
      </c>
      <c r="U35" s="2014" t="s">
        <v>157</v>
      </c>
      <c r="V35" s="370" t="str">
        <f>INDEX($I$6:$R$6,SUMPRODUCT(ISNUMBER(SEARCH("Fatiga",I45:R45))*1)+1)</f>
        <v>MDF</v>
      </c>
      <c r="W35" s="370" t="str">
        <f>IFERROR(VLOOKUP(U35,Psíquicos!$AD$11:$AK$64,8,FALSE),V35)</f>
        <v>MDF</v>
      </c>
      <c r="X35" s="888"/>
      <c r="Y35" s="888"/>
      <c r="Z35" s="888"/>
      <c r="AA35" s="888"/>
      <c r="AB35" s="888"/>
      <c r="AC35" s="888"/>
      <c r="AD35" s="888"/>
      <c r="AE35" s="888"/>
      <c r="AF35" s="888"/>
      <c r="AG35" s="888"/>
      <c r="AH35" s="2015">
        <f>IF(COUNTIF(Psíquicos!$AD$17:$AH$62,U35),VALUE(INDEX('Tablas psiquica'!$X35:$AG35,MATCH('Tablas psiquica'!$W35,'Tablas psiquica'!$X$6:$AG$6,0))),0)</f>
        <v>0</v>
      </c>
      <c r="AJ35" s="2292" t="str">
        <f>IFERROR(IF(VLOOKUP(AK35,$D$7:$G$145,4,FALSE)&lt;&gt;"No",MAX(AJ$5:AJ34)+1,0),"")</f>
        <v/>
      </c>
      <c r="AK35" s="2293" t="str">
        <f t="shared" si="0"/>
        <v/>
      </c>
      <c r="AL35" s="2296" t="str">
        <f>IFERROR(VLOOKUP(Tablas!$A29,$AJ$7:$AK$145,2,FALSE),"")</f>
        <v/>
      </c>
    </row>
    <row r="36" spans="1:38" ht="12.75" customHeight="1" x14ac:dyDescent="0.2">
      <c r="A36" s="766">
        <v>36</v>
      </c>
      <c r="B36" s="761">
        <f>IF(OR(S36=0),0,SUM($S$6:S36))</f>
        <v>0</v>
      </c>
      <c r="C36" s="376"/>
      <c r="D36" s="272" t="s">
        <v>148</v>
      </c>
      <c r="E36" s="370" t="s">
        <v>101</v>
      </c>
      <c r="F36" s="371">
        <v>3</v>
      </c>
      <c r="G36" s="371" t="s">
        <v>2584</v>
      </c>
      <c r="H36" s="372" t="s">
        <v>1304</v>
      </c>
      <c r="I36" s="370" t="s">
        <v>5843</v>
      </c>
      <c r="J36" s="370" t="s">
        <v>5844</v>
      </c>
      <c r="K36" s="370" t="s">
        <v>5777</v>
      </c>
      <c r="L36" s="370" t="s">
        <v>5776</v>
      </c>
      <c r="M36" s="370" t="s">
        <v>5763</v>
      </c>
      <c r="N36" s="370" t="s">
        <v>5761</v>
      </c>
      <c r="O36" s="370" t="s">
        <v>5845</v>
      </c>
      <c r="P36" s="370" t="s">
        <v>5846</v>
      </c>
      <c r="Q36" s="370" t="s">
        <v>5847</v>
      </c>
      <c r="R36" s="390" t="s">
        <v>5848</v>
      </c>
      <c r="S36" s="763">
        <f>IF(COUNTIF(Psíquicos!$C$25:$E$36,E36)=0,0,1)</f>
        <v>0</v>
      </c>
      <c r="U36" s="2014" t="s">
        <v>158</v>
      </c>
      <c r="V36" s="370" t="str">
        <f>INDEX($I$6:$R$6,SUMPRODUCT(ISNUMBER(SEARCH("Fatiga",I46:R46))*1)+1)</f>
        <v>MDF</v>
      </c>
      <c r="W36" s="370" t="str">
        <f>IFERROR(VLOOKUP(U36,Psíquicos!$AD$11:$AK$64,8,FALSE),V36)</f>
        <v>MDF</v>
      </c>
      <c r="X36" s="888"/>
      <c r="Y36" s="888"/>
      <c r="Z36" s="888"/>
      <c r="AA36" s="888"/>
      <c r="AB36" s="888"/>
      <c r="AC36" s="888"/>
      <c r="AD36" s="888"/>
      <c r="AE36" s="888"/>
      <c r="AF36" s="888"/>
      <c r="AG36" s="888"/>
      <c r="AH36" s="2015">
        <f>IF(COUNTIF(Psíquicos!$AD$17:$AH$62,U36),VALUE(INDEX('Tablas psiquica'!$X36:$AG36,MATCH('Tablas psiquica'!$W36,'Tablas psiquica'!$X$6:$AG$6,0))),0)</f>
        <v>0</v>
      </c>
      <c r="AJ36" s="2292" t="str">
        <f>IFERROR(IF(VLOOKUP(AK36,$D$7:$G$145,4,FALSE)&lt;&gt;"No",MAX(AJ$5:AJ35)+1,0),"")</f>
        <v/>
      </c>
      <c r="AK36" s="2293" t="str">
        <f t="shared" si="0"/>
        <v/>
      </c>
      <c r="AL36" s="2296" t="str">
        <f>IFERROR(VLOOKUP(Tablas!$A30,$AJ$7:$AK$145,2,FALSE),"")</f>
        <v/>
      </c>
    </row>
    <row r="37" spans="1:38" ht="12.75" customHeight="1" x14ac:dyDescent="0.2">
      <c r="A37" s="766">
        <v>37</v>
      </c>
      <c r="B37" s="761">
        <f>IF(OR(S37=0),0,SUM($S$6:S37))</f>
        <v>0</v>
      </c>
      <c r="C37" s="376"/>
      <c r="D37" s="272" t="s">
        <v>149</v>
      </c>
      <c r="E37" s="370" t="s">
        <v>101</v>
      </c>
      <c r="F37" s="371">
        <v>3</v>
      </c>
      <c r="G37" s="371" t="s">
        <v>1381</v>
      </c>
      <c r="H37" s="372" t="s">
        <v>1304</v>
      </c>
      <c r="I37" s="370" t="s">
        <v>5843</v>
      </c>
      <c r="J37" s="370" t="s">
        <v>5844</v>
      </c>
      <c r="K37" s="370" t="s">
        <v>5777</v>
      </c>
      <c r="L37" s="370" t="s">
        <v>5776</v>
      </c>
      <c r="M37" s="370" t="s">
        <v>5763</v>
      </c>
      <c r="N37" s="370" t="s">
        <v>5762</v>
      </c>
      <c r="O37" s="370" t="s">
        <v>5761</v>
      </c>
      <c r="P37" s="370" t="s">
        <v>5849</v>
      </c>
      <c r="Q37" s="370" t="s">
        <v>5850</v>
      </c>
      <c r="R37" s="390" t="s">
        <v>5851</v>
      </c>
      <c r="S37" s="763">
        <f>IF(COUNTIF(Psíquicos!$C$25:$E$36,E37)=0,0,1)</f>
        <v>0</v>
      </c>
      <c r="U37" s="2014" t="s">
        <v>160</v>
      </c>
      <c r="V37" s="370" t="str">
        <f>INDEX($I$6:$R$6,SUMPRODUCT(ISNUMBER(SEARCH("Fatiga",I48:R48))*1)+1)</f>
        <v>DIF</v>
      </c>
      <c r="W37" s="370" t="str">
        <f>IFERROR(VLOOKUP(U37,Psíquicos!$AD$11:$AK$64,8,FALSE),V37)</f>
        <v>DIF</v>
      </c>
      <c r="X37" s="888"/>
      <c r="Y37" s="888"/>
      <c r="Z37" s="888"/>
      <c r="AA37" s="888"/>
      <c r="AB37" s="888"/>
      <c r="AC37" s="888"/>
      <c r="AD37" s="888"/>
      <c r="AE37" s="888"/>
      <c r="AF37" s="888"/>
      <c r="AG37" s="888"/>
      <c r="AH37" s="2015">
        <f>IF(COUNTIF(Psíquicos!$AD$17:$AH$62,U37),VALUE(INDEX('Tablas psiquica'!$X37:$AG37,MATCH('Tablas psiquica'!$W37,'Tablas psiquica'!$X$6:$AG$6,0))),0)</f>
        <v>0</v>
      </c>
      <c r="AJ37" s="2292" t="str">
        <f>IFERROR(IF(VLOOKUP(AK37,$D$7:$G$145,4,FALSE)&lt;&gt;"No",MAX(AJ$5:AJ36)+1,0),"")</f>
        <v/>
      </c>
      <c r="AK37" s="2293" t="str">
        <f t="shared" si="0"/>
        <v/>
      </c>
      <c r="AL37" s="2296" t="str">
        <f>IFERROR(VLOOKUP(Tablas!$A31,$AJ$7:$AK$145,2,FALSE),"")</f>
        <v/>
      </c>
    </row>
    <row r="38" spans="1:38" ht="12.75" customHeight="1" x14ac:dyDescent="0.2">
      <c r="A38" s="766">
        <v>38</v>
      </c>
      <c r="B38" s="761">
        <f>IF(OR(S38=0),0,SUM($S$6:S38))</f>
        <v>0</v>
      </c>
      <c r="C38" s="376"/>
      <c r="D38" s="272" t="s">
        <v>150</v>
      </c>
      <c r="E38" s="370"/>
      <c r="F38" s="371"/>
      <c r="G38" s="371"/>
      <c r="H38" s="372"/>
      <c r="I38" s="370"/>
      <c r="J38" s="370"/>
      <c r="K38" s="370"/>
      <c r="L38" s="370"/>
      <c r="M38" s="370"/>
      <c r="N38" s="370"/>
      <c r="O38" s="370"/>
      <c r="P38" s="370"/>
      <c r="Q38" s="370"/>
      <c r="R38" s="390"/>
      <c r="S38" s="765">
        <f>S39</f>
        <v>0</v>
      </c>
      <c r="U38" s="2014" t="s">
        <v>161</v>
      </c>
      <c r="V38" s="370" t="str">
        <f>INDEX($I$6:$R$6,SUMPRODUCT(ISNUMBER(SEARCH("Fatiga",I49:R49))*1)+1)</f>
        <v>CIM</v>
      </c>
      <c r="W38" s="370" t="str">
        <f>IFERROR(VLOOKUP(U38,Psíquicos!$AD$11:$AK$64,8,FALSE),V38)</f>
        <v>CIM</v>
      </c>
      <c r="X38" s="888"/>
      <c r="Y38" s="888"/>
      <c r="Z38" s="888"/>
      <c r="AA38" s="888"/>
      <c r="AB38" s="888"/>
      <c r="AC38" s="888"/>
      <c r="AD38" s="888"/>
      <c r="AE38" s="888"/>
      <c r="AF38" s="888"/>
      <c r="AG38" s="888"/>
      <c r="AH38" s="2015">
        <f>IF(COUNTIF(Psíquicos!$AD$17:$AH$62,U38),VALUE(INDEX('Tablas psiquica'!$X38:$AG38,MATCH('Tablas psiquica'!$W38,'Tablas psiquica'!$X$6:$AG$6,0))),0)</f>
        <v>0</v>
      </c>
      <c r="AJ38" s="2292" t="str">
        <f>IFERROR(IF(VLOOKUP(AK38,$D$7:$G$145,4,FALSE)&lt;&gt;"No",MAX(AJ$5:AJ37)+1,0),"")</f>
        <v/>
      </c>
      <c r="AK38" s="2293" t="str">
        <f t="shared" si="0"/>
        <v/>
      </c>
      <c r="AL38" s="2296" t="str">
        <f>IFERROR(VLOOKUP(Tablas!$A32,$AJ$7:$AK$145,2,FALSE),"")</f>
        <v/>
      </c>
    </row>
    <row r="39" spans="1:38" ht="12.75" customHeight="1" x14ac:dyDescent="0.2">
      <c r="A39" s="766">
        <v>39</v>
      </c>
      <c r="B39" s="761">
        <f>IF(OR(S39=0),0,SUM($S$6:S39))</f>
        <v>0</v>
      </c>
      <c r="C39" s="376"/>
      <c r="D39" s="272" t="s">
        <v>151</v>
      </c>
      <c r="E39" s="370" t="s">
        <v>103</v>
      </c>
      <c r="F39" s="371">
        <v>1</v>
      </c>
      <c r="G39" s="371" t="s">
        <v>2584</v>
      </c>
      <c r="H39" s="372" t="s">
        <v>1304</v>
      </c>
      <c r="I39" s="370" t="s">
        <v>5726</v>
      </c>
      <c r="J39" s="370" t="s">
        <v>3530</v>
      </c>
      <c r="K39" s="370" t="s">
        <v>4759</v>
      </c>
      <c r="L39" s="370" t="s">
        <v>3531</v>
      </c>
      <c r="M39" s="370" t="s">
        <v>5852</v>
      </c>
      <c r="N39" s="370" t="s">
        <v>3532</v>
      </c>
      <c r="O39" s="370" t="s">
        <v>5853</v>
      </c>
      <c r="P39" s="370" t="s">
        <v>5854</v>
      </c>
      <c r="Q39" s="370" t="s">
        <v>3533</v>
      </c>
      <c r="R39" s="390" t="s">
        <v>4242</v>
      </c>
      <c r="S39" s="763">
        <f>IF(COUNTIF(Psíquicos!$C$25:$E$36,E39)=0,0,1)</f>
        <v>0</v>
      </c>
      <c r="U39" s="2014" t="s">
        <v>162</v>
      </c>
      <c r="V39" s="888"/>
      <c r="W39" s="370"/>
      <c r="X39" s="888"/>
      <c r="Y39" s="888"/>
      <c r="Z39" s="888"/>
      <c r="AA39" s="888"/>
      <c r="AB39" s="888"/>
      <c r="AC39" s="888"/>
      <c r="AD39" s="888"/>
      <c r="AE39" s="888"/>
      <c r="AF39" s="888"/>
      <c r="AG39" s="888"/>
      <c r="AH39" s="2015" t="e">
        <f>IF(COUNTIF(Psíquicos!$AD$17:$AH$62,U39),VALUE(INDEX('Tablas psiquica'!$X39:$AG39,MATCH('Tablas psiquica'!$W39,'Tablas psiquica'!$X$6:$AG$6,0))),0)</f>
        <v>#N/A</v>
      </c>
      <c r="AJ39" s="2292" t="str">
        <f>IFERROR(IF(VLOOKUP(AK39,$D$7:$G$145,4,FALSE)&lt;&gt;"No",MAX(AJ$5:AJ38)+1,0),"")</f>
        <v/>
      </c>
      <c r="AK39" s="2293" t="str">
        <f t="shared" ref="AK39:AK70" si="5">IF(ISNA(VLOOKUP(A33,$B$7:$D$145,3,FALSE)),"",VLOOKUP(A33,$B$7:$D$145,3,FALSE))</f>
        <v/>
      </c>
      <c r="AL39" s="2296" t="str">
        <f>IFERROR(VLOOKUP(Tablas!$A33,$AJ$7:$AK$145,2,FALSE),"")</f>
        <v/>
      </c>
    </row>
    <row r="40" spans="1:38" ht="12.75" customHeight="1" x14ac:dyDescent="0.2">
      <c r="A40" s="766">
        <v>40</v>
      </c>
      <c r="B40" s="761">
        <f>IF(OR(S40=0),0,SUM($S$6:S40))</f>
        <v>0</v>
      </c>
      <c r="C40" s="376"/>
      <c r="D40" s="272" t="s">
        <v>152</v>
      </c>
      <c r="E40" s="370" t="s">
        <v>103</v>
      </c>
      <c r="F40" s="371">
        <v>1</v>
      </c>
      <c r="G40" s="371" t="s">
        <v>1381</v>
      </c>
      <c r="H40" s="372" t="s">
        <v>1304</v>
      </c>
      <c r="I40" s="370" t="s">
        <v>5726</v>
      </c>
      <c r="J40" s="370" t="s">
        <v>5855</v>
      </c>
      <c r="K40" s="370" t="s">
        <v>5856</v>
      </c>
      <c r="L40" s="370" t="s">
        <v>5857</v>
      </c>
      <c r="M40" s="370" t="s">
        <v>5858</v>
      </c>
      <c r="N40" s="370" t="s">
        <v>5859</v>
      </c>
      <c r="O40" s="370" t="s">
        <v>5860</v>
      </c>
      <c r="P40" s="370" t="s">
        <v>5861</v>
      </c>
      <c r="Q40" s="370" t="s">
        <v>5862</v>
      </c>
      <c r="R40" s="390" t="s">
        <v>5863</v>
      </c>
      <c r="S40" s="763">
        <f>IF(COUNTIF(Psíquicos!$C$25:$E$36,E40)=0,0,1)</f>
        <v>0</v>
      </c>
      <c r="U40" s="2014" t="s">
        <v>163</v>
      </c>
      <c r="V40" s="370" t="str">
        <f>INDEX($I$6:$R$6,SUMPRODUCT(ISNUMBER(SEARCH("Fatiga",I51:R51))*1)+1)</f>
        <v>FAC</v>
      </c>
      <c r="W40" s="370" t="str">
        <f>IFERROR(VLOOKUP(U40,Psíquicos!$AD$11:$AK$64,8,FALSE),V40)</f>
        <v>FAC</v>
      </c>
      <c r="X40" s="888"/>
      <c r="Y40" s="888"/>
      <c r="Z40" s="888"/>
      <c r="AA40" s="888"/>
      <c r="AB40" s="888"/>
      <c r="AC40" s="888"/>
      <c r="AD40" s="888"/>
      <c r="AE40" s="888"/>
      <c r="AF40" s="888"/>
      <c r="AG40" s="888"/>
      <c r="AH40" s="2015">
        <f>IF(COUNTIF(Psíquicos!$AD$17:$AH$62,U40),VALUE(INDEX('Tablas psiquica'!$X40:$AG40,MATCH('Tablas psiquica'!$W40,'Tablas psiquica'!$X$6:$AG$6,0))),0)</f>
        <v>0</v>
      </c>
      <c r="AJ40" s="2292" t="str">
        <f>IFERROR(IF(VLOOKUP(AK40,$D$7:$G$145,4,FALSE)&lt;&gt;"No",MAX(AJ$5:AJ39)+1,0),"")</f>
        <v/>
      </c>
      <c r="AK40" s="2293" t="str">
        <f t="shared" si="5"/>
        <v/>
      </c>
      <c r="AL40" s="2296" t="str">
        <f>IFERROR(VLOOKUP(Tablas!$A34,$AJ$7:$AK$145,2,FALSE),"")</f>
        <v/>
      </c>
    </row>
    <row r="41" spans="1:38" ht="12.75" customHeight="1" x14ac:dyDescent="0.2">
      <c r="A41" s="766">
        <v>41</v>
      </c>
      <c r="B41" s="761">
        <f>IF(OR(S41=0),0,SUM($S$6:S41))</f>
        <v>0</v>
      </c>
      <c r="C41" s="376"/>
      <c r="D41" s="272" t="s">
        <v>153</v>
      </c>
      <c r="E41" s="370" t="s">
        <v>103</v>
      </c>
      <c r="F41" s="371">
        <v>1</v>
      </c>
      <c r="G41" s="371" t="s">
        <v>2584</v>
      </c>
      <c r="H41" s="372" t="s">
        <v>1304</v>
      </c>
      <c r="I41" s="370" t="s">
        <v>5725</v>
      </c>
      <c r="J41" s="370" t="s">
        <v>5726</v>
      </c>
      <c r="K41" s="370" t="s">
        <v>5864</v>
      </c>
      <c r="L41" s="370" t="s">
        <v>5865</v>
      </c>
      <c r="M41" s="370" t="s">
        <v>5866</v>
      </c>
      <c r="N41" s="370" t="s">
        <v>5867</v>
      </c>
      <c r="O41" s="370" t="s">
        <v>5868</v>
      </c>
      <c r="P41" s="370" t="s">
        <v>5869</v>
      </c>
      <c r="Q41" s="370" t="s">
        <v>5870</v>
      </c>
      <c r="R41" s="390" t="s">
        <v>5871</v>
      </c>
      <c r="S41" s="763">
        <f>IF(COUNTIF(Psíquicos!$C$25:$E$36,E41)=0,0,1)</f>
        <v>0</v>
      </c>
      <c r="U41" s="2014" t="s">
        <v>164</v>
      </c>
      <c r="V41" s="370" t="str">
        <f>INDEX($I$6:$R$6,SUMPRODUCT(ISNUMBER(SEARCH("Fatiga",I52:R52))*1)+1)</f>
        <v>DIF</v>
      </c>
      <c r="W41" s="370" t="str">
        <f>IFERROR(VLOOKUP(U41,Psíquicos!$AD$11:$AK$64,8,FALSE),V41)</f>
        <v>DIF</v>
      </c>
      <c r="X41" s="888"/>
      <c r="Y41" s="888"/>
      <c r="Z41" s="888"/>
      <c r="AA41" s="888"/>
      <c r="AB41" s="888"/>
      <c r="AC41" s="888"/>
      <c r="AD41" s="888"/>
      <c r="AE41" s="888"/>
      <c r="AF41" s="888"/>
      <c r="AG41" s="888"/>
      <c r="AH41" s="2015">
        <f>IF(COUNTIF(Psíquicos!$AD$17:$AH$62,U41),VALUE(INDEX('Tablas psiquica'!$X41:$AG41,MATCH('Tablas psiquica'!$W41,'Tablas psiquica'!$X$6:$AG$6,0))),0)</f>
        <v>0</v>
      </c>
      <c r="AJ41" s="2292" t="str">
        <f>IFERROR(IF(VLOOKUP(AK41,$D$7:$G$145,4,FALSE)&lt;&gt;"No",MAX(AJ$5:AJ40)+1,0),"")</f>
        <v/>
      </c>
      <c r="AK41" s="2293" t="str">
        <f t="shared" si="5"/>
        <v/>
      </c>
      <c r="AL41" s="2296" t="str">
        <f>IFERROR(VLOOKUP(Tablas!$A35,$AJ$7:$AK$145,2,FALSE),"")</f>
        <v/>
      </c>
    </row>
    <row r="42" spans="1:38" ht="12.75" customHeight="1" x14ac:dyDescent="0.2">
      <c r="A42" s="766">
        <v>42</v>
      </c>
      <c r="B42" s="761">
        <f>IF(OR(S42=0),0,SUM($S$6:S42))</f>
        <v>0</v>
      </c>
      <c r="C42" s="376"/>
      <c r="D42" s="272" t="s">
        <v>154</v>
      </c>
      <c r="E42" s="370" t="s">
        <v>103</v>
      </c>
      <c r="F42" s="371">
        <v>1</v>
      </c>
      <c r="G42" s="371" t="s">
        <v>1381</v>
      </c>
      <c r="H42" s="372" t="s">
        <v>1304</v>
      </c>
      <c r="I42" s="370" t="s">
        <v>5761</v>
      </c>
      <c r="J42" s="370" t="s">
        <v>5725</v>
      </c>
      <c r="K42" s="370" t="s">
        <v>5726</v>
      </c>
      <c r="L42" s="370" t="s">
        <v>5872</v>
      </c>
      <c r="M42" s="370" t="s">
        <v>5873</v>
      </c>
      <c r="N42" s="370" t="s">
        <v>5874</v>
      </c>
      <c r="O42" s="370" t="s">
        <v>5875</v>
      </c>
      <c r="P42" s="370" t="s">
        <v>5876</v>
      </c>
      <c r="Q42" s="370" t="s">
        <v>5877</v>
      </c>
      <c r="R42" s="390" t="s">
        <v>5878</v>
      </c>
      <c r="S42" s="763">
        <f>IF(COUNTIF(Psíquicos!$C$25:$E$36,E42)=0,0,1)</f>
        <v>0</v>
      </c>
      <c r="U42" s="2014" t="s">
        <v>165</v>
      </c>
      <c r="V42" s="370" t="str">
        <f>INDEX($I$6:$R$6,SUMPRODUCT(ISNUMBER(SEARCH("Fatiga",I53:R53))*1)+1)</f>
        <v>FAC</v>
      </c>
      <c r="W42" s="370" t="str">
        <f>IFERROR(VLOOKUP(U42,Psíquicos!$AD$11:$AK$64,8,FALSE),V42)</f>
        <v>FAC</v>
      </c>
      <c r="X42" s="888"/>
      <c r="Y42" s="888"/>
      <c r="Z42" s="888"/>
      <c r="AA42" s="888"/>
      <c r="AB42" s="888"/>
      <c r="AC42" s="888"/>
      <c r="AD42" s="888"/>
      <c r="AE42" s="888"/>
      <c r="AF42" s="888"/>
      <c r="AG42" s="888"/>
      <c r="AH42" s="2015">
        <f>IF(COUNTIF(Psíquicos!$AD$17:$AH$62,U42),VALUE(INDEX('Tablas psiquica'!$X42:$AG42,MATCH('Tablas psiquica'!$W42,'Tablas psiquica'!$X$6:$AG$6,0))),0)</f>
        <v>0</v>
      </c>
      <c r="AJ42" s="2292" t="str">
        <f>IFERROR(IF(VLOOKUP(AK42,$D$7:$G$145,4,FALSE)&lt;&gt;"No",MAX(AJ$5:AJ41)+1,0),"")</f>
        <v/>
      </c>
      <c r="AK42" s="2293" t="str">
        <f t="shared" si="5"/>
        <v/>
      </c>
      <c r="AL42" s="2296" t="str">
        <f>IFERROR(VLOOKUP(Tablas!$A36,$AJ$7:$AK$145,2,FALSE),"")</f>
        <v/>
      </c>
    </row>
    <row r="43" spans="1:38" ht="12.75" customHeight="1" x14ac:dyDescent="0.2">
      <c r="A43" s="766">
        <v>43</v>
      </c>
      <c r="B43" s="761">
        <f>IF(OR(S43=0),0,SUM($S$6:S43))</f>
        <v>0</v>
      </c>
      <c r="C43" s="376"/>
      <c r="D43" s="272" t="s">
        <v>155</v>
      </c>
      <c r="E43" s="370" t="s">
        <v>103</v>
      </c>
      <c r="F43" s="371">
        <v>2</v>
      </c>
      <c r="G43" s="371" t="s">
        <v>2584</v>
      </c>
      <c r="H43" s="372" t="s">
        <v>1304</v>
      </c>
      <c r="I43" s="370" t="s">
        <v>5761</v>
      </c>
      <c r="J43" s="370" t="s">
        <v>5725</v>
      </c>
      <c r="K43" s="370" t="s">
        <v>5726</v>
      </c>
      <c r="L43" s="370" t="s">
        <v>3531</v>
      </c>
      <c r="M43" s="370" t="s">
        <v>3532</v>
      </c>
      <c r="N43" s="370" t="s">
        <v>4241</v>
      </c>
      <c r="O43" s="370" t="s">
        <v>3533</v>
      </c>
      <c r="P43" s="370" t="s">
        <v>5879</v>
      </c>
      <c r="Q43" s="370" t="s">
        <v>5880</v>
      </c>
      <c r="R43" s="390" t="s">
        <v>5881</v>
      </c>
      <c r="S43" s="763">
        <f>IF(COUNTIF(Psíquicos!$C$25:$E$36,E43)=0,0,1)</f>
        <v>0</v>
      </c>
      <c r="U43" s="2014" t="s">
        <v>167</v>
      </c>
      <c r="V43" s="370" t="str">
        <f>INDEX($I$6:$R$6,SUMPRODUCT(ISNUMBER(SEARCH("Fatiga",I55:R55))*1)+1)</f>
        <v>DIF</v>
      </c>
      <c r="W43" s="370" t="str">
        <f>IFERROR(VLOOKUP(U43,Psíquicos!$AD$11:$AK$64,8,FALSE),V43)</f>
        <v>DIF</v>
      </c>
      <c r="X43" s="888"/>
      <c r="Y43" s="888"/>
      <c r="Z43" s="888"/>
      <c r="AA43" s="888"/>
      <c r="AB43" s="888"/>
      <c r="AC43" s="888"/>
      <c r="AD43" s="888"/>
      <c r="AE43" s="888"/>
      <c r="AF43" s="888"/>
      <c r="AG43" s="888"/>
      <c r="AH43" s="2015">
        <f>IF(COUNTIF(Psíquicos!$AD$17:$AH$62,U43),VALUE(INDEX('Tablas psiquica'!$X43:$AG43,MATCH('Tablas psiquica'!$W43,'Tablas psiquica'!$X$6:$AG$6,0))),0)</f>
        <v>0</v>
      </c>
      <c r="AJ43" s="2292" t="str">
        <f>IFERROR(IF(VLOOKUP(AK43,$D$7:$G$145,4,FALSE)&lt;&gt;"No",MAX(AJ$5:AJ42)+1,0),"")</f>
        <v/>
      </c>
      <c r="AK43" s="2293" t="str">
        <f t="shared" si="5"/>
        <v/>
      </c>
      <c r="AL43" s="2296" t="str">
        <f>IFERROR(VLOOKUP(Tablas!$A37,$AJ$7:$AK$145,2,FALSE),"")</f>
        <v/>
      </c>
    </row>
    <row r="44" spans="1:38" ht="12.75" customHeight="1" x14ac:dyDescent="0.2">
      <c r="A44" s="766">
        <v>44</v>
      </c>
      <c r="B44" s="761">
        <f>IF(OR(S44=0),0,SUM($S$6:S44))</f>
        <v>0</v>
      </c>
      <c r="C44" s="376"/>
      <c r="D44" s="272" t="s">
        <v>156</v>
      </c>
      <c r="E44" s="370" t="s">
        <v>103</v>
      </c>
      <c r="F44" s="371">
        <v>2</v>
      </c>
      <c r="G44" s="371" t="s">
        <v>2584</v>
      </c>
      <c r="H44" s="372" t="s">
        <v>1305</v>
      </c>
      <c r="I44" s="370" t="s">
        <v>5761</v>
      </c>
      <c r="J44" s="370" t="s">
        <v>5725</v>
      </c>
      <c r="K44" s="370" t="s">
        <v>5726</v>
      </c>
      <c r="L44" s="370" t="s">
        <v>3531</v>
      </c>
      <c r="M44" s="370" t="s">
        <v>3532</v>
      </c>
      <c r="N44" s="370" t="s">
        <v>4241</v>
      </c>
      <c r="O44" s="370" t="s">
        <v>3533</v>
      </c>
      <c r="P44" s="370" t="s">
        <v>5879</v>
      </c>
      <c r="Q44" s="370" t="s">
        <v>5880</v>
      </c>
      <c r="R44" s="390" t="s">
        <v>5881</v>
      </c>
      <c r="S44" s="763">
        <f>IF(COUNTIF(Psíquicos!$C$25:$E$36,E44)=0,0,1)</f>
        <v>0</v>
      </c>
      <c r="U44" s="2014" t="s">
        <v>169</v>
      </c>
      <c r="V44" s="370" t="str">
        <f t="shared" ref="V44:V50" si="6">INDEX($I$6:$R$6,SUMPRODUCT(ISNUMBER(SEARCH("Fatiga",I57:R57))*1)+1)</f>
        <v>MDF</v>
      </c>
      <c r="W44" s="370" t="str">
        <f>IFERROR(VLOOKUP(U44,Psíquicos!$AD$11:$AK$64,8,FALSE),V44)</f>
        <v>MDF</v>
      </c>
      <c r="X44" s="888"/>
      <c r="Y44" s="888"/>
      <c r="Z44" s="888"/>
      <c r="AA44" s="888"/>
      <c r="AB44" s="888"/>
      <c r="AC44" s="888"/>
      <c r="AD44" s="888"/>
      <c r="AE44" s="888"/>
      <c r="AF44" s="888"/>
      <c r="AG44" s="888"/>
      <c r="AH44" s="2015">
        <f>IF(COUNTIF(Psíquicos!$AD$17:$AH$62,U44),VALUE(INDEX('Tablas psiquica'!$X44:$AG44,MATCH('Tablas psiquica'!$W44,'Tablas psiquica'!$X$6:$AG$6,0))),0)</f>
        <v>0</v>
      </c>
      <c r="AJ44" s="2292" t="str">
        <f>IFERROR(IF(VLOOKUP(AK44,$D$7:$G$145,4,FALSE)&lt;&gt;"No",MAX(AJ$5:AJ43)+1,0),"")</f>
        <v/>
      </c>
      <c r="AK44" s="2293" t="str">
        <f t="shared" si="5"/>
        <v/>
      </c>
      <c r="AL44" s="2296" t="str">
        <f>IFERROR(VLOOKUP(Tablas!$A38,$AJ$7:$AK$145,2,FALSE),"")</f>
        <v/>
      </c>
    </row>
    <row r="45" spans="1:38" ht="12.75" customHeight="1" x14ac:dyDescent="0.2">
      <c r="A45" s="766">
        <v>45</v>
      </c>
      <c r="B45" s="761">
        <f>IF(OR(S45=0),0,SUM($S$6:S45))</f>
        <v>0</v>
      </c>
      <c r="C45" s="376"/>
      <c r="D45" s="272" t="s">
        <v>157</v>
      </c>
      <c r="E45" s="370" t="s">
        <v>103</v>
      </c>
      <c r="F45" s="371">
        <v>2</v>
      </c>
      <c r="G45" s="371" t="s">
        <v>2584</v>
      </c>
      <c r="H45" s="372" t="s">
        <v>1304</v>
      </c>
      <c r="I45" s="370" t="s">
        <v>5762</v>
      </c>
      <c r="J45" s="370" t="s">
        <v>5761</v>
      </c>
      <c r="K45" s="370" t="s">
        <v>5725</v>
      </c>
      <c r="L45" s="370" t="s">
        <v>5726</v>
      </c>
      <c r="M45" s="370" t="s">
        <v>5872</v>
      </c>
      <c r="N45" s="370" t="s">
        <v>5873</v>
      </c>
      <c r="O45" s="370" t="s">
        <v>5882</v>
      </c>
      <c r="P45" s="370" t="s">
        <v>5883</v>
      </c>
      <c r="Q45" s="370" t="s">
        <v>5884</v>
      </c>
      <c r="R45" s="390" t="s">
        <v>5885</v>
      </c>
      <c r="S45" s="763">
        <f>IF(COUNTIF(Psíquicos!$C$25:$E$36,E45)=0,0,1)</f>
        <v>0</v>
      </c>
      <c r="U45" s="2014" t="s">
        <v>170</v>
      </c>
      <c r="V45" s="370" t="str">
        <f t="shared" si="6"/>
        <v>DIF</v>
      </c>
      <c r="W45" s="370" t="str">
        <f>IFERROR(VLOOKUP(U45,Psíquicos!$AD$11:$AK$64,8,FALSE),V45)</f>
        <v>DIF</v>
      </c>
      <c r="X45" s="888"/>
      <c r="Y45" s="888"/>
      <c r="Z45" s="888"/>
      <c r="AA45" s="888"/>
      <c r="AB45" s="888"/>
      <c r="AC45" s="888"/>
      <c r="AD45" s="888"/>
      <c r="AE45" s="888"/>
      <c r="AF45" s="888"/>
      <c r="AG45" s="888"/>
      <c r="AH45" s="2015">
        <f>IF(COUNTIF(Psíquicos!$AD$17:$AH$62,U45),VALUE(INDEX('Tablas psiquica'!$X45:$AG45,MATCH('Tablas psiquica'!$W45,'Tablas psiquica'!$X$6:$AG$6,0))),0)</f>
        <v>0</v>
      </c>
      <c r="AJ45" s="2292" t="str">
        <f>IFERROR(IF(VLOOKUP(AK45,$D$7:$G$145,4,FALSE)&lt;&gt;"No",MAX(AJ$5:AJ44)+1,0),"")</f>
        <v/>
      </c>
      <c r="AK45" s="2293" t="str">
        <f t="shared" si="5"/>
        <v/>
      </c>
      <c r="AL45" s="2296" t="str">
        <f>IFERROR(VLOOKUP(Tablas!$A39,$AJ$7:$AK$145,2,FALSE),"")</f>
        <v/>
      </c>
    </row>
    <row r="46" spans="1:38" ht="12.75" customHeight="1" x14ac:dyDescent="0.2">
      <c r="A46" s="766">
        <v>46</v>
      </c>
      <c r="B46" s="761">
        <f>IF(OR(S46=0),0,SUM($S$6:S46))</f>
        <v>0</v>
      </c>
      <c r="C46" s="376"/>
      <c r="D46" s="272" t="s">
        <v>158</v>
      </c>
      <c r="E46" s="370" t="s">
        <v>103</v>
      </c>
      <c r="F46" s="371">
        <v>2</v>
      </c>
      <c r="G46" s="371" t="s">
        <v>2584</v>
      </c>
      <c r="H46" s="372" t="s">
        <v>1304</v>
      </c>
      <c r="I46" s="370" t="s">
        <v>5762</v>
      </c>
      <c r="J46" s="370" t="s">
        <v>5761</v>
      </c>
      <c r="K46" s="370" t="s">
        <v>5725</v>
      </c>
      <c r="L46" s="370" t="s">
        <v>5726</v>
      </c>
      <c r="M46" s="370" t="s">
        <v>5886</v>
      </c>
      <c r="N46" s="370" t="s">
        <v>5887</v>
      </c>
      <c r="O46" s="370" t="s">
        <v>5888</v>
      </c>
      <c r="P46" s="370" t="s">
        <v>5889</v>
      </c>
      <c r="Q46" s="370" t="s">
        <v>5890</v>
      </c>
      <c r="R46" s="390" t="s">
        <v>5891</v>
      </c>
      <c r="S46" s="763">
        <f>IF(COUNTIF(Psíquicos!$C$25:$E$36,E46)=0,0,1)</f>
        <v>0</v>
      </c>
      <c r="U46" s="2014" t="s">
        <v>171</v>
      </c>
      <c r="V46" s="370" t="str">
        <f t="shared" si="6"/>
        <v>ABS</v>
      </c>
      <c r="W46" s="370" t="str">
        <f>IFERROR(VLOOKUP(U46,Psíquicos!$AD$11:$AK$64,8,FALSE),V46)</f>
        <v>ABS</v>
      </c>
      <c r="X46" s="888"/>
      <c r="Y46" s="888"/>
      <c r="Z46" s="888"/>
      <c r="AA46" s="888"/>
      <c r="AB46" s="888"/>
      <c r="AC46" s="888"/>
      <c r="AD46" s="888"/>
      <c r="AE46" s="888"/>
      <c r="AF46" s="888"/>
      <c r="AG46" s="888"/>
      <c r="AH46" s="2015">
        <f>IF(COUNTIF(Psíquicos!$AD$17:$AH$62,U46),VALUE(INDEX('Tablas psiquica'!$X46:$AG46,MATCH('Tablas psiquica'!$W46,'Tablas psiquica'!$X$6:$AG$6,0))),0)</f>
        <v>0</v>
      </c>
      <c r="AJ46" s="2292" t="str">
        <f>IFERROR(IF(VLOOKUP(AK46,$D$7:$G$145,4,FALSE)&lt;&gt;"No",MAX(AJ$5:AJ45)+1,0),"")</f>
        <v/>
      </c>
      <c r="AK46" s="2293" t="str">
        <f t="shared" si="5"/>
        <v/>
      </c>
      <c r="AL46" s="2296" t="str">
        <f>IFERROR(VLOOKUP(Tablas!$A40,$AJ$7:$AK$145,2,FALSE),"")</f>
        <v/>
      </c>
    </row>
    <row r="47" spans="1:38" ht="12.75" customHeight="1" x14ac:dyDescent="0.2">
      <c r="A47" s="766">
        <v>47</v>
      </c>
      <c r="B47" s="761">
        <f>IF(OR(S47=0),0,SUM($S$6:S47))</f>
        <v>0</v>
      </c>
      <c r="C47" s="376"/>
      <c r="D47" s="272" t="s">
        <v>159</v>
      </c>
      <c r="E47" s="370" t="s">
        <v>103</v>
      </c>
      <c r="F47" s="371">
        <v>3</v>
      </c>
      <c r="G47" s="371" t="s">
        <v>1381</v>
      </c>
      <c r="H47" s="372" t="s">
        <v>1304</v>
      </c>
      <c r="I47" s="370" t="s">
        <v>5777</v>
      </c>
      <c r="J47" s="370" t="s">
        <v>5776</v>
      </c>
      <c r="K47" s="370" t="s">
        <v>5763</v>
      </c>
      <c r="L47" s="370" t="s">
        <v>5762</v>
      </c>
      <c r="M47" s="370" t="s">
        <v>5761</v>
      </c>
      <c r="N47" s="370" t="s">
        <v>5892</v>
      </c>
      <c r="O47" s="370" t="s">
        <v>5893</v>
      </c>
      <c r="P47" s="370" t="s">
        <v>5894</v>
      </c>
      <c r="Q47" s="370" t="s">
        <v>5895</v>
      </c>
      <c r="R47" s="390" t="s">
        <v>5896</v>
      </c>
      <c r="S47" s="763">
        <f>IF(COUNTIF(Psíquicos!$C$25:$E$36,E47)=0,0,1)</f>
        <v>0</v>
      </c>
      <c r="U47" s="2014" t="s">
        <v>172</v>
      </c>
      <c r="V47" s="370" t="str">
        <f t="shared" si="6"/>
        <v>DIF</v>
      </c>
      <c r="W47" s="370" t="str">
        <f>IFERROR(VLOOKUP(U47,Psíquicos!$AD$11:$AK$64,8,FALSE),V47)</f>
        <v>DIF</v>
      </c>
      <c r="X47" s="888"/>
      <c r="Y47" s="888"/>
      <c r="Z47" s="888"/>
      <c r="AA47" s="888"/>
      <c r="AB47" s="888"/>
      <c r="AC47" s="888"/>
      <c r="AD47" s="888"/>
      <c r="AE47" s="888"/>
      <c r="AF47" s="888"/>
      <c r="AG47" s="888"/>
      <c r="AH47" s="2015">
        <f>IF(COUNTIF(Psíquicos!$AD$17:$AH$62,U47),VALUE(INDEX('Tablas psiquica'!$X47:$AG47,MATCH('Tablas psiquica'!$W47,'Tablas psiquica'!$X$6:$AG$6,0))),0)</f>
        <v>0</v>
      </c>
      <c r="AJ47" s="2292" t="str">
        <f>IFERROR(IF(VLOOKUP(AK47,$D$7:$G$145,4,FALSE)&lt;&gt;"No",MAX(AJ$5:AJ46)+1,0),"")</f>
        <v/>
      </c>
      <c r="AK47" s="2293" t="str">
        <f t="shared" si="5"/>
        <v/>
      </c>
      <c r="AL47" s="2296" t="str">
        <f>IFERROR(VLOOKUP(Tablas!$A41,$AJ$7:$AK$145,2,FALSE),"")</f>
        <v/>
      </c>
    </row>
    <row r="48" spans="1:38" ht="12.75" customHeight="1" x14ac:dyDescent="0.2">
      <c r="A48" s="766">
        <v>48</v>
      </c>
      <c r="B48" s="761">
        <f>IF(OR(S48=0),0,SUM($S$6:S48))</f>
        <v>0</v>
      </c>
      <c r="C48" s="376"/>
      <c r="D48" s="272" t="s">
        <v>160</v>
      </c>
      <c r="E48" s="370" t="s">
        <v>103</v>
      </c>
      <c r="F48" s="371">
        <v>3</v>
      </c>
      <c r="G48" s="371" t="s">
        <v>2584</v>
      </c>
      <c r="H48" s="372" t="s">
        <v>1304</v>
      </c>
      <c r="I48" s="370" t="s">
        <v>5777</v>
      </c>
      <c r="J48" s="370" t="s">
        <v>5776</v>
      </c>
      <c r="K48" s="370" t="s">
        <v>5763</v>
      </c>
      <c r="L48" s="370" t="s">
        <v>5897</v>
      </c>
      <c r="M48" s="370" t="s">
        <v>5898</v>
      </c>
      <c r="N48" s="370" t="s">
        <v>5899</v>
      </c>
      <c r="O48" s="370" t="s">
        <v>4978</v>
      </c>
      <c r="P48" s="370" t="s">
        <v>5900</v>
      </c>
      <c r="Q48" s="370" t="s">
        <v>4979</v>
      </c>
      <c r="R48" s="390" t="s">
        <v>5901</v>
      </c>
      <c r="S48" s="763">
        <f>IF(COUNTIF(Psíquicos!$C$25:$E$36,E48)=0,0,1)</f>
        <v>0</v>
      </c>
      <c r="U48" s="2014" t="s">
        <v>173</v>
      </c>
      <c r="V48" s="370" t="str">
        <f t="shared" si="6"/>
        <v>ABS</v>
      </c>
      <c r="W48" s="370" t="str">
        <f>IFERROR(VLOOKUP(U48,Psíquicos!$AD$11:$AK$64,8,FALSE),V48)</f>
        <v>ABS</v>
      </c>
      <c r="X48" s="888"/>
      <c r="Y48" s="888"/>
      <c r="Z48" s="888"/>
      <c r="AA48" s="888"/>
      <c r="AB48" s="888"/>
      <c r="AC48" s="888"/>
      <c r="AD48" s="888"/>
      <c r="AE48" s="888"/>
      <c r="AF48" s="888"/>
      <c r="AG48" s="888"/>
      <c r="AH48" s="2015">
        <f>IF(COUNTIF(Psíquicos!$AD$17:$AH$62,U48),VALUE(INDEX('Tablas psiquica'!$X48:$AG48,MATCH('Tablas psiquica'!$W48,'Tablas psiquica'!$X$6:$AG$6,0))),0)</f>
        <v>0</v>
      </c>
      <c r="AJ48" s="2292" t="str">
        <f>IFERROR(IF(VLOOKUP(AK48,$D$7:$G$145,4,FALSE)&lt;&gt;"No",MAX(AJ$5:AJ47)+1,0),"")</f>
        <v/>
      </c>
      <c r="AK48" s="2293" t="str">
        <f t="shared" si="5"/>
        <v/>
      </c>
      <c r="AL48" s="2296" t="str">
        <f>IFERROR(VLOOKUP(Tablas!$A42,$AJ$7:$AK$145,2,FALSE),"")</f>
        <v/>
      </c>
    </row>
    <row r="49" spans="1:38" ht="12.75" customHeight="1" x14ac:dyDescent="0.2">
      <c r="A49" s="766">
        <v>49</v>
      </c>
      <c r="B49" s="761">
        <f>IF(OR(S49=0),0,SUM($S$6:S49))</f>
        <v>0</v>
      </c>
      <c r="C49" s="376"/>
      <c r="D49" s="272" t="s">
        <v>161</v>
      </c>
      <c r="E49" s="370" t="s">
        <v>103</v>
      </c>
      <c r="F49" s="371">
        <v>3</v>
      </c>
      <c r="G49" s="371" t="s">
        <v>2584</v>
      </c>
      <c r="H49" s="372" t="s">
        <v>1304</v>
      </c>
      <c r="I49" s="370" t="s">
        <v>5844</v>
      </c>
      <c r="J49" s="370" t="s">
        <v>5777</v>
      </c>
      <c r="K49" s="370" t="s">
        <v>5776</v>
      </c>
      <c r="L49" s="370" t="s">
        <v>5763</v>
      </c>
      <c r="M49" s="370" t="s">
        <v>5762</v>
      </c>
      <c r="N49" s="370" t="s">
        <v>5761</v>
      </c>
      <c r="O49" s="370" t="s">
        <v>5879</v>
      </c>
      <c r="P49" s="370" t="s">
        <v>5880</v>
      </c>
      <c r="Q49" s="370" t="s">
        <v>5881</v>
      </c>
      <c r="R49" s="390" t="s">
        <v>5902</v>
      </c>
      <c r="S49" s="763">
        <f>IF(COUNTIF(Psíquicos!$C$25:$E$36,E49)=0,0,1)</f>
        <v>0</v>
      </c>
      <c r="U49" s="2014" t="s">
        <v>174</v>
      </c>
      <c r="V49" s="370" t="str">
        <f t="shared" si="6"/>
        <v>ABS</v>
      </c>
      <c r="W49" s="370" t="str">
        <f>IFERROR(VLOOKUP(U49,Psíquicos!$AD$11:$AK$64,8,FALSE),V49)</f>
        <v>ABS</v>
      </c>
      <c r="X49" s="888"/>
      <c r="Y49" s="888"/>
      <c r="Z49" s="888"/>
      <c r="AA49" s="888"/>
      <c r="AB49" s="888"/>
      <c r="AC49" s="888"/>
      <c r="AD49" s="888"/>
      <c r="AE49" s="888"/>
      <c r="AF49" s="888"/>
      <c r="AG49" s="888"/>
      <c r="AH49" s="2015">
        <f>IF(COUNTIF(Psíquicos!$AD$17:$AH$62,U49),VALUE(INDEX('Tablas psiquica'!$X49:$AG49,MATCH('Tablas psiquica'!$W49,'Tablas psiquica'!$X$6:$AG$6,0))),0)</f>
        <v>0</v>
      </c>
      <c r="AJ49" s="2292" t="str">
        <f>IFERROR(IF(VLOOKUP(AK49,$D$7:$G$145,4,FALSE)&lt;&gt;"No",MAX(AJ$5:AJ48)+1,0),"")</f>
        <v/>
      </c>
      <c r="AK49" s="2293" t="str">
        <f t="shared" si="5"/>
        <v/>
      </c>
      <c r="AL49" s="2296" t="str">
        <f>IFERROR(VLOOKUP(Tablas!$A43,$AJ$7:$AK$145,2,FALSE),"")</f>
        <v/>
      </c>
    </row>
    <row r="50" spans="1:38" ht="12.75" customHeight="1" x14ac:dyDescent="0.2">
      <c r="A50" s="766">
        <v>50</v>
      </c>
      <c r="B50" s="761">
        <f>IF(OR(S50=0),0,SUM($S$6:S50))</f>
        <v>0</v>
      </c>
      <c r="C50" s="376"/>
      <c r="D50" s="272" t="s">
        <v>162</v>
      </c>
      <c r="E50" s="370"/>
      <c r="F50" s="371"/>
      <c r="G50" s="371"/>
      <c r="H50" s="372"/>
      <c r="I50" s="370"/>
      <c r="J50" s="370"/>
      <c r="K50" s="370"/>
      <c r="L50" s="370"/>
      <c r="M50" s="370"/>
      <c r="N50" s="370"/>
      <c r="O50" s="370"/>
      <c r="P50" s="370"/>
      <c r="Q50" s="370"/>
      <c r="R50" s="390"/>
      <c r="S50" s="765">
        <f>S51</f>
        <v>0</v>
      </c>
      <c r="U50" s="2014" t="s">
        <v>175</v>
      </c>
      <c r="V50" s="370" t="str">
        <f t="shared" si="6"/>
        <v>CIM</v>
      </c>
      <c r="W50" s="370" t="str">
        <f>IFERROR(VLOOKUP(U50,Psíquicos!$AD$11:$AK$64,8,FALSE),V50)</f>
        <v>CIM</v>
      </c>
      <c r="X50" s="888"/>
      <c r="Y50" s="888"/>
      <c r="Z50" s="888"/>
      <c r="AA50" s="888"/>
      <c r="AB50" s="888"/>
      <c r="AC50" s="888"/>
      <c r="AD50" s="888"/>
      <c r="AE50" s="888"/>
      <c r="AF50" s="888"/>
      <c r="AG50" s="888"/>
      <c r="AH50" s="2015">
        <f>IF(COUNTIF(Psíquicos!$AD$17:$AH$62,U50),VALUE(INDEX('Tablas psiquica'!$X50:$AG50,MATCH('Tablas psiquica'!$W50,'Tablas psiquica'!$X$6:$AG$6,0))),0)</f>
        <v>0</v>
      </c>
      <c r="AJ50" s="2292" t="str">
        <f>IFERROR(IF(VLOOKUP(AK50,$D$7:$G$145,4,FALSE)&lt;&gt;"No",MAX(AJ$5:AJ49)+1,0),"")</f>
        <v/>
      </c>
      <c r="AK50" s="2293" t="str">
        <f t="shared" si="5"/>
        <v/>
      </c>
      <c r="AL50" s="2296" t="str">
        <f>IFERROR(VLOOKUP(Tablas!$A44,$AJ$7:$AK$145,2,FALSE),"")</f>
        <v/>
      </c>
    </row>
    <row r="51" spans="1:38" ht="12.75" customHeight="1" x14ac:dyDescent="0.2">
      <c r="A51" s="766">
        <v>51</v>
      </c>
      <c r="B51" s="761">
        <f>IF(OR(S51=0),0,SUM($S$6:S51))</f>
        <v>0</v>
      </c>
      <c r="C51" s="376"/>
      <c r="D51" s="272" t="s">
        <v>163</v>
      </c>
      <c r="E51" s="370" t="s">
        <v>105</v>
      </c>
      <c r="F51" s="371">
        <v>1</v>
      </c>
      <c r="G51" s="371" t="s">
        <v>2584</v>
      </c>
      <c r="H51" s="372" t="s">
        <v>1304</v>
      </c>
      <c r="I51" s="370" t="s">
        <v>5726</v>
      </c>
      <c r="J51" s="370" t="s">
        <v>3530</v>
      </c>
      <c r="K51" s="370" t="s">
        <v>4759</v>
      </c>
      <c r="L51" s="370" t="s">
        <v>3531</v>
      </c>
      <c r="M51" s="370" t="s">
        <v>5852</v>
      </c>
      <c r="N51" s="370" t="s">
        <v>3532</v>
      </c>
      <c r="O51" s="370" t="s">
        <v>5853</v>
      </c>
      <c r="P51" s="370" t="s">
        <v>5854</v>
      </c>
      <c r="Q51" s="370" t="s">
        <v>3533</v>
      </c>
      <c r="R51" s="390" t="s">
        <v>4242</v>
      </c>
      <c r="S51" s="763">
        <f>IF(COUNTIF(Psíquicos!$C$25:$E$36,E51)=0,0,1)</f>
        <v>0</v>
      </c>
      <c r="U51" s="2014" t="s">
        <v>176</v>
      </c>
      <c r="V51" s="888"/>
      <c r="W51" s="370"/>
      <c r="X51" s="888"/>
      <c r="Y51" s="888"/>
      <c r="Z51" s="888"/>
      <c r="AA51" s="888"/>
      <c r="AB51" s="888"/>
      <c r="AC51" s="888"/>
      <c r="AD51" s="888"/>
      <c r="AE51" s="888"/>
      <c r="AF51" s="888"/>
      <c r="AG51" s="888"/>
      <c r="AH51" s="2015" t="e">
        <f>IF(COUNTIF(Psíquicos!$AD$17:$AH$62,U51),VALUE(INDEX('Tablas psiquica'!$X51:$AG51,MATCH('Tablas psiquica'!$W51,'Tablas psiquica'!$X$6:$AG$6,0))),0)</f>
        <v>#N/A</v>
      </c>
      <c r="AJ51" s="2292" t="str">
        <f>IFERROR(IF(VLOOKUP(AK51,$D$7:$G$145,4,FALSE)&lt;&gt;"No",MAX(AJ$5:AJ50)+1,0),"")</f>
        <v/>
      </c>
      <c r="AK51" s="2293" t="str">
        <f t="shared" si="5"/>
        <v/>
      </c>
      <c r="AL51" s="2296" t="str">
        <f>IFERROR(VLOOKUP(Tablas!$A45,$AJ$7:$AK$145,2,FALSE),"")</f>
        <v/>
      </c>
    </row>
    <row r="52" spans="1:38" ht="12.75" customHeight="1" x14ac:dyDescent="0.2">
      <c r="A52" s="766">
        <v>52</v>
      </c>
      <c r="B52" s="761">
        <f>IF(OR(S52=0),0,SUM($S$6:S52))</f>
        <v>0</v>
      </c>
      <c r="C52" s="376"/>
      <c r="D52" s="272" t="s">
        <v>164</v>
      </c>
      <c r="E52" s="370" t="s">
        <v>105</v>
      </c>
      <c r="F52" s="371">
        <v>1</v>
      </c>
      <c r="G52" s="371" t="s">
        <v>2584</v>
      </c>
      <c r="H52" s="372" t="s">
        <v>1304</v>
      </c>
      <c r="I52" s="370" t="s">
        <v>5761</v>
      </c>
      <c r="J52" s="370" t="s">
        <v>5725</v>
      </c>
      <c r="K52" s="370" t="s">
        <v>5726</v>
      </c>
      <c r="L52" s="370" t="s">
        <v>5903</v>
      </c>
      <c r="M52" s="370" t="s">
        <v>5904</v>
      </c>
      <c r="N52" s="370" t="s">
        <v>5905</v>
      </c>
      <c r="O52" s="370" t="s">
        <v>5906</v>
      </c>
      <c r="P52" s="370" t="s">
        <v>4246</v>
      </c>
      <c r="Q52" s="370" t="s">
        <v>4248</v>
      </c>
      <c r="R52" s="390" t="s">
        <v>5907</v>
      </c>
      <c r="S52" s="763">
        <f>IF(COUNTIF(Psíquicos!$C$25:$E$36,E52)=0,0,1)</f>
        <v>0</v>
      </c>
      <c r="U52" s="2014" t="s">
        <v>177</v>
      </c>
      <c r="V52" s="370" t="str">
        <f t="shared" ref="V52:V61" si="7">INDEX($I$6:$R$6,SUMPRODUCT(ISNUMBER(SEARCH("Fatiga",I65:R65))*1)+1)</f>
        <v>FAC</v>
      </c>
      <c r="W52" s="370" t="str">
        <f>IFERROR(VLOOKUP(U52,Psíquicos!$AD$11:$AK$64,8,FALSE),V52)</f>
        <v>FAC</v>
      </c>
      <c r="X52" s="888" t="str">
        <f t="shared" ref="X52:AG54" si="8">IF(ISNUMBER(VALUE(MID(I65,SEARCH("+",I65)+1,3))),VALUE(MID(I65,SEARCH("+",I65)+1,3)),"")</f>
        <v/>
      </c>
      <c r="Y52" s="888">
        <f t="shared" si="8"/>
        <v>10</v>
      </c>
      <c r="Z52" s="888">
        <f t="shared" si="8"/>
        <v>20</v>
      </c>
      <c r="AA52" s="888">
        <f t="shared" si="8"/>
        <v>40</v>
      </c>
      <c r="AB52" s="888">
        <f t="shared" si="8"/>
        <v>80</v>
      </c>
      <c r="AC52" s="888">
        <f t="shared" si="8"/>
        <v>120</v>
      </c>
      <c r="AD52" s="888">
        <f t="shared" si="8"/>
        <v>180</v>
      </c>
      <c r="AE52" s="888">
        <f t="shared" si="8"/>
        <v>220</v>
      </c>
      <c r="AF52" s="888">
        <f t="shared" si="8"/>
        <v>280</v>
      </c>
      <c r="AG52" s="888">
        <f t="shared" si="8"/>
        <v>320</v>
      </c>
      <c r="AH52" s="2015">
        <f>IF(COUNTIF(Psíquicos!$AD$17:$AH$62,U52),VALUE(INDEX('Tablas psiquica'!$X52:$AG52,MATCH('Tablas psiquica'!$W52,'Tablas psiquica'!$X$6:$AG$6,0))),0)</f>
        <v>0</v>
      </c>
      <c r="AJ52" s="2292" t="str">
        <f>IFERROR(IF(VLOOKUP(AK52,$D$7:$G$145,4,FALSE)&lt;&gt;"No",MAX(AJ$5:AJ51)+1,0),"")</f>
        <v/>
      </c>
      <c r="AK52" s="2293" t="str">
        <f t="shared" si="5"/>
        <v/>
      </c>
      <c r="AL52" s="2296" t="str">
        <f>IFERROR(VLOOKUP(Tablas!$A46,$AJ$7:$AK$145,2,FALSE),"")</f>
        <v/>
      </c>
    </row>
    <row r="53" spans="1:38" ht="12.75" customHeight="1" x14ac:dyDescent="0.2">
      <c r="A53" s="766">
        <v>53</v>
      </c>
      <c r="B53" s="761">
        <f>IF(OR(S53=0),0,SUM($S$6:S53))</f>
        <v>0</v>
      </c>
      <c r="C53" s="376"/>
      <c r="D53" s="272" t="s">
        <v>165</v>
      </c>
      <c r="E53" s="370" t="s">
        <v>105</v>
      </c>
      <c r="F53" s="371">
        <v>1</v>
      </c>
      <c r="G53" s="371" t="s">
        <v>2584</v>
      </c>
      <c r="H53" s="372" t="s">
        <v>1304</v>
      </c>
      <c r="I53" s="370" t="s">
        <v>5726</v>
      </c>
      <c r="J53" s="370" t="s">
        <v>5855</v>
      </c>
      <c r="K53" s="370" t="s">
        <v>5856</v>
      </c>
      <c r="L53" s="370" t="s">
        <v>5857</v>
      </c>
      <c r="M53" s="370" t="s">
        <v>5858</v>
      </c>
      <c r="N53" s="370" t="s">
        <v>5859</v>
      </c>
      <c r="O53" s="370" t="s">
        <v>5860</v>
      </c>
      <c r="P53" s="370" t="s">
        <v>5861</v>
      </c>
      <c r="Q53" s="370" t="s">
        <v>5862</v>
      </c>
      <c r="R53" s="390" t="s">
        <v>5863</v>
      </c>
      <c r="S53" s="763">
        <f>IF(COUNTIF(Psíquicos!$C$25:$E$36,E53)=0,0,1)</f>
        <v>0</v>
      </c>
      <c r="U53" s="2014" t="s">
        <v>178</v>
      </c>
      <c r="V53" s="370" t="str">
        <f t="shared" si="7"/>
        <v>FAC</v>
      </c>
      <c r="W53" s="370" t="str">
        <f>IFERROR(VLOOKUP(U53,Psíquicos!$AD$11:$AK$64,8,FALSE),V53)</f>
        <v>FAC</v>
      </c>
      <c r="X53" s="888" t="str">
        <f t="shared" si="8"/>
        <v/>
      </c>
      <c r="Y53" s="888">
        <f t="shared" si="8"/>
        <v>10</v>
      </c>
      <c r="Z53" s="888">
        <f t="shared" si="8"/>
        <v>20</v>
      </c>
      <c r="AA53" s="888">
        <f t="shared" si="8"/>
        <v>40</v>
      </c>
      <c r="AB53" s="888">
        <f t="shared" si="8"/>
        <v>80</v>
      </c>
      <c r="AC53" s="888">
        <f t="shared" si="8"/>
        <v>120</v>
      </c>
      <c r="AD53" s="888">
        <f t="shared" si="8"/>
        <v>180</v>
      </c>
      <c r="AE53" s="888">
        <f t="shared" si="8"/>
        <v>220</v>
      </c>
      <c r="AF53" s="888">
        <f t="shared" si="8"/>
        <v>280</v>
      </c>
      <c r="AG53" s="888">
        <f t="shared" si="8"/>
        <v>320</v>
      </c>
      <c r="AH53" s="2015">
        <f>IF(COUNTIF(Psíquicos!$AD$17:$AH$62,U53),VALUE(INDEX('Tablas psiquica'!$X53:$AG53,MATCH('Tablas psiquica'!$W53,'Tablas psiquica'!$X$6:$AG$6,0))),0)</f>
        <v>0</v>
      </c>
      <c r="AJ53" s="2292" t="str">
        <f>IFERROR(IF(VLOOKUP(AK53,$D$7:$G$145,4,FALSE)&lt;&gt;"No",MAX(AJ$5:AJ52)+1,0),"")</f>
        <v/>
      </c>
      <c r="AK53" s="2293" t="str">
        <f t="shared" si="5"/>
        <v/>
      </c>
      <c r="AL53" s="2296" t="str">
        <f>IFERROR(VLOOKUP(Tablas!$A47,$AJ$7:$AK$145,2,FALSE),"")</f>
        <v/>
      </c>
    </row>
    <row r="54" spans="1:38" ht="12.75" customHeight="1" x14ac:dyDescent="0.2">
      <c r="A54" s="766">
        <v>54</v>
      </c>
      <c r="B54" s="761">
        <f>IF(OR(S54=0),0,SUM($S$6:S54))</f>
        <v>0</v>
      </c>
      <c r="C54" s="376"/>
      <c r="D54" s="272" t="s">
        <v>166</v>
      </c>
      <c r="E54" s="370" t="s">
        <v>105</v>
      </c>
      <c r="F54" s="371">
        <v>1</v>
      </c>
      <c r="G54" s="371" t="s">
        <v>1381</v>
      </c>
      <c r="H54" s="372" t="s">
        <v>1304</v>
      </c>
      <c r="I54" s="370" t="s">
        <v>5725</v>
      </c>
      <c r="J54" s="370" t="s">
        <v>5726</v>
      </c>
      <c r="K54" s="370" t="s">
        <v>5864</v>
      </c>
      <c r="L54" s="370" t="s">
        <v>5865</v>
      </c>
      <c r="M54" s="370" t="s">
        <v>5866</v>
      </c>
      <c r="N54" s="370" t="s">
        <v>5867</v>
      </c>
      <c r="O54" s="370" t="s">
        <v>5868</v>
      </c>
      <c r="P54" s="370" t="s">
        <v>5869</v>
      </c>
      <c r="Q54" s="370" t="s">
        <v>5870</v>
      </c>
      <c r="R54" s="390" t="s">
        <v>5871</v>
      </c>
      <c r="S54" s="763">
        <f>IF(COUNTIF(Psíquicos!$C$25:$E$36,E54)=0,0,1)</f>
        <v>0</v>
      </c>
      <c r="U54" s="2014" t="s">
        <v>179</v>
      </c>
      <c r="V54" s="370" t="str">
        <f t="shared" si="7"/>
        <v>MED</v>
      </c>
      <c r="W54" s="370" t="str">
        <f>IFERROR(VLOOKUP(U54,Psíquicos!$AD$11:$AK$64,8,FALSE),V54)</f>
        <v>MED</v>
      </c>
      <c r="X54" s="888" t="str">
        <f t="shared" si="8"/>
        <v/>
      </c>
      <c r="Y54" s="888" t="str">
        <f t="shared" si="8"/>
        <v/>
      </c>
      <c r="Z54" s="888">
        <f t="shared" si="8"/>
        <v>1</v>
      </c>
      <c r="AA54" s="888">
        <f t="shared" si="8"/>
        <v>2</v>
      </c>
      <c r="AB54" s="888">
        <f t="shared" si="8"/>
        <v>3</v>
      </c>
      <c r="AC54" s="888">
        <f t="shared" si="8"/>
        <v>4</v>
      </c>
      <c r="AD54" s="888">
        <f t="shared" si="8"/>
        <v>5</v>
      </c>
      <c r="AE54" s="888">
        <f t="shared" si="8"/>
        <v>6</v>
      </c>
      <c r="AF54" s="888">
        <f t="shared" si="8"/>
        <v>8</v>
      </c>
      <c r="AG54" s="888">
        <f t="shared" si="8"/>
        <v>10</v>
      </c>
      <c r="AH54" s="2015">
        <f>IF(COUNTIF(Psíquicos!$AD$17:$AH$62,U54),VALUE(INDEX('Tablas psiquica'!$X54:$AG54,MATCH('Tablas psiquica'!$W54,'Tablas psiquica'!$X$6:$AG$6,0))),0)</f>
        <v>0</v>
      </c>
      <c r="AI54" s="2369" t="s">
        <v>9933</v>
      </c>
      <c r="AJ54" s="2292" t="str">
        <f>IFERROR(IF(VLOOKUP(AK54,$D$7:$G$145,4,FALSE)&lt;&gt;"No",MAX(AJ$5:AJ53)+1,0),"")</f>
        <v/>
      </c>
      <c r="AK54" s="2293" t="str">
        <f t="shared" si="5"/>
        <v/>
      </c>
      <c r="AL54" s="2296" t="str">
        <f>IFERROR(VLOOKUP(Tablas!$A48,$AJ$7:$AK$145,2,FALSE),"")</f>
        <v/>
      </c>
    </row>
    <row r="55" spans="1:38" ht="12.75" customHeight="1" x14ac:dyDescent="0.2">
      <c r="A55" s="766">
        <v>55</v>
      </c>
      <c r="B55" s="761">
        <f>IF(OR(S55=0),0,SUM($S$6:S55))</f>
        <v>0</v>
      </c>
      <c r="C55" s="376"/>
      <c r="D55" s="272" t="s">
        <v>167</v>
      </c>
      <c r="E55" s="370" t="s">
        <v>105</v>
      </c>
      <c r="F55" s="371">
        <v>1</v>
      </c>
      <c r="G55" s="371" t="s">
        <v>2584</v>
      </c>
      <c r="H55" s="372" t="s">
        <v>1304</v>
      </c>
      <c r="I55" s="370" t="s">
        <v>5763</v>
      </c>
      <c r="J55" s="370" t="s">
        <v>5762</v>
      </c>
      <c r="K55" s="370" t="s">
        <v>5761</v>
      </c>
      <c r="L55" s="370" t="s">
        <v>10002</v>
      </c>
      <c r="M55" s="370" t="s">
        <v>5821</v>
      </c>
      <c r="N55" s="370" t="s">
        <v>5822</v>
      </c>
      <c r="O55" s="370" t="s">
        <v>5823</v>
      </c>
      <c r="P55" s="370" t="s">
        <v>5824</v>
      </c>
      <c r="Q55" s="370" t="s">
        <v>5825</v>
      </c>
      <c r="R55" s="390" t="s">
        <v>5826</v>
      </c>
      <c r="S55" s="763">
        <f>IF(COUNTIF(Psíquicos!$C$25:$E$36,E55)=0,0,1)</f>
        <v>0</v>
      </c>
      <c r="U55" s="2014" t="s">
        <v>1682</v>
      </c>
      <c r="V55" s="370" t="str">
        <f t="shared" si="7"/>
        <v>MED</v>
      </c>
      <c r="W55" s="370" t="str">
        <f>IFERROR(VLOOKUP(U55,Psíquicos!$AD$11:$AK$64,8,FALSE),V55)</f>
        <v>MED</v>
      </c>
      <c r="X55" s="888" t="str">
        <f t="shared" ref="X55:Y61" si="9">IF(ISNUMBER(VALUE(MID(I68,SEARCH("+",I68)+1,3))),VALUE(MID(I68,SEARCH("+",I68)+1,3)),"")</f>
        <v/>
      </c>
      <c r="Y55" s="888" t="str">
        <f t="shared" si="9"/>
        <v/>
      </c>
      <c r="Z55" s="888">
        <v>0</v>
      </c>
      <c r="AA55" s="888">
        <f t="shared" ref="AA55:AG61" si="10">IF(ISNUMBER(VALUE(MID(L68,SEARCH("+",L68)+1,3))),VALUE(MID(L68,SEARCH("+",L68)+1,3)),"")</f>
        <v>5</v>
      </c>
      <c r="AB55" s="888">
        <f t="shared" si="10"/>
        <v>10</v>
      </c>
      <c r="AC55" s="888">
        <f t="shared" si="10"/>
        <v>20</v>
      </c>
      <c r="AD55" s="888">
        <f t="shared" si="10"/>
        <v>30</v>
      </c>
      <c r="AE55" s="888">
        <f t="shared" si="10"/>
        <v>40</v>
      </c>
      <c r="AF55" s="888">
        <f t="shared" si="10"/>
        <v>60</v>
      </c>
      <c r="AG55" s="888">
        <f t="shared" si="10"/>
        <v>80</v>
      </c>
      <c r="AH55" s="2015">
        <f>IF(COUNTIF(Psíquicos!$AD$17:$AH$62,U55),VALUE(INDEX('Tablas psiquica'!$X55:$AG55,MATCH('Tablas psiquica'!$W55,'Tablas psiquica'!$X$6:$AG$6,0))),0)</f>
        <v>0</v>
      </c>
      <c r="AI55" s="2368">
        <f>IF(COUNTIF(Psíquicos!$AD$17:$AH$62,U55)&gt;0,IF(MATCH('Tablas psiquica'!$W55,'Tablas psiquica'!$X$6:$AG$6,0)&gt;6,2,1),0)</f>
        <v>0</v>
      </c>
      <c r="AJ55" s="2292" t="str">
        <f>IFERROR(IF(VLOOKUP(AK55,$D$7:$G$145,4,FALSE)&lt;&gt;"No",MAX(AJ$5:AJ54)+1,0),"")</f>
        <v/>
      </c>
      <c r="AK55" s="2293" t="str">
        <f t="shared" si="5"/>
        <v/>
      </c>
      <c r="AL55" s="2296" t="str">
        <f>IFERROR(VLOOKUP(Tablas!$A49,$AJ$7:$AK$145,2,FALSE),"")</f>
        <v/>
      </c>
    </row>
    <row r="56" spans="1:38" ht="12.75" customHeight="1" x14ac:dyDescent="0.2">
      <c r="A56" s="766">
        <v>56</v>
      </c>
      <c r="B56" s="761">
        <f>IF(OR(S56=0),0,SUM($S$6:S56))</f>
        <v>0</v>
      </c>
      <c r="C56" s="376"/>
      <c r="D56" s="272" t="s">
        <v>168</v>
      </c>
      <c r="E56" s="370" t="s">
        <v>105</v>
      </c>
      <c r="F56" s="371">
        <v>2</v>
      </c>
      <c r="G56" s="371" t="s">
        <v>1381</v>
      </c>
      <c r="H56" s="372" t="s">
        <v>1304</v>
      </c>
      <c r="I56" s="370" t="s">
        <v>5763</v>
      </c>
      <c r="J56" s="370" t="s">
        <v>5762</v>
      </c>
      <c r="K56" s="370" t="s">
        <v>5761</v>
      </c>
      <c r="L56" s="370" t="s">
        <v>5725</v>
      </c>
      <c r="M56" s="370" t="s">
        <v>5726</v>
      </c>
      <c r="N56" s="370" t="s">
        <v>4640</v>
      </c>
      <c r="O56" s="370" t="s">
        <v>3746</v>
      </c>
      <c r="P56" s="370" t="s">
        <v>3427</v>
      </c>
      <c r="Q56" s="370" t="s">
        <v>5908</v>
      </c>
      <c r="R56" s="390" t="s">
        <v>5909</v>
      </c>
      <c r="S56" s="763">
        <f>IF(COUNTIF(Psíquicos!$C$25:$E$36,E56)=0,0,1)</f>
        <v>0</v>
      </c>
      <c r="U56" s="2014" t="s">
        <v>180</v>
      </c>
      <c r="V56" s="370" t="str">
        <f t="shared" si="7"/>
        <v>DIF</v>
      </c>
      <c r="W56" s="370" t="str">
        <f>IFERROR(VLOOKUP(U56,Psíquicos!$AD$11:$AK$64,8,FALSE),V56)</f>
        <v>DIF</v>
      </c>
      <c r="X56" s="888" t="str">
        <f t="shared" si="9"/>
        <v/>
      </c>
      <c r="Y56" s="888" t="str">
        <f t="shared" si="9"/>
        <v/>
      </c>
      <c r="Z56" s="888" t="str">
        <f t="shared" ref="Z56:Z61" si="11">IF(ISNUMBER(VALUE(MID(K69,SEARCH("+",K69)+1,3))),VALUE(MID(K69,SEARCH("+",K69)+1,3)),"")</f>
        <v/>
      </c>
      <c r="AA56" s="888">
        <f t="shared" si="10"/>
        <v>1</v>
      </c>
      <c r="AB56" s="888">
        <f t="shared" si="10"/>
        <v>2</v>
      </c>
      <c r="AC56" s="888">
        <f t="shared" si="10"/>
        <v>3</v>
      </c>
      <c r="AD56" s="888">
        <f t="shared" si="10"/>
        <v>4</v>
      </c>
      <c r="AE56" s="888">
        <f t="shared" si="10"/>
        <v>5</v>
      </c>
      <c r="AF56" s="888">
        <f t="shared" si="10"/>
        <v>6</v>
      </c>
      <c r="AG56" s="888">
        <f t="shared" si="10"/>
        <v>8</v>
      </c>
      <c r="AH56" s="2015">
        <f>IF(COUNTIF(Psíquicos!$AD$17:$AH$62,U56),VALUE(INDEX('Tablas psiquica'!$X56:$AG56,MATCH('Tablas psiquica'!$W56,'Tablas psiquica'!$X$6:$AG$6,0))),0)</f>
        <v>0</v>
      </c>
      <c r="AJ56" s="2292" t="str">
        <f>IFERROR(IF(VLOOKUP(AK56,$D$7:$G$145,4,FALSE)&lt;&gt;"No",MAX(AJ$5:AJ55)+1,0),"")</f>
        <v/>
      </c>
      <c r="AK56" s="2293" t="str">
        <f t="shared" si="5"/>
        <v/>
      </c>
      <c r="AL56" s="2296" t="str">
        <f>IFERROR(VLOOKUP(Tablas!$A50,$AJ$7:$AK$145,2,FALSE),"")</f>
        <v/>
      </c>
    </row>
    <row r="57" spans="1:38" ht="12.75" customHeight="1" x14ac:dyDescent="0.2">
      <c r="A57" s="766">
        <v>57</v>
      </c>
      <c r="B57" s="761">
        <f>IF(OR(S57=0),0,SUM($S$6:S57))</f>
        <v>0</v>
      </c>
      <c r="C57" s="376"/>
      <c r="D57" s="272" t="s">
        <v>169</v>
      </c>
      <c r="E57" s="370" t="s">
        <v>105</v>
      </c>
      <c r="F57" s="371">
        <v>2</v>
      </c>
      <c r="G57" s="371" t="s">
        <v>2584</v>
      </c>
      <c r="H57" s="372" t="s">
        <v>1304</v>
      </c>
      <c r="I57" s="370" t="s">
        <v>5762</v>
      </c>
      <c r="J57" s="370" t="s">
        <v>5761</v>
      </c>
      <c r="K57" s="370" t="s">
        <v>5725</v>
      </c>
      <c r="L57" s="370" t="s">
        <v>5726</v>
      </c>
      <c r="M57" s="370" t="s">
        <v>5910</v>
      </c>
      <c r="N57" s="370" t="s">
        <v>5911</v>
      </c>
      <c r="O57" s="370" t="s">
        <v>5912</v>
      </c>
      <c r="P57" s="370" t="s">
        <v>5913</v>
      </c>
      <c r="Q57" s="370" t="s">
        <v>5914</v>
      </c>
      <c r="R57" s="390" t="s">
        <v>5915</v>
      </c>
      <c r="S57" s="763">
        <f>IF(COUNTIF(Psíquicos!$C$25:$E$36,E57)=0,0,1)</f>
        <v>0</v>
      </c>
      <c r="U57" s="2014" t="s">
        <v>181</v>
      </c>
      <c r="V57" s="370" t="str">
        <f t="shared" si="7"/>
        <v>MED</v>
      </c>
      <c r="W57" s="370" t="str">
        <f>IFERROR(VLOOKUP(U57,Psíquicos!$AD$11:$AK$64,8,FALSE),V57)</f>
        <v>MED</v>
      </c>
      <c r="X57" s="888" t="str">
        <f t="shared" si="9"/>
        <v/>
      </c>
      <c r="Y57" s="888" t="str">
        <f t="shared" si="9"/>
        <v/>
      </c>
      <c r="Z57" s="888">
        <f t="shared" si="11"/>
        <v>1</v>
      </c>
      <c r="AA57" s="888">
        <f t="shared" si="10"/>
        <v>2</v>
      </c>
      <c r="AB57" s="888">
        <f t="shared" si="10"/>
        <v>3</v>
      </c>
      <c r="AC57" s="888">
        <f t="shared" si="10"/>
        <v>4</v>
      </c>
      <c r="AD57" s="888">
        <f t="shared" si="10"/>
        <v>5</v>
      </c>
      <c r="AE57" s="888">
        <f t="shared" si="10"/>
        <v>6</v>
      </c>
      <c r="AF57" s="888">
        <f t="shared" si="10"/>
        <v>8</v>
      </c>
      <c r="AG57" s="888">
        <f t="shared" si="10"/>
        <v>10</v>
      </c>
      <c r="AH57" s="2015">
        <f>IF(COUNTIF(Psíquicos!$AD$17:$AH$62,U57),VALUE(INDEX('Tablas psiquica'!$X57:$AG57,MATCH('Tablas psiquica'!$W57,'Tablas psiquica'!$X$6:$AG$6,0))),0)</f>
        <v>0</v>
      </c>
      <c r="AJ57" s="2292" t="str">
        <f>IFERROR(IF(VLOOKUP(AK57,$D$7:$G$145,4,FALSE)&lt;&gt;"No",MAX(AJ$5:AJ56)+1,0),"")</f>
        <v/>
      </c>
      <c r="AK57" s="2293" t="str">
        <f t="shared" si="5"/>
        <v/>
      </c>
      <c r="AL57" s="2296" t="str">
        <f>IFERROR(VLOOKUP(Tablas!$A51,$AJ$7:$AK$145,2,FALSE),"")</f>
        <v/>
      </c>
    </row>
    <row r="58" spans="1:38" ht="12.75" customHeight="1" x14ac:dyDescent="0.2">
      <c r="A58" s="766">
        <v>58</v>
      </c>
      <c r="B58" s="761">
        <f>IF(OR(S58=0),0,SUM($S$6:S58))</f>
        <v>0</v>
      </c>
      <c r="C58" s="376"/>
      <c r="D58" s="272" t="s">
        <v>170</v>
      </c>
      <c r="E58" s="370" t="s">
        <v>105</v>
      </c>
      <c r="F58" s="371">
        <v>2</v>
      </c>
      <c r="G58" s="371" t="s">
        <v>2584</v>
      </c>
      <c r="H58" s="372" t="s">
        <v>1305</v>
      </c>
      <c r="I58" s="370" t="s">
        <v>5762</v>
      </c>
      <c r="J58" s="370" t="s">
        <v>5761</v>
      </c>
      <c r="K58" s="370" t="s">
        <v>5725</v>
      </c>
      <c r="L58" s="370" t="s">
        <v>5916</v>
      </c>
      <c r="M58" s="370" t="s">
        <v>5917</v>
      </c>
      <c r="N58" s="370" t="s">
        <v>5918</v>
      </c>
      <c r="O58" s="370" t="s">
        <v>5919</v>
      </c>
      <c r="P58" s="370" t="s">
        <v>5920</v>
      </c>
      <c r="Q58" s="370" t="s">
        <v>5921</v>
      </c>
      <c r="R58" s="390" t="s">
        <v>5922</v>
      </c>
      <c r="S58" s="763">
        <f>IF(COUNTIF(Psíquicos!$C$25:$E$36,E58)=0,0,1)</f>
        <v>0</v>
      </c>
      <c r="U58" s="2014" t="s">
        <v>182</v>
      </c>
      <c r="V58" s="370" t="str">
        <f t="shared" si="7"/>
        <v>DIF</v>
      </c>
      <c r="W58" s="370" t="str">
        <f>IFERROR(VLOOKUP(U58,Psíquicos!$AD$11:$AK$64,8,FALSE),V58)</f>
        <v>DIF</v>
      </c>
      <c r="X58" s="888" t="str">
        <f t="shared" si="9"/>
        <v/>
      </c>
      <c r="Y58" s="888" t="str">
        <f t="shared" si="9"/>
        <v/>
      </c>
      <c r="Z58" s="888" t="str">
        <f t="shared" si="11"/>
        <v/>
      </c>
      <c r="AA58" s="888">
        <f t="shared" si="10"/>
        <v>20</v>
      </c>
      <c r="AB58" s="888">
        <f t="shared" si="10"/>
        <v>40</v>
      </c>
      <c r="AC58" s="888">
        <f t="shared" si="10"/>
        <v>60</v>
      </c>
      <c r="AD58" s="888">
        <f t="shared" si="10"/>
        <v>80</v>
      </c>
      <c r="AE58" s="888">
        <f t="shared" si="10"/>
        <v>120</v>
      </c>
      <c r="AF58" s="888">
        <f t="shared" si="10"/>
        <v>160</v>
      </c>
      <c r="AG58" s="888">
        <f t="shared" si="10"/>
        <v>200</v>
      </c>
      <c r="AH58" s="2015">
        <f>IF(COUNTIF(Psíquicos!$AD$17:$AH$62,U58),VALUE(INDEX('Tablas psiquica'!$X58:$AG58,MATCH('Tablas psiquica'!$W58,'Tablas psiquica'!$X$6:$AG$6,0))),0)</f>
        <v>0</v>
      </c>
      <c r="AJ58" s="2292" t="str">
        <f>IFERROR(IF(VLOOKUP(AK58,$D$7:$G$145,4,FALSE)&lt;&gt;"No",MAX(AJ$5:AJ57)+1,0),"")</f>
        <v/>
      </c>
      <c r="AK58" s="2293" t="str">
        <f t="shared" si="5"/>
        <v/>
      </c>
      <c r="AL58" s="2296" t="str">
        <f>IFERROR(VLOOKUP(Tablas!$A52,$AJ$7:$AK$145,2,FALSE),"")</f>
        <v/>
      </c>
    </row>
    <row r="59" spans="1:38" ht="12.75" customHeight="1" x14ac:dyDescent="0.2">
      <c r="A59" s="766">
        <v>59</v>
      </c>
      <c r="B59" s="761">
        <f>IF(OR(S59=0),0,SUM($S$6:S59))</f>
        <v>0</v>
      </c>
      <c r="C59" s="376"/>
      <c r="D59" s="272" t="s">
        <v>171</v>
      </c>
      <c r="E59" s="370" t="s">
        <v>105</v>
      </c>
      <c r="F59" s="371">
        <v>2</v>
      </c>
      <c r="G59" s="371" t="s">
        <v>2584</v>
      </c>
      <c r="H59" s="372" t="s">
        <v>1304</v>
      </c>
      <c r="I59" s="370" t="s">
        <v>5776</v>
      </c>
      <c r="J59" s="370" t="s">
        <v>5763</v>
      </c>
      <c r="K59" s="370" t="s">
        <v>5762</v>
      </c>
      <c r="L59" s="370" t="s">
        <v>5761</v>
      </c>
      <c r="M59" s="370" t="s">
        <v>5725</v>
      </c>
      <c r="N59" s="370" t="s">
        <v>5822</v>
      </c>
      <c r="O59" s="370" t="s">
        <v>5823</v>
      </c>
      <c r="P59" s="370" t="s">
        <v>5824</v>
      </c>
      <c r="Q59" s="370" t="s">
        <v>5825</v>
      </c>
      <c r="R59" s="390" t="s">
        <v>5826</v>
      </c>
      <c r="S59" s="763">
        <f>IF(COUNTIF(Psíquicos!$C$25:$E$36,E59)=0,0,1)</f>
        <v>0</v>
      </c>
      <c r="U59" s="2014" t="s">
        <v>183</v>
      </c>
      <c r="V59" s="370" t="str">
        <f t="shared" si="7"/>
        <v>DIF</v>
      </c>
      <c r="W59" s="370" t="str">
        <f>IFERROR(VLOOKUP(U59,Psíquicos!$AD$11:$AK$64,8,FALSE),V59)</f>
        <v>DIF</v>
      </c>
      <c r="X59" s="888" t="str">
        <f t="shared" si="9"/>
        <v/>
      </c>
      <c r="Y59" s="888" t="str">
        <f t="shared" si="9"/>
        <v/>
      </c>
      <c r="Z59" s="888" t="str">
        <f t="shared" si="11"/>
        <v/>
      </c>
      <c r="AA59" s="888">
        <f t="shared" si="10"/>
        <v>1</v>
      </c>
      <c r="AB59" s="888">
        <f t="shared" si="10"/>
        <v>2</v>
      </c>
      <c r="AC59" s="888">
        <f t="shared" si="10"/>
        <v>3</v>
      </c>
      <c r="AD59" s="888">
        <f t="shared" si="10"/>
        <v>4</v>
      </c>
      <c r="AE59" s="888">
        <f t="shared" si="10"/>
        <v>5</v>
      </c>
      <c r="AF59" s="888">
        <f t="shared" si="10"/>
        <v>6</v>
      </c>
      <c r="AG59" s="888">
        <f t="shared" si="10"/>
        <v>8</v>
      </c>
      <c r="AH59" s="2015">
        <f>IF(COUNTIF(Psíquicos!$AD$17:$AH$62,U59),VALUE(INDEX('Tablas psiquica'!$X59:$AG59,MATCH('Tablas psiquica'!$W59,'Tablas psiquica'!$X$6:$AG$6,0))),0)</f>
        <v>0</v>
      </c>
      <c r="AJ59" s="2292" t="str">
        <f>IFERROR(IF(VLOOKUP(AK59,$D$7:$G$145,4,FALSE)&lt;&gt;"No",MAX(AJ$5:AJ58)+1,0),"")</f>
        <v/>
      </c>
      <c r="AK59" s="2293" t="str">
        <f t="shared" si="5"/>
        <v/>
      </c>
      <c r="AL59" s="2296" t="str">
        <f>IFERROR(VLOOKUP(Tablas!$A53,$AJ$7:$AK$145,2,FALSE),"")</f>
        <v/>
      </c>
    </row>
    <row r="60" spans="1:38" ht="12.75" customHeight="1" x14ac:dyDescent="0.2">
      <c r="A60" s="766">
        <v>60</v>
      </c>
      <c r="B60" s="761">
        <f>IF(OR(S60=0),0,SUM($S$6:S60))</f>
        <v>0</v>
      </c>
      <c r="C60" s="376"/>
      <c r="D60" s="272" t="s">
        <v>172</v>
      </c>
      <c r="E60" s="370" t="s">
        <v>105</v>
      </c>
      <c r="F60" s="371">
        <v>2</v>
      </c>
      <c r="G60" s="371" t="s">
        <v>2584</v>
      </c>
      <c r="H60" s="372" t="s">
        <v>1305</v>
      </c>
      <c r="I60" s="370" t="s">
        <v>5761</v>
      </c>
      <c r="J60" s="370" t="s">
        <v>5725</v>
      </c>
      <c r="K60" s="370" t="s">
        <v>5726</v>
      </c>
      <c r="L60" s="370" t="s">
        <v>3531</v>
      </c>
      <c r="M60" s="370" t="s">
        <v>3532</v>
      </c>
      <c r="N60" s="370" t="s">
        <v>4241</v>
      </c>
      <c r="O60" s="370" t="s">
        <v>3533</v>
      </c>
      <c r="P60" s="370" t="s">
        <v>5879</v>
      </c>
      <c r="Q60" s="370" t="s">
        <v>5880</v>
      </c>
      <c r="R60" s="390" t="s">
        <v>5881</v>
      </c>
      <c r="S60" s="763">
        <f>IF(COUNTIF(Psíquicos!$C$25:$E$36,E60)=0,0,1)</f>
        <v>0</v>
      </c>
      <c r="U60" s="2014" t="s">
        <v>184</v>
      </c>
      <c r="V60" s="370" t="str">
        <f t="shared" si="7"/>
        <v>DIF</v>
      </c>
      <c r="W60" s="370" t="str">
        <f>IFERROR(VLOOKUP(U60,Psíquicos!$AD$11:$AK$64,8,FALSE),V60)</f>
        <v>DIF</v>
      </c>
      <c r="X60" s="888" t="str">
        <f t="shared" si="9"/>
        <v/>
      </c>
      <c r="Y60" s="888" t="str">
        <f t="shared" si="9"/>
        <v/>
      </c>
      <c r="Z60" s="888" t="str">
        <f t="shared" si="11"/>
        <v/>
      </c>
      <c r="AA60" s="888">
        <f t="shared" si="10"/>
        <v>10</v>
      </c>
      <c r="AB60" s="888">
        <f t="shared" si="10"/>
        <v>20</v>
      </c>
      <c r="AC60" s="888">
        <f t="shared" si="10"/>
        <v>40</v>
      </c>
      <c r="AD60" s="888">
        <f t="shared" si="10"/>
        <v>80</v>
      </c>
      <c r="AE60" s="888">
        <f t="shared" si="10"/>
        <v>120</v>
      </c>
      <c r="AF60" s="888">
        <f t="shared" si="10"/>
        <v>160</v>
      </c>
      <c r="AG60" s="888">
        <f t="shared" si="10"/>
        <v>200</v>
      </c>
      <c r="AH60" s="2015">
        <f>IF(COUNTIF(Psíquicos!$AD$17:$AH$62,U60),VALUE(INDEX('Tablas psiquica'!$X60:$AG60,MATCH('Tablas psiquica'!$W60,'Tablas psiquica'!$X$6:$AG$6,0))),0)</f>
        <v>0</v>
      </c>
      <c r="AJ60" s="2292" t="str">
        <f>IFERROR(IF(VLOOKUP(AK60,$D$7:$G$145,4,FALSE)&lt;&gt;"No",MAX(AJ$5:AJ59)+1,0),"")</f>
        <v/>
      </c>
      <c r="AK60" s="2293" t="str">
        <f t="shared" si="5"/>
        <v/>
      </c>
      <c r="AL60" s="2296" t="str">
        <f>IFERROR(VLOOKUP(Tablas!$A54,$AJ$7:$AK$145,2,FALSE),"")</f>
        <v/>
      </c>
    </row>
    <row r="61" spans="1:38" ht="12.75" customHeight="1" x14ac:dyDescent="0.2">
      <c r="A61" s="766">
        <v>61</v>
      </c>
      <c r="B61" s="761">
        <f>IF(OR(S61=0),0,SUM($S$6:S61))</f>
        <v>0</v>
      </c>
      <c r="C61" s="376"/>
      <c r="D61" s="272" t="s">
        <v>173</v>
      </c>
      <c r="E61" s="370" t="s">
        <v>105</v>
      </c>
      <c r="F61" s="371">
        <v>3</v>
      </c>
      <c r="G61" s="371" t="s">
        <v>2584</v>
      </c>
      <c r="H61" s="372" t="s">
        <v>1304</v>
      </c>
      <c r="I61" s="370" t="s">
        <v>5777</v>
      </c>
      <c r="J61" s="370" t="s">
        <v>5776</v>
      </c>
      <c r="K61" s="370" t="s">
        <v>5763</v>
      </c>
      <c r="L61" s="370" t="s">
        <v>5762</v>
      </c>
      <c r="M61" s="370" t="s">
        <v>5761</v>
      </c>
      <c r="N61" s="370" t="s">
        <v>6179</v>
      </c>
      <c r="O61" s="370" t="s">
        <v>5903</v>
      </c>
      <c r="P61" s="370" t="s">
        <v>10442</v>
      </c>
      <c r="Q61" s="370" t="s">
        <v>5904</v>
      </c>
      <c r="R61" s="390" t="s">
        <v>5905</v>
      </c>
      <c r="S61" s="763">
        <f>IF(COUNTIF(Psíquicos!$C$25:$E$36,E61)=0,0,1)</f>
        <v>0</v>
      </c>
      <c r="U61" s="2014" t="s">
        <v>1368</v>
      </c>
      <c r="V61" s="370" t="str">
        <f t="shared" si="7"/>
        <v>DIF</v>
      </c>
      <c r="W61" s="370" t="str">
        <f>IFERROR(VLOOKUP(U61,Psíquicos!$AD$11:$AK$64,8,FALSE),V61)</f>
        <v>DIF</v>
      </c>
      <c r="X61" s="888" t="str">
        <f t="shared" si="9"/>
        <v/>
      </c>
      <c r="Y61" s="888" t="str">
        <f t="shared" si="9"/>
        <v/>
      </c>
      <c r="Z61" s="888" t="str">
        <f t="shared" si="11"/>
        <v/>
      </c>
      <c r="AA61" s="888">
        <f t="shared" si="10"/>
        <v>1</v>
      </c>
      <c r="AB61" s="888">
        <f t="shared" si="10"/>
        <v>2</v>
      </c>
      <c r="AC61" s="888">
        <f t="shared" si="10"/>
        <v>4</v>
      </c>
      <c r="AD61" s="888">
        <f t="shared" si="10"/>
        <v>6</v>
      </c>
      <c r="AE61" s="888">
        <f t="shared" si="10"/>
        <v>8</v>
      </c>
      <c r="AF61" s="888">
        <f t="shared" si="10"/>
        <v>10</v>
      </c>
      <c r="AG61" s="888">
        <f t="shared" si="10"/>
        <v>12</v>
      </c>
      <c r="AH61" s="2015">
        <f>IF(COUNTIF(Psíquicos!$AD$17:$AH$62,U61),VALUE(INDEX('Tablas psiquica'!$X61:$AG61,MATCH('Tablas psiquica'!$W61,'Tablas psiquica'!$X$6:$AG$6,0))),0)</f>
        <v>0</v>
      </c>
      <c r="AJ61" s="2292" t="str">
        <f>IFERROR(IF(VLOOKUP(AK61,$D$7:$G$145,4,FALSE)&lt;&gt;"No",MAX(AJ$5:AJ60)+1,0),"")</f>
        <v/>
      </c>
      <c r="AK61" s="2293" t="str">
        <f t="shared" si="5"/>
        <v/>
      </c>
      <c r="AL61" s="2296" t="str">
        <f>IFERROR(VLOOKUP(Tablas!$A55,$AJ$7:$AK$145,2,FALSE),"")</f>
        <v/>
      </c>
    </row>
    <row r="62" spans="1:38" ht="12.75" customHeight="1" x14ac:dyDescent="0.2">
      <c r="A62" s="766">
        <v>62</v>
      </c>
      <c r="B62" s="761">
        <f>IF(OR(S62=0),0,SUM($S$6:S62))</f>
        <v>0</v>
      </c>
      <c r="C62" s="376"/>
      <c r="D62" s="272" t="s">
        <v>174</v>
      </c>
      <c r="E62" s="370" t="s">
        <v>105</v>
      </c>
      <c r="F62" s="371">
        <v>3</v>
      </c>
      <c r="G62" s="371" t="s">
        <v>2584</v>
      </c>
      <c r="H62" s="372" t="s">
        <v>1304</v>
      </c>
      <c r="I62" s="370" t="s">
        <v>5777</v>
      </c>
      <c r="J62" s="370" t="s">
        <v>5776</v>
      </c>
      <c r="K62" s="370" t="s">
        <v>5763</v>
      </c>
      <c r="L62" s="370" t="s">
        <v>5762</v>
      </c>
      <c r="M62" s="370" t="s">
        <v>5761</v>
      </c>
      <c r="N62" s="370" t="s">
        <v>10443</v>
      </c>
      <c r="O62" s="370" t="s">
        <v>10444</v>
      </c>
      <c r="P62" s="370" t="s">
        <v>10445</v>
      </c>
      <c r="Q62" s="370" t="s">
        <v>10446</v>
      </c>
      <c r="R62" s="390" t="s">
        <v>10447</v>
      </c>
      <c r="S62" s="763">
        <f>IF(COUNTIF(Psíquicos!$C$25:$E$36,E62)=0,0,1)</f>
        <v>0</v>
      </c>
      <c r="U62" s="2014" t="s">
        <v>186</v>
      </c>
      <c r="V62" s="370" t="str">
        <f>INDEX($I$6:$R$6,SUMPRODUCT(ISNUMBER(SEARCH("Fatiga",I76:R76))*1)+1)</f>
        <v>ABS</v>
      </c>
      <c r="W62" s="370" t="str">
        <f>IFERROR(VLOOKUP(U62,Psíquicos!$AD$11:$AK$64,8,FALSE),V62)</f>
        <v>ABS</v>
      </c>
      <c r="X62" s="888" t="str">
        <f t="shared" ref="X62:AG62" si="12">IF(ISNUMBER(VALUE(MID(I76,SEARCH("+",I76)+1,3))),VALUE(MID(I76,SEARCH("+",I76)+1,3)),"")</f>
        <v/>
      </c>
      <c r="Y62" s="888" t="str">
        <f t="shared" si="12"/>
        <v/>
      </c>
      <c r="Z62" s="888" t="str">
        <f t="shared" si="12"/>
        <v/>
      </c>
      <c r="AA62" s="888" t="str">
        <f t="shared" si="12"/>
        <v/>
      </c>
      <c r="AB62" s="888" t="str">
        <f t="shared" si="12"/>
        <v/>
      </c>
      <c r="AC62" s="888">
        <f t="shared" si="12"/>
        <v>1</v>
      </c>
      <c r="AD62" s="888">
        <f t="shared" si="12"/>
        <v>2</v>
      </c>
      <c r="AE62" s="888">
        <f t="shared" si="12"/>
        <v>4</v>
      </c>
      <c r="AF62" s="888">
        <f t="shared" si="12"/>
        <v>6</v>
      </c>
      <c r="AG62" s="888">
        <f t="shared" si="12"/>
        <v>8</v>
      </c>
      <c r="AH62" s="2015">
        <f>IF(COUNTIF(Psíquicos!$AD$17:$AH$62,U62),VALUE(INDEX('Tablas psiquica'!$X62:$AG62,MATCH('Tablas psiquica'!$W62,'Tablas psiquica'!$X$6:$AG$6,0))),0)</f>
        <v>0</v>
      </c>
      <c r="AJ62" s="2292" t="str">
        <f>IFERROR(IF(VLOOKUP(AK62,$D$7:$G$145,4,FALSE)&lt;&gt;"No",MAX(AJ$5:AJ61)+1,0),"")</f>
        <v/>
      </c>
      <c r="AK62" s="2293" t="str">
        <f t="shared" si="5"/>
        <v/>
      </c>
      <c r="AL62" s="2296" t="str">
        <f>IFERROR(VLOOKUP(Tablas!$A56,$AJ$7:$AK$145,2,FALSE),"")</f>
        <v/>
      </c>
    </row>
    <row r="63" spans="1:38" ht="12.75" customHeight="1" x14ac:dyDescent="0.2">
      <c r="A63" s="766">
        <v>63</v>
      </c>
      <c r="B63" s="761">
        <f>IF(OR(S63=0),0,SUM($S$6:S63))</f>
        <v>0</v>
      </c>
      <c r="C63" s="376"/>
      <c r="D63" s="272" t="s">
        <v>175</v>
      </c>
      <c r="E63" s="370" t="s">
        <v>105</v>
      </c>
      <c r="F63" s="371">
        <v>3</v>
      </c>
      <c r="G63" s="371" t="s">
        <v>2584</v>
      </c>
      <c r="H63" s="372" t="s">
        <v>1304</v>
      </c>
      <c r="I63" s="370" t="s">
        <v>5844</v>
      </c>
      <c r="J63" s="370" t="s">
        <v>5777</v>
      </c>
      <c r="K63" s="370" t="s">
        <v>5776</v>
      </c>
      <c r="L63" s="370" t="s">
        <v>5763</v>
      </c>
      <c r="M63" s="370" t="s">
        <v>5762</v>
      </c>
      <c r="N63" s="370" t="s">
        <v>5761</v>
      </c>
      <c r="O63" s="370" t="s">
        <v>5879</v>
      </c>
      <c r="P63" s="370" t="s">
        <v>5880</v>
      </c>
      <c r="Q63" s="370" t="s">
        <v>5881</v>
      </c>
      <c r="R63" s="390" t="s">
        <v>5902</v>
      </c>
      <c r="S63" s="763">
        <f>IF(COUNTIF(Psíquicos!$C$25:$E$36,E63)=0,0,1)</f>
        <v>0</v>
      </c>
      <c r="U63" s="2014" t="s">
        <v>187</v>
      </c>
      <c r="V63" s="370" t="str">
        <f>INDEX($I$6:$R$6,SUMPRODUCT(ISNUMBER(SEARCH("Fatiga",I77:R77))*1)+1)</f>
        <v>ABS</v>
      </c>
      <c r="W63" s="370" t="str">
        <f>IFERROR(VLOOKUP(U63,Psíquicos!$AD$11:$AK$64,8,FALSE),V63)</f>
        <v>ABS</v>
      </c>
      <c r="X63" s="888"/>
      <c r="Y63" s="888"/>
      <c r="Z63" s="888"/>
      <c r="AA63" s="888"/>
      <c r="AB63" s="888"/>
      <c r="AC63" s="888"/>
      <c r="AD63" s="888"/>
      <c r="AE63" s="888"/>
      <c r="AF63" s="888"/>
      <c r="AG63" s="888"/>
      <c r="AH63" s="2015">
        <f>IF(COUNTIF(Psíquicos!$AD$17:$AH$62,U63),VALUE(INDEX('Tablas psiquica'!$X63:$AG63,MATCH('Tablas psiquica'!$W63,'Tablas psiquica'!$X$6:$AG$6,0))),0)</f>
        <v>0</v>
      </c>
      <c r="AJ63" s="2292" t="str">
        <f>IFERROR(IF(VLOOKUP(AK63,$D$7:$G$145,4,FALSE)&lt;&gt;"No",MAX(AJ$5:AJ62)+1,0),"")</f>
        <v/>
      </c>
      <c r="AK63" s="2293" t="str">
        <f t="shared" si="5"/>
        <v/>
      </c>
      <c r="AL63" s="2296" t="str">
        <f>IFERROR(VLOOKUP(Tablas!$A57,$AJ$7:$AK$145,2,FALSE),"")</f>
        <v/>
      </c>
    </row>
    <row r="64" spans="1:38" ht="12.75" customHeight="1" x14ac:dyDescent="0.2">
      <c r="A64" s="766">
        <v>64</v>
      </c>
      <c r="B64" s="761">
        <f>IF(OR(S64=0),0,SUM($S$6:S64))</f>
        <v>0</v>
      </c>
      <c r="C64" s="376"/>
      <c r="D64" s="272" t="s">
        <v>176</v>
      </c>
      <c r="E64" s="370"/>
      <c r="F64" s="371"/>
      <c r="G64" s="371"/>
      <c r="H64" s="372"/>
      <c r="I64" s="370"/>
      <c r="J64" s="370"/>
      <c r="K64" s="370"/>
      <c r="L64" s="370"/>
      <c r="M64" s="370"/>
      <c r="N64" s="370"/>
      <c r="O64" s="370"/>
      <c r="P64" s="370"/>
      <c r="Q64" s="370"/>
      <c r="R64" s="390"/>
      <c r="S64" s="765">
        <f>S65</f>
        <v>0</v>
      </c>
      <c r="U64" s="2014" t="s">
        <v>188</v>
      </c>
      <c r="V64" s="888"/>
      <c r="W64" s="370"/>
      <c r="X64" s="888"/>
      <c r="Y64" s="888"/>
      <c r="Z64" s="888"/>
      <c r="AA64" s="888"/>
      <c r="AB64" s="888"/>
      <c r="AC64" s="888"/>
      <c r="AD64" s="888"/>
      <c r="AE64" s="888"/>
      <c r="AF64" s="888"/>
      <c r="AG64" s="888"/>
      <c r="AH64" s="2015" t="e">
        <f>IF(COUNTIF(Psíquicos!$AD$17:$AH$62,U64),VALUE(INDEX('Tablas psiquica'!$X64:$AG64,MATCH('Tablas psiquica'!$W64,'Tablas psiquica'!$X$6:$AG$6,0))),0)</f>
        <v>#N/A</v>
      </c>
      <c r="AJ64" s="2292" t="str">
        <f>IFERROR(IF(VLOOKUP(AK64,$D$7:$G$145,4,FALSE)&lt;&gt;"No",MAX(AJ$5:AJ63)+1,0),"")</f>
        <v/>
      </c>
      <c r="AK64" s="2293" t="str">
        <f t="shared" si="5"/>
        <v/>
      </c>
      <c r="AL64" s="2296" t="str">
        <f>IFERROR(VLOOKUP(Tablas!$A58,$AJ$7:$AK$145,2,FALSE),"")</f>
        <v/>
      </c>
    </row>
    <row r="65" spans="1:38" ht="12.75" customHeight="1" x14ac:dyDescent="0.2">
      <c r="A65" s="766">
        <v>65</v>
      </c>
      <c r="B65" s="761">
        <f>IF(OR(S65=0),0,SUM($S$6:S65))</f>
        <v>0</v>
      </c>
      <c r="C65" s="376"/>
      <c r="D65" s="272" t="s">
        <v>177</v>
      </c>
      <c r="E65" s="370" t="s">
        <v>107</v>
      </c>
      <c r="F65" s="371">
        <v>1</v>
      </c>
      <c r="G65" s="371" t="s">
        <v>2584</v>
      </c>
      <c r="H65" s="372" t="s">
        <v>1304</v>
      </c>
      <c r="I65" s="370" t="s">
        <v>5725</v>
      </c>
      <c r="J65" s="370" t="s">
        <v>5923</v>
      </c>
      <c r="K65" s="370" t="s">
        <v>5924</v>
      </c>
      <c r="L65" s="370" t="s">
        <v>5925</v>
      </c>
      <c r="M65" s="370" t="s">
        <v>5926</v>
      </c>
      <c r="N65" s="370" t="s">
        <v>5927</v>
      </c>
      <c r="O65" s="370" t="s">
        <v>5928</v>
      </c>
      <c r="P65" s="370" t="s">
        <v>5929</v>
      </c>
      <c r="Q65" s="370" t="s">
        <v>5930</v>
      </c>
      <c r="R65" s="390" t="s">
        <v>5931</v>
      </c>
      <c r="S65" s="763">
        <f>IF(COUNTIF(Psíquicos!$C$25:$E$36,E65)=0,0,1)</f>
        <v>0</v>
      </c>
      <c r="U65" s="2014" t="s">
        <v>189</v>
      </c>
      <c r="V65" s="370" t="str">
        <f>INDEX($I$6:$R$6,SUMPRODUCT(ISNUMBER(SEARCH("Fatiga",I79:R79))*1)+1)</f>
        <v>MED</v>
      </c>
      <c r="W65" s="370" t="str">
        <f>IFERROR(VLOOKUP(U65,Psíquicos!$AD$11:$AK$64,8,FALSE),V65)</f>
        <v>MED</v>
      </c>
      <c r="X65" s="888"/>
      <c r="Y65" s="888"/>
      <c r="Z65" s="888"/>
      <c r="AA65" s="888"/>
      <c r="AB65" s="888"/>
      <c r="AC65" s="888"/>
      <c r="AD65" s="888"/>
      <c r="AE65" s="888"/>
      <c r="AF65" s="888"/>
      <c r="AG65" s="888"/>
      <c r="AH65" s="2015">
        <f>IF(COUNTIF(Psíquicos!$AD$17:$AH$62,U65),VALUE(INDEX('Tablas psiquica'!$X65:$AG65,MATCH('Tablas psiquica'!$W65,'Tablas psiquica'!$X$6:$AG$6,0))),0)</f>
        <v>0</v>
      </c>
      <c r="AJ65" s="2292" t="str">
        <f>IFERROR(IF(VLOOKUP(AK65,$D$7:$G$145,4,FALSE)&lt;&gt;"No",MAX(AJ$5:AJ64)+1,0),"")</f>
        <v/>
      </c>
      <c r="AK65" s="2293" t="str">
        <f t="shared" si="5"/>
        <v/>
      </c>
      <c r="AL65" s="2296" t="str">
        <f>IFERROR(VLOOKUP(Tablas!$A59,$AJ$7:$AK$145,2,FALSE),"")</f>
        <v/>
      </c>
    </row>
    <row r="66" spans="1:38" ht="12.75" customHeight="1" x14ac:dyDescent="0.2">
      <c r="A66" s="766">
        <v>66</v>
      </c>
      <c r="B66" s="761">
        <f>IF(OR(S66=0),0,SUM($S$6:S66))</f>
        <v>0</v>
      </c>
      <c r="C66" s="376"/>
      <c r="D66" s="272" t="s">
        <v>178</v>
      </c>
      <c r="E66" s="370" t="s">
        <v>107</v>
      </c>
      <c r="F66" s="371">
        <v>1</v>
      </c>
      <c r="G66" s="371" t="s">
        <v>2584</v>
      </c>
      <c r="H66" s="372" t="s">
        <v>1304</v>
      </c>
      <c r="I66" s="370" t="s">
        <v>5725</v>
      </c>
      <c r="J66" s="370" t="s">
        <v>5932</v>
      </c>
      <c r="K66" s="370" t="s">
        <v>5933</v>
      </c>
      <c r="L66" s="370" t="s">
        <v>5934</v>
      </c>
      <c r="M66" s="370" t="s">
        <v>5935</v>
      </c>
      <c r="N66" s="370" t="s">
        <v>5936</v>
      </c>
      <c r="O66" s="370" t="s">
        <v>5937</v>
      </c>
      <c r="P66" s="370" t="s">
        <v>5938</v>
      </c>
      <c r="Q66" s="370" t="s">
        <v>5939</v>
      </c>
      <c r="R66" s="390" t="s">
        <v>5940</v>
      </c>
      <c r="S66" s="763">
        <f>IF(COUNTIF(Psíquicos!$C$25:$E$36,E66)=0,0,1)</f>
        <v>0</v>
      </c>
      <c r="U66" s="2014" t="s">
        <v>190</v>
      </c>
      <c r="V66" s="370" t="str">
        <f>INDEX($I$6:$R$6,SUMPRODUCT(ISNUMBER(SEARCH("Fatiga",I80:R80))*1)+1)</f>
        <v>MED</v>
      </c>
      <c r="W66" s="370" t="str">
        <f>IFERROR(VLOOKUP(U66,Psíquicos!$AD$11:$AK$64,8,FALSE),V66)</f>
        <v>MED</v>
      </c>
      <c r="X66" s="888"/>
      <c r="Y66" s="888"/>
      <c r="Z66" s="888"/>
      <c r="AA66" s="888"/>
      <c r="AB66" s="888"/>
      <c r="AC66" s="888"/>
      <c r="AD66" s="888"/>
      <c r="AE66" s="888"/>
      <c r="AF66" s="888"/>
      <c r="AG66" s="888"/>
      <c r="AH66" s="2015">
        <f>IF(COUNTIF(Psíquicos!$AD$17:$AH$62,U66),VALUE(INDEX('Tablas psiquica'!$X66:$AG66,MATCH('Tablas psiquica'!$W66,'Tablas psiquica'!$X$6:$AG$6,0))),0)</f>
        <v>0</v>
      </c>
      <c r="AJ66" s="2292" t="str">
        <f>IFERROR(IF(VLOOKUP(AK66,$D$7:$G$145,4,FALSE)&lt;&gt;"No",MAX(AJ$5:AJ65)+1,0),"")</f>
        <v/>
      </c>
      <c r="AK66" s="2293" t="str">
        <f t="shared" si="5"/>
        <v/>
      </c>
      <c r="AL66" s="2296" t="str">
        <f>IFERROR(VLOOKUP(Tablas!$A60,$AJ$7:$AK$145,2,FALSE),"")</f>
        <v/>
      </c>
    </row>
    <row r="67" spans="1:38" ht="12.75" customHeight="1" x14ac:dyDescent="0.2">
      <c r="A67" s="766">
        <v>67</v>
      </c>
      <c r="B67" s="761">
        <f>IF(OR(S67=0),0,SUM($S$6:S67))</f>
        <v>0</v>
      </c>
      <c r="C67" s="376"/>
      <c r="D67" s="272" t="s">
        <v>179</v>
      </c>
      <c r="E67" s="370" t="s">
        <v>107</v>
      </c>
      <c r="F67" s="371">
        <v>1</v>
      </c>
      <c r="G67" s="371" t="s">
        <v>2584</v>
      </c>
      <c r="H67" s="372" t="s">
        <v>1304</v>
      </c>
      <c r="I67" s="370" t="s">
        <v>5761</v>
      </c>
      <c r="J67" s="370" t="s">
        <v>5725</v>
      </c>
      <c r="K67" s="370" t="s">
        <v>5941</v>
      </c>
      <c r="L67" s="370" t="s">
        <v>5942</v>
      </c>
      <c r="M67" s="370" t="s">
        <v>5943</v>
      </c>
      <c r="N67" s="370" t="s">
        <v>5944</v>
      </c>
      <c r="O67" s="370" t="s">
        <v>5945</v>
      </c>
      <c r="P67" s="370" t="s">
        <v>5946</v>
      </c>
      <c r="Q67" s="370" t="s">
        <v>5947</v>
      </c>
      <c r="R67" s="390" t="s">
        <v>5948</v>
      </c>
      <c r="S67" s="763">
        <f>IF(COUNTIF(Psíquicos!$C$25:$E$36,E67)=0,0,1)</f>
        <v>0</v>
      </c>
      <c r="U67" s="2014" t="s">
        <v>191</v>
      </c>
      <c r="V67" s="370" t="str">
        <f>INDEX($I$6:$R$6,SUMPRODUCT(ISNUMBER(SEARCH("Fatiga",I81:R81))*1)+1)</f>
        <v>DIF</v>
      </c>
      <c r="W67" s="370" t="str">
        <f>IFERROR(VLOOKUP(U67,Psíquicos!$AD$11:$AK$64,8,FALSE),V67)</f>
        <v>DIF</v>
      </c>
      <c r="X67" s="888"/>
      <c r="Y67" s="888"/>
      <c r="Z67" s="888"/>
      <c r="AA67" s="888"/>
      <c r="AB67" s="888"/>
      <c r="AC67" s="888"/>
      <c r="AD67" s="888"/>
      <c r="AE67" s="888"/>
      <c r="AF67" s="888"/>
      <c r="AG67" s="888"/>
      <c r="AH67" s="2015">
        <f>IF(COUNTIF(Psíquicos!$AD$17:$AH$62,U67),VALUE(INDEX('Tablas psiquica'!$X67:$AG67,MATCH('Tablas psiquica'!$W67,'Tablas psiquica'!$X$6:$AG$6,0))),0)</f>
        <v>0</v>
      </c>
      <c r="AJ67" s="2292" t="str">
        <f>IFERROR(IF(VLOOKUP(AK67,$D$7:$G$145,4,FALSE)&lt;&gt;"No",MAX(AJ$5:AJ66)+1,0),"")</f>
        <v/>
      </c>
      <c r="AK67" s="2293" t="str">
        <f t="shared" si="5"/>
        <v/>
      </c>
      <c r="AL67" s="2296" t="str">
        <f>IFERROR(VLOOKUP(Tablas!$A61,$AJ$7:$AK$145,2,FALSE),"")</f>
        <v/>
      </c>
    </row>
    <row r="68" spans="1:38" ht="12.75" customHeight="1" x14ac:dyDescent="0.2">
      <c r="A68" s="766">
        <v>68</v>
      </c>
      <c r="B68" s="761">
        <f>IF(OR(S68=0),0,SUM($S$6:S68))</f>
        <v>0</v>
      </c>
      <c r="C68" s="376"/>
      <c r="D68" s="272" t="s">
        <v>1682</v>
      </c>
      <c r="E68" s="370" t="s">
        <v>107</v>
      </c>
      <c r="F68" s="371">
        <v>1</v>
      </c>
      <c r="G68" s="371" t="s">
        <v>2584</v>
      </c>
      <c r="H68" s="372" t="s">
        <v>1304</v>
      </c>
      <c r="I68" s="370" t="s">
        <v>5761</v>
      </c>
      <c r="J68" s="370" t="s">
        <v>5725</v>
      </c>
      <c r="K68" s="370" t="s">
        <v>1682</v>
      </c>
      <c r="L68" s="370" t="s">
        <v>7192</v>
      </c>
      <c r="M68" s="370" t="s">
        <v>5949</v>
      </c>
      <c r="N68" s="370" t="s">
        <v>5950</v>
      </c>
      <c r="O68" s="370" t="s">
        <v>5951</v>
      </c>
      <c r="P68" s="370" t="s">
        <v>5952</v>
      </c>
      <c r="Q68" s="370" t="s">
        <v>5953</v>
      </c>
      <c r="R68" s="390" t="s">
        <v>5954</v>
      </c>
      <c r="S68" s="763">
        <f>IF(COUNTIF(Psíquicos!$C$25:$E$36,E68)=0,0,1)</f>
        <v>0</v>
      </c>
      <c r="U68" s="2014" t="s">
        <v>192</v>
      </c>
      <c r="V68" s="370" t="str">
        <f>INDEX($I$6:$R$6,SUMPRODUCT(ISNUMBER(SEARCH("Fatiga",I82:R82))*1)+1)</f>
        <v>DIF</v>
      </c>
      <c r="W68" s="370" t="str">
        <f>IFERROR(VLOOKUP(U68,Psíquicos!$AD$11:$AK$64,8,FALSE),V68)</f>
        <v>DIF</v>
      </c>
      <c r="X68" s="888"/>
      <c r="Y68" s="888"/>
      <c r="Z68" s="888"/>
      <c r="AA68" s="888"/>
      <c r="AB68" s="888"/>
      <c r="AC68" s="888"/>
      <c r="AD68" s="888"/>
      <c r="AE68" s="888"/>
      <c r="AF68" s="888"/>
      <c r="AG68" s="888"/>
      <c r="AH68" s="2015">
        <f>IF(COUNTIF(Psíquicos!$AD$17:$AH$62,U68),VALUE(INDEX('Tablas psiquica'!$X68:$AG68,MATCH('Tablas psiquica'!$W68,'Tablas psiquica'!$X$6:$AG$6,0))),0)</f>
        <v>0</v>
      </c>
      <c r="AJ68" s="2292" t="str">
        <f>IFERROR(IF(VLOOKUP(AK68,$D$7:$G$145,4,FALSE)&lt;&gt;"No",MAX(AJ$5:AJ67)+1,0),"")</f>
        <v/>
      </c>
      <c r="AK68" s="2293" t="str">
        <f t="shared" si="5"/>
        <v/>
      </c>
      <c r="AL68" s="2296" t="str">
        <f>IFERROR(VLOOKUP(Tablas!$A62,$AJ$7:$AK$145,2,FALSE),"")</f>
        <v/>
      </c>
    </row>
    <row r="69" spans="1:38" ht="12.75" customHeight="1" x14ac:dyDescent="0.2">
      <c r="A69" s="766">
        <v>69</v>
      </c>
      <c r="B69" s="761">
        <f>IF(OR(S69=0),0,SUM($S$6:S69))</f>
        <v>0</v>
      </c>
      <c r="C69" s="376"/>
      <c r="D69" s="272" t="s">
        <v>180</v>
      </c>
      <c r="E69" s="370" t="s">
        <v>107</v>
      </c>
      <c r="F69" s="371">
        <v>1</v>
      </c>
      <c r="G69" s="371" t="s">
        <v>2584</v>
      </c>
      <c r="H69" s="372" t="s">
        <v>1304</v>
      </c>
      <c r="I69" s="370" t="s">
        <v>5762</v>
      </c>
      <c r="J69" s="370" t="s">
        <v>5761</v>
      </c>
      <c r="K69" s="370" t="s">
        <v>5725</v>
      </c>
      <c r="L69" s="370" t="s">
        <v>5955</v>
      </c>
      <c r="M69" s="370" t="s">
        <v>5956</v>
      </c>
      <c r="N69" s="370" t="s">
        <v>5957</v>
      </c>
      <c r="O69" s="370" t="s">
        <v>5958</v>
      </c>
      <c r="P69" s="370" t="s">
        <v>5959</v>
      </c>
      <c r="Q69" s="370" t="s">
        <v>5960</v>
      </c>
      <c r="R69" s="390" t="s">
        <v>5961</v>
      </c>
      <c r="S69" s="763">
        <f>IF(COUNTIF(Psíquicos!$C$25:$E$36,E69)=0,0,1)</f>
        <v>0</v>
      </c>
      <c r="U69" s="2014" t="s">
        <v>195</v>
      </c>
      <c r="V69" s="370" t="str">
        <f>INDEX($I$6:$R$6,SUMPRODUCT(ISNUMBER(SEARCH("Fatiga",I85:R85))*1)+1)</f>
        <v>ABS</v>
      </c>
      <c r="W69" s="370" t="str">
        <f>IFERROR(VLOOKUP(U69,Psíquicos!$AD$11:$AK$64,8,FALSE),V69)</f>
        <v>ABS</v>
      </c>
      <c r="X69" s="888"/>
      <c r="Y69" s="888"/>
      <c r="Z69" s="888"/>
      <c r="AA69" s="888"/>
      <c r="AB69" s="888"/>
      <c r="AC69" s="888"/>
      <c r="AD69" s="888"/>
      <c r="AE69" s="888"/>
      <c r="AF69" s="888"/>
      <c r="AG69" s="888"/>
      <c r="AH69" s="2015">
        <f>IF(COUNTIF(Psíquicos!$AD$17:$AH$62,U69),VALUE(INDEX('Tablas psiquica'!$X69:$AG69,MATCH('Tablas psiquica'!$W69,'Tablas psiquica'!$X$6:$AG$6,0))),0)</f>
        <v>0</v>
      </c>
      <c r="AJ69" s="2292" t="str">
        <f>IFERROR(IF(VLOOKUP(AK69,$D$7:$G$145,4,FALSE)&lt;&gt;"No",MAX(AJ$5:AJ68)+1,0),"")</f>
        <v/>
      </c>
      <c r="AK69" s="2293" t="str">
        <f t="shared" si="5"/>
        <v/>
      </c>
      <c r="AL69" s="2296" t="str">
        <f>IFERROR(VLOOKUP(Tablas!$A63,$AJ$7:$AK$145,2,FALSE),"")</f>
        <v/>
      </c>
    </row>
    <row r="70" spans="1:38" ht="12.75" customHeight="1" x14ac:dyDescent="0.2">
      <c r="A70" s="766">
        <v>70</v>
      </c>
      <c r="B70" s="761">
        <f>IF(OR(S70=0),0,SUM($S$6:S70))</f>
        <v>0</v>
      </c>
      <c r="C70" s="376"/>
      <c r="D70" s="272" t="s">
        <v>181</v>
      </c>
      <c r="E70" s="370" t="s">
        <v>107</v>
      </c>
      <c r="F70" s="371">
        <v>1</v>
      </c>
      <c r="G70" s="371" t="s">
        <v>2584</v>
      </c>
      <c r="H70" s="372" t="s">
        <v>1304</v>
      </c>
      <c r="I70" s="370" t="s">
        <v>5761</v>
      </c>
      <c r="J70" s="370" t="s">
        <v>5725</v>
      </c>
      <c r="K70" s="370" t="s">
        <v>5962</v>
      </c>
      <c r="L70" s="370" t="s">
        <v>5963</v>
      </c>
      <c r="M70" s="370" t="s">
        <v>5964</v>
      </c>
      <c r="N70" s="370" t="s">
        <v>5965</v>
      </c>
      <c r="O70" s="370" t="s">
        <v>5966</v>
      </c>
      <c r="P70" s="370" t="s">
        <v>5967</v>
      </c>
      <c r="Q70" s="370" t="s">
        <v>5968</v>
      </c>
      <c r="R70" s="390" t="s">
        <v>5969</v>
      </c>
      <c r="S70" s="763">
        <f>IF(COUNTIF(Psíquicos!$C$25:$E$36,E70)=0,0,1)</f>
        <v>0</v>
      </c>
      <c r="U70" s="2014" t="s">
        <v>196</v>
      </c>
      <c r="V70" s="370" t="str">
        <f>INDEX($I$6:$R$6,SUMPRODUCT(ISNUMBER(SEARCH("Fatiga",I86:R86))*1)+1)</f>
        <v>DIF</v>
      </c>
      <c r="W70" s="370" t="str">
        <f>IFERROR(VLOOKUP(U70,Psíquicos!$AD$11:$AK$64,8,FALSE),V70)</f>
        <v>DIF</v>
      </c>
      <c r="X70" s="888"/>
      <c r="Y70" s="888"/>
      <c r="Z70" s="888"/>
      <c r="AA70" s="888"/>
      <c r="AB70" s="888"/>
      <c r="AC70" s="888"/>
      <c r="AD70" s="888"/>
      <c r="AE70" s="888"/>
      <c r="AF70" s="888"/>
      <c r="AG70" s="888"/>
      <c r="AH70" s="2015">
        <f>IF(COUNTIF(Psíquicos!$AD$17:$AH$62,U70),VALUE(INDEX('Tablas psiquica'!$X70:$AG70,MATCH('Tablas psiquica'!$W70,'Tablas psiquica'!$X$6:$AG$6,0))),0)</f>
        <v>0</v>
      </c>
      <c r="AJ70" s="2292" t="str">
        <f>IFERROR(IF(VLOOKUP(AK70,$D$7:$G$145,4,FALSE)&lt;&gt;"No",MAX(AJ$5:AJ69)+1,0),"")</f>
        <v/>
      </c>
      <c r="AK70" s="2293" t="str">
        <f t="shared" si="5"/>
        <v/>
      </c>
      <c r="AL70" s="2296" t="str">
        <f>IFERROR(VLOOKUP(Tablas!$A64,$AJ$7:$AK$145,2,FALSE),"")</f>
        <v/>
      </c>
    </row>
    <row r="71" spans="1:38" ht="12.75" customHeight="1" x14ac:dyDescent="0.2">
      <c r="A71" s="766">
        <v>71</v>
      </c>
      <c r="B71" s="761">
        <f>IF(OR(S71=0),0,SUM($S$6:S71))</f>
        <v>0</v>
      </c>
      <c r="C71" s="376"/>
      <c r="D71" s="272" t="s">
        <v>182</v>
      </c>
      <c r="E71" s="370" t="s">
        <v>107</v>
      </c>
      <c r="F71" s="371">
        <v>2</v>
      </c>
      <c r="G71" s="371" t="s">
        <v>2584</v>
      </c>
      <c r="H71" s="372" t="s">
        <v>1304</v>
      </c>
      <c r="I71" s="370" t="s">
        <v>5763</v>
      </c>
      <c r="J71" s="370" t="s">
        <v>5761</v>
      </c>
      <c r="K71" s="370" t="s">
        <v>5725</v>
      </c>
      <c r="L71" s="370" t="s">
        <v>5970</v>
      </c>
      <c r="M71" s="370" t="s">
        <v>5971</v>
      </c>
      <c r="N71" s="370" t="s">
        <v>5972</v>
      </c>
      <c r="O71" s="370" t="s">
        <v>5973</v>
      </c>
      <c r="P71" s="370" t="s">
        <v>5974</v>
      </c>
      <c r="Q71" s="370" t="s">
        <v>5975</v>
      </c>
      <c r="R71" s="390" t="s">
        <v>5976</v>
      </c>
      <c r="S71" s="763">
        <f>IF(COUNTIF(Psíquicos!$C$25:$E$36,E71)=0,0,1)</f>
        <v>0</v>
      </c>
      <c r="U71" s="2014" t="s">
        <v>199</v>
      </c>
      <c r="V71" s="370" t="str">
        <f>INDEX($I$6:$R$6,SUMPRODUCT(ISNUMBER(SEARCH("Fatiga",I89:R89))*1)+1)</f>
        <v>CIM</v>
      </c>
      <c r="W71" s="370" t="str">
        <f>IFERROR(VLOOKUP(U71,Psíquicos!$AD$11:$AK$64,8,FALSE),V71)</f>
        <v>CIM</v>
      </c>
      <c r="X71" s="888"/>
      <c r="Y71" s="888"/>
      <c r="Z71" s="888"/>
      <c r="AA71" s="888"/>
      <c r="AB71" s="888"/>
      <c r="AC71" s="888"/>
      <c r="AD71" s="888"/>
      <c r="AE71" s="888"/>
      <c r="AF71" s="888"/>
      <c r="AG71" s="888"/>
      <c r="AH71" s="2015">
        <f>IF(COUNTIF(Psíquicos!$AD$17:$AH$62,U71),VALUE(INDEX('Tablas psiquica'!$X71:$AG71,MATCH('Tablas psiquica'!$W71,'Tablas psiquica'!$X$6:$AG$6,0))),0)</f>
        <v>0</v>
      </c>
      <c r="AJ71" s="2292" t="str">
        <f>IFERROR(IF(VLOOKUP(AK71,$D$7:$G$145,4,FALSE)&lt;&gt;"No",MAX(AJ$5:AJ70)+1,0),"")</f>
        <v/>
      </c>
      <c r="AK71" s="2293" t="str">
        <f t="shared" ref="AK71:AK102" si="13">IF(ISNA(VLOOKUP(A65,$B$7:$D$145,3,FALSE)),"",VLOOKUP(A65,$B$7:$D$145,3,FALSE))</f>
        <v/>
      </c>
      <c r="AL71" s="2296" t="str">
        <f>IFERROR(VLOOKUP(Tablas!$A65,$AJ$7:$AK$145,2,FALSE),"")</f>
        <v/>
      </c>
    </row>
    <row r="72" spans="1:38" ht="12.75" customHeight="1" x14ac:dyDescent="0.2">
      <c r="A72" s="766">
        <v>72</v>
      </c>
      <c r="B72" s="761">
        <f>IF(OR(S72=0),0,SUM($S$6:S72))</f>
        <v>0</v>
      </c>
      <c r="C72" s="376"/>
      <c r="D72" s="272" t="s">
        <v>183</v>
      </c>
      <c r="E72" s="370" t="s">
        <v>107</v>
      </c>
      <c r="F72" s="371">
        <v>2</v>
      </c>
      <c r="G72" s="371" t="s">
        <v>2584</v>
      </c>
      <c r="H72" s="372" t="s">
        <v>1304</v>
      </c>
      <c r="I72" s="370" t="s">
        <v>5763</v>
      </c>
      <c r="J72" s="370" t="s">
        <v>5761</v>
      </c>
      <c r="K72" s="370" t="s">
        <v>5725</v>
      </c>
      <c r="L72" s="370" t="s">
        <v>5977</v>
      </c>
      <c r="M72" s="370" t="s">
        <v>5978</v>
      </c>
      <c r="N72" s="370" t="s">
        <v>5979</v>
      </c>
      <c r="O72" s="370" t="s">
        <v>5980</v>
      </c>
      <c r="P72" s="370" t="s">
        <v>5981</v>
      </c>
      <c r="Q72" s="370" t="s">
        <v>5982</v>
      </c>
      <c r="R72" s="390" t="s">
        <v>5983</v>
      </c>
      <c r="S72" s="763">
        <f>IF(COUNTIF(Psíquicos!$C$25:$E$36,E72)=0,0,1)</f>
        <v>0</v>
      </c>
      <c r="U72" s="2014" t="s">
        <v>200</v>
      </c>
      <c r="V72" s="370"/>
      <c r="W72" s="370"/>
      <c r="X72" s="888"/>
      <c r="Y72" s="888"/>
      <c r="Z72" s="888"/>
      <c r="AA72" s="888"/>
      <c r="AB72" s="888"/>
      <c r="AC72" s="888"/>
      <c r="AD72" s="888"/>
      <c r="AE72" s="888"/>
      <c r="AF72" s="888"/>
      <c r="AG72" s="888"/>
      <c r="AH72" s="2015" t="e">
        <f>IF(COUNTIF(Psíquicos!$AD$17:$AH$62,U72),VALUE(INDEX('Tablas psiquica'!$X72:$AG72,MATCH('Tablas psiquica'!$W72,'Tablas psiquica'!$X$6:$AG$6,0))),0)</f>
        <v>#N/A</v>
      </c>
      <c r="AJ72" s="2292" t="str">
        <f>IFERROR(IF(VLOOKUP(AK72,$D$7:$G$145,4,FALSE)&lt;&gt;"No",MAX(AJ$5:AJ71)+1,0),"")</f>
        <v/>
      </c>
      <c r="AK72" s="2293" t="str">
        <f t="shared" si="13"/>
        <v/>
      </c>
      <c r="AL72" s="2296" t="str">
        <f>IFERROR(VLOOKUP(Tablas!$A66,$AJ$7:$AK$145,2,FALSE),"")</f>
        <v/>
      </c>
    </row>
    <row r="73" spans="1:38" ht="12.75" customHeight="1" x14ac:dyDescent="0.2">
      <c r="A73" s="766">
        <v>73</v>
      </c>
      <c r="B73" s="761">
        <f>IF(OR(S73=0),0,SUM($S$6:S73))</f>
        <v>0</v>
      </c>
      <c r="C73" s="376"/>
      <c r="D73" s="272" t="s">
        <v>184</v>
      </c>
      <c r="E73" s="370" t="s">
        <v>107</v>
      </c>
      <c r="F73" s="371">
        <v>2</v>
      </c>
      <c r="G73" s="371" t="s">
        <v>2584</v>
      </c>
      <c r="H73" s="372" t="s">
        <v>1305</v>
      </c>
      <c r="I73" s="370" t="s">
        <v>5763</v>
      </c>
      <c r="J73" s="370" t="s">
        <v>5761</v>
      </c>
      <c r="K73" s="370" t="s">
        <v>5725</v>
      </c>
      <c r="L73" s="370" t="s">
        <v>5984</v>
      </c>
      <c r="M73" s="370" t="s">
        <v>5985</v>
      </c>
      <c r="N73" s="370" t="s">
        <v>5986</v>
      </c>
      <c r="O73" s="370" t="s">
        <v>5987</v>
      </c>
      <c r="P73" s="370" t="s">
        <v>5988</v>
      </c>
      <c r="Q73" s="370" t="s">
        <v>5989</v>
      </c>
      <c r="R73" s="390" t="s">
        <v>5990</v>
      </c>
      <c r="S73" s="763">
        <f>IF(COUNTIF(Psíquicos!$C$25:$E$36,E73)=0,0,1)</f>
        <v>0</v>
      </c>
      <c r="U73" s="2014" t="s">
        <v>201</v>
      </c>
      <c r="V73" s="370" t="str">
        <f t="shared" ref="V73:V80" si="14">INDEX($I$6:$R$6,SUMPRODUCT(ISNUMBER(SEARCH("Fatiga",I91:R91))*1)+1)</f>
        <v>MED</v>
      </c>
      <c r="W73" s="370" t="str">
        <f>IFERROR(VLOOKUP(U73,Psíquicos!$AD$11:$AK$64,8,FALSE),V73)</f>
        <v>MED</v>
      </c>
      <c r="X73" s="888"/>
      <c r="Y73" s="888"/>
      <c r="Z73" s="888"/>
      <c r="AA73" s="888"/>
      <c r="AB73" s="888"/>
      <c r="AC73" s="888"/>
      <c r="AD73" s="888"/>
      <c r="AE73" s="888"/>
      <c r="AF73" s="888"/>
      <c r="AG73" s="888"/>
      <c r="AH73" s="2015">
        <f>IF(COUNTIF(Psíquicos!$AD$17:$AH$62,U73),VALUE(INDEX('Tablas psiquica'!$X73:$AG73,MATCH('Tablas psiquica'!$W73,'Tablas psiquica'!$X$6:$AG$6,0))),0)</f>
        <v>0</v>
      </c>
      <c r="AJ73" s="2292" t="str">
        <f>IFERROR(IF(VLOOKUP(AK73,$D$7:$G$145,4,FALSE)&lt;&gt;"No",MAX(AJ$5:AJ72)+1,0),"")</f>
        <v/>
      </c>
      <c r="AK73" s="2293" t="str">
        <f t="shared" si="13"/>
        <v/>
      </c>
      <c r="AL73" s="2296" t="str">
        <f>IFERROR(VLOOKUP(Tablas!$A67,$AJ$7:$AK$145,2,FALSE),"")</f>
        <v/>
      </c>
    </row>
    <row r="74" spans="1:38" ht="12.75" customHeight="1" x14ac:dyDescent="0.2">
      <c r="A74" s="766">
        <v>74</v>
      </c>
      <c r="B74" s="761">
        <f>IF(OR(S74=0),0,SUM($S$6:S74))</f>
        <v>0</v>
      </c>
      <c r="C74" s="376"/>
      <c r="D74" s="272" t="s">
        <v>1368</v>
      </c>
      <c r="E74" s="370" t="s">
        <v>107</v>
      </c>
      <c r="F74" s="371">
        <v>2</v>
      </c>
      <c r="G74" s="371" t="s">
        <v>2584</v>
      </c>
      <c r="H74" s="372" t="s">
        <v>1304</v>
      </c>
      <c r="I74" s="370" t="s">
        <v>5763</v>
      </c>
      <c r="J74" s="370" t="s">
        <v>5762</v>
      </c>
      <c r="K74" s="370" t="s">
        <v>5761</v>
      </c>
      <c r="L74" s="370" t="s">
        <v>5991</v>
      </c>
      <c r="M74" s="370" t="s">
        <v>5992</v>
      </c>
      <c r="N74" s="370" t="s">
        <v>5993</v>
      </c>
      <c r="O74" s="370" t="s">
        <v>5994</v>
      </c>
      <c r="P74" s="370" t="s">
        <v>5995</v>
      </c>
      <c r="Q74" s="370" t="s">
        <v>5996</v>
      </c>
      <c r="R74" s="390" t="s">
        <v>5997</v>
      </c>
      <c r="S74" s="763">
        <f>IF(COUNTIF(Psíquicos!$C$25:$E$36,E74)=0,0,1)</f>
        <v>0</v>
      </c>
      <c r="U74" s="2014" t="s">
        <v>202</v>
      </c>
      <c r="V74" s="370" t="str">
        <f t="shared" si="14"/>
        <v>MED</v>
      </c>
      <c r="W74" s="370" t="str">
        <f>IFERROR(VLOOKUP(U74,Psíquicos!$AD$11:$AK$64,8,FALSE),V74)</f>
        <v>MED</v>
      </c>
      <c r="X74" s="888"/>
      <c r="Y74" s="888"/>
      <c r="Z74" s="888"/>
      <c r="AA74" s="888"/>
      <c r="AB74" s="888"/>
      <c r="AC74" s="888"/>
      <c r="AD74" s="888"/>
      <c r="AE74" s="888"/>
      <c r="AF74" s="888"/>
      <c r="AG74" s="888"/>
      <c r="AH74" s="2015">
        <f>IF(COUNTIF(Psíquicos!$AD$17:$AH$62,U74),VALUE(INDEX('Tablas psiquica'!$X74:$AG74,MATCH('Tablas psiquica'!$W74,'Tablas psiquica'!$X$6:$AG$6,0))),0)</f>
        <v>0</v>
      </c>
      <c r="AJ74" s="2292" t="str">
        <f>IFERROR(IF(VLOOKUP(AK74,$D$7:$G$145,4,FALSE)&lt;&gt;"No",MAX(AJ$5:AJ73)+1,0),"")</f>
        <v/>
      </c>
      <c r="AK74" s="2293" t="str">
        <f t="shared" si="13"/>
        <v/>
      </c>
      <c r="AL74" s="2296" t="str">
        <f>IFERROR(VLOOKUP(Tablas!$A68,$AJ$7:$AK$145,2,FALSE),"")</f>
        <v/>
      </c>
    </row>
    <row r="75" spans="1:38" ht="12.75" customHeight="1" x14ac:dyDescent="0.2">
      <c r="A75" s="766">
        <v>75</v>
      </c>
      <c r="B75" s="761">
        <f>IF(OR(S75=0),0,SUM($S$6:S75))</f>
        <v>0</v>
      </c>
      <c r="C75" s="376"/>
      <c r="D75" s="272" t="s">
        <v>185</v>
      </c>
      <c r="E75" s="370" t="s">
        <v>107</v>
      </c>
      <c r="F75" s="371">
        <v>3</v>
      </c>
      <c r="G75" s="371" t="s">
        <v>1381</v>
      </c>
      <c r="H75" s="372" t="s">
        <v>1304</v>
      </c>
      <c r="I75" s="370" t="s">
        <v>5777</v>
      </c>
      <c r="J75" s="370" t="s">
        <v>5776</v>
      </c>
      <c r="K75" s="370" t="s">
        <v>5763</v>
      </c>
      <c r="L75" s="370" t="s">
        <v>5762</v>
      </c>
      <c r="M75" s="370" t="s">
        <v>5761</v>
      </c>
      <c r="N75" s="370" t="s">
        <v>5998</v>
      </c>
      <c r="O75" s="370" t="s">
        <v>5999</v>
      </c>
      <c r="P75" s="370" t="s">
        <v>6000</v>
      </c>
      <c r="Q75" s="370" t="s">
        <v>6001</v>
      </c>
      <c r="R75" s="390" t="s">
        <v>6002</v>
      </c>
      <c r="S75" s="763">
        <f>IF(COUNTIF(Psíquicos!$C$25:$E$36,E75)=0,0,1)</f>
        <v>0</v>
      </c>
      <c r="U75" s="2014" t="s">
        <v>203</v>
      </c>
      <c r="V75" s="370" t="str">
        <f t="shared" si="14"/>
        <v>MED</v>
      </c>
      <c r="W75" s="370" t="str">
        <f>IFERROR(VLOOKUP(U75,Psíquicos!$AD$11:$AK$64,8,FALSE),V75)</f>
        <v>MED</v>
      </c>
      <c r="X75" s="888"/>
      <c r="Y75" s="888"/>
      <c r="Z75" s="888"/>
      <c r="AA75" s="888"/>
      <c r="AB75" s="888"/>
      <c r="AC75" s="888"/>
      <c r="AD75" s="888"/>
      <c r="AE75" s="888"/>
      <c r="AF75" s="888"/>
      <c r="AG75" s="888"/>
      <c r="AH75" s="2015">
        <f>IF(COUNTIF(Psíquicos!$AD$17:$AH$62,U75),VALUE(INDEX('Tablas psiquica'!$X75:$AG75,MATCH('Tablas psiquica'!$W75,'Tablas psiquica'!$X$6:$AG$6,0))),0)</f>
        <v>0</v>
      </c>
      <c r="AJ75" s="2292" t="str">
        <f>IFERROR(IF(VLOOKUP(AK75,$D$7:$G$145,4,FALSE)&lt;&gt;"No",MAX(AJ$5:AJ74)+1,0),"")</f>
        <v/>
      </c>
      <c r="AK75" s="2293" t="str">
        <f t="shared" si="13"/>
        <v/>
      </c>
      <c r="AL75" s="2296" t="str">
        <f>IFERROR(VLOOKUP(Tablas!$A69,$AJ$7:$AK$145,2,FALSE),"")</f>
        <v/>
      </c>
    </row>
    <row r="76" spans="1:38" ht="12.75" customHeight="1" x14ac:dyDescent="0.2">
      <c r="A76" s="766">
        <v>76</v>
      </c>
      <c r="B76" s="761">
        <f>IF(OR(S76=0),0,SUM($S$6:S76))</f>
        <v>0</v>
      </c>
      <c r="C76" s="376"/>
      <c r="D76" s="272" t="s">
        <v>186</v>
      </c>
      <c r="E76" s="370" t="s">
        <v>107</v>
      </c>
      <c r="F76" s="371">
        <v>3</v>
      </c>
      <c r="G76" s="371" t="s">
        <v>2584</v>
      </c>
      <c r="H76" s="372" t="s">
        <v>1304</v>
      </c>
      <c r="I76" s="370" t="s">
        <v>5777</v>
      </c>
      <c r="J76" s="370" t="s">
        <v>5776</v>
      </c>
      <c r="K76" s="370" t="s">
        <v>5763</v>
      </c>
      <c r="L76" s="370" t="s">
        <v>5762</v>
      </c>
      <c r="M76" s="370" t="s">
        <v>5761</v>
      </c>
      <c r="N76" s="370" t="s">
        <v>6003</v>
      </c>
      <c r="O76" s="370" t="s">
        <v>6004</v>
      </c>
      <c r="P76" s="370" t="s">
        <v>6005</v>
      </c>
      <c r="Q76" s="370" t="s">
        <v>6006</v>
      </c>
      <c r="R76" s="390" t="s">
        <v>6007</v>
      </c>
      <c r="S76" s="763">
        <f>IF(COUNTIF(Psíquicos!$C$25:$E$36,E76)=0,0,1)</f>
        <v>0</v>
      </c>
      <c r="U76" s="2014" t="s">
        <v>204</v>
      </c>
      <c r="V76" s="370" t="str">
        <f t="shared" si="14"/>
        <v>MED</v>
      </c>
      <c r="W76" s="370" t="str">
        <f>IFERROR(VLOOKUP(U76,Psíquicos!$AD$11:$AK$64,8,FALSE),V76)</f>
        <v>MED</v>
      </c>
      <c r="X76" s="888"/>
      <c r="Y76" s="888"/>
      <c r="Z76" s="888"/>
      <c r="AA76" s="888"/>
      <c r="AB76" s="888"/>
      <c r="AC76" s="888"/>
      <c r="AD76" s="888"/>
      <c r="AE76" s="888"/>
      <c r="AF76" s="888"/>
      <c r="AG76" s="888"/>
      <c r="AH76" s="2015">
        <f>IF(COUNTIF(Psíquicos!$AD$17:$AH$62,U76),VALUE(INDEX('Tablas psiquica'!$X76:$AG76,MATCH('Tablas psiquica'!$W76,'Tablas psiquica'!$X$6:$AG$6,0))),0)</f>
        <v>0</v>
      </c>
      <c r="AJ76" s="2292" t="str">
        <f>IFERROR(IF(VLOOKUP(AK76,$D$7:$G$145,4,FALSE)&lt;&gt;"No",MAX(AJ$5:AJ75)+1,0),"")</f>
        <v/>
      </c>
      <c r="AK76" s="2293" t="str">
        <f t="shared" si="13"/>
        <v/>
      </c>
      <c r="AL76" s="2296" t="str">
        <f>IFERROR(VLOOKUP(Tablas!$A70,$AJ$7:$AK$145,2,FALSE),"")</f>
        <v/>
      </c>
    </row>
    <row r="77" spans="1:38" ht="12.75" customHeight="1" x14ac:dyDescent="0.2">
      <c r="A77" s="766">
        <v>77</v>
      </c>
      <c r="B77" s="761">
        <f>IF(OR(S77=0),0,SUM($S$6:S77))</f>
        <v>0</v>
      </c>
      <c r="C77" s="376"/>
      <c r="D77" s="272" t="s">
        <v>187</v>
      </c>
      <c r="E77" s="370" t="s">
        <v>107</v>
      </c>
      <c r="F77" s="371">
        <v>3</v>
      </c>
      <c r="G77" s="371" t="s">
        <v>2584</v>
      </c>
      <c r="H77" s="372" t="s">
        <v>1304</v>
      </c>
      <c r="I77" s="370" t="s">
        <v>5777</v>
      </c>
      <c r="J77" s="370" t="s">
        <v>5776</v>
      </c>
      <c r="K77" s="370" t="s">
        <v>5763</v>
      </c>
      <c r="L77" s="370" t="s">
        <v>5762</v>
      </c>
      <c r="M77" s="370" t="s">
        <v>5761</v>
      </c>
      <c r="N77" s="370" t="s">
        <v>6008</v>
      </c>
      <c r="O77" s="370" t="s">
        <v>6009</v>
      </c>
      <c r="P77" s="370" t="s">
        <v>6010</v>
      </c>
      <c r="Q77" s="370" t="s">
        <v>6011</v>
      </c>
      <c r="R77" s="390" t="s">
        <v>6012</v>
      </c>
      <c r="S77" s="763">
        <f>IF(COUNTIF(Psíquicos!$C$25:$E$36,E77)=0,0,1)</f>
        <v>0</v>
      </c>
      <c r="U77" s="2014" t="s">
        <v>205</v>
      </c>
      <c r="V77" s="370" t="str">
        <f t="shared" si="14"/>
        <v>DIF</v>
      </c>
      <c r="W77" s="370" t="str">
        <f>IFERROR(VLOOKUP(U77,Psíquicos!$AD$11:$AK$64,8,FALSE),V77)</f>
        <v>DIF</v>
      </c>
      <c r="X77" s="888"/>
      <c r="Y77" s="888"/>
      <c r="Z77" s="888"/>
      <c r="AA77" s="888"/>
      <c r="AB77" s="888"/>
      <c r="AC77" s="888"/>
      <c r="AD77" s="888"/>
      <c r="AE77" s="888"/>
      <c r="AF77" s="888"/>
      <c r="AG77" s="888"/>
      <c r="AH77" s="2015">
        <f>IF(COUNTIF(Psíquicos!$AD$17:$AH$62,U77),VALUE(INDEX('Tablas psiquica'!$X77:$AG77,MATCH('Tablas psiquica'!$W77,'Tablas psiquica'!$X$6:$AG$6,0))),0)</f>
        <v>0</v>
      </c>
      <c r="AJ77" s="2292" t="str">
        <f>IFERROR(IF(VLOOKUP(AK77,$D$7:$G$145,4,FALSE)&lt;&gt;"No",MAX(AJ$5:AJ76)+1,0),"")</f>
        <v/>
      </c>
      <c r="AK77" s="2293" t="str">
        <f t="shared" si="13"/>
        <v/>
      </c>
      <c r="AL77" s="2296" t="str">
        <f>IFERROR(VLOOKUP(Tablas!$A71,$AJ$7:$AK$145,2,FALSE),"")</f>
        <v/>
      </c>
    </row>
    <row r="78" spans="1:38" ht="12.75" customHeight="1" x14ac:dyDescent="0.2">
      <c r="A78" s="766">
        <v>78</v>
      </c>
      <c r="B78" s="761">
        <f>IF(OR(S78=0),0,SUM($S$6:S78))</f>
        <v>0</v>
      </c>
      <c r="C78" s="376"/>
      <c r="D78" s="272" t="s">
        <v>188</v>
      </c>
      <c r="E78" s="370"/>
      <c r="F78" s="371"/>
      <c r="G78" s="371"/>
      <c r="H78" s="372"/>
      <c r="I78" s="370"/>
      <c r="J78" s="370"/>
      <c r="K78" s="370"/>
      <c r="L78" s="370"/>
      <c r="M78" s="370"/>
      <c r="N78" s="370"/>
      <c r="O78" s="370"/>
      <c r="P78" s="370"/>
      <c r="Q78" s="370"/>
      <c r="R78" s="390"/>
      <c r="S78" s="765">
        <f>S79</f>
        <v>0</v>
      </c>
      <c r="U78" s="2014" t="s">
        <v>206</v>
      </c>
      <c r="V78" s="370" t="str">
        <f t="shared" si="14"/>
        <v>MDF</v>
      </c>
      <c r="W78" s="370" t="str">
        <f>IFERROR(VLOOKUP(U78,Psíquicos!$AD$11:$AK$64,8,FALSE),V78)</f>
        <v>MDF</v>
      </c>
      <c r="X78" s="888"/>
      <c r="Y78" s="888"/>
      <c r="Z78" s="888"/>
      <c r="AA78" s="888"/>
      <c r="AB78" s="888"/>
      <c r="AC78" s="888"/>
      <c r="AD78" s="888"/>
      <c r="AE78" s="888"/>
      <c r="AF78" s="888"/>
      <c r="AG78" s="888"/>
      <c r="AH78" s="2015">
        <f>IF(COUNTIF(Psíquicos!$AD$17:$AH$62,U78),VALUE(INDEX('Tablas psiquica'!$X78:$AG78,MATCH('Tablas psiquica'!$W78,'Tablas psiquica'!$X$6:$AG$6,0))),0)</f>
        <v>0</v>
      </c>
      <c r="AJ78" s="2292" t="str">
        <f>IFERROR(IF(VLOOKUP(AK78,$D$7:$G$145,4,FALSE)&lt;&gt;"No",MAX(AJ$5:AJ77)+1,0),"")</f>
        <v/>
      </c>
      <c r="AK78" s="2293" t="str">
        <f t="shared" si="13"/>
        <v/>
      </c>
      <c r="AL78" s="2296" t="str">
        <f>IFERROR(VLOOKUP(Tablas!$A72,$AJ$7:$AK$145,2,FALSE),"")</f>
        <v/>
      </c>
    </row>
    <row r="79" spans="1:38" ht="12.75" customHeight="1" x14ac:dyDescent="0.2">
      <c r="A79" s="766">
        <v>79</v>
      </c>
      <c r="B79" s="761">
        <f>IF(OR(S79=0),0,SUM($S$6:S79))</f>
        <v>0</v>
      </c>
      <c r="C79" s="376"/>
      <c r="D79" s="272" t="s">
        <v>189</v>
      </c>
      <c r="E79" s="370" t="s">
        <v>108</v>
      </c>
      <c r="F79" s="371">
        <v>1</v>
      </c>
      <c r="G79" s="371" t="s">
        <v>2584</v>
      </c>
      <c r="H79" s="372" t="s">
        <v>1304</v>
      </c>
      <c r="I79" s="370" t="s">
        <v>5725</v>
      </c>
      <c r="J79" s="370" t="s">
        <v>5726</v>
      </c>
      <c r="K79" s="370" t="s">
        <v>5903</v>
      </c>
      <c r="L79" s="370" t="s">
        <v>5904</v>
      </c>
      <c r="M79" s="370" t="s">
        <v>5905</v>
      </c>
      <c r="N79" s="370" t="s">
        <v>6013</v>
      </c>
      <c r="O79" s="370" t="s">
        <v>5906</v>
      </c>
      <c r="P79" s="370" t="s">
        <v>4246</v>
      </c>
      <c r="Q79" s="370" t="s">
        <v>4248</v>
      </c>
      <c r="R79" s="390" t="s">
        <v>5907</v>
      </c>
      <c r="S79" s="763">
        <f>IF(COUNTIF(Psíquicos!$C$25:$E$36,E79)=0,0,1)</f>
        <v>0</v>
      </c>
      <c r="U79" s="2014" t="s">
        <v>207</v>
      </c>
      <c r="V79" s="370" t="str">
        <f t="shared" si="14"/>
        <v>MDF</v>
      </c>
      <c r="W79" s="370" t="str">
        <f>IFERROR(VLOOKUP(U79,Psíquicos!$AD$11:$AK$64,8,FALSE),V79)</f>
        <v>MDF</v>
      </c>
      <c r="X79" s="888"/>
      <c r="Y79" s="888"/>
      <c r="Z79" s="888"/>
      <c r="AA79" s="888"/>
      <c r="AB79" s="888"/>
      <c r="AC79" s="888"/>
      <c r="AD79" s="888"/>
      <c r="AE79" s="888"/>
      <c r="AF79" s="888"/>
      <c r="AG79" s="888"/>
      <c r="AH79" s="2015">
        <f>IF(COUNTIF(Psíquicos!$AD$17:$AH$62,U79),VALUE(INDEX('Tablas psiquica'!$X79:$AG79,MATCH('Tablas psiquica'!$W79,'Tablas psiquica'!$X$6:$AG$6,0))),0)</f>
        <v>0</v>
      </c>
      <c r="AJ79" s="2292" t="str">
        <f>IFERROR(IF(VLOOKUP(AK79,$D$7:$G$145,4,FALSE)&lt;&gt;"No",MAX(AJ$5:AJ78)+1,0),"")</f>
        <v/>
      </c>
      <c r="AK79" s="2293" t="str">
        <f t="shared" si="13"/>
        <v/>
      </c>
      <c r="AL79" s="2296" t="str">
        <f>IFERROR(VLOOKUP(Tablas!$A73,$AJ$7:$AK$145,2,FALSE),"")</f>
        <v/>
      </c>
    </row>
    <row r="80" spans="1:38" ht="12.75" customHeight="1" x14ac:dyDescent="0.2">
      <c r="A80" s="766">
        <v>80</v>
      </c>
      <c r="B80" s="761">
        <f>IF(OR(S80=0),0,SUM($S$6:S80))</f>
        <v>0</v>
      </c>
      <c r="C80" s="376"/>
      <c r="D80" s="272" t="s">
        <v>190</v>
      </c>
      <c r="E80" s="370" t="s">
        <v>108</v>
      </c>
      <c r="F80" s="371">
        <v>1</v>
      </c>
      <c r="G80" s="371" t="s">
        <v>2584</v>
      </c>
      <c r="H80" s="372" t="s">
        <v>1304</v>
      </c>
      <c r="I80" s="370" t="s">
        <v>5725</v>
      </c>
      <c r="J80" s="370" t="s">
        <v>5726</v>
      </c>
      <c r="K80" s="370" t="s">
        <v>3530</v>
      </c>
      <c r="L80" s="370" t="s">
        <v>6014</v>
      </c>
      <c r="M80" s="370" t="s">
        <v>6015</v>
      </c>
      <c r="N80" s="370" t="s">
        <v>6016</v>
      </c>
      <c r="O80" s="370" t="s">
        <v>6017</v>
      </c>
      <c r="P80" s="370" t="s">
        <v>6018</v>
      </c>
      <c r="Q80" s="370" t="s">
        <v>6019</v>
      </c>
      <c r="R80" s="390" t="s">
        <v>6020</v>
      </c>
      <c r="S80" s="763">
        <f>IF(COUNTIF(Psíquicos!$C$25:$E$36,E80)=0,0,1)</f>
        <v>0</v>
      </c>
      <c r="U80" s="2014" t="s">
        <v>208</v>
      </c>
      <c r="V80" s="370" t="str">
        <f t="shared" si="14"/>
        <v>MDF</v>
      </c>
      <c r="W80" s="370" t="str">
        <f>IFERROR(VLOOKUP(U80,Psíquicos!$AD$11:$AK$64,8,FALSE),V80)</f>
        <v>MDF</v>
      </c>
      <c r="X80" s="888"/>
      <c r="Y80" s="888"/>
      <c r="Z80" s="888"/>
      <c r="AA80" s="888"/>
      <c r="AB80" s="888"/>
      <c r="AC80" s="888"/>
      <c r="AD80" s="888"/>
      <c r="AE80" s="888"/>
      <c r="AF80" s="888"/>
      <c r="AG80" s="888"/>
      <c r="AH80" s="2015">
        <f>IF(COUNTIF(Psíquicos!$AD$17:$AH$62,U80),VALUE(INDEX('Tablas psiquica'!$X80:$AG80,MATCH('Tablas psiquica'!$W80,'Tablas psiquica'!$X$6:$AG$6,0))),0)</f>
        <v>0</v>
      </c>
      <c r="AJ80" s="2292" t="str">
        <f>IFERROR(IF(VLOOKUP(AK80,$D$7:$G$145,4,FALSE)&lt;&gt;"No",MAX(AJ$5:AJ79)+1,0),"")</f>
        <v/>
      </c>
      <c r="AK80" s="2293" t="str">
        <f t="shared" si="13"/>
        <v/>
      </c>
      <c r="AL80" s="2296" t="str">
        <f>IFERROR(VLOOKUP(Tablas!$A74,$AJ$7:$AK$145,2,FALSE),"")</f>
        <v/>
      </c>
    </row>
    <row r="81" spans="1:38" ht="12.75" customHeight="1" x14ac:dyDescent="0.2">
      <c r="A81" s="766">
        <v>81</v>
      </c>
      <c r="B81" s="761">
        <f>IF(OR(S81=0),0,SUM($S$6:S81))</f>
        <v>0</v>
      </c>
      <c r="C81" s="376"/>
      <c r="D81" s="272" t="s">
        <v>191</v>
      </c>
      <c r="E81" s="370" t="s">
        <v>108</v>
      </c>
      <c r="F81" s="371">
        <v>1</v>
      </c>
      <c r="G81" s="371" t="s">
        <v>2584</v>
      </c>
      <c r="H81" s="372" t="s">
        <v>1305</v>
      </c>
      <c r="I81" s="370" t="s">
        <v>5762</v>
      </c>
      <c r="J81" s="370" t="s">
        <v>5761</v>
      </c>
      <c r="K81" s="370" t="s">
        <v>5725</v>
      </c>
      <c r="L81" s="370" t="s">
        <v>5797</v>
      </c>
      <c r="M81" s="370" t="s">
        <v>5798</v>
      </c>
      <c r="N81" s="370" t="s">
        <v>5917</v>
      </c>
      <c r="O81" s="370" t="s">
        <v>5800</v>
      </c>
      <c r="P81" s="370" t="s">
        <v>6021</v>
      </c>
      <c r="Q81" s="370" t="s">
        <v>6022</v>
      </c>
      <c r="R81" s="390" t="s">
        <v>6023</v>
      </c>
      <c r="S81" s="763">
        <f>IF(COUNTIF(Psíquicos!$C$25:$E$36,E81)=0,0,1)</f>
        <v>0</v>
      </c>
      <c r="U81" s="2014" t="s">
        <v>10065</v>
      </c>
      <c r="V81" s="370" t="str">
        <f>INDEX($I$6:$R$6,SUMPRODUCT(ISNUMBER(SEARCH("Fatiga",I100:R100))*1)+1)</f>
        <v>MDF</v>
      </c>
      <c r="W81" s="370" t="str">
        <f>IFERROR(VLOOKUP(U81,Psíquicos!$AD$11:$AK$64,8,FALSE),V81)</f>
        <v>MDF</v>
      </c>
      <c r="X81" s="888"/>
      <c r="Y81" s="888"/>
      <c r="Z81" s="888"/>
      <c r="AA81" s="888"/>
      <c r="AB81" s="888"/>
      <c r="AC81" s="888"/>
      <c r="AD81" s="888"/>
      <c r="AE81" s="888"/>
      <c r="AF81" s="888"/>
      <c r="AG81" s="888"/>
      <c r="AH81" s="2015">
        <f>IF(COUNTIF(Psíquicos!$AD$17:$AH$62,U81),VALUE(INDEX('Tablas psiquica'!$X81:$AG81,MATCH('Tablas psiquica'!$W81,'Tablas psiquica'!$X$6:$AG$6,0))),0)</f>
        <v>0</v>
      </c>
      <c r="AJ81" s="2292" t="str">
        <f>IFERROR(IF(VLOOKUP(AK81,$D$7:$G$145,4,FALSE)&lt;&gt;"No",MAX(AJ$5:AJ80)+1,0),"")</f>
        <v/>
      </c>
      <c r="AK81" s="2293" t="str">
        <f t="shared" si="13"/>
        <v/>
      </c>
      <c r="AL81" s="2296" t="str">
        <f>IFERROR(VLOOKUP(Tablas!$A75,$AJ$7:$AK$145,2,FALSE),"")</f>
        <v/>
      </c>
    </row>
    <row r="82" spans="1:38" ht="12.75" customHeight="1" x14ac:dyDescent="0.2">
      <c r="A82" s="766">
        <v>82</v>
      </c>
      <c r="B82" s="761">
        <f>IF(OR(S82=0),0,SUM($S$6:S82))</f>
        <v>0</v>
      </c>
      <c r="C82" s="376"/>
      <c r="D82" s="272" t="s">
        <v>192</v>
      </c>
      <c r="E82" s="370" t="s">
        <v>108</v>
      </c>
      <c r="F82" s="371">
        <v>1</v>
      </c>
      <c r="G82" s="371" t="s">
        <v>2584</v>
      </c>
      <c r="H82" s="372" t="s">
        <v>1304</v>
      </c>
      <c r="I82" s="370" t="s">
        <v>5761</v>
      </c>
      <c r="J82" s="370" t="s">
        <v>5725</v>
      </c>
      <c r="K82" s="370" t="s">
        <v>5726</v>
      </c>
      <c r="L82" s="370" t="s">
        <v>6024</v>
      </c>
      <c r="M82" s="370" t="s">
        <v>6025</v>
      </c>
      <c r="N82" s="370" t="s">
        <v>6026</v>
      </c>
      <c r="O82" s="370" t="s">
        <v>6027</v>
      </c>
      <c r="P82" s="370" t="s">
        <v>6028</v>
      </c>
      <c r="Q82" s="370" t="s">
        <v>6029</v>
      </c>
      <c r="R82" s="390" t="s">
        <v>6030</v>
      </c>
      <c r="S82" s="763">
        <f>IF(COUNTIF(Psíquicos!$C$25:$E$36,E82)=0,0,1)</f>
        <v>0</v>
      </c>
      <c r="U82" s="2014" t="s">
        <v>210</v>
      </c>
      <c r="V82" s="370"/>
      <c r="W82" s="370"/>
      <c r="X82" s="888"/>
      <c r="Y82" s="888"/>
      <c r="Z82" s="888"/>
      <c r="AA82" s="888"/>
      <c r="AB82" s="888"/>
      <c r="AC82" s="888"/>
      <c r="AD82" s="888"/>
      <c r="AE82" s="888"/>
      <c r="AF82" s="888"/>
      <c r="AG82" s="888"/>
      <c r="AH82" s="2015" t="e">
        <f>IF(COUNTIF(Psíquicos!$AD$17:$AH$62,U82),VALUE(INDEX('Tablas psiquica'!$X82:$AG82,MATCH('Tablas psiquica'!$W82,'Tablas psiquica'!$X$6:$AG$6,0))),0)</f>
        <v>#N/A</v>
      </c>
      <c r="AJ82" s="2292" t="str">
        <f>IFERROR(IF(VLOOKUP(AK82,$D$7:$G$145,4,FALSE)&lt;&gt;"No",MAX(AJ$5:AJ81)+1,0),"")</f>
        <v/>
      </c>
      <c r="AK82" s="2293" t="str">
        <f t="shared" si="13"/>
        <v/>
      </c>
      <c r="AL82" s="2296" t="str">
        <f>IFERROR(VLOOKUP(Tablas!$A76,$AJ$7:$AK$145,2,FALSE),"")</f>
        <v/>
      </c>
    </row>
    <row r="83" spans="1:38" ht="12.75" customHeight="1" x14ac:dyDescent="0.2">
      <c r="A83" s="766">
        <v>83</v>
      </c>
      <c r="B83" s="761">
        <f>IF(OR(S83=0),0,SUM($S$6:S83))</f>
        <v>0</v>
      </c>
      <c r="C83" s="376"/>
      <c r="D83" s="272" t="s">
        <v>193</v>
      </c>
      <c r="E83" s="370" t="s">
        <v>108</v>
      </c>
      <c r="F83" s="371">
        <v>1</v>
      </c>
      <c r="G83" s="371" t="s">
        <v>1381</v>
      </c>
      <c r="H83" s="372" t="s">
        <v>1304</v>
      </c>
      <c r="I83" s="370" t="s">
        <v>5761</v>
      </c>
      <c r="J83" s="370" t="s">
        <v>5725</v>
      </c>
      <c r="K83" s="370" t="s">
        <v>5726</v>
      </c>
      <c r="L83" s="370" t="s">
        <v>4162</v>
      </c>
      <c r="M83" s="370" t="s">
        <v>4163</v>
      </c>
      <c r="N83" s="370" t="s">
        <v>3746</v>
      </c>
      <c r="O83" s="370" t="s">
        <v>3427</v>
      </c>
      <c r="P83" s="370" t="s">
        <v>6031</v>
      </c>
      <c r="Q83" s="370" t="s">
        <v>6032</v>
      </c>
      <c r="R83" s="390" t="s">
        <v>6033</v>
      </c>
      <c r="S83" s="763">
        <f>IF(COUNTIF(Psíquicos!$C$25:$E$36,E83)=0,0,1)</f>
        <v>0</v>
      </c>
      <c r="U83" s="2014" t="s">
        <v>211</v>
      </c>
      <c r="V83" s="370" t="str">
        <f>INDEX($I$6:$R$6,SUMPRODUCT(ISNUMBER(SEARCH("Fatiga",I102:R102))*1)+1)</f>
        <v>FAC</v>
      </c>
      <c r="W83" s="370" t="str">
        <f>IFERROR(VLOOKUP(U83,Psíquicos!$AD$11:$AK$64,8,FALSE),V83)</f>
        <v>FAC</v>
      </c>
      <c r="X83" s="888"/>
      <c r="Y83" s="888"/>
      <c r="Z83" s="888"/>
      <c r="AA83" s="888"/>
      <c r="AB83" s="888"/>
      <c r="AC83" s="888"/>
      <c r="AD83" s="888"/>
      <c r="AE83" s="888"/>
      <c r="AF83" s="888"/>
      <c r="AG83" s="888"/>
      <c r="AH83" s="2015">
        <f>IF(COUNTIF(Psíquicos!$AD$17:$AH$62,U83),VALUE(INDEX('Tablas psiquica'!$X83:$AG83,MATCH('Tablas psiquica'!$W83,'Tablas psiquica'!$X$6:$AG$6,0))),0)</f>
        <v>0</v>
      </c>
      <c r="AJ83" s="2292" t="str">
        <f>IFERROR(IF(VLOOKUP(AK83,$D$7:$G$145,4,FALSE)&lt;&gt;"No",MAX(AJ$5:AJ82)+1,0),"")</f>
        <v/>
      </c>
      <c r="AK83" s="2293" t="str">
        <f t="shared" si="13"/>
        <v/>
      </c>
      <c r="AL83" s="2296" t="str">
        <f>IFERROR(VLOOKUP(Tablas!$A77,$AJ$7:$AK$145,2,FALSE),"")</f>
        <v/>
      </c>
    </row>
    <row r="84" spans="1:38" ht="12.75" customHeight="1" x14ac:dyDescent="0.2">
      <c r="A84" s="766">
        <v>84</v>
      </c>
      <c r="B84" s="761">
        <f>IF(OR(S84=0),0,SUM($S$6:S84))</f>
        <v>0</v>
      </c>
      <c r="C84" s="376"/>
      <c r="D84" s="272" t="s">
        <v>194</v>
      </c>
      <c r="E84" s="370" t="s">
        <v>108</v>
      </c>
      <c r="F84" s="371">
        <v>2</v>
      </c>
      <c r="G84" s="371" t="s">
        <v>1381</v>
      </c>
      <c r="H84" s="372" t="s">
        <v>1304</v>
      </c>
      <c r="I84" s="370" t="s">
        <v>5762</v>
      </c>
      <c r="J84" s="370" t="s">
        <v>5761</v>
      </c>
      <c r="K84" s="370" t="s">
        <v>5725</v>
      </c>
      <c r="L84" s="370" t="s">
        <v>6034</v>
      </c>
      <c r="M84" s="370" t="s">
        <v>6035</v>
      </c>
      <c r="N84" s="370" t="s">
        <v>6036</v>
      </c>
      <c r="O84" s="370" t="s">
        <v>6037</v>
      </c>
      <c r="P84" s="370" t="s">
        <v>6038</v>
      </c>
      <c r="Q84" s="370" t="s">
        <v>6039</v>
      </c>
      <c r="R84" s="390" t="s">
        <v>6040</v>
      </c>
      <c r="S84" s="763">
        <f>IF(COUNTIF(Psíquicos!$C$25:$E$36,E84)=0,0,1)</f>
        <v>0</v>
      </c>
      <c r="U84" s="2014" t="s">
        <v>214</v>
      </c>
      <c r="V84" s="370" t="str">
        <f>INDEX($I$6:$R$6,SUMPRODUCT(ISNUMBER(SEARCH("Fatiga",I105:R105))*1)+1)</f>
        <v>ABS</v>
      </c>
      <c r="W84" s="370" t="str">
        <f>IFERROR(VLOOKUP(U84,Psíquicos!$AD$11:$AK$64,8,FALSE),V84)</f>
        <v>ABS</v>
      </c>
      <c r="X84" s="888"/>
      <c r="Y84" s="888"/>
      <c r="Z84" s="888"/>
      <c r="AA84" s="888"/>
      <c r="AB84" s="888"/>
      <c r="AC84" s="888"/>
      <c r="AD84" s="888"/>
      <c r="AE84" s="888"/>
      <c r="AF84" s="888"/>
      <c r="AG84" s="888"/>
      <c r="AH84" s="2015">
        <f>IF(COUNTIF(Psíquicos!$AD$17:$AH$62,U84),VALUE(INDEX('Tablas psiquica'!$X84:$AG84,MATCH('Tablas psiquica'!$W84,'Tablas psiquica'!$X$6:$AG$6,0))),0)</f>
        <v>0</v>
      </c>
      <c r="AJ84" s="2292" t="str">
        <f>IFERROR(IF(VLOOKUP(AK84,$D$7:$G$145,4,FALSE)&lt;&gt;"No",MAX(AJ$5:AJ83)+1,0),"")</f>
        <v/>
      </c>
      <c r="AK84" s="2293" t="str">
        <f t="shared" si="13"/>
        <v/>
      </c>
      <c r="AL84" s="2296" t="str">
        <f>IFERROR(VLOOKUP(Tablas!$A78,$AJ$7:$AK$145,2,FALSE),"")</f>
        <v/>
      </c>
    </row>
    <row r="85" spans="1:38" ht="12.75" customHeight="1" x14ac:dyDescent="0.2">
      <c r="A85" s="766">
        <v>85</v>
      </c>
      <c r="B85" s="761">
        <f>IF(OR(S85=0),0,SUM($S$6:S85))</f>
        <v>0</v>
      </c>
      <c r="C85" s="376"/>
      <c r="D85" s="272" t="s">
        <v>195</v>
      </c>
      <c r="E85" s="370" t="s">
        <v>108</v>
      </c>
      <c r="F85" s="371">
        <v>2</v>
      </c>
      <c r="G85" s="371" t="s">
        <v>2584</v>
      </c>
      <c r="H85" s="372" t="s">
        <v>1305</v>
      </c>
      <c r="I85" s="370" t="s">
        <v>5776</v>
      </c>
      <c r="J85" s="370" t="s">
        <v>5763</v>
      </c>
      <c r="K85" s="370" t="s">
        <v>5762</v>
      </c>
      <c r="L85" s="370" t="s">
        <v>5761</v>
      </c>
      <c r="M85" s="370" t="s">
        <v>5725</v>
      </c>
      <c r="N85" s="370" t="s">
        <v>3532</v>
      </c>
      <c r="O85" s="370" t="s">
        <v>4241</v>
      </c>
      <c r="P85" s="370" t="s">
        <v>3533</v>
      </c>
      <c r="Q85" s="370" t="s">
        <v>5879</v>
      </c>
      <c r="R85" s="390" t="s">
        <v>5880</v>
      </c>
      <c r="S85" s="763">
        <f>IF(COUNTIF(Psíquicos!$C$25:$E$36,E85)=0,0,1)</f>
        <v>0</v>
      </c>
      <c r="U85" s="2014" t="s">
        <v>215</v>
      </c>
      <c r="V85" s="370" t="str">
        <f>INDEX($I$6:$R$6,SUMPRODUCT(ISNUMBER(SEARCH("Fatiga",I106:R106))*1)+1)</f>
        <v>RUT</v>
      </c>
      <c r="W85" s="370" t="str">
        <f>IFERROR(VLOOKUP(U85,Psíquicos!$AD$11:$AK$64,8,FALSE),V85)</f>
        <v>RUT</v>
      </c>
      <c r="X85" s="888"/>
      <c r="Y85" s="888"/>
      <c r="Z85" s="888"/>
      <c r="AA85" s="888"/>
      <c r="AB85" s="888"/>
      <c r="AC85" s="888"/>
      <c r="AD85" s="888"/>
      <c r="AE85" s="888"/>
      <c r="AF85" s="888"/>
      <c r="AG85" s="888"/>
      <c r="AH85" s="2015">
        <f>IF(COUNTIF(Psíquicos!$AD$17:$AH$62,U85),VALUE(INDEX('Tablas psiquica'!$X85:$AG85,MATCH('Tablas psiquica'!$W85,'Tablas psiquica'!$X$6:$AG$6,0))),0)</f>
        <v>0</v>
      </c>
      <c r="AJ85" s="2292" t="str">
        <f>IFERROR(IF(VLOOKUP(AK85,$D$7:$G$145,4,FALSE)&lt;&gt;"No",MAX(AJ$5:AJ84)+1,0),"")</f>
        <v/>
      </c>
      <c r="AK85" s="2293" t="str">
        <f t="shared" si="13"/>
        <v/>
      </c>
      <c r="AL85" s="2296" t="str">
        <f>IFERROR(VLOOKUP(Tablas!$A79,$AJ$7:$AK$145,2,FALSE),"")</f>
        <v/>
      </c>
    </row>
    <row r="86" spans="1:38" ht="12.75" customHeight="1" x14ac:dyDescent="0.2">
      <c r="A86" s="766">
        <v>86</v>
      </c>
      <c r="B86" s="761">
        <f>IF(OR(S86=0),0,SUM($S$6:S86))</f>
        <v>0</v>
      </c>
      <c r="C86" s="376"/>
      <c r="D86" s="272" t="s">
        <v>196</v>
      </c>
      <c r="E86" s="370" t="s">
        <v>108</v>
      </c>
      <c r="F86" s="371">
        <v>2</v>
      </c>
      <c r="G86" s="371" t="s">
        <v>2584</v>
      </c>
      <c r="H86" s="372" t="s">
        <v>1304</v>
      </c>
      <c r="I86" s="370" t="s">
        <v>5762</v>
      </c>
      <c r="J86" s="370" t="s">
        <v>5761</v>
      </c>
      <c r="K86" s="370" t="s">
        <v>5725</v>
      </c>
      <c r="L86" s="370" t="s">
        <v>6041</v>
      </c>
      <c r="M86" s="370" t="s">
        <v>6042</v>
      </c>
      <c r="N86" s="370" t="s">
        <v>6043</v>
      </c>
      <c r="O86" s="370" t="s">
        <v>6044</v>
      </c>
      <c r="P86" s="370" t="s">
        <v>6045</v>
      </c>
      <c r="Q86" s="370" t="s">
        <v>6046</v>
      </c>
      <c r="R86" s="390" t="s">
        <v>6047</v>
      </c>
      <c r="S86" s="763">
        <f>IF(COUNTIF(Psíquicos!$C$25:$E$36,E86)=0,0,1)</f>
        <v>0</v>
      </c>
      <c r="U86" s="2014" t="s">
        <v>216</v>
      </c>
      <c r="V86" s="370" t="str">
        <f>INDEX($I$6:$R$6,SUMPRODUCT(ISNUMBER(SEARCH("Fatiga",I107:R107))*1)+1)</f>
        <v>ABS</v>
      </c>
      <c r="W86" s="370" t="str">
        <f>IFERROR(VLOOKUP(U86,Psíquicos!$AD$11:$AK$64,8,FALSE),V86)</f>
        <v>ABS</v>
      </c>
      <c r="X86" s="888"/>
      <c r="Y86" s="888"/>
      <c r="Z86" s="888"/>
      <c r="AA86" s="888"/>
      <c r="AB86" s="888"/>
      <c r="AC86" s="888"/>
      <c r="AD86" s="888"/>
      <c r="AE86" s="888"/>
      <c r="AF86" s="888"/>
      <c r="AG86" s="888"/>
      <c r="AH86" s="2015">
        <f>IF(COUNTIF(Psíquicos!$AD$17:$AH$62,U86),VALUE(INDEX('Tablas psiquica'!$X86:$AG86,MATCH('Tablas psiquica'!$W86,'Tablas psiquica'!$X$6:$AG$6,0))),0)</f>
        <v>0</v>
      </c>
      <c r="AJ86" s="2292" t="str">
        <f>IFERROR(IF(VLOOKUP(AK86,$D$7:$G$145,4,FALSE)&lt;&gt;"No",MAX(AJ$5:AJ85)+1,0),"")</f>
        <v/>
      </c>
      <c r="AK86" s="2293" t="str">
        <f t="shared" si="13"/>
        <v/>
      </c>
      <c r="AL86" s="2296" t="str">
        <f>IFERROR(VLOOKUP(Tablas!$A80,$AJ$7:$AK$145,2,FALSE),"")</f>
        <v/>
      </c>
    </row>
    <row r="87" spans="1:38" ht="12.75" customHeight="1" x14ac:dyDescent="0.2">
      <c r="A87" s="766">
        <v>87</v>
      </c>
      <c r="B87" s="761">
        <f>IF(OR(S87=0),0,SUM($S$6:S87))</f>
        <v>0</v>
      </c>
      <c r="C87" s="376"/>
      <c r="D87" s="272" t="s">
        <v>197</v>
      </c>
      <c r="E87" s="370" t="s">
        <v>108</v>
      </c>
      <c r="F87" s="371">
        <v>2</v>
      </c>
      <c r="G87" s="371" t="s">
        <v>1381</v>
      </c>
      <c r="H87" s="372" t="s">
        <v>1304</v>
      </c>
      <c r="I87" s="370" t="s">
        <v>5763</v>
      </c>
      <c r="J87" s="370" t="s">
        <v>5762</v>
      </c>
      <c r="K87" s="370" t="s">
        <v>5761</v>
      </c>
      <c r="L87" s="370" t="s">
        <v>5725</v>
      </c>
      <c r="M87" s="370" t="s">
        <v>6042</v>
      </c>
      <c r="N87" s="370" t="s">
        <v>6043</v>
      </c>
      <c r="O87" s="370" t="s">
        <v>6044</v>
      </c>
      <c r="P87" s="370" t="s">
        <v>6045</v>
      </c>
      <c r="Q87" s="370" t="s">
        <v>6046</v>
      </c>
      <c r="R87" s="390" t="s">
        <v>6047</v>
      </c>
      <c r="S87" s="763">
        <f>IF(COUNTIF(Psíquicos!$C$25:$E$36,E87)=0,0,1)</f>
        <v>0</v>
      </c>
      <c r="U87" s="2014" t="s">
        <v>217</v>
      </c>
      <c r="V87" s="370" t="str">
        <f>INDEX($I$6:$R$6,SUMPRODUCT(ISNUMBER(SEARCH("Fatiga",I108:R108))*1)+1)</f>
        <v>ABS</v>
      </c>
      <c r="W87" s="370" t="str">
        <f>IFERROR(VLOOKUP(U87,Psíquicos!$AD$11:$AK$64,8,FALSE),V87)</f>
        <v>ABS</v>
      </c>
      <c r="X87" s="888"/>
      <c r="Y87" s="888"/>
      <c r="Z87" s="888"/>
      <c r="AA87" s="888"/>
      <c r="AB87" s="888"/>
      <c r="AC87" s="888"/>
      <c r="AD87" s="888"/>
      <c r="AE87" s="888"/>
      <c r="AF87" s="888"/>
      <c r="AG87" s="888"/>
      <c r="AH87" s="2015">
        <f>IF(COUNTIF(Psíquicos!$AD$17:$AH$62,U87),VALUE(INDEX('Tablas psiquica'!$X87:$AG87,MATCH('Tablas psiquica'!$W87,'Tablas psiquica'!$X$6:$AG$6,0))),0)</f>
        <v>0</v>
      </c>
      <c r="AJ87" s="2292" t="str">
        <f>IFERROR(IF(VLOOKUP(AK87,$D$7:$G$145,4,FALSE)&lt;&gt;"No",MAX(AJ$5:AJ86)+1,0),"")</f>
        <v/>
      </c>
      <c r="AK87" s="2293" t="str">
        <f t="shared" si="13"/>
        <v/>
      </c>
      <c r="AL87" s="2296" t="str">
        <f>IFERROR(VLOOKUP(Tablas!$A81,$AJ$7:$AK$145,2,FALSE),"")</f>
        <v/>
      </c>
    </row>
    <row r="88" spans="1:38" ht="12.75" customHeight="1" x14ac:dyDescent="0.2">
      <c r="A88" s="766">
        <v>88</v>
      </c>
      <c r="B88" s="761">
        <f>IF(OR(S88=0),0,SUM($S$6:S88))</f>
        <v>0</v>
      </c>
      <c r="C88" s="376"/>
      <c r="D88" s="272" t="s">
        <v>198</v>
      </c>
      <c r="E88" s="370" t="s">
        <v>108</v>
      </c>
      <c r="F88" s="371">
        <v>3</v>
      </c>
      <c r="G88" s="371" t="s">
        <v>1381</v>
      </c>
      <c r="H88" s="372" t="s">
        <v>1304</v>
      </c>
      <c r="I88" s="370" t="s">
        <v>5777</v>
      </c>
      <c r="J88" s="370" t="s">
        <v>5776</v>
      </c>
      <c r="K88" s="370" t="s">
        <v>5763</v>
      </c>
      <c r="L88" s="370" t="s">
        <v>5762</v>
      </c>
      <c r="M88" s="370" t="s">
        <v>5761</v>
      </c>
      <c r="N88" s="370" t="s">
        <v>6048</v>
      </c>
      <c r="O88" s="370" t="s">
        <v>6049</v>
      </c>
      <c r="P88" s="370" t="s">
        <v>6050</v>
      </c>
      <c r="Q88" s="370" t="s">
        <v>6051</v>
      </c>
      <c r="R88" s="390" t="s">
        <v>6052</v>
      </c>
      <c r="S88" s="763">
        <f>IF(COUNTIF(Psíquicos!$C$25:$E$36,E88)=0,0,1)</f>
        <v>0</v>
      </c>
      <c r="U88" s="2014" t="s">
        <v>219</v>
      </c>
      <c r="V88" s="370" t="str">
        <f>INDEX($I$6:$R$6,SUMPRODUCT(ISNUMBER(SEARCH("Fatiga",I110:R110))*1)+1)</f>
        <v>ABS</v>
      </c>
      <c r="W88" s="370" t="str">
        <f>IFERROR(VLOOKUP(U88,Psíquicos!$AD$11:$AK$64,8,FALSE),V88)</f>
        <v>ABS</v>
      </c>
      <c r="X88" s="888"/>
      <c r="Y88" s="888"/>
      <c r="Z88" s="888"/>
      <c r="AA88" s="888"/>
      <c r="AB88" s="888"/>
      <c r="AC88" s="888"/>
      <c r="AD88" s="888"/>
      <c r="AE88" s="888"/>
      <c r="AF88" s="888"/>
      <c r="AG88" s="888"/>
      <c r="AH88" s="2015">
        <f>IF(COUNTIF(Psíquicos!$AD$17:$AH$62,U88),VALUE(INDEX('Tablas psiquica'!$X88:$AG88,MATCH('Tablas psiquica'!$W88,'Tablas psiquica'!$X$6:$AG$6,0))),0)</f>
        <v>0</v>
      </c>
      <c r="AJ88" s="2292" t="str">
        <f>IFERROR(IF(VLOOKUP(AK88,$D$7:$G$145,4,FALSE)&lt;&gt;"No",MAX(AJ$5:AJ87)+1,0),"")</f>
        <v/>
      </c>
      <c r="AK88" s="2293" t="str">
        <f t="shared" si="13"/>
        <v/>
      </c>
      <c r="AL88" s="2296" t="str">
        <f>IFERROR(VLOOKUP(Tablas!$A82,$AJ$7:$AK$145,2,FALSE),"")</f>
        <v/>
      </c>
    </row>
    <row r="89" spans="1:38" ht="12.75" customHeight="1" x14ac:dyDescent="0.2">
      <c r="A89" s="766">
        <v>89</v>
      </c>
      <c r="B89" s="761">
        <f>IF(OR(S89=0),0,SUM($S$6:S89))</f>
        <v>0</v>
      </c>
      <c r="C89" s="376"/>
      <c r="D89" s="272" t="s">
        <v>199</v>
      </c>
      <c r="E89" s="370" t="s">
        <v>108</v>
      </c>
      <c r="F89" s="371">
        <v>3</v>
      </c>
      <c r="G89" s="371" t="s">
        <v>2584</v>
      </c>
      <c r="H89" s="372" t="s">
        <v>1304</v>
      </c>
      <c r="I89" s="370" t="s">
        <v>5844</v>
      </c>
      <c r="J89" s="370" t="s">
        <v>5777</v>
      </c>
      <c r="K89" s="370" t="s">
        <v>5776</v>
      </c>
      <c r="L89" s="370" t="s">
        <v>5763</v>
      </c>
      <c r="M89" s="370" t="s">
        <v>5762</v>
      </c>
      <c r="N89" s="370" t="s">
        <v>5761</v>
      </c>
      <c r="O89" s="370" t="s">
        <v>4242</v>
      </c>
      <c r="P89" s="370" t="s">
        <v>4243</v>
      </c>
      <c r="Q89" s="370" t="s">
        <v>4244</v>
      </c>
      <c r="R89" s="390" t="s">
        <v>6053</v>
      </c>
      <c r="S89" s="763">
        <f>IF(COUNTIF(Psíquicos!$C$25:$E$36,E89)=0,0,1)</f>
        <v>0</v>
      </c>
      <c r="U89" s="2014" t="s">
        <v>221</v>
      </c>
      <c r="V89" s="888"/>
      <c r="W89" s="370"/>
      <c r="X89" s="888"/>
      <c r="Y89" s="888"/>
      <c r="Z89" s="888"/>
      <c r="AA89" s="888"/>
      <c r="AB89" s="888"/>
      <c r="AC89" s="888"/>
      <c r="AD89" s="888"/>
      <c r="AE89" s="888"/>
      <c r="AF89" s="888"/>
      <c r="AG89" s="888"/>
      <c r="AH89" s="2015" t="e">
        <f>IF(COUNTIF(Psíquicos!$AD$17:$AH$62,U89),VALUE(INDEX('Tablas psiquica'!$X89:$AG89,MATCH('Tablas psiquica'!$W89,'Tablas psiquica'!$X$6:$AG$6,0))),0)</f>
        <v>#N/A</v>
      </c>
      <c r="AJ89" s="2292" t="str">
        <f>IFERROR(IF(VLOOKUP(AK89,$D$7:$G$145,4,FALSE)&lt;&gt;"No",MAX(AJ$5:AJ88)+1,0),"")</f>
        <v/>
      </c>
      <c r="AK89" s="2293" t="str">
        <f t="shared" si="13"/>
        <v/>
      </c>
      <c r="AL89" s="2296" t="str">
        <f>IFERROR(VLOOKUP(Tablas!$A83,$AJ$7:$AK$145,2,FALSE),"")</f>
        <v/>
      </c>
    </row>
    <row r="90" spans="1:38" ht="12.75" customHeight="1" x14ac:dyDescent="0.2">
      <c r="A90" s="766">
        <v>90</v>
      </c>
      <c r="B90" s="761">
        <f>IF(OR(S90=0),0,SUM($S$6:S90))</f>
        <v>0</v>
      </c>
      <c r="C90" s="376"/>
      <c r="D90" s="272" t="s">
        <v>200</v>
      </c>
      <c r="E90" s="370"/>
      <c r="F90" s="371"/>
      <c r="G90" s="371"/>
      <c r="H90" s="372"/>
      <c r="I90" s="370"/>
      <c r="J90" s="370"/>
      <c r="K90" s="370"/>
      <c r="L90" s="370"/>
      <c r="M90" s="370"/>
      <c r="N90" s="370"/>
      <c r="O90" s="370"/>
      <c r="P90" s="370"/>
      <c r="Q90" s="370"/>
      <c r="R90" s="390"/>
      <c r="S90" s="765">
        <f>S91</f>
        <v>0</v>
      </c>
      <c r="U90" s="2014" t="s">
        <v>223</v>
      </c>
      <c r="V90" s="370" t="str">
        <f>INDEX($I$6:$R$6,SUMPRODUCT(ISNUMBER(SEARCH("Fatiga",I114:R114))*1)+1)</f>
        <v>MED</v>
      </c>
      <c r="W90" s="370" t="str">
        <f>IFERROR(VLOOKUP(U90,Psíquicos!$AD$11:$AK$64,8,FALSE),V90)</f>
        <v>MED</v>
      </c>
      <c r="X90" s="888"/>
      <c r="Y90" s="888"/>
      <c r="Z90" s="888"/>
      <c r="AA90" s="888"/>
      <c r="AB90" s="888"/>
      <c r="AC90" s="888"/>
      <c r="AD90" s="888"/>
      <c r="AE90" s="888"/>
      <c r="AF90" s="888"/>
      <c r="AG90" s="888"/>
      <c r="AH90" s="2015">
        <f>IF(COUNTIF(Psíquicos!$AD$17:$AH$62,U90),VALUE(INDEX('Tablas psiquica'!$X90:$AG90,MATCH('Tablas psiquica'!$W90,'Tablas psiquica'!$X$6:$AG$6,0))),0)</f>
        <v>0</v>
      </c>
      <c r="AJ90" s="2292" t="str">
        <f>IFERROR(IF(VLOOKUP(AK90,$D$7:$G$145,4,FALSE)&lt;&gt;"No",MAX(AJ$5:AJ89)+1,0),"")</f>
        <v/>
      </c>
      <c r="AK90" s="2293" t="str">
        <f t="shared" si="13"/>
        <v/>
      </c>
      <c r="AL90" s="2296" t="str">
        <f>IFERROR(VLOOKUP(Tablas!$A84,$AJ$7:$AK$145,2,FALSE),"")</f>
        <v/>
      </c>
    </row>
    <row r="91" spans="1:38" ht="12.75" customHeight="1" x14ac:dyDescent="0.2">
      <c r="A91" s="766">
        <v>91</v>
      </c>
      <c r="B91" s="761">
        <f>IF(OR(S91=0),0,SUM($S$6:S91))</f>
        <v>0</v>
      </c>
      <c r="C91" s="376"/>
      <c r="D91" s="272" t="s">
        <v>201</v>
      </c>
      <c r="E91" s="370" t="s">
        <v>111</v>
      </c>
      <c r="F91" s="371">
        <v>1</v>
      </c>
      <c r="G91" s="371" t="s">
        <v>2584</v>
      </c>
      <c r="H91" s="372" t="s">
        <v>1304</v>
      </c>
      <c r="I91" s="370" t="s">
        <v>5725</v>
      </c>
      <c r="J91" s="370" t="s">
        <v>5726</v>
      </c>
      <c r="K91" s="370" t="s">
        <v>5743</v>
      </c>
      <c r="L91" s="370" t="s">
        <v>5744</v>
      </c>
      <c r="M91" s="370" t="s">
        <v>5745</v>
      </c>
      <c r="N91" s="370" t="s">
        <v>5746</v>
      </c>
      <c r="O91" s="370" t="s">
        <v>5747</v>
      </c>
      <c r="P91" s="370" t="s">
        <v>5748</v>
      </c>
      <c r="Q91" s="370" t="s">
        <v>5749</v>
      </c>
      <c r="R91" s="390" t="s">
        <v>5750</v>
      </c>
      <c r="S91" s="763">
        <f>IF(COUNTIF(Psíquicos!$C$25:$E$36,E91)=0,0,1)</f>
        <v>0</v>
      </c>
      <c r="U91" s="2014" t="s">
        <v>224</v>
      </c>
      <c r="V91" s="370" t="str">
        <f>INDEX($I$6:$R$6,SUMPRODUCT(ISNUMBER(SEARCH("Fatiga",I115:R115))*1)+1)</f>
        <v>MED</v>
      </c>
      <c r="W91" s="370" t="str">
        <f>IFERROR(VLOOKUP(U91,Psíquicos!$AD$11:$AK$64,8,FALSE),V91)</f>
        <v>MED</v>
      </c>
      <c r="X91" s="888"/>
      <c r="Y91" s="888"/>
      <c r="Z91" s="888"/>
      <c r="AA91" s="888"/>
      <c r="AB91" s="888"/>
      <c r="AC91" s="888"/>
      <c r="AD91" s="888"/>
      <c r="AE91" s="888"/>
      <c r="AF91" s="888"/>
      <c r="AG91" s="888"/>
      <c r="AH91" s="2015">
        <f>IF(COUNTIF(Psíquicos!$AD$17:$AH$62,U91),VALUE(INDEX('Tablas psiquica'!$X91:$AG91,MATCH('Tablas psiquica'!$W91,'Tablas psiquica'!$X$6:$AG$6,0))),0)</f>
        <v>0</v>
      </c>
      <c r="AJ91" s="2292" t="str">
        <f>IFERROR(IF(VLOOKUP(AK91,$D$7:$G$145,4,FALSE)&lt;&gt;"No",MAX(AJ$5:AJ90)+1,0),"")</f>
        <v/>
      </c>
      <c r="AK91" s="2293" t="str">
        <f t="shared" si="13"/>
        <v/>
      </c>
      <c r="AL91" s="2296" t="str">
        <f>IFERROR(VLOOKUP(Tablas!$A85,$AJ$7:$AK$145,2,FALSE),"")</f>
        <v/>
      </c>
    </row>
    <row r="92" spans="1:38" ht="12.75" customHeight="1" x14ac:dyDescent="0.2">
      <c r="A92" s="766">
        <v>92</v>
      </c>
      <c r="B92" s="761">
        <f>IF(OR(S92=0),0,SUM($S$6:S92))</f>
        <v>0</v>
      </c>
      <c r="C92" s="376"/>
      <c r="D92" s="272" t="s">
        <v>202</v>
      </c>
      <c r="E92" s="370" t="s">
        <v>111</v>
      </c>
      <c r="F92" s="371">
        <v>1</v>
      </c>
      <c r="G92" s="371" t="s">
        <v>2584</v>
      </c>
      <c r="H92" s="372" t="s">
        <v>1304</v>
      </c>
      <c r="I92" s="370" t="s">
        <v>5725</v>
      </c>
      <c r="J92" s="370" t="s">
        <v>5726</v>
      </c>
      <c r="K92" s="370" t="s">
        <v>5743</v>
      </c>
      <c r="L92" s="370" t="s">
        <v>5744</v>
      </c>
      <c r="M92" s="370" t="s">
        <v>5745</v>
      </c>
      <c r="N92" s="370" t="s">
        <v>5746</v>
      </c>
      <c r="O92" s="370" t="s">
        <v>5747</v>
      </c>
      <c r="P92" s="370" t="s">
        <v>5748</v>
      </c>
      <c r="Q92" s="370" t="s">
        <v>5749</v>
      </c>
      <c r="R92" s="390" t="s">
        <v>5750</v>
      </c>
      <c r="S92" s="763">
        <f>IF(COUNTIF(Psíquicos!$C$25:$E$36,E92)=0,0,1)</f>
        <v>0</v>
      </c>
      <c r="U92" s="2014" t="s">
        <v>225</v>
      </c>
      <c r="V92" s="370" t="str">
        <f>INDEX($I$6:$R$6,SUMPRODUCT(ISNUMBER(SEARCH("Fatiga",I116:R116))*1)+1)</f>
        <v>DIF</v>
      </c>
      <c r="W92" s="370" t="str">
        <f>IFERROR(VLOOKUP(U92,Psíquicos!$AD$11:$AK$64,8,FALSE),V92)</f>
        <v>DIF</v>
      </c>
      <c r="X92" s="888"/>
      <c r="Y92" s="888"/>
      <c r="Z92" s="888"/>
      <c r="AA92" s="888"/>
      <c r="AB92" s="888"/>
      <c r="AC92" s="888"/>
      <c r="AD92" s="888"/>
      <c r="AE92" s="888"/>
      <c r="AF92" s="888"/>
      <c r="AG92" s="888"/>
      <c r="AH92" s="2015">
        <f>IF(COUNTIF(Psíquicos!$AD$17:$AH$62,U92),VALUE(INDEX('Tablas psiquica'!$X92:$AG92,MATCH('Tablas psiquica'!$W92,'Tablas psiquica'!$X$6:$AG$6,0))),0)</f>
        <v>0</v>
      </c>
      <c r="AJ92" s="2292" t="str">
        <f>IFERROR(IF(VLOOKUP(AK92,$D$7:$G$145,4,FALSE)&lt;&gt;"No",MAX(AJ$5:AJ91)+1,0),"")</f>
        <v/>
      </c>
      <c r="AK92" s="2293" t="str">
        <f t="shared" si="13"/>
        <v/>
      </c>
      <c r="AL92" s="2296" t="str">
        <f>IFERROR(VLOOKUP(Tablas!$A86,$AJ$7:$AK$145,2,FALSE),"")</f>
        <v/>
      </c>
    </row>
    <row r="93" spans="1:38" ht="12.75" customHeight="1" x14ac:dyDescent="0.2">
      <c r="A93" s="766">
        <v>93</v>
      </c>
      <c r="B93" s="761">
        <f>IF(OR(S93=0),0,SUM($S$6:S93))</f>
        <v>0</v>
      </c>
      <c r="C93" s="376"/>
      <c r="D93" s="272" t="s">
        <v>203</v>
      </c>
      <c r="E93" s="370" t="s">
        <v>111</v>
      </c>
      <c r="F93" s="371">
        <v>1</v>
      </c>
      <c r="G93" s="371" t="s">
        <v>2584</v>
      </c>
      <c r="H93" s="372" t="s">
        <v>1304</v>
      </c>
      <c r="I93" s="370" t="s">
        <v>5725</v>
      </c>
      <c r="J93" s="370" t="s">
        <v>5726</v>
      </c>
      <c r="K93" s="370" t="s">
        <v>10448</v>
      </c>
      <c r="L93" s="370" t="s">
        <v>10449</v>
      </c>
      <c r="M93" s="370" t="s">
        <v>10450</v>
      </c>
      <c r="N93" s="370" t="s">
        <v>10451</v>
      </c>
      <c r="O93" s="370" t="s">
        <v>10452</v>
      </c>
      <c r="P93" s="370" t="s">
        <v>10453</v>
      </c>
      <c r="Q93" s="370" t="s">
        <v>10454</v>
      </c>
      <c r="R93" s="390" t="s">
        <v>10455</v>
      </c>
      <c r="S93" s="763">
        <f>IF(COUNTIF(Psíquicos!$C$25:$E$36,E93)=0,0,1)</f>
        <v>0</v>
      </c>
      <c r="U93" s="2014" t="s">
        <v>226</v>
      </c>
      <c r="V93" s="370" t="str">
        <f>INDEX($I$6:$R$6,SUMPRODUCT(ISNUMBER(SEARCH("Fatiga",I117:R117))*1)+1)</f>
        <v>DIF</v>
      </c>
      <c r="W93" s="370" t="str">
        <f>IFERROR(VLOOKUP(U93,Psíquicos!$AD$11:$AK$64,8,FALSE),V93)</f>
        <v>DIF</v>
      </c>
      <c r="X93" s="888"/>
      <c r="Y93" s="888"/>
      <c r="Z93" s="888"/>
      <c r="AA93" s="888"/>
      <c r="AB93" s="888"/>
      <c r="AC93" s="888"/>
      <c r="AD93" s="888"/>
      <c r="AE93" s="888"/>
      <c r="AF93" s="888"/>
      <c r="AG93" s="888"/>
      <c r="AH93" s="2015">
        <f>IF(COUNTIF(Psíquicos!$AD$17:$AH$62,U93),VALUE(INDEX('Tablas psiquica'!$X93:$AG93,MATCH('Tablas psiquica'!$W93,'Tablas psiquica'!$X$6:$AG$6,0))),0)</f>
        <v>0</v>
      </c>
      <c r="AJ93" s="2292" t="str">
        <f>IFERROR(IF(VLOOKUP(AK93,$D$7:$G$145,4,FALSE)&lt;&gt;"No",MAX(AJ$5:AJ92)+1,0),"")</f>
        <v/>
      </c>
      <c r="AK93" s="2293" t="str">
        <f t="shared" si="13"/>
        <v/>
      </c>
      <c r="AL93" s="2296" t="str">
        <f>IFERROR(VLOOKUP(Tablas!$A87,$AJ$7:$AK$145,2,FALSE),"")</f>
        <v/>
      </c>
    </row>
    <row r="94" spans="1:38" ht="12.75" customHeight="1" x14ac:dyDescent="0.2">
      <c r="A94" s="766">
        <v>94</v>
      </c>
      <c r="B94" s="761">
        <f>IF(OR(S94=0),0,SUM($S$6:S94))</f>
        <v>0</v>
      </c>
      <c r="C94" s="376"/>
      <c r="D94" s="272" t="s">
        <v>204</v>
      </c>
      <c r="E94" s="370" t="s">
        <v>111</v>
      </c>
      <c r="F94" s="371">
        <v>1</v>
      </c>
      <c r="G94" s="371" t="s">
        <v>2584</v>
      </c>
      <c r="H94" s="372" t="s">
        <v>1304</v>
      </c>
      <c r="I94" s="370" t="s">
        <v>5725</v>
      </c>
      <c r="J94" s="370" t="s">
        <v>5726</v>
      </c>
      <c r="K94" s="370" t="s">
        <v>10456</v>
      </c>
      <c r="L94" s="370" t="s">
        <v>6054</v>
      </c>
      <c r="M94" s="370" t="s">
        <v>6055</v>
      </c>
      <c r="N94" s="370" t="s">
        <v>6056</v>
      </c>
      <c r="O94" s="370" t="s">
        <v>6057</v>
      </c>
      <c r="P94" s="370" t="s">
        <v>6058</v>
      </c>
      <c r="Q94" s="370" t="s">
        <v>6059</v>
      </c>
      <c r="R94" s="390" t="s">
        <v>6060</v>
      </c>
      <c r="S94" s="763">
        <f>IF(COUNTIF(Psíquicos!$C$25:$E$36,E94)=0,0,1)</f>
        <v>0</v>
      </c>
      <c r="U94" s="2014" t="s">
        <v>227</v>
      </c>
      <c r="V94" s="370" t="str">
        <f>INDEX($I$6:$R$6,SUMPRODUCT(ISNUMBER(SEARCH("Fatiga",I118:R118))*1)+1)</f>
        <v>DIF</v>
      </c>
      <c r="W94" s="370" t="str">
        <f>IFERROR(VLOOKUP(U94,Psíquicos!$AD$11:$AK$64,8,FALSE),V94)</f>
        <v>DIF</v>
      </c>
      <c r="X94" s="888"/>
      <c r="Y94" s="888"/>
      <c r="Z94" s="888"/>
      <c r="AA94" s="888"/>
      <c r="AB94" s="888"/>
      <c r="AC94" s="888"/>
      <c r="AD94" s="888"/>
      <c r="AE94" s="888"/>
      <c r="AF94" s="888"/>
      <c r="AG94" s="888"/>
      <c r="AH94" s="2015">
        <f>IF(COUNTIF(Psíquicos!$AD$17:$AH$62,U94),VALUE(INDEX('Tablas psiquica'!$X94:$AG94,MATCH('Tablas psiquica'!$W94,'Tablas psiquica'!$X$6:$AG$6,0))),0)</f>
        <v>0</v>
      </c>
      <c r="AJ94" s="2292" t="str">
        <f>IFERROR(IF(VLOOKUP(AK94,$D$7:$G$145,4,FALSE)&lt;&gt;"No",MAX(AJ$5:AJ93)+1,0),"")</f>
        <v/>
      </c>
      <c r="AK94" s="2293" t="str">
        <f t="shared" si="13"/>
        <v/>
      </c>
      <c r="AL94" s="2296" t="str">
        <f>IFERROR(VLOOKUP(Tablas!$A88,$AJ$7:$AK$145,2,FALSE),"")</f>
        <v/>
      </c>
    </row>
    <row r="95" spans="1:38" ht="12.75" customHeight="1" x14ac:dyDescent="0.2">
      <c r="A95" s="766">
        <v>95</v>
      </c>
      <c r="B95" s="761">
        <f>IF(OR(S95=0),0,SUM($S$6:S95))</f>
        <v>0</v>
      </c>
      <c r="C95" s="376"/>
      <c r="D95" s="272" t="s">
        <v>205</v>
      </c>
      <c r="E95" s="370" t="s">
        <v>111</v>
      </c>
      <c r="F95" s="371">
        <v>2</v>
      </c>
      <c r="G95" s="371" t="s">
        <v>2584</v>
      </c>
      <c r="H95" s="372" t="s">
        <v>1304</v>
      </c>
      <c r="I95" s="370" t="s">
        <v>5763</v>
      </c>
      <c r="J95" s="370" t="s">
        <v>5761</v>
      </c>
      <c r="K95" s="370" t="s">
        <v>5725</v>
      </c>
      <c r="L95" s="370" t="s">
        <v>5760</v>
      </c>
      <c r="M95" s="370" t="s">
        <v>5743</v>
      </c>
      <c r="N95" s="370" t="s">
        <v>5744</v>
      </c>
      <c r="O95" s="370" t="s">
        <v>5745</v>
      </c>
      <c r="P95" s="370" t="s">
        <v>5746</v>
      </c>
      <c r="Q95" s="370" t="s">
        <v>5747</v>
      </c>
      <c r="R95" s="390" t="s">
        <v>5748</v>
      </c>
      <c r="S95" s="763">
        <f>IF(COUNTIF(Psíquicos!$C$25:$E$36,E95)=0,0,1)</f>
        <v>0</v>
      </c>
      <c r="U95" s="2014" t="s">
        <v>231</v>
      </c>
      <c r="V95" s="888"/>
      <c r="W95" s="370"/>
      <c r="X95" s="888"/>
      <c r="Y95" s="888"/>
      <c r="Z95" s="888"/>
      <c r="AA95" s="888"/>
      <c r="AB95" s="888"/>
      <c r="AC95" s="888"/>
      <c r="AD95" s="888"/>
      <c r="AE95" s="888"/>
      <c r="AF95" s="888"/>
      <c r="AG95" s="888"/>
      <c r="AH95" s="2015" t="e">
        <f>IF(COUNTIF(Psíquicos!$AD$17:$AH$62,U95),VALUE(INDEX('Tablas psiquica'!$X95:$AG95,MATCH('Tablas psiquica'!$W95,'Tablas psiquica'!$X$6:$AG$6,0))),0)</f>
        <v>#N/A</v>
      </c>
      <c r="AJ95" s="2292" t="str">
        <f>IFERROR(IF(VLOOKUP(AK95,$D$7:$G$145,4,FALSE)&lt;&gt;"No",MAX(AJ$5:AJ94)+1,0),"")</f>
        <v/>
      </c>
      <c r="AK95" s="2293" t="str">
        <f t="shared" si="13"/>
        <v/>
      </c>
      <c r="AL95" s="2296" t="str">
        <f>IFERROR(VLOOKUP(Tablas!$A89,$AJ$7:$AK$145,2,FALSE),"")</f>
        <v/>
      </c>
    </row>
    <row r="96" spans="1:38" ht="12.75" customHeight="1" x14ac:dyDescent="0.2">
      <c r="A96" s="766">
        <v>96</v>
      </c>
      <c r="B96" s="761">
        <f>IF(OR(S96=0),0,SUM($S$6:S96))</f>
        <v>0</v>
      </c>
      <c r="C96" s="376"/>
      <c r="D96" s="272" t="s">
        <v>206</v>
      </c>
      <c r="E96" s="370" t="s">
        <v>111</v>
      </c>
      <c r="F96" s="371">
        <v>2</v>
      </c>
      <c r="G96" s="371" t="s">
        <v>2584</v>
      </c>
      <c r="H96" s="372" t="s">
        <v>1304</v>
      </c>
      <c r="I96" s="370" t="s">
        <v>5763</v>
      </c>
      <c r="J96" s="370" t="s">
        <v>5762</v>
      </c>
      <c r="K96" s="370" t="s">
        <v>5761</v>
      </c>
      <c r="L96" s="370" t="s">
        <v>5725</v>
      </c>
      <c r="M96" s="370" t="s">
        <v>10457</v>
      </c>
      <c r="N96" s="370" t="s">
        <v>10458</v>
      </c>
      <c r="O96" s="370" t="s">
        <v>10459</v>
      </c>
      <c r="P96" s="370" t="s">
        <v>10460</v>
      </c>
      <c r="Q96" s="370" t="s">
        <v>10461</v>
      </c>
      <c r="R96" s="390" t="s">
        <v>10462</v>
      </c>
      <c r="S96" s="763">
        <f>IF(COUNTIF(Psíquicos!$C$25:$E$36,E96)=0,0,1)</f>
        <v>0</v>
      </c>
      <c r="U96" s="2014" t="s">
        <v>234</v>
      </c>
      <c r="V96" s="370" t="str">
        <f>INDEX($I$6:$R$6,SUMPRODUCT(ISNUMBER(SEARCH("Fatiga",I125:R125))*1)+1)</f>
        <v>DIF</v>
      </c>
      <c r="W96" s="370" t="str">
        <f>IFERROR(VLOOKUP(U96,Psíquicos!$AD$11:$AK$64,8,FALSE),V96)</f>
        <v>DIF</v>
      </c>
      <c r="X96" s="888"/>
      <c r="Y96" s="888"/>
      <c r="Z96" s="888"/>
      <c r="AA96" s="888"/>
      <c r="AB96" s="888"/>
      <c r="AC96" s="888"/>
      <c r="AD96" s="888"/>
      <c r="AE96" s="888"/>
      <c r="AF96" s="888"/>
      <c r="AG96" s="888"/>
      <c r="AH96" s="2015">
        <f>IF(COUNTIF(Psíquicos!$AD$17:$AH$62,U96),VALUE(INDEX('Tablas psiquica'!$X96:$AG96,MATCH('Tablas psiquica'!$W96,'Tablas psiquica'!$X$6:$AG$6,0))),0)</f>
        <v>0</v>
      </c>
      <c r="AJ96" s="2292" t="str">
        <f>IFERROR(IF(VLOOKUP(AK96,$D$7:$G$145,4,FALSE)&lt;&gt;"No",MAX(AJ$5:AJ95)+1,0),"")</f>
        <v/>
      </c>
      <c r="AK96" s="2293" t="str">
        <f t="shared" si="13"/>
        <v/>
      </c>
      <c r="AL96" s="2296" t="str">
        <f>IFERROR(VLOOKUP(Tablas!$A90,$AJ$7:$AK$145,2,FALSE),"")</f>
        <v/>
      </c>
    </row>
    <row r="97" spans="1:38" ht="12.75" customHeight="1" x14ac:dyDescent="0.2">
      <c r="A97" s="766">
        <v>97</v>
      </c>
      <c r="B97" s="761">
        <f>IF(OR(S97=0),0,SUM($S$6:S97))</f>
        <v>0</v>
      </c>
      <c r="C97" s="376"/>
      <c r="D97" s="272" t="s">
        <v>207</v>
      </c>
      <c r="E97" s="370" t="s">
        <v>111</v>
      </c>
      <c r="F97" s="371">
        <v>2</v>
      </c>
      <c r="G97" s="371" t="s">
        <v>2584</v>
      </c>
      <c r="H97" s="372" t="s">
        <v>1304</v>
      </c>
      <c r="I97" s="370" t="s">
        <v>5763</v>
      </c>
      <c r="J97" s="370" t="s">
        <v>5762</v>
      </c>
      <c r="K97" s="370" t="s">
        <v>5761</v>
      </c>
      <c r="L97" s="370" t="s">
        <v>5725</v>
      </c>
      <c r="M97" s="370" t="s">
        <v>5743</v>
      </c>
      <c r="N97" s="370" t="s">
        <v>5744</v>
      </c>
      <c r="O97" s="370" t="s">
        <v>5745</v>
      </c>
      <c r="P97" s="370" t="s">
        <v>5746</v>
      </c>
      <c r="Q97" s="370" t="s">
        <v>5747</v>
      </c>
      <c r="R97" s="390" t="s">
        <v>5749</v>
      </c>
      <c r="S97" s="763">
        <f>IF(COUNTIF(Psíquicos!$C$25:$E$36,E97)=0,0,1)</f>
        <v>0</v>
      </c>
      <c r="U97" s="2014" t="s">
        <v>236</v>
      </c>
      <c r="V97" s="370" t="str">
        <f>INDEX($I$6:$R$6,SUMPRODUCT(ISNUMBER(SEARCH("Fatiga",I127:R127))*1)+1)</f>
        <v>ABS</v>
      </c>
      <c r="W97" s="370" t="str">
        <f>IFERROR(VLOOKUP(U97,Psíquicos!$AD$11:$AK$64,8,FALSE),V97)</f>
        <v>ABS</v>
      </c>
      <c r="X97" s="888"/>
      <c r="Y97" s="888"/>
      <c r="Z97" s="888"/>
      <c r="AA97" s="888"/>
      <c r="AB97" s="888"/>
      <c r="AC97" s="888"/>
      <c r="AD97" s="888"/>
      <c r="AE97" s="888"/>
      <c r="AF97" s="888"/>
      <c r="AG97" s="888"/>
      <c r="AH97" s="2015">
        <f>IF(COUNTIF(Psíquicos!$AD$17:$AH$62,U97),VALUE(INDEX('Tablas psiquica'!$X97:$AG97,MATCH('Tablas psiquica'!$W97,'Tablas psiquica'!$X$6:$AG$6,0))),0)</f>
        <v>0</v>
      </c>
      <c r="AJ97" s="2292" t="str">
        <f>IFERROR(IF(VLOOKUP(AK97,$D$7:$G$145,4,FALSE)&lt;&gt;"No",MAX(AJ$5:AJ96)+1,0),"")</f>
        <v/>
      </c>
      <c r="AK97" s="2293" t="str">
        <f t="shared" si="13"/>
        <v/>
      </c>
      <c r="AL97" s="2296" t="str">
        <f>IFERROR(VLOOKUP(Tablas!$A91,$AJ$7:$AK$145,2,FALSE),"")</f>
        <v/>
      </c>
    </row>
    <row r="98" spans="1:38" ht="12.75" customHeight="1" x14ac:dyDescent="0.2">
      <c r="A98" s="766">
        <v>98</v>
      </c>
      <c r="B98" s="761">
        <f>IF(OR(S98=0),0,SUM($S$6:S98))</f>
        <v>0</v>
      </c>
      <c r="C98" s="376"/>
      <c r="D98" s="272" t="s">
        <v>208</v>
      </c>
      <c r="E98" s="370" t="s">
        <v>111</v>
      </c>
      <c r="F98" s="371">
        <v>2</v>
      </c>
      <c r="G98" s="371" t="s">
        <v>2584</v>
      </c>
      <c r="H98" s="372" t="s">
        <v>1304</v>
      </c>
      <c r="I98" s="370" t="s">
        <v>5763</v>
      </c>
      <c r="J98" s="370" t="s">
        <v>5762</v>
      </c>
      <c r="K98" s="370" t="s">
        <v>5761</v>
      </c>
      <c r="L98" s="370" t="s">
        <v>5725</v>
      </c>
      <c r="M98" s="370" t="s">
        <v>6061</v>
      </c>
      <c r="N98" s="370" t="s">
        <v>5738</v>
      </c>
      <c r="O98" s="370" t="s">
        <v>6062</v>
      </c>
      <c r="P98" s="370" t="s">
        <v>5739</v>
      </c>
      <c r="Q98" s="370" t="s">
        <v>5740</v>
      </c>
      <c r="R98" s="390" t="s">
        <v>5742</v>
      </c>
      <c r="S98" s="763">
        <f>IF(COUNTIF(Psíquicos!$C$25:$E$36,E98)=0,0,1)</f>
        <v>0</v>
      </c>
      <c r="U98" s="2014" t="s">
        <v>238</v>
      </c>
      <c r="V98" s="888"/>
      <c r="W98" s="370"/>
      <c r="X98" s="888"/>
      <c r="Y98" s="888"/>
      <c r="Z98" s="888"/>
      <c r="AA98" s="888"/>
      <c r="AB98" s="888"/>
      <c r="AC98" s="888"/>
      <c r="AD98" s="888"/>
      <c r="AE98" s="888"/>
      <c r="AF98" s="888"/>
      <c r="AG98" s="888"/>
      <c r="AH98" s="2015" t="e">
        <f>IF(COUNTIF(Psíquicos!$AD$17:$AH$62,U98),VALUE(INDEX('Tablas psiquica'!$X98:$AG98,MATCH('Tablas psiquica'!$W98,'Tablas psiquica'!$X$6:$AG$6,0))),0)</f>
        <v>#N/A</v>
      </c>
      <c r="AJ98" s="2292" t="str">
        <f>IFERROR(IF(VLOOKUP(AK98,$D$7:$G$145,4,FALSE)&lt;&gt;"No",MAX(AJ$5:AJ97)+1,0),"")</f>
        <v/>
      </c>
      <c r="AK98" s="2293" t="str">
        <f t="shared" si="13"/>
        <v/>
      </c>
      <c r="AL98" s="2296" t="str">
        <f>IFERROR(VLOOKUP(Tablas!$A92,$AJ$7:$AK$145,2,FALSE),"")</f>
        <v/>
      </c>
    </row>
    <row r="99" spans="1:38" ht="12.75" customHeight="1" x14ac:dyDescent="0.2">
      <c r="A99" s="766">
        <v>99</v>
      </c>
      <c r="B99" s="761">
        <f>IF(OR(S99=0),0,SUM($S$6:S99))</f>
        <v>0</v>
      </c>
      <c r="C99" s="376"/>
      <c r="D99" s="272" t="s">
        <v>209</v>
      </c>
      <c r="E99" s="370" t="s">
        <v>111</v>
      </c>
      <c r="F99" s="371">
        <v>3</v>
      </c>
      <c r="G99" s="371" t="s">
        <v>1381</v>
      </c>
      <c r="H99" s="372" t="s">
        <v>1304</v>
      </c>
      <c r="I99" s="370" t="s">
        <v>5777</v>
      </c>
      <c r="J99" s="370" t="s">
        <v>5776</v>
      </c>
      <c r="K99" s="370" t="s">
        <v>5763</v>
      </c>
      <c r="L99" s="370" t="s">
        <v>5762</v>
      </c>
      <c r="M99" s="370" t="s">
        <v>5761</v>
      </c>
      <c r="N99" s="370" t="s">
        <v>5744</v>
      </c>
      <c r="O99" s="370" t="s">
        <v>5745</v>
      </c>
      <c r="P99" s="370" t="s">
        <v>5746</v>
      </c>
      <c r="Q99" s="370" t="s">
        <v>5747</v>
      </c>
      <c r="R99" s="390" t="s">
        <v>5748</v>
      </c>
      <c r="S99" s="763">
        <f>IF(COUNTIF(Psíquicos!$C$25:$E$36,E99)=0,0,1)</f>
        <v>0</v>
      </c>
      <c r="U99" s="2014" t="s">
        <v>239</v>
      </c>
      <c r="V99" s="370" t="str">
        <f>INDEX($I$6:$R$6,SUMPRODUCT(ISNUMBER(SEARCH("Fatiga",I131:R131))*1)+1)</f>
        <v>DIF</v>
      </c>
      <c r="W99" s="370" t="str">
        <f>IFERROR(VLOOKUP(U99,Psíquicos!$AD$11:$AK$64,8,FALSE),V99)</f>
        <v>DIF</v>
      </c>
      <c r="X99" s="888"/>
      <c r="Y99" s="888"/>
      <c r="Z99" s="888"/>
      <c r="AA99" s="888"/>
      <c r="AB99" s="888"/>
      <c r="AC99" s="888"/>
      <c r="AD99" s="888"/>
      <c r="AE99" s="888"/>
      <c r="AF99" s="888"/>
      <c r="AG99" s="888"/>
      <c r="AH99" s="2015">
        <f>IF(COUNTIF(Psíquicos!$AD$17:$AH$62,U99),VALUE(INDEX('Tablas psiquica'!$X99:$AG99,MATCH('Tablas psiquica'!$W99,'Tablas psiquica'!$X$6:$AG$6,0))),0)</f>
        <v>0</v>
      </c>
      <c r="AJ99" s="2292" t="str">
        <f>IFERROR(IF(VLOOKUP(AK99,$D$7:$G$145,4,FALSE)&lt;&gt;"No",MAX(AJ$5:AJ98)+1,0),"")</f>
        <v/>
      </c>
      <c r="AK99" s="2293" t="str">
        <f t="shared" si="13"/>
        <v/>
      </c>
      <c r="AL99" s="2296" t="str">
        <f>IFERROR(VLOOKUP(Tablas!$A93,$AJ$7:$AK$145,2,FALSE),"")</f>
        <v/>
      </c>
    </row>
    <row r="100" spans="1:38" ht="12.75" customHeight="1" x14ac:dyDescent="0.2">
      <c r="A100" s="766">
        <v>100</v>
      </c>
      <c r="B100" s="761">
        <f>IF(OR(S100=0),0,SUM($S$6:S100))</f>
        <v>0</v>
      </c>
      <c r="C100" s="376"/>
      <c r="D100" s="272" t="s">
        <v>10065</v>
      </c>
      <c r="E100" s="370" t="s">
        <v>111</v>
      </c>
      <c r="F100" s="371">
        <v>3</v>
      </c>
      <c r="G100" s="371" t="s">
        <v>2584</v>
      </c>
      <c r="H100" s="372" t="s">
        <v>1304</v>
      </c>
      <c r="I100" s="370" t="s">
        <v>5777</v>
      </c>
      <c r="J100" s="370" t="s">
        <v>5776</v>
      </c>
      <c r="K100" s="370" t="s">
        <v>5763</v>
      </c>
      <c r="L100" s="370" t="s">
        <v>5761</v>
      </c>
      <c r="M100" s="370" t="s">
        <v>5778</v>
      </c>
      <c r="N100" s="370" t="s">
        <v>5735</v>
      </c>
      <c r="O100" s="370" t="s">
        <v>5737</v>
      </c>
      <c r="P100" s="370" t="s">
        <v>5738</v>
      </c>
      <c r="Q100" s="370" t="s">
        <v>5739</v>
      </c>
      <c r="R100" s="390" t="s">
        <v>5779</v>
      </c>
      <c r="S100" s="763">
        <f>IF(COUNTIF(Psíquicos!$C$25:$E$36,E100)=0,0,1)</f>
        <v>0</v>
      </c>
      <c r="U100" s="2014" t="s">
        <v>240</v>
      </c>
      <c r="V100" s="370" t="str">
        <f>INDEX($I$6:$R$6,SUMPRODUCT(ISNUMBER(SEARCH("Fatiga",I132:R132))*1)+1)</f>
        <v>MED</v>
      </c>
      <c r="W100" s="370" t="str">
        <f>IFERROR(VLOOKUP(U100,Psíquicos!$AD$11:$AK$64,8,FALSE),V100)</f>
        <v>MED</v>
      </c>
      <c r="X100" s="888"/>
      <c r="Y100" s="888"/>
      <c r="Z100" s="888"/>
      <c r="AA100" s="888"/>
      <c r="AB100" s="888"/>
      <c r="AC100" s="888"/>
      <c r="AD100" s="888"/>
      <c r="AE100" s="888"/>
      <c r="AF100" s="888"/>
      <c r="AG100" s="888"/>
      <c r="AH100" s="2015">
        <f>IF(COUNTIF(Psíquicos!$AD$17:$AH$62,U100),VALUE(INDEX('Tablas psiquica'!$X100:$AG100,MATCH('Tablas psiquica'!$W100,'Tablas psiquica'!$X$6:$AG$6,0))),0)</f>
        <v>0</v>
      </c>
      <c r="AJ100" s="2292" t="str">
        <f>IFERROR(IF(VLOOKUP(AK100,$D$7:$G$145,4,FALSE)&lt;&gt;"No",MAX(AJ$5:AJ99)+1,0),"")</f>
        <v/>
      </c>
      <c r="AK100" s="2293" t="str">
        <f t="shared" si="13"/>
        <v/>
      </c>
      <c r="AL100" s="2296" t="str">
        <f>IFERROR(VLOOKUP(Tablas!$A94,$AJ$7:$AK$145,2,FALSE),"")</f>
        <v/>
      </c>
    </row>
    <row r="101" spans="1:38" ht="12.75" customHeight="1" x14ac:dyDescent="0.2">
      <c r="A101" s="766">
        <v>101</v>
      </c>
      <c r="B101" s="761">
        <f>IF(OR(S101=0),0,SUM($S$6:S101))</f>
        <v>0</v>
      </c>
      <c r="C101" s="376"/>
      <c r="D101" s="272" t="s">
        <v>210</v>
      </c>
      <c r="E101" s="370"/>
      <c r="F101" s="371"/>
      <c r="G101" s="371"/>
      <c r="H101" s="372"/>
      <c r="I101" s="370"/>
      <c r="J101" s="370"/>
      <c r="K101" s="370"/>
      <c r="L101" s="370"/>
      <c r="M101" s="370"/>
      <c r="N101" s="370"/>
      <c r="O101" s="370"/>
      <c r="P101" s="370"/>
      <c r="Q101" s="370"/>
      <c r="R101" s="390"/>
      <c r="S101" s="765">
        <f>S102</f>
        <v>0</v>
      </c>
      <c r="U101" s="2014" t="s">
        <v>242</v>
      </c>
      <c r="V101" s="370" t="str">
        <f>INDEX($I$6:$R$6,SUMPRODUCT(ISNUMBER(SEARCH("Fatiga",I134:R134))*1)+1)</f>
        <v>MDF</v>
      </c>
      <c r="W101" s="370" t="str">
        <f>IFERROR(VLOOKUP(U101,Psíquicos!$AD$11:$AK$64,8,FALSE),V101)</f>
        <v>MDF</v>
      </c>
      <c r="X101" s="888"/>
      <c r="Y101" s="888"/>
      <c r="Z101" s="888"/>
      <c r="AA101" s="888"/>
      <c r="AB101" s="888"/>
      <c r="AC101" s="888"/>
      <c r="AD101" s="888"/>
      <c r="AE101" s="888"/>
      <c r="AF101" s="888"/>
      <c r="AG101" s="888"/>
      <c r="AH101" s="2015">
        <f>IF(COUNTIF(Psíquicos!$AD$17:$AH$62,U101),VALUE(INDEX('Tablas psiquica'!$X101:$AG101,MATCH('Tablas psiquica'!$W101,'Tablas psiquica'!$X$6:$AG$6,0))),0)</f>
        <v>0</v>
      </c>
      <c r="AJ101" s="2292" t="str">
        <f>IFERROR(IF(VLOOKUP(AK101,$D$7:$G$145,4,FALSE)&lt;&gt;"No",MAX(AJ$5:AJ100)+1,0),"")</f>
        <v/>
      </c>
      <c r="AK101" s="2293" t="str">
        <f t="shared" si="13"/>
        <v/>
      </c>
      <c r="AL101" s="2296" t="str">
        <f>IFERROR(VLOOKUP(Tablas!$A95,$AJ$7:$AK$145,2,FALSE),"")</f>
        <v/>
      </c>
    </row>
    <row r="102" spans="1:38" ht="12.75" customHeight="1" x14ac:dyDescent="0.2">
      <c r="A102" s="766">
        <v>102</v>
      </c>
      <c r="B102" s="761">
        <f>IF(OR(S102=0),0,SUM($S$6:S102))</f>
        <v>0</v>
      </c>
      <c r="C102" s="376"/>
      <c r="D102" s="272" t="s">
        <v>211</v>
      </c>
      <c r="E102" s="370" t="s">
        <v>109</v>
      </c>
      <c r="F102" s="371">
        <v>1</v>
      </c>
      <c r="G102" s="371" t="s">
        <v>2584</v>
      </c>
      <c r="H102" s="372" t="s">
        <v>1304</v>
      </c>
      <c r="I102" s="370" t="s">
        <v>5726</v>
      </c>
      <c r="J102" s="370" t="s">
        <v>6063</v>
      </c>
      <c r="K102" s="370" t="s">
        <v>6064</v>
      </c>
      <c r="L102" s="370" t="s">
        <v>3380</v>
      </c>
      <c r="M102" s="370" t="s">
        <v>6065</v>
      </c>
      <c r="N102" s="370" t="s">
        <v>3381</v>
      </c>
      <c r="O102" s="370" t="s">
        <v>3382</v>
      </c>
      <c r="P102" s="370" t="s">
        <v>3370</v>
      </c>
      <c r="Q102" s="370" t="s">
        <v>5159</v>
      </c>
      <c r="R102" s="390" t="s">
        <v>5160</v>
      </c>
      <c r="S102" s="763">
        <f>IF(COUNTIF(Psíquicos!$C$25:$E$36,E102)=0,0,1)</f>
        <v>0</v>
      </c>
      <c r="U102" s="2014" t="s">
        <v>243</v>
      </c>
      <c r="V102" s="370" t="str">
        <f>INDEX($I$6:$R$6,SUMPRODUCT(ISNUMBER(SEARCH("Fatiga",I135:R135))*1)+1)</f>
        <v>ABS</v>
      </c>
      <c r="W102" s="370" t="str">
        <f>IFERROR(VLOOKUP(U102,Psíquicos!$AD$11:$AK$64,8,FALSE),V102)</f>
        <v>ABS</v>
      </c>
      <c r="X102" s="888"/>
      <c r="Y102" s="888"/>
      <c r="Z102" s="888"/>
      <c r="AA102" s="888"/>
      <c r="AB102" s="888"/>
      <c r="AC102" s="888"/>
      <c r="AD102" s="888"/>
      <c r="AE102" s="888"/>
      <c r="AF102" s="888"/>
      <c r="AG102" s="888"/>
      <c r="AH102" s="2015">
        <f>IF(COUNTIF(Psíquicos!$AD$17:$AH$62,U102),VALUE(INDEX('Tablas psiquica'!$X102:$AG102,MATCH('Tablas psiquica'!$W102,'Tablas psiquica'!$X$6:$AG$6,0))),0)</f>
        <v>0</v>
      </c>
      <c r="AJ102" s="2292" t="str">
        <f>IFERROR(IF(VLOOKUP(AK102,$D$7:$G$145,4,FALSE)&lt;&gt;"No",MAX(AJ$5:AJ101)+1,0),"")</f>
        <v/>
      </c>
      <c r="AK102" s="2293" t="str">
        <f t="shared" si="13"/>
        <v/>
      </c>
      <c r="AL102" s="2296" t="str">
        <f>IFERROR(VLOOKUP(Tablas!$A96,$AJ$7:$AK$145,2,FALSE),"")</f>
        <v/>
      </c>
    </row>
    <row r="103" spans="1:38" ht="12.75" customHeight="1" x14ac:dyDescent="0.2">
      <c r="A103" s="766">
        <v>103</v>
      </c>
      <c r="B103" s="761">
        <f>IF(OR(S103=0),0,SUM($S$6:S103))</f>
        <v>0</v>
      </c>
      <c r="C103" s="376"/>
      <c r="D103" s="272" t="s">
        <v>212</v>
      </c>
      <c r="E103" s="370" t="s">
        <v>109</v>
      </c>
      <c r="F103" s="371">
        <v>2</v>
      </c>
      <c r="G103" s="371" t="s">
        <v>1381</v>
      </c>
      <c r="H103" s="372" t="s">
        <v>1304</v>
      </c>
      <c r="I103" s="370" t="s">
        <v>5763</v>
      </c>
      <c r="J103" s="370" t="s">
        <v>5762</v>
      </c>
      <c r="K103" s="370" t="s">
        <v>5761</v>
      </c>
      <c r="L103" s="370" t="s">
        <v>5725</v>
      </c>
      <c r="M103" s="370" t="s">
        <v>6063</v>
      </c>
      <c r="N103" s="370" t="s">
        <v>6064</v>
      </c>
      <c r="O103" s="370" t="s">
        <v>3380</v>
      </c>
      <c r="P103" s="370" t="s">
        <v>3381</v>
      </c>
      <c r="Q103" s="370" t="s">
        <v>3382</v>
      </c>
      <c r="R103" s="390" t="s">
        <v>3370</v>
      </c>
      <c r="S103" s="763">
        <f>IF(COUNTIF(Psíquicos!$C$25:$E$36,E103)=0,0,1)</f>
        <v>0</v>
      </c>
      <c r="U103" s="2014" t="s">
        <v>245</v>
      </c>
      <c r="V103" s="888"/>
      <c r="W103" s="370"/>
      <c r="X103" s="888"/>
      <c r="Y103" s="888"/>
      <c r="Z103" s="888"/>
      <c r="AA103" s="888"/>
      <c r="AB103" s="888"/>
      <c r="AC103" s="888"/>
      <c r="AD103" s="888"/>
      <c r="AE103" s="888"/>
      <c r="AF103" s="888"/>
      <c r="AG103" s="888"/>
      <c r="AH103" s="2015" t="e">
        <f>IF(COUNTIF(Psíquicos!$AD$17:$AH$62,U103),VALUE(INDEX('Tablas psiquica'!$X103:$AG103,MATCH('Tablas psiquica'!$W103,'Tablas psiquica'!$X$6:$AG$6,0))),0)</f>
        <v>#N/A</v>
      </c>
      <c r="AJ103" s="2292" t="str">
        <f>IFERROR(IF(VLOOKUP(AK103,$D$7:$G$145,4,FALSE)&lt;&gt;"No",MAX(AJ$5:AJ102)+1,0),"")</f>
        <v/>
      </c>
      <c r="AK103" s="2293" t="str">
        <f t="shared" ref="AK103:AK134" si="15">IF(ISNA(VLOOKUP(A97,$B$7:$D$145,3,FALSE)),"",VLOOKUP(A97,$B$7:$D$145,3,FALSE))</f>
        <v/>
      </c>
      <c r="AL103" s="2296" t="str">
        <f>IFERROR(VLOOKUP(Tablas!$A97,$AJ$7:$AK$145,2,FALSE),"")</f>
        <v/>
      </c>
    </row>
    <row r="104" spans="1:38" ht="12.75" customHeight="1" x14ac:dyDescent="0.2">
      <c r="A104" s="766">
        <v>104</v>
      </c>
      <c r="B104" s="761">
        <f>IF(OR(S104=0),0,SUM($S$6:S104))</f>
        <v>0</v>
      </c>
      <c r="C104" s="376"/>
      <c r="D104" s="272" t="s">
        <v>213</v>
      </c>
      <c r="E104" s="370" t="s">
        <v>109</v>
      </c>
      <c r="F104" s="371">
        <v>2</v>
      </c>
      <c r="G104" s="371" t="s">
        <v>1381</v>
      </c>
      <c r="H104" s="372" t="s">
        <v>1304</v>
      </c>
      <c r="I104" s="370" t="s">
        <v>5762</v>
      </c>
      <c r="J104" s="370" t="s">
        <v>5761</v>
      </c>
      <c r="K104" s="370" t="s">
        <v>5725</v>
      </c>
      <c r="L104" s="370" t="s">
        <v>6066</v>
      </c>
      <c r="M104" s="370" t="s">
        <v>6067</v>
      </c>
      <c r="N104" s="370" t="s">
        <v>6068</v>
      </c>
      <c r="O104" s="370" t="s">
        <v>6069</v>
      </c>
      <c r="P104" s="370" t="s">
        <v>6070</v>
      </c>
      <c r="Q104" s="370" t="s">
        <v>6071</v>
      </c>
      <c r="R104" s="390" t="s">
        <v>6072</v>
      </c>
      <c r="S104" s="763">
        <f>IF(COUNTIF(Psíquicos!$C$25:$E$36,E104)=0,0,1)</f>
        <v>0</v>
      </c>
      <c r="U104" s="2014" t="s">
        <v>246</v>
      </c>
      <c r="V104" s="370" t="str">
        <f>INDEX($I$6:$R$6,SUMPRODUCT(ISNUMBER(SEARCH("Fatiga",I138:R138))*1)+1)</f>
        <v>FAC</v>
      </c>
      <c r="W104" s="370" t="str">
        <f>IFERROR(VLOOKUP(U104,Psíquicos!$AD$11:$AK$64,8,FALSE),V104)</f>
        <v>FAC</v>
      </c>
      <c r="X104" s="888"/>
      <c r="Y104" s="888"/>
      <c r="Z104" s="888"/>
      <c r="AA104" s="888"/>
      <c r="AB104" s="888"/>
      <c r="AC104" s="888"/>
      <c r="AD104" s="888"/>
      <c r="AE104" s="888"/>
      <c r="AF104" s="888"/>
      <c r="AG104" s="888"/>
      <c r="AH104" s="2015">
        <f>IF(COUNTIF(Psíquicos!$AD$17:$AH$62,U104),VALUE(INDEX('Tablas psiquica'!$X104:$AG104,MATCH('Tablas psiquica'!$W104,'Tablas psiquica'!$X$6:$AG$6,0))),0)</f>
        <v>0</v>
      </c>
      <c r="AJ104" s="2292" t="str">
        <f>IFERROR(IF(VLOOKUP(AK104,$D$7:$G$145,4,FALSE)&lt;&gt;"No",MAX(AJ$5:AJ103)+1,0),"")</f>
        <v/>
      </c>
      <c r="AK104" s="2293" t="str">
        <f t="shared" si="15"/>
        <v/>
      </c>
      <c r="AL104" s="2296" t="str">
        <f>IFERROR(VLOOKUP(Tablas!$A98,$AJ$7:$AK$145,2,FALSE),"")</f>
        <v/>
      </c>
    </row>
    <row r="105" spans="1:38" ht="12.75" customHeight="1" x14ac:dyDescent="0.2">
      <c r="A105" s="766">
        <v>105</v>
      </c>
      <c r="B105" s="761">
        <f>IF(OR(S105=0),0,SUM($S$6:S105))</f>
        <v>0</v>
      </c>
      <c r="C105" s="376"/>
      <c r="D105" s="272" t="s">
        <v>214</v>
      </c>
      <c r="E105" s="370" t="s">
        <v>109</v>
      </c>
      <c r="F105" s="371">
        <v>3</v>
      </c>
      <c r="G105" s="371" t="s">
        <v>2584</v>
      </c>
      <c r="H105" s="372" t="s">
        <v>1304</v>
      </c>
      <c r="I105" s="370" t="s">
        <v>5777</v>
      </c>
      <c r="J105" s="370" t="s">
        <v>5776</v>
      </c>
      <c r="K105" s="370" t="s">
        <v>5763</v>
      </c>
      <c r="L105" s="370" t="s">
        <v>5762</v>
      </c>
      <c r="M105" s="370" t="s">
        <v>5761</v>
      </c>
      <c r="N105" s="370" t="s">
        <v>3370</v>
      </c>
      <c r="O105" s="370" t="s">
        <v>6073</v>
      </c>
      <c r="P105" s="370" t="s">
        <v>5160</v>
      </c>
      <c r="Q105" s="370" t="s">
        <v>6074</v>
      </c>
      <c r="R105" s="390" t="s">
        <v>6075</v>
      </c>
      <c r="S105" s="763">
        <f>IF(COUNTIF(Psíquicos!$C$25:$E$36,E105)=0,0,1)</f>
        <v>0</v>
      </c>
      <c r="U105" s="2014" t="s">
        <v>247</v>
      </c>
      <c r="V105" s="370" t="str">
        <f>INDEX($I$6:$R$6,SUMPRODUCT(ISNUMBER(SEARCH("Fatiga",I139:R139))*1)+1)</f>
        <v>MED</v>
      </c>
      <c r="W105" s="370" t="str">
        <f>IFERROR(VLOOKUP(U105,Psíquicos!$AD$11:$AK$64,8,FALSE),V105)</f>
        <v>MED</v>
      </c>
      <c r="X105" s="888"/>
      <c r="Y105" s="888"/>
      <c r="Z105" s="888"/>
      <c r="AA105" s="888"/>
      <c r="AB105" s="888"/>
      <c r="AC105" s="888"/>
      <c r="AD105" s="888"/>
      <c r="AE105" s="888"/>
      <c r="AF105" s="888"/>
      <c r="AG105" s="888"/>
      <c r="AH105" s="2015">
        <f>IF(COUNTIF(Psíquicos!$AD$17:$AH$62,U105),VALUE(INDEX('Tablas psiquica'!$X105:$AG105,MATCH('Tablas psiquica'!$W105,'Tablas psiquica'!$X$6:$AG$6,0))),0)</f>
        <v>0</v>
      </c>
      <c r="AJ105" s="2292" t="str">
        <f>IFERROR(IF(VLOOKUP(AK105,$D$7:$G$145,4,FALSE)&lt;&gt;"No",MAX(AJ$5:AJ104)+1,0),"")</f>
        <v/>
      </c>
      <c r="AK105" s="2293" t="str">
        <f t="shared" si="15"/>
        <v/>
      </c>
      <c r="AL105" s="2296" t="str">
        <f>IFERROR(VLOOKUP(Tablas!$A99,$AJ$7:$AK$145,2,FALSE),"")</f>
        <v/>
      </c>
    </row>
    <row r="106" spans="1:38" ht="12.75" customHeight="1" x14ac:dyDescent="0.2">
      <c r="A106" s="766">
        <v>106</v>
      </c>
      <c r="B106" s="761">
        <f>IF(OR(S106=0),0,SUM($S$6:S106))</f>
        <v>0</v>
      </c>
      <c r="C106" s="376"/>
      <c r="D106" s="272" t="s">
        <v>215</v>
      </c>
      <c r="E106" s="370"/>
      <c r="F106" s="371"/>
      <c r="G106" s="371"/>
      <c r="H106" s="372"/>
      <c r="I106" s="370"/>
      <c r="J106" s="370"/>
      <c r="K106" s="370"/>
      <c r="L106" s="370"/>
      <c r="M106" s="370"/>
      <c r="N106" s="370"/>
      <c r="O106" s="370"/>
      <c r="P106" s="370"/>
      <c r="Q106" s="370"/>
      <c r="R106" s="390"/>
      <c r="S106" s="765">
        <f>S107</f>
        <v>0</v>
      </c>
      <c r="U106" s="2014" t="s">
        <v>248</v>
      </c>
      <c r="V106" s="370" t="str">
        <f>INDEX($I$6:$R$6,SUMPRODUCT(ISNUMBER(SEARCH("Fatiga",I140:R140))*1)+1)</f>
        <v>ABS</v>
      </c>
      <c r="W106" s="370" t="str">
        <f>IFERROR(VLOOKUP(U106,Psíquicos!$AD$11:$AK$64,8,FALSE),V106)</f>
        <v>ABS</v>
      </c>
      <c r="X106" s="888"/>
      <c r="Y106" s="888"/>
      <c r="Z106" s="888"/>
      <c r="AA106" s="888"/>
      <c r="AB106" s="888"/>
      <c r="AC106" s="888"/>
      <c r="AD106" s="888"/>
      <c r="AE106" s="888"/>
      <c r="AF106" s="888"/>
      <c r="AG106" s="888"/>
      <c r="AH106" s="2015">
        <f>IF(COUNTIF(Psíquicos!$AD$17:$AH$62,U106),VALUE(INDEX('Tablas psiquica'!$X106:$AG106,MATCH('Tablas psiquica'!$W106,'Tablas psiquica'!$X$6:$AG$6,0))),0)</f>
        <v>0</v>
      </c>
      <c r="AJ106" s="2292" t="str">
        <f>IFERROR(IF(VLOOKUP(AK106,$D$7:$G$145,4,FALSE)&lt;&gt;"No",MAX(AJ$5:AJ105)+1,0),"")</f>
        <v/>
      </c>
      <c r="AK106" s="2293" t="str">
        <f t="shared" si="15"/>
        <v/>
      </c>
      <c r="AL106" s="2296" t="str">
        <f>IFERROR(VLOOKUP(Tablas!$A100,$AJ$7:$AK$145,2,FALSE),"")</f>
        <v/>
      </c>
    </row>
    <row r="107" spans="1:38" ht="12.75" customHeight="1" x14ac:dyDescent="0.2">
      <c r="A107" s="766">
        <v>107</v>
      </c>
      <c r="B107" s="761">
        <f>IF(OR(S107=0),0,SUM($S$6:S107))</f>
        <v>0</v>
      </c>
      <c r="C107" s="376"/>
      <c r="D107" s="272" t="s">
        <v>216</v>
      </c>
      <c r="E107" s="391" t="s">
        <v>112</v>
      </c>
      <c r="F107" s="371">
        <v>1</v>
      </c>
      <c r="G107" s="371" t="s">
        <v>2584</v>
      </c>
      <c r="H107" s="372" t="s">
        <v>1304</v>
      </c>
      <c r="I107" s="370" t="s">
        <v>5776</v>
      </c>
      <c r="J107" s="370" t="s">
        <v>5763</v>
      </c>
      <c r="K107" s="370" t="s">
        <v>5762</v>
      </c>
      <c r="L107" s="370" t="s">
        <v>5761</v>
      </c>
      <c r="M107" s="370" t="s">
        <v>5725</v>
      </c>
      <c r="N107" s="370" t="s">
        <v>6076</v>
      </c>
      <c r="O107" s="370" t="s">
        <v>5736</v>
      </c>
      <c r="P107" s="370" t="s">
        <v>6061</v>
      </c>
      <c r="Q107" s="370" t="s">
        <v>6077</v>
      </c>
      <c r="R107" s="390" t="s">
        <v>6078</v>
      </c>
      <c r="S107" s="763">
        <f>IF(COUNTIF(Psíquicos!$C$25:$E$36,E107)=0,0,1)</f>
        <v>0</v>
      </c>
      <c r="U107" s="2014" t="s">
        <v>249</v>
      </c>
      <c r="V107" s="370"/>
      <c r="W107" s="370"/>
      <c r="X107" s="888"/>
      <c r="Y107" s="888"/>
      <c r="Z107" s="888"/>
      <c r="AA107" s="888"/>
      <c r="AB107" s="888"/>
      <c r="AC107" s="888"/>
      <c r="AD107" s="888"/>
      <c r="AE107" s="888"/>
      <c r="AF107" s="888"/>
      <c r="AG107" s="888"/>
      <c r="AH107" s="2015" t="e">
        <f>IF(COUNTIF(Psíquicos!$AD$17:$AH$62,U107),VALUE(INDEX('Tablas psiquica'!$X107:$AG107,MATCH('Tablas psiquica'!$W107,'Tablas psiquica'!$X$6:$AG$6,0))),0)</f>
        <v>#N/A</v>
      </c>
      <c r="AJ107" s="2292" t="str">
        <f>IFERROR(IF(VLOOKUP(AK107,$D$7:$G$145,4,FALSE)&lt;&gt;"No",MAX(AJ$5:AJ106)+1,0),"")</f>
        <v/>
      </c>
      <c r="AK107" s="2293" t="str">
        <f t="shared" si="15"/>
        <v/>
      </c>
      <c r="AL107" s="2296" t="str">
        <f>IFERROR(VLOOKUP(Tablas!$A101,$AJ$7:$AK$145,2,FALSE),"")</f>
        <v/>
      </c>
    </row>
    <row r="108" spans="1:38" ht="12.75" customHeight="1" x14ac:dyDescent="0.2">
      <c r="A108" s="766">
        <v>108</v>
      </c>
      <c r="B108" s="761">
        <f>IF(OR(S108=0),0,SUM($S$6:S108))</f>
        <v>0</v>
      </c>
      <c r="C108" s="376"/>
      <c r="D108" s="272" t="s">
        <v>217</v>
      </c>
      <c r="E108" s="391" t="s">
        <v>112</v>
      </c>
      <c r="F108" s="371">
        <v>2</v>
      </c>
      <c r="G108" s="371" t="s">
        <v>2584</v>
      </c>
      <c r="H108" s="372" t="s">
        <v>1304</v>
      </c>
      <c r="I108" s="370" t="s">
        <v>5776</v>
      </c>
      <c r="J108" s="370" t="s">
        <v>5763</v>
      </c>
      <c r="K108" s="370" t="s">
        <v>5762</v>
      </c>
      <c r="L108" s="370" t="s">
        <v>5761</v>
      </c>
      <c r="M108" s="370" t="s">
        <v>5725</v>
      </c>
      <c r="N108" s="370" t="s">
        <v>6079</v>
      </c>
      <c r="O108" s="370" t="s">
        <v>6080</v>
      </c>
      <c r="P108" s="370" t="s">
        <v>6081</v>
      </c>
      <c r="Q108" s="370" t="s">
        <v>6082</v>
      </c>
      <c r="R108" s="370" t="s">
        <v>6083</v>
      </c>
      <c r="S108" s="763">
        <f>IF(COUNTIF(Psíquicos!$C$25:$E$36,E108)=0,0,1)</f>
        <v>0</v>
      </c>
      <c r="U108" s="2014" t="s">
        <v>250</v>
      </c>
      <c r="V108" s="370" t="str">
        <f>INDEX($I$6:$R$6,SUMPRODUCT(ISNUMBER(SEARCH("Fatiga",I142:R142))*1)+1)</f>
        <v>DIF</v>
      </c>
      <c r="W108" s="370" t="str">
        <f>IFERROR(VLOOKUP(U108,Psíquicos!$AD$11:$AK$64,8,FALSE),V108)</f>
        <v>DIF</v>
      </c>
      <c r="X108" s="888"/>
      <c r="Y108" s="888"/>
      <c r="Z108" s="888"/>
      <c r="AA108" s="888"/>
      <c r="AB108" s="888"/>
      <c r="AC108" s="888"/>
      <c r="AD108" s="888"/>
      <c r="AE108" s="888"/>
      <c r="AF108" s="888"/>
      <c r="AG108" s="888"/>
      <c r="AH108" s="2015">
        <f>IF(COUNTIF(Psíquicos!$AD$17:$AH$62,U108),VALUE(INDEX('Tablas psiquica'!$X108:$AG108,MATCH('Tablas psiquica'!$W108,'Tablas psiquica'!$X$6:$AG$6,0))),0)</f>
        <v>0</v>
      </c>
      <c r="AJ108" s="2292" t="str">
        <f>IFERROR(IF(VLOOKUP(AK108,$D$7:$G$145,4,FALSE)&lt;&gt;"No",MAX(AJ$5:AJ107)+1,0),"")</f>
        <v/>
      </c>
      <c r="AK108" s="2293" t="str">
        <f t="shared" si="15"/>
        <v/>
      </c>
      <c r="AL108" s="2296" t="str">
        <f>IFERROR(VLOOKUP(Tablas!$A102,$AJ$7:$AK$145,2,FALSE),"")</f>
        <v/>
      </c>
    </row>
    <row r="109" spans="1:38" ht="12.75" customHeight="1" x14ac:dyDescent="0.2">
      <c r="A109" s="766">
        <v>109</v>
      </c>
      <c r="B109" s="761">
        <f>IF(OR(S109=0),0,SUM($S$6:S109))</f>
        <v>0</v>
      </c>
      <c r="C109" s="376"/>
      <c r="D109" s="272" t="s">
        <v>218</v>
      </c>
      <c r="E109" s="391" t="s">
        <v>112</v>
      </c>
      <c r="F109" s="371">
        <v>2</v>
      </c>
      <c r="G109" s="371" t="s">
        <v>1381</v>
      </c>
      <c r="H109" s="372" t="s">
        <v>1304</v>
      </c>
      <c r="I109" s="370" t="s">
        <v>5762</v>
      </c>
      <c r="J109" s="370" t="s">
        <v>5761</v>
      </c>
      <c r="K109" s="370" t="s">
        <v>5725</v>
      </c>
      <c r="L109" s="370" t="s">
        <v>5726</v>
      </c>
      <c r="M109" s="370" t="s">
        <v>6084</v>
      </c>
      <c r="N109" s="370" t="s">
        <v>6085</v>
      </c>
      <c r="O109" s="370" t="s">
        <v>6086</v>
      </c>
      <c r="P109" s="370" t="s">
        <v>6087</v>
      </c>
      <c r="Q109" s="370" t="s">
        <v>6088</v>
      </c>
      <c r="R109" s="390" t="s">
        <v>6089</v>
      </c>
      <c r="S109" s="763">
        <f>IF(COUNTIF(Psíquicos!$C$25:$E$36,E109)=0,0,1)</f>
        <v>0</v>
      </c>
      <c r="U109" s="2014" t="s">
        <v>251</v>
      </c>
      <c r="V109" s="370" t="str">
        <f>INDEX($I$6:$R$6,SUMPRODUCT(ISNUMBER(SEARCH("Fatiga",I143:R143))*1)+1)</f>
        <v>FAC</v>
      </c>
      <c r="W109" s="370" t="str">
        <f>IFERROR(VLOOKUP(U109,Psíquicos!$AD$11:$AK$64,8,FALSE),V109)</f>
        <v>FAC</v>
      </c>
      <c r="X109" s="888"/>
      <c r="Y109" s="888"/>
      <c r="Z109" s="888"/>
      <c r="AA109" s="888"/>
      <c r="AB109" s="888"/>
      <c r="AC109" s="888"/>
      <c r="AD109" s="888"/>
      <c r="AE109" s="888"/>
      <c r="AF109" s="888"/>
      <c r="AG109" s="888"/>
      <c r="AH109" s="2015">
        <f>IF(COUNTIF(Psíquicos!$AD$17:$AH$62,U109),VALUE(INDEX('Tablas psiquica'!$X109:$AG109,MATCH('Tablas psiquica'!$W109,'Tablas psiquica'!$X$6:$AG$6,0))),0)</f>
        <v>0</v>
      </c>
      <c r="AJ109" s="2292" t="str">
        <f>IFERROR(IF(VLOOKUP(AK109,$D$7:$G$145,4,FALSE)&lt;&gt;"No",MAX(AJ$5:AJ108)+1,0),"")</f>
        <v/>
      </c>
      <c r="AK109" s="2293" t="str">
        <f t="shared" si="15"/>
        <v/>
      </c>
      <c r="AL109" s="2296" t="str">
        <f>IFERROR(VLOOKUP(Tablas!$A103,$AJ$7:$AK$145,2,FALSE),"")</f>
        <v/>
      </c>
    </row>
    <row r="110" spans="1:38" ht="12.75" customHeight="1" x14ac:dyDescent="0.2">
      <c r="A110" s="766">
        <v>110</v>
      </c>
      <c r="B110" s="761">
        <f>IF(OR(S110=0),0,SUM($S$6:S110))</f>
        <v>0</v>
      </c>
      <c r="C110" s="376"/>
      <c r="D110" s="272" t="s">
        <v>219</v>
      </c>
      <c r="E110" s="391" t="s">
        <v>112</v>
      </c>
      <c r="F110" s="371">
        <v>3</v>
      </c>
      <c r="G110" s="371" t="s">
        <v>2584</v>
      </c>
      <c r="H110" s="372" t="s">
        <v>1304</v>
      </c>
      <c r="I110" s="370" t="s">
        <v>5776</v>
      </c>
      <c r="J110" s="370" t="s">
        <v>5763</v>
      </c>
      <c r="K110" s="370" t="s">
        <v>5762</v>
      </c>
      <c r="L110" s="370" t="s">
        <v>5761</v>
      </c>
      <c r="M110" s="370" t="s">
        <v>5725</v>
      </c>
      <c r="N110" s="370" t="s">
        <v>6076</v>
      </c>
      <c r="O110" s="370" t="s">
        <v>5736</v>
      </c>
      <c r="P110" s="370" t="s">
        <v>6090</v>
      </c>
      <c r="Q110" s="370" t="s">
        <v>6091</v>
      </c>
      <c r="R110" s="370" t="s">
        <v>6092</v>
      </c>
      <c r="S110" s="763">
        <f>IF(COUNTIF(Psíquicos!$C$25:$E$36,E110)=0,0,1)</f>
        <v>0</v>
      </c>
      <c r="U110" s="2014" t="s">
        <v>252</v>
      </c>
      <c r="V110" s="370" t="str">
        <f>INDEX($I$6:$R$6,SUMPRODUCT(ISNUMBER(SEARCH("Fatiga",I144:R144))*1)+1)</f>
        <v>MED</v>
      </c>
      <c r="W110" s="370" t="str">
        <f>IFERROR(VLOOKUP(U110,Psíquicos!$AD$11:$AK$64,8,FALSE),V110)</f>
        <v>MED</v>
      </c>
      <c r="X110" s="888"/>
      <c r="Y110" s="888"/>
      <c r="Z110" s="888"/>
      <c r="AA110" s="888"/>
      <c r="AB110" s="888"/>
      <c r="AC110" s="888"/>
      <c r="AD110" s="888"/>
      <c r="AE110" s="888"/>
      <c r="AF110" s="888"/>
      <c r="AG110" s="888"/>
      <c r="AH110" s="2015">
        <f>IF(COUNTIF(Psíquicos!$AD$17:$AH$62,U110),VALUE(INDEX('Tablas psiquica'!$X110:$AG110,MATCH('Tablas psiquica'!$W110,'Tablas psiquica'!$X$6:$AG$6,0))),0)</f>
        <v>0</v>
      </c>
      <c r="AJ110" s="2292" t="str">
        <f>IFERROR(IF(VLOOKUP(AK110,$D$7:$G$145,4,FALSE)&lt;&gt;"No",MAX(AJ$5:AJ109)+1,0),"")</f>
        <v/>
      </c>
      <c r="AK110" s="2293" t="str">
        <f t="shared" si="15"/>
        <v/>
      </c>
      <c r="AL110" s="2296" t="str">
        <f>IFERROR(VLOOKUP(Tablas!$A104,$AJ$7:$AK$145,2,FALSE),"")</f>
        <v/>
      </c>
    </row>
    <row r="111" spans="1:38" ht="12.75" customHeight="1" thickBot="1" x14ac:dyDescent="0.25">
      <c r="A111" s="766">
        <v>111</v>
      </c>
      <c r="B111" s="761">
        <f>IF(OR(S111=0),0,SUM($S$6:S111))</f>
        <v>0</v>
      </c>
      <c r="C111" s="376"/>
      <c r="D111" s="272" t="s">
        <v>220</v>
      </c>
      <c r="E111" s="391" t="s">
        <v>112</v>
      </c>
      <c r="F111" s="371">
        <v>3</v>
      </c>
      <c r="G111" s="371" t="s">
        <v>1381</v>
      </c>
      <c r="H111" s="372" t="s">
        <v>1304</v>
      </c>
      <c r="I111" s="370" t="s">
        <v>5777</v>
      </c>
      <c r="J111" s="370" t="s">
        <v>5776</v>
      </c>
      <c r="K111" s="370" t="s">
        <v>5763</v>
      </c>
      <c r="L111" s="370" t="s">
        <v>5762</v>
      </c>
      <c r="M111" s="370" t="s">
        <v>5761</v>
      </c>
      <c r="N111" s="370" t="s">
        <v>5725</v>
      </c>
      <c r="O111" s="370" t="s">
        <v>6093</v>
      </c>
      <c r="P111" s="370" t="s">
        <v>6094</v>
      </c>
      <c r="Q111" s="370" t="s">
        <v>6095</v>
      </c>
      <c r="R111" s="390" t="s">
        <v>6096</v>
      </c>
      <c r="S111" s="763">
        <f>IF(COUNTIF(Psíquicos!$C$25:$E$36,E111)=0,0,1)</f>
        <v>0</v>
      </c>
      <c r="U111" s="2016" t="s">
        <v>253</v>
      </c>
      <c r="V111" s="392" t="str">
        <f>INDEX($I$6:$R$6,SUMPRODUCT(ISNUMBER(SEARCH("Fatiga",I145:R145))*1)+1)</f>
        <v>DIF</v>
      </c>
      <c r="W111" s="392" t="str">
        <f>IFERROR(VLOOKUP(U111,Psíquicos!$AD$11:$AK$64,8,FALSE),V111)</f>
        <v>DIF</v>
      </c>
      <c r="X111" s="2017"/>
      <c r="Y111" s="2017"/>
      <c r="Z111" s="2017"/>
      <c r="AA111" s="2017"/>
      <c r="AB111" s="2017"/>
      <c r="AC111" s="2017"/>
      <c r="AD111" s="2017"/>
      <c r="AE111" s="2017"/>
      <c r="AF111" s="2017"/>
      <c r="AG111" s="2017"/>
      <c r="AH111" s="2018">
        <f>IF(COUNTIF(Psíquicos!$AD$17:$AH$62,U111),VALUE(INDEX('Tablas psiquica'!$X111:$AG111,MATCH('Tablas psiquica'!$W111,'Tablas psiquica'!$X$6:$AG$6,0))),0)</f>
        <v>0</v>
      </c>
      <c r="AJ111" s="2292" t="str">
        <f>IFERROR(IF(VLOOKUP(AK111,$D$7:$G$145,4,FALSE)&lt;&gt;"No",MAX(AJ$5:AJ110)+1,0),"")</f>
        <v/>
      </c>
      <c r="AK111" s="2293" t="str">
        <f t="shared" si="15"/>
        <v/>
      </c>
      <c r="AL111" s="2296" t="str">
        <f>IFERROR(VLOOKUP(Tablas!$A105,$AJ$7:$AK$145,2,FALSE),"")</f>
        <v/>
      </c>
    </row>
    <row r="112" spans="1:38" ht="12.75" customHeight="1" thickBot="1" x14ac:dyDescent="0.25">
      <c r="A112" s="766">
        <v>112</v>
      </c>
      <c r="B112" s="761">
        <f>IF(OR(S112=0),0,SUM($S$6:S112))</f>
        <v>0</v>
      </c>
      <c r="C112" s="376"/>
      <c r="D112" s="272" t="s">
        <v>221</v>
      </c>
      <c r="E112" s="370"/>
      <c r="F112" s="371"/>
      <c r="G112" s="371"/>
      <c r="H112" s="372"/>
      <c r="I112" s="370"/>
      <c r="J112" s="370"/>
      <c r="K112" s="370"/>
      <c r="L112" s="370"/>
      <c r="M112" s="370"/>
      <c r="N112" s="370"/>
      <c r="O112" s="370"/>
      <c r="P112" s="370"/>
      <c r="Q112" s="370"/>
      <c r="R112" s="390"/>
      <c r="S112" s="765">
        <f>S113</f>
        <v>0</v>
      </c>
      <c r="AJ112" s="2292" t="str">
        <f>IFERROR(IF(VLOOKUP(AK112,$D$7:$G$145,4,FALSE)&lt;&gt;"No",MAX(AJ$5:AJ111)+1,0),"")</f>
        <v/>
      </c>
      <c r="AK112" s="2293" t="str">
        <f t="shared" si="15"/>
        <v/>
      </c>
      <c r="AL112" s="2296" t="str">
        <f>IFERROR(VLOOKUP(Tablas!$A106,$AJ$7:$AK$145,2,FALSE),"")</f>
        <v/>
      </c>
    </row>
    <row r="113" spans="1:38" ht="12.75" customHeight="1" thickBot="1" x14ac:dyDescent="0.25">
      <c r="A113" s="766">
        <v>113</v>
      </c>
      <c r="B113" s="761">
        <f>IF(OR(S113=0),0,SUM($S$6:S113))</f>
        <v>0</v>
      </c>
      <c r="C113" s="376"/>
      <c r="D113" s="272" t="s">
        <v>222</v>
      </c>
      <c r="E113" s="391" t="s">
        <v>113</v>
      </c>
      <c r="F113" s="371">
        <v>1</v>
      </c>
      <c r="G113" s="371" t="s">
        <v>1381</v>
      </c>
      <c r="H113" s="372" t="s">
        <v>1304</v>
      </c>
      <c r="I113" s="370" t="s">
        <v>5761</v>
      </c>
      <c r="J113" s="370" t="s">
        <v>5725</v>
      </c>
      <c r="K113" s="370" t="s">
        <v>5726</v>
      </c>
      <c r="L113" s="370" t="s">
        <v>5903</v>
      </c>
      <c r="M113" s="370" t="s">
        <v>6097</v>
      </c>
      <c r="N113" s="370" t="s">
        <v>5904</v>
      </c>
      <c r="O113" s="370" t="s">
        <v>6098</v>
      </c>
      <c r="P113" s="370" t="s">
        <v>6099</v>
      </c>
      <c r="Q113" s="370" t="s">
        <v>6100</v>
      </c>
      <c r="R113" s="390" t="s">
        <v>6101</v>
      </c>
      <c r="S113" s="763">
        <f>IF(COUNTIF(Psíquicos!$C$25:$E$36,E113)=0,0,1)</f>
        <v>0</v>
      </c>
      <c r="U113" s="6429" t="s">
        <v>8727</v>
      </c>
      <c r="V113" s="6430"/>
      <c r="W113" s="6430"/>
      <c r="X113" s="6430"/>
      <c r="Y113" s="6430"/>
      <c r="Z113" s="6430"/>
      <c r="AA113" s="6430"/>
      <c r="AB113" s="6430"/>
      <c r="AC113" s="6430"/>
      <c r="AD113" s="6430"/>
      <c r="AE113" s="6430"/>
      <c r="AF113" s="6430"/>
      <c r="AG113" s="6430"/>
      <c r="AH113" s="6431"/>
      <c r="AJ113" s="2292" t="str">
        <f>IFERROR(IF(VLOOKUP(AK113,$D$7:$G$145,4,FALSE)&lt;&gt;"No",MAX(AJ$5:AJ112)+1,0),"")</f>
        <v/>
      </c>
      <c r="AK113" s="2293" t="str">
        <f t="shared" si="15"/>
        <v/>
      </c>
      <c r="AL113" s="2296" t="str">
        <f>IFERROR(VLOOKUP(Tablas!$A107,$AJ$7:$AK$145,2,FALSE),"")</f>
        <v/>
      </c>
    </row>
    <row r="114" spans="1:38" ht="12.75" customHeight="1" thickBot="1" x14ac:dyDescent="0.25">
      <c r="A114" s="766">
        <v>114</v>
      </c>
      <c r="B114" s="761">
        <f>IF(OR(S114=0),0,SUM($S$6:S114))</f>
        <v>0</v>
      </c>
      <c r="C114" s="376"/>
      <c r="D114" s="272" t="s">
        <v>223</v>
      </c>
      <c r="E114" s="391" t="s">
        <v>113</v>
      </c>
      <c r="F114" s="371">
        <v>1</v>
      </c>
      <c r="G114" s="371" t="s">
        <v>2584</v>
      </c>
      <c r="H114" s="372" t="s">
        <v>1304</v>
      </c>
      <c r="I114" s="370" t="s">
        <v>5725</v>
      </c>
      <c r="J114" s="370" t="s">
        <v>5726</v>
      </c>
      <c r="K114" s="370" t="s">
        <v>3530</v>
      </c>
      <c r="L114" s="370" t="s">
        <v>4759</v>
      </c>
      <c r="M114" s="370" t="s">
        <v>3531</v>
      </c>
      <c r="N114" s="370" t="s">
        <v>5852</v>
      </c>
      <c r="O114" s="370" t="s">
        <v>3532</v>
      </c>
      <c r="P114" s="370" t="s">
        <v>5853</v>
      </c>
      <c r="Q114" s="370" t="s">
        <v>5854</v>
      </c>
      <c r="R114" s="370" t="s">
        <v>3533</v>
      </c>
      <c r="S114" s="763">
        <f>IF(COUNTIF(Psíquicos!$C$25:$E$36,E114)=0,0,1)</f>
        <v>0</v>
      </c>
      <c r="U114" s="1644" t="s">
        <v>99</v>
      </c>
      <c r="V114" s="1645" t="s">
        <v>101</v>
      </c>
      <c r="W114" s="1645" t="s">
        <v>103</v>
      </c>
      <c r="X114" s="1645" t="s">
        <v>105</v>
      </c>
      <c r="Y114" s="1645" t="s">
        <v>8714</v>
      </c>
      <c r="Z114" s="1645" t="s">
        <v>108</v>
      </c>
      <c r="AA114" s="1645" t="s">
        <v>111</v>
      </c>
      <c r="AB114" s="1645" t="s">
        <v>109</v>
      </c>
      <c r="AC114" s="1645" t="s">
        <v>112</v>
      </c>
      <c r="AD114" s="1645" t="s">
        <v>113</v>
      </c>
      <c r="AE114" s="1645" t="s">
        <v>115</v>
      </c>
      <c r="AF114" s="1645" t="s">
        <v>1699</v>
      </c>
      <c r="AG114" s="1645" t="s">
        <v>116</v>
      </c>
      <c r="AH114" s="2040" t="s">
        <v>6212</v>
      </c>
      <c r="AJ114" s="2292" t="str">
        <f>IFERROR(IF(VLOOKUP(AK114,$D$7:$G$145,4,FALSE)&lt;&gt;"No",MAX(AJ$5:AJ113)+1,0),"")</f>
        <v/>
      </c>
      <c r="AK114" s="2293" t="str">
        <f t="shared" si="15"/>
        <v/>
      </c>
      <c r="AL114" s="2296" t="str">
        <f>IFERROR(VLOOKUP(Tablas!$A108,$AJ$7:$AK$145,2,FALSE),"")</f>
        <v/>
      </c>
    </row>
    <row r="115" spans="1:38" ht="12.75" customHeight="1" thickBot="1" x14ac:dyDescent="0.25">
      <c r="A115" s="766">
        <v>115</v>
      </c>
      <c r="B115" s="761">
        <f>IF(OR(S115=0),0,SUM($S$6:S115))</f>
        <v>0</v>
      </c>
      <c r="C115" s="376"/>
      <c r="D115" s="272" t="s">
        <v>224</v>
      </c>
      <c r="E115" s="391" t="s">
        <v>113</v>
      </c>
      <c r="F115" s="371">
        <v>1</v>
      </c>
      <c r="G115" s="371" t="s">
        <v>2584</v>
      </c>
      <c r="H115" s="372" t="s">
        <v>1304</v>
      </c>
      <c r="I115" s="370" t="s">
        <v>5725</v>
      </c>
      <c r="J115" s="370" t="s">
        <v>5726</v>
      </c>
      <c r="K115" s="370" t="s">
        <v>6102</v>
      </c>
      <c r="L115" s="370" t="s">
        <v>6103</v>
      </c>
      <c r="M115" s="370" t="s">
        <v>6104</v>
      </c>
      <c r="N115" s="370" t="s">
        <v>6105</v>
      </c>
      <c r="O115" s="370" t="s">
        <v>6106</v>
      </c>
      <c r="P115" s="370" t="s">
        <v>6107</v>
      </c>
      <c r="Q115" s="370" t="s">
        <v>6108</v>
      </c>
      <c r="R115" s="370" t="s">
        <v>6109</v>
      </c>
      <c r="S115" s="763">
        <f>IF(COUNTIF(Psíquicos!$C$25:$E$36,E115)=0,0,1)</f>
        <v>0</v>
      </c>
      <c r="U115" s="1646">
        <f>IF(ISNA(VLOOKUP(U114,Psíquicos!$C$25:$E$36,1,0)),0,1)</f>
        <v>0</v>
      </c>
      <c r="V115" s="1647">
        <f>IF(ISNA(VLOOKUP(V114,Psíquicos!$C$25:$E$36,1,0)),0,1)</f>
        <v>0</v>
      </c>
      <c r="W115" s="1647">
        <f>IF(ISNA(VLOOKUP(W114,Psíquicos!$C$25:$E$36,1,0)),0,1)</f>
        <v>0</v>
      </c>
      <c r="X115" s="1647">
        <f>IF(ISNA(VLOOKUP(X114,Psíquicos!$C$25:$E$36,1,0)),0,1)</f>
        <v>0</v>
      </c>
      <c r="Y115" s="1647">
        <f>IF(ISNA(VLOOKUP(Y114,Psíquicos!$C$25:$E$36,1,0)),0,1)</f>
        <v>0</v>
      </c>
      <c r="Z115" s="1647">
        <f>IF(ISNA(VLOOKUP(Z114,Psíquicos!$C$25:$E$36,1,0)),0,1)</f>
        <v>0</v>
      </c>
      <c r="AA115" s="1647">
        <f>IF(ISNA(VLOOKUP(AA114,Psíquicos!$C$25:$E$36,1,0)),0,1)</f>
        <v>0</v>
      </c>
      <c r="AB115" s="1647">
        <f>IF(ISNA(VLOOKUP(AB114,Psíquicos!$C$25:$E$36,1,0)),0,1)</f>
        <v>0</v>
      </c>
      <c r="AC115" s="1647">
        <f>IF(ISNA(VLOOKUP(AC114,Psíquicos!$C$25:$E$36,1,0)),0,1)</f>
        <v>0</v>
      </c>
      <c r="AD115" s="1647">
        <f>IF(ISNA(VLOOKUP(AD114,Psíquicos!$C$25:$E$36,1,0)),0,1)</f>
        <v>0</v>
      </c>
      <c r="AE115" s="1647">
        <f>IF(ISNA(VLOOKUP(AE114,Psíquicos!$C$25:$E$36,1,0)),0,1)</f>
        <v>0</v>
      </c>
      <c r="AF115" s="1647">
        <f>IF(ISNA(VLOOKUP(AF114,Psíquicos!$C$25:$E$36,1,0)),0,1)</f>
        <v>0</v>
      </c>
      <c r="AG115" s="1647">
        <f>IF(ISNA(VLOOKUP(AG114,Psíquicos!$C$25:$E$36,1,0)),0,1)</f>
        <v>0</v>
      </c>
      <c r="AH115" s="2041">
        <v>1</v>
      </c>
      <c r="AJ115" s="2292" t="str">
        <f>IFERROR(IF(VLOOKUP(AK115,$D$7:$G$145,4,FALSE)&lt;&gt;"No",MAX(AJ$5:AJ114)+1,0),"")</f>
        <v/>
      </c>
      <c r="AK115" s="2293" t="str">
        <f t="shared" si="15"/>
        <v/>
      </c>
      <c r="AL115" s="2296" t="str">
        <f>IFERROR(VLOOKUP(Tablas!$A109,$AJ$7:$AK$145,2,FALSE),"")</f>
        <v/>
      </c>
    </row>
    <row r="116" spans="1:38" ht="12.75" customHeight="1" x14ac:dyDescent="0.2">
      <c r="A116" s="766">
        <v>116</v>
      </c>
      <c r="B116" s="761">
        <f>IF(OR(S116=0),0,SUM($S$6:S116))</f>
        <v>0</v>
      </c>
      <c r="C116" s="376"/>
      <c r="D116" s="272" t="s">
        <v>225</v>
      </c>
      <c r="E116" s="391" t="s">
        <v>113</v>
      </c>
      <c r="F116" s="371">
        <v>1</v>
      </c>
      <c r="G116" s="371" t="s">
        <v>2584</v>
      </c>
      <c r="H116" s="372" t="s">
        <v>1304</v>
      </c>
      <c r="I116" s="370" t="s">
        <v>5761</v>
      </c>
      <c r="J116" s="370" t="s">
        <v>5725</v>
      </c>
      <c r="K116" s="370" t="s">
        <v>5726</v>
      </c>
      <c r="L116" s="370" t="s">
        <v>6110</v>
      </c>
      <c r="M116" s="370" t="s">
        <v>6111</v>
      </c>
      <c r="N116" s="370" t="s">
        <v>6112</v>
      </c>
      <c r="O116" s="370" t="s">
        <v>6113</v>
      </c>
      <c r="P116" s="370" t="s">
        <v>6114</v>
      </c>
      <c r="Q116" s="370" t="s">
        <v>6115</v>
      </c>
      <c r="R116" s="390" t="s">
        <v>6116</v>
      </c>
      <c r="S116" s="765">
        <f>S117</f>
        <v>0</v>
      </c>
      <c r="U116" s="1648" t="s">
        <v>120</v>
      </c>
      <c r="V116" s="1649" t="s">
        <v>136</v>
      </c>
      <c r="W116" s="1649" t="s">
        <v>151</v>
      </c>
      <c r="X116" s="1649" t="s">
        <v>163</v>
      </c>
      <c r="Y116" s="1649" t="s">
        <v>177</v>
      </c>
      <c r="Z116" s="1649" t="s">
        <v>189</v>
      </c>
      <c r="AA116" s="1649" t="s">
        <v>201</v>
      </c>
      <c r="AB116" s="1649" t="s">
        <v>211</v>
      </c>
      <c r="AC116" s="1649" t="s">
        <v>216</v>
      </c>
      <c r="AD116" s="1649" t="s">
        <v>222</v>
      </c>
      <c r="AE116" s="1650" t="s">
        <v>232</v>
      </c>
      <c r="AF116" s="1650" t="s">
        <v>239</v>
      </c>
      <c r="AG116" s="1650" t="s">
        <v>246</v>
      </c>
      <c r="AH116" s="2042" t="s">
        <v>250</v>
      </c>
      <c r="AJ116" s="2292" t="str">
        <f>IFERROR(IF(VLOOKUP(AK116,$D$7:$G$145,4,FALSE)&lt;&gt;"No",MAX(AJ$5:AJ115)+1,0),"")</f>
        <v/>
      </c>
      <c r="AK116" s="2293" t="str">
        <f t="shared" si="15"/>
        <v/>
      </c>
      <c r="AL116" s="2296" t="str">
        <f>IFERROR(VLOOKUP(Tablas!$A110,$AJ$7:$AK$145,2,FALSE),"")</f>
        <v/>
      </c>
    </row>
    <row r="117" spans="1:38" ht="12.75" customHeight="1" x14ac:dyDescent="0.2">
      <c r="A117" s="766">
        <v>117</v>
      </c>
      <c r="B117" s="761">
        <f>IF(OR(S117=0),0,SUM($S$6:S117))</f>
        <v>0</v>
      </c>
      <c r="C117" s="376"/>
      <c r="D117" s="272" t="s">
        <v>226</v>
      </c>
      <c r="E117" s="391" t="s">
        <v>113</v>
      </c>
      <c r="F117" s="371">
        <v>2</v>
      </c>
      <c r="G117" s="371" t="s">
        <v>2584</v>
      </c>
      <c r="H117" s="372" t="s">
        <v>1305</v>
      </c>
      <c r="I117" s="370" t="s">
        <v>5761</v>
      </c>
      <c r="J117" s="370" t="s">
        <v>5725</v>
      </c>
      <c r="K117" s="370" t="s">
        <v>5726</v>
      </c>
      <c r="L117" s="370" t="s">
        <v>5916</v>
      </c>
      <c r="M117" s="370" t="s">
        <v>5917</v>
      </c>
      <c r="N117" s="370" t="s">
        <v>5918</v>
      </c>
      <c r="O117" s="370" t="s">
        <v>6117</v>
      </c>
      <c r="P117" s="370" t="s">
        <v>6118</v>
      </c>
      <c r="Q117" s="370" t="s">
        <v>6119</v>
      </c>
      <c r="R117" s="370" t="s">
        <v>6120</v>
      </c>
      <c r="S117" s="763">
        <f>IF(COUNTIF(Psíquicos!$C$25:$E$36,E117)=0,0,1)</f>
        <v>0</v>
      </c>
      <c r="U117" s="1648" t="s">
        <v>121</v>
      </c>
      <c r="V117" s="1649" t="s">
        <v>137</v>
      </c>
      <c r="W117" s="1649" t="s">
        <v>152</v>
      </c>
      <c r="X117" s="1649" t="s">
        <v>164</v>
      </c>
      <c r="Y117" s="1649" t="s">
        <v>178</v>
      </c>
      <c r="Z117" s="1649" t="s">
        <v>190</v>
      </c>
      <c r="AA117" s="1649" t="s">
        <v>202</v>
      </c>
      <c r="AB117" s="1649" t="s">
        <v>212</v>
      </c>
      <c r="AC117" s="1649" t="s">
        <v>217</v>
      </c>
      <c r="AD117" s="1649" t="s">
        <v>223</v>
      </c>
      <c r="AE117" s="1650" t="s">
        <v>233</v>
      </c>
      <c r="AF117" s="1650" t="s">
        <v>240</v>
      </c>
      <c r="AG117" s="1650" t="s">
        <v>247</v>
      </c>
      <c r="AH117" s="2042" t="s">
        <v>251</v>
      </c>
      <c r="AJ117" s="2292" t="str">
        <f>IFERROR(IF(VLOOKUP(AK117,$D$7:$G$145,4,FALSE)&lt;&gt;"No",MAX(AJ$5:AJ116)+1,0),"")</f>
        <v/>
      </c>
      <c r="AK117" s="2293" t="str">
        <f t="shared" si="15"/>
        <v/>
      </c>
      <c r="AL117" s="2296" t="str">
        <f>IFERROR(VLOOKUP(Tablas!$A111,$AJ$7:$AK$145,2,FALSE),"")</f>
        <v/>
      </c>
    </row>
    <row r="118" spans="1:38" ht="12.75" customHeight="1" x14ac:dyDescent="0.2">
      <c r="A118" s="766">
        <v>118</v>
      </c>
      <c r="B118" s="761">
        <f>IF(OR(S118=0),0,SUM($S$6:S118))</f>
        <v>0</v>
      </c>
      <c r="C118" s="376"/>
      <c r="D118" s="272" t="s">
        <v>227</v>
      </c>
      <c r="E118" s="391" t="s">
        <v>113</v>
      </c>
      <c r="F118" s="371">
        <v>2</v>
      </c>
      <c r="G118" s="371" t="s">
        <v>2584</v>
      </c>
      <c r="H118" s="372" t="s">
        <v>1304</v>
      </c>
      <c r="I118" s="370" t="s">
        <v>5761</v>
      </c>
      <c r="J118" s="370" t="s">
        <v>5725</v>
      </c>
      <c r="K118" s="370" t="s">
        <v>5726</v>
      </c>
      <c r="L118" s="370" t="s">
        <v>6121</v>
      </c>
      <c r="M118" s="370" t="s">
        <v>6122</v>
      </c>
      <c r="N118" s="370" t="s">
        <v>6123</v>
      </c>
      <c r="O118" s="370" t="s">
        <v>6124</v>
      </c>
      <c r="P118" s="370" t="s">
        <v>6125</v>
      </c>
      <c r="Q118" s="370" t="s">
        <v>6126</v>
      </c>
      <c r="R118" s="370" t="s">
        <v>6127</v>
      </c>
      <c r="S118" s="763">
        <f>IF(COUNTIF(Psíquicos!$C$25:$E$36,E118)=0,0,1)</f>
        <v>0</v>
      </c>
      <c r="U118" s="1648" t="s">
        <v>122</v>
      </c>
      <c r="V118" s="1649" t="s">
        <v>138</v>
      </c>
      <c r="W118" s="1649" t="s">
        <v>153</v>
      </c>
      <c r="X118" s="1649" t="s">
        <v>165</v>
      </c>
      <c r="Y118" s="1649" t="s">
        <v>179</v>
      </c>
      <c r="Z118" s="1649" t="s">
        <v>191</v>
      </c>
      <c r="AA118" s="1649" t="s">
        <v>203</v>
      </c>
      <c r="AB118" s="1649" t="s">
        <v>213</v>
      </c>
      <c r="AC118" s="1649" t="s">
        <v>218</v>
      </c>
      <c r="AD118" s="1649" t="s">
        <v>224</v>
      </c>
      <c r="AE118" s="1650" t="s">
        <v>234</v>
      </c>
      <c r="AF118" s="1650" t="s">
        <v>241</v>
      </c>
      <c r="AG118" s="1650" t="s">
        <v>248</v>
      </c>
      <c r="AH118" s="2042" t="s">
        <v>252</v>
      </c>
      <c r="AJ118" s="2292" t="str">
        <f>IFERROR(IF(VLOOKUP(AK118,$D$7:$G$145,4,FALSE)&lt;&gt;"No",MAX(AJ$5:AJ117)+1,0),"")</f>
        <v/>
      </c>
      <c r="AK118" s="2293" t="str">
        <f t="shared" si="15"/>
        <v/>
      </c>
      <c r="AL118" s="2296" t="str">
        <f>IFERROR(VLOOKUP(Tablas!$A112,$AJ$7:$AK$145,2,FALSE),"")</f>
        <v/>
      </c>
    </row>
    <row r="119" spans="1:38" ht="12.75" customHeight="1" x14ac:dyDescent="0.2">
      <c r="A119" s="766">
        <v>119</v>
      </c>
      <c r="B119" s="761">
        <f>IF(OR(S119=0),0,SUM($S$6:S119))</f>
        <v>0</v>
      </c>
      <c r="C119" s="376"/>
      <c r="D119" s="272" t="s">
        <v>228</v>
      </c>
      <c r="E119" s="391" t="s">
        <v>113</v>
      </c>
      <c r="F119" s="371">
        <v>2</v>
      </c>
      <c r="G119" s="371" t="s">
        <v>1381</v>
      </c>
      <c r="H119" s="372" t="s">
        <v>1304</v>
      </c>
      <c r="I119" s="370" t="s">
        <v>5761</v>
      </c>
      <c r="J119" s="370" t="s">
        <v>5725</v>
      </c>
      <c r="K119" s="370" t="s">
        <v>5726</v>
      </c>
      <c r="L119" s="370" t="s">
        <v>4900</v>
      </c>
      <c r="M119" s="370" t="s">
        <v>4640</v>
      </c>
      <c r="N119" s="370" t="s">
        <v>3427</v>
      </c>
      <c r="O119" s="370" t="s">
        <v>4641</v>
      </c>
      <c r="P119" s="370" t="s">
        <v>6128</v>
      </c>
      <c r="Q119" s="370" t="s">
        <v>4642</v>
      </c>
      <c r="R119" s="370" t="s">
        <v>3747</v>
      </c>
      <c r="S119" s="763">
        <f>IF(COUNTIF(Psíquicos!$C$25:$E$36,E119)=0,0,1)</f>
        <v>0</v>
      </c>
      <c r="U119" s="1648" t="s">
        <v>123</v>
      </c>
      <c r="V119" s="1649" t="s">
        <v>139</v>
      </c>
      <c r="W119" s="1649" t="s">
        <v>154</v>
      </c>
      <c r="X119" s="1649" t="s">
        <v>166</v>
      </c>
      <c r="Y119" s="1649" t="s">
        <v>1682</v>
      </c>
      <c r="Z119" s="1649" t="s">
        <v>192</v>
      </c>
      <c r="AA119" s="1649" t="s">
        <v>204</v>
      </c>
      <c r="AB119" s="1649" t="s">
        <v>214</v>
      </c>
      <c r="AC119" s="1649" t="s">
        <v>219</v>
      </c>
      <c r="AD119" s="1649" t="s">
        <v>225</v>
      </c>
      <c r="AE119" s="1650" t="s">
        <v>235</v>
      </c>
      <c r="AF119" s="1650" t="s">
        <v>242</v>
      </c>
      <c r="AG119" s="1650"/>
      <c r="AH119" s="2042" t="s">
        <v>253</v>
      </c>
      <c r="AJ119" s="2292" t="str">
        <f>IFERROR(IF(VLOOKUP(AK119,$D$7:$G$145,4,FALSE)&lt;&gt;"No",MAX(AJ$5:AJ118)+1,0),"")</f>
        <v/>
      </c>
      <c r="AK119" s="2293" t="str">
        <f t="shared" si="15"/>
        <v/>
      </c>
      <c r="AL119" s="2296" t="str">
        <f>IFERROR(VLOOKUP(Tablas!$A113,$AJ$7:$AK$145,2,FALSE),"")</f>
        <v/>
      </c>
    </row>
    <row r="120" spans="1:38" ht="12.75" customHeight="1" x14ac:dyDescent="0.2">
      <c r="A120" s="766">
        <v>120</v>
      </c>
      <c r="B120" s="761">
        <f>IF(OR(S120=0),0,SUM($S$6:S120))</f>
        <v>0</v>
      </c>
      <c r="C120" s="376"/>
      <c r="D120" s="272" t="s">
        <v>229</v>
      </c>
      <c r="E120" s="391" t="s">
        <v>113</v>
      </c>
      <c r="F120" s="371">
        <v>3</v>
      </c>
      <c r="G120" s="371" t="s">
        <v>1381</v>
      </c>
      <c r="H120" s="372" t="s">
        <v>1304</v>
      </c>
      <c r="I120" s="370" t="s">
        <v>5776</v>
      </c>
      <c r="J120" s="370" t="s">
        <v>6129</v>
      </c>
      <c r="K120" s="370" t="s">
        <v>5763</v>
      </c>
      <c r="L120" s="370" t="s">
        <v>5762</v>
      </c>
      <c r="M120" s="370" t="s">
        <v>5761</v>
      </c>
      <c r="N120" s="370" t="s">
        <v>5725</v>
      </c>
      <c r="O120" s="378" t="s">
        <v>6130</v>
      </c>
      <c r="P120" s="378" t="s">
        <v>6131</v>
      </c>
      <c r="Q120" s="378" t="s">
        <v>6132</v>
      </c>
      <c r="R120" s="378" t="s">
        <v>6133</v>
      </c>
      <c r="S120" s="763">
        <f>IF(COUNTIF(Psíquicos!$C$25:$E$36,E120)=0,0,1)</f>
        <v>0</v>
      </c>
      <c r="U120" s="1648" t="s">
        <v>124</v>
      </c>
      <c r="V120" s="1649" t="s">
        <v>140</v>
      </c>
      <c r="W120" s="1649" t="s">
        <v>155</v>
      </c>
      <c r="X120" s="1649" t="s">
        <v>167</v>
      </c>
      <c r="Y120" s="1649" t="s">
        <v>180</v>
      </c>
      <c r="Z120" s="1649" t="s">
        <v>193</v>
      </c>
      <c r="AA120" s="1649" t="s">
        <v>205</v>
      </c>
      <c r="AB120" s="1650"/>
      <c r="AC120" s="1649" t="s">
        <v>220</v>
      </c>
      <c r="AD120" s="1649" t="s">
        <v>226</v>
      </c>
      <c r="AE120" s="1650" t="s">
        <v>236</v>
      </c>
      <c r="AF120" s="1650" t="s">
        <v>243</v>
      </c>
      <c r="AG120" s="1650"/>
      <c r="AH120" s="2042"/>
      <c r="AJ120" s="2292" t="str">
        <f>IFERROR(IF(VLOOKUP(AK120,$D$7:$G$145,4,FALSE)&lt;&gt;"No",MAX(AJ$5:AJ119)+1,0),"")</f>
        <v/>
      </c>
      <c r="AK120" s="2293" t="str">
        <f t="shared" si="15"/>
        <v/>
      </c>
      <c r="AL120" s="2296" t="str">
        <f>IFERROR(VLOOKUP(Tablas!$A114,$AJ$7:$AK$145,2,FALSE),"")</f>
        <v/>
      </c>
    </row>
    <row r="121" spans="1:38" ht="12.75" customHeight="1" x14ac:dyDescent="0.2">
      <c r="A121" s="766">
        <v>121</v>
      </c>
      <c r="B121" s="761">
        <f>IF(OR(S121=0),0,SUM($S$6:S121))</f>
        <v>0</v>
      </c>
      <c r="C121" s="376"/>
      <c r="D121" s="272" t="s">
        <v>230</v>
      </c>
      <c r="E121" s="391" t="s">
        <v>113</v>
      </c>
      <c r="F121" s="371">
        <v>3</v>
      </c>
      <c r="G121" s="371" t="s">
        <v>1381</v>
      </c>
      <c r="H121" s="372" t="s">
        <v>1304</v>
      </c>
      <c r="I121" s="370" t="s">
        <v>5776</v>
      </c>
      <c r="J121" s="370" t="s">
        <v>6129</v>
      </c>
      <c r="K121" s="370" t="s">
        <v>5763</v>
      </c>
      <c r="L121" s="370" t="s">
        <v>5762</v>
      </c>
      <c r="M121" s="370" t="s">
        <v>5761</v>
      </c>
      <c r="N121" s="370" t="s">
        <v>5725</v>
      </c>
      <c r="O121" s="378" t="s">
        <v>6134</v>
      </c>
      <c r="P121" s="378" t="s">
        <v>6135</v>
      </c>
      <c r="Q121" s="370" t="s">
        <v>6136</v>
      </c>
      <c r="R121" s="370" t="s">
        <v>6137</v>
      </c>
      <c r="S121" s="763">
        <f>IF(COUNTIF(Psíquicos!$C$25:$E$36,E121)=0,0,1)</f>
        <v>0</v>
      </c>
      <c r="U121" s="1648" t="s">
        <v>125</v>
      </c>
      <c r="V121" s="1649" t="s">
        <v>141</v>
      </c>
      <c r="W121" s="1649" t="s">
        <v>156</v>
      </c>
      <c r="X121" s="1649" t="s">
        <v>168</v>
      </c>
      <c r="Y121" s="1649" t="s">
        <v>181</v>
      </c>
      <c r="Z121" s="1649" t="s">
        <v>194</v>
      </c>
      <c r="AA121" s="1649" t="s">
        <v>206</v>
      </c>
      <c r="AB121" s="1650"/>
      <c r="AC121" s="1650"/>
      <c r="AD121" s="1649" t="s">
        <v>227</v>
      </c>
      <c r="AE121" s="1650" t="s">
        <v>237</v>
      </c>
      <c r="AF121" s="1650" t="s">
        <v>244</v>
      </c>
      <c r="AG121" s="1650"/>
      <c r="AH121" s="2042"/>
      <c r="AJ121" s="2292" t="str">
        <f>IFERROR(IF(VLOOKUP(AK121,$D$7:$G$145,4,FALSE)&lt;&gt;"No",MAX(AJ$5:AJ120)+1,0),"")</f>
        <v/>
      </c>
      <c r="AK121" s="2293" t="str">
        <f t="shared" si="15"/>
        <v/>
      </c>
      <c r="AL121" s="2296" t="str">
        <f>IFERROR(VLOOKUP(Tablas!$A115,$AJ$7:$AK$145,2,FALSE),"")</f>
        <v/>
      </c>
    </row>
    <row r="122" spans="1:38" ht="12.75" customHeight="1" x14ac:dyDescent="0.2">
      <c r="A122" s="766">
        <v>122</v>
      </c>
      <c r="B122" s="761">
        <f>IF(OR(S122=0),0,SUM($S$6:S122))</f>
        <v>0</v>
      </c>
      <c r="C122" s="376"/>
      <c r="D122" s="272" t="s">
        <v>231</v>
      </c>
      <c r="E122" s="391"/>
      <c r="F122" s="371"/>
      <c r="G122" s="371"/>
      <c r="H122" s="372"/>
      <c r="I122" s="370"/>
      <c r="J122" s="370"/>
      <c r="K122" s="370"/>
      <c r="L122" s="370"/>
      <c r="M122" s="370"/>
      <c r="N122" s="370"/>
      <c r="O122" s="370"/>
      <c r="P122" s="370"/>
      <c r="Q122" s="370"/>
      <c r="R122" s="390"/>
      <c r="S122" s="765">
        <f>S123</f>
        <v>0</v>
      </c>
      <c r="U122" s="1648" t="s">
        <v>126</v>
      </c>
      <c r="V122" s="1649" t="s">
        <v>142</v>
      </c>
      <c r="W122" s="1649" t="s">
        <v>157</v>
      </c>
      <c r="X122" s="1649" t="s">
        <v>169</v>
      </c>
      <c r="Y122" s="1649" t="s">
        <v>182</v>
      </c>
      <c r="Z122" s="1649" t="s">
        <v>195</v>
      </c>
      <c r="AA122" s="1649" t="s">
        <v>207</v>
      </c>
      <c r="AB122" s="1650"/>
      <c r="AC122" s="1650"/>
      <c r="AD122" s="1649" t="s">
        <v>228</v>
      </c>
      <c r="AE122" s="1650" t="s">
        <v>115</v>
      </c>
      <c r="AF122" s="1650"/>
      <c r="AG122" s="1650"/>
      <c r="AH122" s="2042"/>
      <c r="AJ122" s="2292" t="str">
        <f>IFERROR(IF(VLOOKUP(AK122,$D$7:$G$145,4,FALSE)&lt;&gt;"No",MAX(AJ$5:AJ121)+1,0),"")</f>
        <v/>
      </c>
      <c r="AK122" s="2293" t="str">
        <f t="shared" si="15"/>
        <v/>
      </c>
      <c r="AL122" s="2296" t="str">
        <f>IFERROR(VLOOKUP(Tablas!$A116,$AJ$7:$AK$145,2,FALSE),"")</f>
        <v/>
      </c>
    </row>
    <row r="123" spans="1:38" ht="12.75" customHeight="1" x14ac:dyDescent="0.2">
      <c r="A123" s="766">
        <v>123</v>
      </c>
      <c r="B123" s="761">
        <f>IF(OR(S123=0),0,SUM($S$6:S123))</f>
        <v>0</v>
      </c>
      <c r="C123" s="376"/>
      <c r="D123" s="272" t="s">
        <v>232</v>
      </c>
      <c r="E123" s="391" t="s">
        <v>115</v>
      </c>
      <c r="F123" s="371">
        <v>1</v>
      </c>
      <c r="G123" s="371" t="s">
        <v>1381</v>
      </c>
      <c r="H123" s="372" t="s">
        <v>1304</v>
      </c>
      <c r="I123" s="370" t="s">
        <v>5725</v>
      </c>
      <c r="J123" s="370" t="s">
        <v>5726</v>
      </c>
      <c r="K123" s="370" t="s">
        <v>6138</v>
      </c>
      <c r="L123" s="370" t="s">
        <v>6139</v>
      </c>
      <c r="M123" s="370" t="s">
        <v>6140</v>
      </c>
      <c r="N123" s="370" t="s">
        <v>6141</v>
      </c>
      <c r="O123" s="370" t="s">
        <v>6142</v>
      </c>
      <c r="P123" s="370" t="s">
        <v>6143</v>
      </c>
      <c r="Q123" s="370" t="s">
        <v>6144</v>
      </c>
      <c r="R123" s="370" t="s">
        <v>6145</v>
      </c>
      <c r="S123" s="763">
        <f>IF(COUNTIF(Psíquicos!$C$25:$E$36,E123)=0,0,1)</f>
        <v>0</v>
      </c>
      <c r="U123" s="1648" t="s">
        <v>127</v>
      </c>
      <c r="V123" s="1649" t="s">
        <v>143</v>
      </c>
      <c r="W123" s="1649" t="s">
        <v>158</v>
      </c>
      <c r="X123" s="1649" t="s">
        <v>170</v>
      </c>
      <c r="Y123" s="1649" t="s">
        <v>183</v>
      </c>
      <c r="Z123" s="1649" t="s">
        <v>196</v>
      </c>
      <c r="AA123" s="1649" t="s">
        <v>208</v>
      </c>
      <c r="AB123" s="1650"/>
      <c r="AC123" s="1650"/>
      <c r="AD123" s="1649" t="s">
        <v>229</v>
      </c>
      <c r="AE123" s="1650"/>
      <c r="AF123" s="1650"/>
      <c r="AG123" s="1650"/>
      <c r="AH123" s="2042"/>
      <c r="AJ123" s="2292" t="str">
        <f>IFERROR(IF(VLOOKUP(AK123,$D$7:$G$145,4,FALSE)&lt;&gt;"No",MAX(AJ$5:AJ122)+1,0),"")</f>
        <v/>
      </c>
      <c r="AK123" s="2293" t="str">
        <f t="shared" si="15"/>
        <v/>
      </c>
      <c r="AL123" s="2296" t="str">
        <f>IFERROR(VLOOKUP(Tablas!$A117,$AJ$7:$AK$145,2,FALSE),"")</f>
        <v/>
      </c>
    </row>
    <row r="124" spans="1:38" ht="12.75" customHeight="1" x14ac:dyDescent="0.2">
      <c r="A124" s="766">
        <v>124</v>
      </c>
      <c r="B124" s="761">
        <f>IF(OR(S124=0),0,SUM($S$6:S124))</f>
        <v>0</v>
      </c>
      <c r="C124" s="376"/>
      <c r="D124" s="272" t="s">
        <v>233</v>
      </c>
      <c r="E124" s="391" t="s">
        <v>115</v>
      </c>
      <c r="F124" s="371">
        <v>1</v>
      </c>
      <c r="G124" s="371" t="s">
        <v>1381</v>
      </c>
      <c r="H124" s="372" t="s">
        <v>1304</v>
      </c>
      <c r="I124" s="370" t="s">
        <v>5762</v>
      </c>
      <c r="J124" s="370" t="s">
        <v>5761</v>
      </c>
      <c r="K124" s="370" t="s">
        <v>5725</v>
      </c>
      <c r="L124" s="370" t="s">
        <v>6146</v>
      </c>
      <c r="M124" s="370" t="s">
        <v>6147</v>
      </c>
      <c r="N124" s="370" t="s">
        <v>5778</v>
      </c>
      <c r="O124" s="370" t="s">
        <v>6148</v>
      </c>
      <c r="P124" s="370" t="s">
        <v>6076</v>
      </c>
      <c r="Q124" s="370" t="s">
        <v>5735</v>
      </c>
      <c r="R124" s="370" t="s">
        <v>6149</v>
      </c>
      <c r="S124" s="763">
        <f>IF(COUNTIF(Psíquicos!$C$25:$E$36,E124)=0,0,1)</f>
        <v>0</v>
      </c>
      <c r="U124" s="1648" t="s">
        <v>128</v>
      </c>
      <c r="V124" s="1649" t="s">
        <v>144</v>
      </c>
      <c r="W124" s="1649" t="s">
        <v>159</v>
      </c>
      <c r="X124" s="1649" t="s">
        <v>171</v>
      </c>
      <c r="Y124" s="1649" t="s">
        <v>184</v>
      </c>
      <c r="Z124" s="1649" t="s">
        <v>197</v>
      </c>
      <c r="AA124" s="1649" t="s">
        <v>209</v>
      </c>
      <c r="AB124" s="1650"/>
      <c r="AC124" s="1650"/>
      <c r="AD124" s="1649" t="s">
        <v>230</v>
      </c>
      <c r="AE124" s="1650"/>
      <c r="AF124" s="1650"/>
      <c r="AG124" s="1650"/>
      <c r="AH124" s="2042"/>
      <c r="AJ124" s="2292" t="str">
        <f>IFERROR(IF(VLOOKUP(AK124,$D$7:$G$145,4,FALSE)&lt;&gt;"No",MAX(AJ$5:AJ123)+1,0),"")</f>
        <v/>
      </c>
      <c r="AK124" s="2293" t="str">
        <f t="shared" si="15"/>
        <v/>
      </c>
      <c r="AL124" s="2296" t="str">
        <f>IFERROR(VLOOKUP(Tablas!$A118,$AJ$7:$AK$145,2,FALSE),"")</f>
        <v/>
      </c>
    </row>
    <row r="125" spans="1:38" ht="12.75" customHeight="1" x14ac:dyDescent="0.2">
      <c r="A125" s="766">
        <v>125</v>
      </c>
      <c r="B125" s="761">
        <f>IF(OR(S125=0),0,SUM($S$6:S125))</f>
        <v>0</v>
      </c>
      <c r="C125" s="376"/>
      <c r="D125" s="272" t="s">
        <v>234</v>
      </c>
      <c r="E125" s="391" t="s">
        <v>115</v>
      </c>
      <c r="F125" s="371">
        <v>1</v>
      </c>
      <c r="G125" s="371" t="s">
        <v>2584</v>
      </c>
      <c r="H125" s="372" t="s">
        <v>1305</v>
      </c>
      <c r="I125" s="370" t="s">
        <v>5762</v>
      </c>
      <c r="J125" s="370" t="s">
        <v>5761</v>
      </c>
      <c r="K125" s="370" t="s">
        <v>5725</v>
      </c>
      <c r="L125" s="370" t="s">
        <v>6150</v>
      </c>
      <c r="M125" s="370" t="s">
        <v>6151</v>
      </c>
      <c r="N125" s="370" t="s">
        <v>6152</v>
      </c>
      <c r="O125" s="370" t="s">
        <v>6153</v>
      </c>
      <c r="P125" s="370" t="s">
        <v>6154</v>
      </c>
      <c r="Q125" s="370" t="s">
        <v>6155</v>
      </c>
      <c r="R125" s="370" t="s">
        <v>6156</v>
      </c>
      <c r="S125" s="763">
        <f>IF(COUNTIF(Psíquicos!$C$25:$E$36,E125)=0,0,1)</f>
        <v>0</v>
      </c>
      <c r="U125" s="1648" t="s">
        <v>129</v>
      </c>
      <c r="V125" s="1649" t="s">
        <v>145</v>
      </c>
      <c r="W125" s="1649" t="s">
        <v>160</v>
      </c>
      <c r="X125" s="1649" t="s">
        <v>172</v>
      </c>
      <c r="Y125" s="1649" t="s">
        <v>1368</v>
      </c>
      <c r="Z125" s="1649" t="s">
        <v>198</v>
      </c>
      <c r="AA125" s="1649" t="s">
        <v>10065</v>
      </c>
      <c r="AB125" s="1650"/>
      <c r="AC125" s="1650"/>
      <c r="AD125" s="1650"/>
      <c r="AE125" s="1650"/>
      <c r="AF125" s="1650"/>
      <c r="AG125" s="1650"/>
      <c r="AH125" s="2042"/>
      <c r="AJ125" s="2292" t="str">
        <f>IFERROR(IF(VLOOKUP(AK125,$D$7:$G$145,4,FALSE)&lt;&gt;"No",MAX(AJ$5:AJ124)+1,0),"")</f>
        <v/>
      </c>
      <c r="AK125" s="2293" t="str">
        <f t="shared" si="15"/>
        <v/>
      </c>
      <c r="AL125" s="2296" t="str">
        <f>IFERROR(VLOOKUP(Tablas!$A119,$AJ$7:$AK$145,2,FALSE),"")</f>
        <v/>
      </c>
    </row>
    <row r="126" spans="1:38" ht="12.75" customHeight="1" x14ac:dyDescent="0.2">
      <c r="A126" s="766">
        <v>126</v>
      </c>
      <c r="B126" s="761">
        <f>IF(OR(S126=0),0,SUM($S$6:S126))</f>
        <v>0</v>
      </c>
      <c r="C126" s="376"/>
      <c r="D126" s="272" t="s">
        <v>235</v>
      </c>
      <c r="E126" s="391" t="s">
        <v>115</v>
      </c>
      <c r="F126" s="371">
        <v>2</v>
      </c>
      <c r="G126" s="371" t="s">
        <v>1381</v>
      </c>
      <c r="H126" s="372" t="s">
        <v>1304</v>
      </c>
      <c r="I126" s="370" t="s">
        <v>5776</v>
      </c>
      <c r="J126" s="370" t="s">
        <v>5763</v>
      </c>
      <c r="K126" s="370" t="s">
        <v>5762</v>
      </c>
      <c r="L126" s="370" t="s">
        <v>5761</v>
      </c>
      <c r="M126" s="370" t="s">
        <v>5725</v>
      </c>
      <c r="N126" s="370" t="s">
        <v>6061</v>
      </c>
      <c r="O126" s="370" t="s">
        <v>5738</v>
      </c>
      <c r="P126" s="370" t="s">
        <v>5739</v>
      </c>
      <c r="Q126" s="370" t="s">
        <v>5740</v>
      </c>
      <c r="R126" s="390" t="s">
        <v>5742</v>
      </c>
      <c r="S126" s="763">
        <f>IF(COUNTIF(Psíquicos!$C$25:$E$36,E126)=0,0,1)</f>
        <v>0</v>
      </c>
      <c r="U126" s="1648" t="s">
        <v>130</v>
      </c>
      <c r="V126" s="1649" t="s">
        <v>146</v>
      </c>
      <c r="W126" s="1649" t="s">
        <v>161</v>
      </c>
      <c r="X126" s="1649" t="s">
        <v>173</v>
      </c>
      <c r="Y126" s="1649" t="s">
        <v>185</v>
      </c>
      <c r="Z126" s="1649" t="s">
        <v>199</v>
      </c>
      <c r="AA126" s="1650"/>
      <c r="AB126" s="1650"/>
      <c r="AC126" s="1650"/>
      <c r="AD126" s="1650"/>
      <c r="AE126" s="1650"/>
      <c r="AF126" s="1650"/>
      <c r="AG126" s="1650"/>
      <c r="AH126" s="2042"/>
      <c r="AJ126" s="2292" t="str">
        <f>IFERROR(IF(VLOOKUP(AK126,$D$7:$G$145,4,FALSE)&lt;&gt;"No",MAX(AJ$5:AJ125)+1,0),"")</f>
        <v/>
      </c>
      <c r="AK126" s="2293" t="str">
        <f t="shared" si="15"/>
        <v/>
      </c>
      <c r="AL126" s="2296" t="str">
        <f>IFERROR(VLOOKUP(Tablas!$A120,$AJ$7:$AK$145,2,FALSE),"")</f>
        <v/>
      </c>
    </row>
    <row r="127" spans="1:38" ht="12.75" customHeight="1" x14ac:dyDescent="0.2">
      <c r="A127" s="766">
        <v>127</v>
      </c>
      <c r="B127" s="761">
        <f>IF(OR(S127=0),0,SUM($S$6:S127))</f>
        <v>0</v>
      </c>
      <c r="C127" s="376"/>
      <c r="D127" s="272" t="s">
        <v>236</v>
      </c>
      <c r="E127" s="391" t="s">
        <v>115</v>
      </c>
      <c r="F127" s="371">
        <v>3</v>
      </c>
      <c r="G127" s="371" t="s">
        <v>2584</v>
      </c>
      <c r="H127" s="372" t="s">
        <v>1304</v>
      </c>
      <c r="I127" s="370" t="s">
        <v>5777</v>
      </c>
      <c r="J127" s="370" t="s">
        <v>5776</v>
      </c>
      <c r="K127" s="370" t="s">
        <v>5763</v>
      </c>
      <c r="L127" s="370" t="s">
        <v>5762</v>
      </c>
      <c r="M127" s="370" t="s">
        <v>5761</v>
      </c>
      <c r="N127" s="370" t="s">
        <v>6157</v>
      </c>
      <c r="O127" s="370" t="s">
        <v>6158</v>
      </c>
      <c r="P127" s="370" t="s">
        <v>6159</v>
      </c>
      <c r="Q127" s="370" t="s">
        <v>6160</v>
      </c>
      <c r="R127" s="370" t="s">
        <v>6161</v>
      </c>
      <c r="S127" s="763">
        <f>IF(COUNTIF(Psíquicos!$C$25:$E$36,E127)=0,0,1)</f>
        <v>0</v>
      </c>
      <c r="U127" s="1648" t="s">
        <v>131</v>
      </c>
      <c r="V127" s="1649" t="s">
        <v>147</v>
      </c>
      <c r="W127" s="1650"/>
      <c r="X127" s="1649" t="s">
        <v>174</v>
      </c>
      <c r="Y127" s="1649" t="s">
        <v>186</v>
      </c>
      <c r="Z127" s="1650"/>
      <c r="AA127" s="1650"/>
      <c r="AB127" s="1650"/>
      <c r="AC127" s="1650"/>
      <c r="AD127" s="1650"/>
      <c r="AE127" s="1650"/>
      <c r="AF127" s="1650"/>
      <c r="AG127" s="1650"/>
      <c r="AH127" s="2042"/>
      <c r="AJ127" s="2292" t="str">
        <f>IFERROR(IF(VLOOKUP(AK127,$D$7:$G$145,4,FALSE)&lt;&gt;"No",MAX(AJ$5:AJ126)+1,0),"")</f>
        <v/>
      </c>
      <c r="AK127" s="2293" t="str">
        <f t="shared" si="15"/>
        <v/>
      </c>
      <c r="AL127" s="2296" t="str">
        <f>IFERROR(VLOOKUP(Tablas!$A121,$AJ$7:$AK$145,2,FALSE),"")</f>
        <v/>
      </c>
    </row>
    <row r="128" spans="1:38" ht="12.75" customHeight="1" x14ac:dyDescent="0.2">
      <c r="A128" s="766">
        <v>128</v>
      </c>
      <c r="B128" s="761">
        <f>IF(OR(S128=0),0,SUM($S$6:S128))</f>
        <v>0</v>
      </c>
      <c r="C128" s="376"/>
      <c r="D128" s="272" t="s">
        <v>237</v>
      </c>
      <c r="E128" s="391" t="s">
        <v>115</v>
      </c>
      <c r="F128" s="371">
        <v>3</v>
      </c>
      <c r="G128" s="371" t="s">
        <v>1381</v>
      </c>
      <c r="H128" s="372" t="s">
        <v>1304</v>
      </c>
      <c r="I128" s="370" t="s">
        <v>5843</v>
      </c>
      <c r="J128" s="370" t="s">
        <v>5844</v>
      </c>
      <c r="K128" s="370" t="s">
        <v>5777</v>
      </c>
      <c r="L128" s="370" t="s">
        <v>5776</v>
      </c>
      <c r="M128" s="370" t="s">
        <v>5763</v>
      </c>
      <c r="N128" s="370" t="s">
        <v>5761</v>
      </c>
      <c r="O128" s="370" t="s">
        <v>6162</v>
      </c>
      <c r="P128" s="370" t="s">
        <v>6163</v>
      </c>
      <c r="Q128" s="370" t="s">
        <v>6164</v>
      </c>
      <c r="R128" s="370" t="s">
        <v>6165</v>
      </c>
      <c r="S128" s="763">
        <f>IF(COUNTIF(Psíquicos!$C$25:$E$36,E128)=0,0,1)</f>
        <v>0</v>
      </c>
      <c r="U128" s="1648" t="s">
        <v>132</v>
      </c>
      <c r="V128" s="1649" t="s">
        <v>148</v>
      </c>
      <c r="W128" s="1650"/>
      <c r="X128" s="1649" t="s">
        <v>175</v>
      </c>
      <c r="Y128" s="1649" t="s">
        <v>187</v>
      </c>
      <c r="Z128" s="1650"/>
      <c r="AA128" s="1650"/>
      <c r="AB128" s="1650"/>
      <c r="AC128" s="1650"/>
      <c r="AD128" s="1650"/>
      <c r="AE128" s="1650"/>
      <c r="AF128" s="1650"/>
      <c r="AG128" s="1650"/>
      <c r="AH128" s="2042"/>
      <c r="AJ128" s="2292" t="str">
        <f>IFERROR(IF(VLOOKUP(AK128,$D$7:$G$145,4,FALSE)&lt;&gt;"No",MAX(AJ$5:AJ127)+1,0),"")</f>
        <v/>
      </c>
      <c r="AK128" s="2293" t="str">
        <f t="shared" si="15"/>
        <v/>
      </c>
      <c r="AL128" s="2296" t="str">
        <f>IFERROR(VLOOKUP(Tablas!$A122,$AJ$7:$AK$145,2,FALSE),"")</f>
        <v/>
      </c>
    </row>
    <row r="129" spans="1:38" ht="12.75" customHeight="1" x14ac:dyDescent="0.2">
      <c r="A129" s="766">
        <v>129</v>
      </c>
      <c r="B129" s="761">
        <f>IF(OR(S129=0),0,SUM($S$6:S129))</f>
        <v>0</v>
      </c>
      <c r="C129" s="376"/>
      <c r="D129" s="272" t="s">
        <v>115</v>
      </c>
      <c r="E129" s="391" t="s">
        <v>115</v>
      </c>
      <c r="F129" s="371">
        <v>3</v>
      </c>
      <c r="G129" s="371" t="s">
        <v>1381</v>
      </c>
      <c r="H129" s="372" t="s">
        <v>1304</v>
      </c>
      <c r="I129" s="370" t="s">
        <v>5776</v>
      </c>
      <c r="J129" s="370" t="s">
        <v>5763</v>
      </c>
      <c r="K129" s="370" t="s">
        <v>5762</v>
      </c>
      <c r="L129" s="370" t="s">
        <v>5761</v>
      </c>
      <c r="M129" s="370" t="s">
        <v>5725</v>
      </c>
      <c r="N129" s="370" t="s">
        <v>6166</v>
      </c>
      <c r="O129" s="370" t="s">
        <v>6167</v>
      </c>
      <c r="P129" s="370" t="s">
        <v>6168</v>
      </c>
      <c r="Q129" s="370" t="s">
        <v>6169</v>
      </c>
      <c r="R129" s="370" t="s">
        <v>6170</v>
      </c>
      <c r="S129" s="763">
        <f>IF(COUNTIF(Psíquicos!$C$25:$E$36,E129)=0,0,1)</f>
        <v>0</v>
      </c>
      <c r="U129" s="1648" t="s">
        <v>133</v>
      </c>
      <c r="V129" s="1649" t="s">
        <v>149</v>
      </c>
      <c r="W129" s="1650"/>
      <c r="X129" s="1650"/>
      <c r="Y129" s="1650"/>
      <c r="Z129" s="1650"/>
      <c r="AA129" s="1650"/>
      <c r="AB129" s="1650"/>
      <c r="AC129" s="1650"/>
      <c r="AD129" s="1650"/>
      <c r="AE129" s="1650"/>
      <c r="AF129" s="1650"/>
      <c r="AG129" s="1650"/>
      <c r="AH129" s="2042"/>
      <c r="AJ129" s="2292" t="str">
        <f>IFERROR(IF(VLOOKUP(AK129,$D$7:$G$145,4,FALSE)&lt;&gt;"No",MAX(AJ$5:AJ128)+1,0),"")</f>
        <v/>
      </c>
      <c r="AK129" s="2293" t="str">
        <f t="shared" si="15"/>
        <v/>
      </c>
      <c r="AL129" s="2296" t="str">
        <f>IFERROR(VLOOKUP(Tablas!$A123,$AJ$7:$AK$145,2,FALSE),"")</f>
        <v/>
      </c>
    </row>
    <row r="130" spans="1:38" ht="12.75" customHeight="1" thickBot="1" x14ac:dyDescent="0.25">
      <c r="A130" s="766">
        <v>130</v>
      </c>
      <c r="B130" s="761">
        <f>IF(OR(S130=0),0,SUM($S$6:S130))</f>
        <v>0</v>
      </c>
      <c r="C130" s="376"/>
      <c r="D130" s="272" t="s">
        <v>238</v>
      </c>
      <c r="E130" s="391"/>
      <c r="F130" s="371"/>
      <c r="G130" s="371"/>
      <c r="H130" s="372"/>
      <c r="I130" s="370"/>
      <c r="J130" s="370"/>
      <c r="K130" s="370"/>
      <c r="L130" s="370"/>
      <c r="M130" s="370"/>
      <c r="N130" s="370"/>
      <c r="O130" s="370"/>
      <c r="P130" s="370"/>
      <c r="Q130" s="370"/>
      <c r="R130" s="390"/>
      <c r="S130" s="765">
        <f>S131</f>
        <v>0</v>
      </c>
      <c r="U130" s="1651" t="s">
        <v>10064</v>
      </c>
      <c r="V130" s="1652"/>
      <c r="W130" s="1652"/>
      <c r="X130" s="1652"/>
      <c r="Y130" s="1652"/>
      <c r="Z130" s="1652"/>
      <c r="AA130" s="1652"/>
      <c r="AB130" s="1652"/>
      <c r="AC130" s="1652"/>
      <c r="AD130" s="1652"/>
      <c r="AE130" s="1652"/>
      <c r="AF130" s="1652"/>
      <c r="AG130" s="1652"/>
      <c r="AH130" s="2043"/>
      <c r="AJ130" s="2292" t="str">
        <f>IFERROR(IF(VLOOKUP(AK130,$D$7:$G$145,4,FALSE)&lt;&gt;"No",MAX(AJ$5:AJ129)+1,0),"")</f>
        <v/>
      </c>
      <c r="AK130" s="2293" t="str">
        <f t="shared" si="15"/>
        <v/>
      </c>
      <c r="AL130" s="2296" t="str">
        <f>IFERROR(VLOOKUP(Tablas!$A124,$AJ$7:$AK$145,2,FALSE),"")</f>
        <v/>
      </c>
    </row>
    <row r="131" spans="1:38" ht="12.75" customHeight="1" x14ac:dyDescent="0.2">
      <c r="A131" s="766">
        <v>131</v>
      </c>
      <c r="B131" s="761">
        <f>IF(OR(S131=0),0,SUM($S$6:S131))</f>
        <v>0</v>
      </c>
      <c r="C131" s="376"/>
      <c r="D131" s="272" t="s">
        <v>239</v>
      </c>
      <c r="E131" s="391" t="s">
        <v>1699</v>
      </c>
      <c r="F131" s="371">
        <v>1</v>
      </c>
      <c r="G131" s="371" t="s">
        <v>2584</v>
      </c>
      <c r="H131" s="372" t="s">
        <v>1304</v>
      </c>
      <c r="I131" s="370" t="s">
        <v>5761</v>
      </c>
      <c r="J131" s="370" t="s">
        <v>5725</v>
      </c>
      <c r="K131" s="370" t="s">
        <v>5726</v>
      </c>
      <c r="L131" s="370" t="s">
        <v>6171</v>
      </c>
      <c r="M131" s="370" t="s">
        <v>6172</v>
      </c>
      <c r="N131" s="370" t="s">
        <v>6173</v>
      </c>
      <c r="O131" s="370" t="s">
        <v>6174</v>
      </c>
      <c r="P131" s="370" t="s">
        <v>6175</v>
      </c>
      <c r="Q131" s="370" t="s">
        <v>6176</v>
      </c>
      <c r="R131" s="370" t="s">
        <v>6177</v>
      </c>
      <c r="S131" s="763">
        <f>IF(COUNTIF(Psíquicos!$C$25:$E$36,E131)=0,0,1)</f>
        <v>0</v>
      </c>
      <c r="AJ131" s="2292" t="str">
        <f>IFERROR(IF(VLOOKUP(AK131,$D$7:$G$145,4,FALSE)&lt;&gt;"No",MAX(AJ$5:AJ130)+1,0),"")</f>
        <v/>
      </c>
      <c r="AK131" s="2293" t="str">
        <f t="shared" si="15"/>
        <v/>
      </c>
      <c r="AL131" s="2296" t="str">
        <f>IFERROR(VLOOKUP(Tablas!$A125,$AJ$7:$AK$145,2,FALSE),"")</f>
        <v/>
      </c>
    </row>
    <row r="132" spans="1:38" ht="12.75" customHeight="1" x14ac:dyDescent="0.2">
      <c r="A132" s="766">
        <v>132</v>
      </c>
      <c r="B132" s="761">
        <f>IF(OR(S132=0),0,SUM($S$6:S132))</f>
        <v>0</v>
      </c>
      <c r="C132" s="376"/>
      <c r="D132" s="272" t="s">
        <v>240</v>
      </c>
      <c r="E132" s="391" t="s">
        <v>1699</v>
      </c>
      <c r="F132" s="371">
        <v>1</v>
      </c>
      <c r="G132" s="371" t="s">
        <v>2584</v>
      </c>
      <c r="H132" s="372" t="s">
        <v>1304</v>
      </c>
      <c r="I132" s="370" t="s">
        <v>5725</v>
      </c>
      <c r="J132" s="370" t="s">
        <v>5726</v>
      </c>
      <c r="K132" s="370" t="s">
        <v>6178</v>
      </c>
      <c r="L132" s="370" t="s">
        <v>6179</v>
      </c>
      <c r="M132" s="370" t="s">
        <v>5903</v>
      </c>
      <c r="N132" s="370" t="s">
        <v>6097</v>
      </c>
      <c r="O132" s="370" t="s">
        <v>5904</v>
      </c>
      <c r="P132" s="370" t="s">
        <v>5905</v>
      </c>
      <c r="Q132" s="370" t="s">
        <v>6013</v>
      </c>
      <c r="R132" s="370" t="s">
        <v>5906</v>
      </c>
      <c r="S132" s="763">
        <f>IF(COUNTIF(Psíquicos!$C$25:$E$36,E132)=0,0,1)</f>
        <v>0</v>
      </c>
      <c r="AJ132" s="2292" t="str">
        <f>IFERROR(IF(VLOOKUP(AK132,$D$7:$G$145,4,FALSE)&lt;&gt;"No",MAX(AJ$5:AJ131)+1,0),"")</f>
        <v/>
      </c>
      <c r="AK132" s="2293" t="str">
        <f t="shared" si="15"/>
        <v/>
      </c>
      <c r="AL132" s="2296" t="str">
        <f>IFERROR(VLOOKUP(Tablas!$A126,$AJ$7:$AK$145,2,FALSE),"")</f>
        <v/>
      </c>
    </row>
    <row r="133" spans="1:38" ht="12.75" customHeight="1" x14ac:dyDescent="0.2">
      <c r="A133" s="766">
        <v>133</v>
      </c>
      <c r="B133" s="761">
        <f>IF(OR(S133=0),0,SUM($S$6:S133))</f>
        <v>0</v>
      </c>
      <c r="C133" s="376"/>
      <c r="D133" s="272" t="s">
        <v>241</v>
      </c>
      <c r="E133" s="391" t="s">
        <v>1699</v>
      </c>
      <c r="F133" s="371">
        <v>1</v>
      </c>
      <c r="G133" s="371" t="s">
        <v>1381</v>
      </c>
      <c r="H133" s="372" t="s">
        <v>1304</v>
      </c>
      <c r="I133" s="370" t="s">
        <v>5725</v>
      </c>
      <c r="J133" s="370" t="s">
        <v>5726</v>
      </c>
      <c r="K133" s="370" t="s">
        <v>6180</v>
      </c>
      <c r="L133" s="370" t="s">
        <v>6181</v>
      </c>
      <c r="M133" s="370" t="s">
        <v>6182</v>
      </c>
      <c r="N133" s="370" t="s">
        <v>6183</v>
      </c>
      <c r="O133" s="370" t="s">
        <v>6184</v>
      </c>
      <c r="P133" s="370" t="s">
        <v>6185</v>
      </c>
      <c r="Q133" s="370" t="s">
        <v>6186</v>
      </c>
      <c r="R133" s="370" t="s">
        <v>6187</v>
      </c>
      <c r="S133" s="763">
        <f>IF(COUNTIF(Psíquicos!$C$25:$E$36,E133)=0,0,1)</f>
        <v>0</v>
      </c>
      <c r="AJ133" s="2292" t="str">
        <f>IFERROR(IF(VLOOKUP(AK133,$D$7:$G$145,4,FALSE)&lt;&gt;"No",MAX(AJ$5:AJ132)+1,0),"")</f>
        <v/>
      </c>
      <c r="AK133" s="2293" t="str">
        <f t="shared" si="15"/>
        <v/>
      </c>
      <c r="AL133" s="2296" t="str">
        <f>IFERROR(VLOOKUP(Tablas!$A127,$AJ$7:$AK$145,2,FALSE),"")</f>
        <v/>
      </c>
    </row>
    <row r="134" spans="1:38" ht="12.75" customHeight="1" x14ac:dyDescent="0.2">
      <c r="A134" s="766">
        <v>134</v>
      </c>
      <c r="B134" s="761">
        <f>IF(OR(S134=0),0,SUM($S$6:S134))</f>
        <v>0</v>
      </c>
      <c r="C134" s="376"/>
      <c r="D134" s="272" t="s">
        <v>242</v>
      </c>
      <c r="E134" s="391" t="s">
        <v>1699</v>
      </c>
      <c r="F134" s="371">
        <v>2</v>
      </c>
      <c r="G134" s="371" t="s">
        <v>2584</v>
      </c>
      <c r="H134" s="372" t="s">
        <v>1305</v>
      </c>
      <c r="I134" s="370" t="s">
        <v>5762</v>
      </c>
      <c r="J134" s="370" t="s">
        <v>5761</v>
      </c>
      <c r="K134" s="370" t="s">
        <v>5725</v>
      </c>
      <c r="L134" s="370" t="s">
        <v>5726</v>
      </c>
      <c r="M134" s="370" t="s">
        <v>5798</v>
      </c>
      <c r="N134" s="370" t="s">
        <v>5917</v>
      </c>
      <c r="O134" s="370" t="s">
        <v>5800</v>
      </c>
      <c r="P134" s="370" t="s">
        <v>6188</v>
      </c>
      <c r="Q134" s="370" t="s">
        <v>6022</v>
      </c>
      <c r="R134" s="390" t="s">
        <v>6023</v>
      </c>
      <c r="S134" s="763">
        <f>IF(COUNTIF(Psíquicos!$C$25:$E$36,E134)=0,0,1)</f>
        <v>0</v>
      </c>
      <c r="AJ134" s="2292" t="str">
        <f>IFERROR(IF(VLOOKUP(AK134,$D$7:$G$145,4,FALSE)&lt;&gt;"No",MAX(AJ$5:AJ133)+1,0),"")</f>
        <v/>
      </c>
      <c r="AK134" s="2293" t="str">
        <f t="shared" si="15"/>
        <v/>
      </c>
      <c r="AL134" s="2296" t="str">
        <f>IFERROR(VLOOKUP(Tablas!$A128,$AJ$7:$AK$145,2,FALSE),"")</f>
        <v/>
      </c>
    </row>
    <row r="135" spans="1:38" ht="12.75" customHeight="1" x14ac:dyDescent="0.2">
      <c r="A135" s="766">
        <v>135</v>
      </c>
      <c r="B135" s="761">
        <f>IF(OR(S135=0),0,SUM($S$6:S135))</f>
        <v>0</v>
      </c>
      <c r="C135" s="376"/>
      <c r="D135" s="272" t="s">
        <v>243</v>
      </c>
      <c r="E135" s="391" t="s">
        <v>1699</v>
      </c>
      <c r="F135" s="371">
        <v>2</v>
      </c>
      <c r="G135" s="371" t="s">
        <v>2584</v>
      </c>
      <c r="H135" s="372" t="s">
        <v>1304</v>
      </c>
      <c r="I135" s="370" t="s">
        <v>5763</v>
      </c>
      <c r="J135" s="370" t="s">
        <v>5762</v>
      </c>
      <c r="K135" s="370" t="s">
        <v>5761</v>
      </c>
      <c r="L135" s="370" t="s">
        <v>5725</v>
      </c>
      <c r="M135" s="370" t="s">
        <v>5726</v>
      </c>
      <c r="N135" s="370" t="s">
        <v>6189</v>
      </c>
      <c r="O135" s="370" t="s">
        <v>6190</v>
      </c>
      <c r="P135" s="370" t="s">
        <v>6191</v>
      </c>
      <c r="Q135" s="370" t="s">
        <v>6192</v>
      </c>
      <c r="R135" s="390" t="s">
        <v>6193</v>
      </c>
      <c r="S135" s="763">
        <f>IF(COUNTIF(Psíquicos!$C$25:$E$36,E135)=0,0,1)</f>
        <v>0</v>
      </c>
      <c r="AJ135" s="2292" t="str">
        <f>IFERROR(IF(VLOOKUP(AK135,$D$7:$G$145,4,FALSE)&lt;&gt;"No",MAX(AJ$5:AJ134)+1,0),"")</f>
        <v/>
      </c>
      <c r="AK135" s="2293" t="str">
        <f t="shared" ref="AK135:AK145" si="16">IF(ISNA(VLOOKUP(A129,$B$7:$D$145,3,FALSE)),"",VLOOKUP(A129,$B$7:$D$145,3,FALSE))</f>
        <v/>
      </c>
      <c r="AL135" s="2296" t="str">
        <f>IFERROR(VLOOKUP(Tablas!$A129,$AJ$7:$AK$145,2,FALSE),"")</f>
        <v/>
      </c>
    </row>
    <row r="136" spans="1:38" ht="12.75" customHeight="1" x14ac:dyDescent="0.2">
      <c r="A136" s="766">
        <v>136</v>
      </c>
      <c r="B136" s="761">
        <f>IF(OR(S136=0),0,SUM($S$6:S136))</f>
        <v>0</v>
      </c>
      <c r="C136" s="376"/>
      <c r="D136" s="272" t="s">
        <v>244</v>
      </c>
      <c r="E136" s="391" t="s">
        <v>1699</v>
      </c>
      <c r="F136" s="371">
        <v>3</v>
      </c>
      <c r="G136" s="371" t="s">
        <v>1381</v>
      </c>
      <c r="H136" s="372" t="s">
        <v>1304</v>
      </c>
      <c r="I136" s="370" t="s">
        <v>5777</v>
      </c>
      <c r="J136" s="370" t="s">
        <v>5776</v>
      </c>
      <c r="K136" s="370" t="s">
        <v>5763</v>
      </c>
      <c r="L136" s="370" t="s">
        <v>5762</v>
      </c>
      <c r="M136" s="370" t="s">
        <v>5761</v>
      </c>
      <c r="N136" s="370" t="s">
        <v>6194</v>
      </c>
      <c r="O136" s="370" t="s">
        <v>6195</v>
      </c>
      <c r="P136" s="370" t="s">
        <v>6196</v>
      </c>
      <c r="Q136" s="370" t="s">
        <v>6197</v>
      </c>
      <c r="R136" s="370" t="s">
        <v>6198</v>
      </c>
      <c r="S136" s="763">
        <f>IF(COUNTIF(Psíquicos!$C$25:$E$36,E136)=0,0,1)</f>
        <v>0</v>
      </c>
      <c r="AJ136" s="2292" t="str">
        <f>IFERROR(IF(VLOOKUP(AK136,$D$7:$G$145,4,FALSE)&lt;&gt;"No",MAX(AJ$5:AJ135)+1,0),"")</f>
        <v/>
      </c>
      <c r="AK136" s="2293" t="str">
        <f t="shared" si="16"/>
        <v/>
      </c>
      <c r="AL136" s="2296" t="str">
        <f>IFERROR(VLOOKUP(Tablas!$A130,$AJ$7:$AK$145,2,FALSE),"")</f>
        <v/>
      </c>
    </row>
    <row r="137" spans="1:38" ht="12.75" customHeight="1" x14ac:dyDescent="0.2">
      <c r="A137" s="766">
        <v>137</v>
      </c>
      <c r="B137" s="761">
        <f>IF(OR(S137=0),0,SUM($S$6:S137))</f>
        <v>0</v>
      </c>
      <c r="C137" s="376"/>
      <c r="D137" s="272" t="s">
        <v>245</v>
      </c>
      <c r="E137" s="391"/>
      <c r="F137" s="371"/>
      <c r="G137" s="371"/>
      <c r="H137" s="372"/>
      <c r="I137" s="370"/>
      <c r="J137" s="370"/>
      <c r="K137" s="370"/>
      <c r="L137" s="370"/>
      <c r="M137" s="370"/>
      <c r="N137" s="370"/>
      <c r="O137" s="370"/>
      <c r="P137" s="370"/>
      <c r="Q137" s="370"/>
      <c r="R137" s="390"/>
      <c r="S137" s="765">
        <f>S138</f>
        <v>0</v>
      </c>
      <c r="AJ137" s="2292" t="str">
        <f>IFERROR(IF(VLOOKUP(AK137,$D$7:$G$145,4,FALSE)&lt;&gt;"No",MAX(AJ$5:AJ136)+1,0),"")</f>
        <v/>
      </c>
      <c r="AK137" s="2293" t="str">
        <f t="shared" si="16"/>
        <v/>
      </c>
      <c r="AL137" s="2296" t="str">
        <f>IFERROR(VLOOKUP(Tablas!$A131,$AJ$7:$AK$145,2,FALSE),"")</f>
        <v/>
      </c>
    </row>
    <row r="138" spans="1:38" ht="12.75" customHeight="1" x14ac:dyDescent="0.2">
      <c r="A138" s="766">
        <v>138</v>
      </c>
      <c r="B138" s="761">
        <f>IF(OR(S138=0),0,SUM($S$6:S138))</f>
        <v>0</v>
      </c>
      <c r="C138" s="376"/>
      <c r="D138" s="272" t="s">
        <v>246</v>
      </c>
      <c r="E138" s="391" t="s">
        <v>116</v>
      </c>
      <c r="F138" s="371">
        <v>1</v>
      </c>
      <c r="G138" s="371" t="s">
        <v>2584</v>
      </c>
      <c r="H138" s="372" t="s">
        <v>1305</v>
      </c>
      <c r="I138" s="370" t="s">
        <v>5726</v>
      </c>
      <c r="J138" s="370" t="s">
        <v>6199</v>
      </c>
      <c r="K138" s="370" t="s">
        <v>6200</v>
      </c>
      <c r="L138" s="370" t="s">
        <v>6201</v>
      </c>
      <c r="M138" s="370" t="s">
        <v>6202</v>
      </c>
      <c r="N138" s="370" t="s">
        <v>6203</v>
      </c>
      <c r="O138" s="370" t="s">
        <v>6204</v>
      </c>
      <c r="P138" s="370" t="s">
        <v>6205</v>
      </c>
      <c r="Q138" s="370" t="s">
        <v>6206</v>
      </c>
      <c r="R138" s="370" t="s">
        <v>6207</v>
      </c>
      <c r="S138" s="763">
        <f>IF(COUNTIF(Psíquicos!$C$25:$E$36,E138)=0,0,1)</f>
        <v>0</v>
      </c>
      <c r="AJ138" s="2292" t="str">
        <f>IFERROR(IF(VLOOKUP(AK138,$D$7:$G$145,4,FALSE)&lt;&gt;"No",MAX(AJ$5:AJ137)+1,0),"")</f>
        <v/>
      </c>
      <c r="AK138" s="2293" t="str">
        <f t="shared" si="16"/>
        <v/>
      </c>
      <c r="AL138" s="2296" t="str">
        <f>IFERROR(VLOOKUP(Tablas!$A132,$AJ$7:$AK$145,2,FALSE),"")</f>
        <v/>
      </c>
    </row>
    <row r="139" spans="1:38" ht="12.75" customHeight="1" x14ac:dyDescent="0.2">
      <c r="A139" s="766">
        <v>139</v>
      </c>
      <c r="B139" s="761">
        <f>IF(OR(S139=0),0,SUM($S$6:S139))</f>
        <v>0</v>
      </c>
      <c r="C139" s="376"/>
      <c r="D139" s="272" t="s">
        <v>247</v>
      </c>
      <c r="E139" s="391" t="s">
        <v>116</v>
      </c>
      <c r="F139" s="371">
        <v>2</v>
      </c>
      <c r="G139" s="371" t="s">
        <v>2584</v>
      </c>
      <c r="H139" s="372" t="s">
        <v>1304</v>
      </c>
      <c r="I139" s="370" t="s">
        <v>5761</v>
      </c>
      <c r="J139" s="370" t="s">
        <v>5725</v>
      </c>
      <c r="K139" s="370" t="s">
        <v>6146</v>
      </c>
      <c r="L139" s="370" t="s">
        <v>6147</v>
      </c>
      <c r="M139" s="370" t="s">
        <v>5778</v>
      </c>
      <c r="N139" s="370" t="s">
        <v>6148</v>
      </c>
      <c r="O139" s="370" t="s">
        <v>6076</v>
      </c>
      <c r="P139" s="370" t="s">
        <v>5735</v>
      </c>
      <c r="Q139" s="370" t="s">
        <v>6149</v>
      </c>
      <c r="R139" s="390" t="s">
        <v>5736</v>
      </c>
      <c r="S139" s="763">
        <f>IF(COUNTIF(Psíquicos!$C$25:$E$36,E139)=0,0,1)</f>
        <v>0</v>
      </c>
      <c r="AJ139" s="2292" t="str">
        <f>IFERROR(IF(VLOOKUP(AK139,$D$7:$G$145,4,FALSE)&lt;&gt;"No",MAX(AJ$5:AJ138)+1,0),"")</f>
        <v/>
      </c>
      <c r="AK139" s="2293" t="str">
        <f t="shared" si="16"/>
        <v/>
      </c>
      <c r="AL139" s="2296" t="str">
        <f>IFERROR(VLOOKUP(Tablas!$A133,$AJ$7:$AK$145,2,FALSE),"")</f>
        <v/>
      </c>
    </row>
    <row r="140" spans="1:38" ht="12.75" customHeight="1" x14ac:dyDescent="0.2">
      <c r="A140" s="766">
        <v>140</v>
      </c>
      <c r="B140" s="761">
        <f>IF(OR(S140=0),0,SUM($S$6:S140))</f>
        <v>0</v>
      </c>
      <c r="C140" s="376"/>
      <c r="D140" s="272" t="s">
        <v>248</v>
      </c>
      <c r="E140" s="391" t="s">
        <v>116</v>
      </c>
      <c r="F140" s="371">
        <v>3</v>
      </c>
      <c r="G140" s="371" t="s">
        <v>2584</v>
      </c>
      <c r="H140" s="372" t="s">
        <v>1304</v>
      </c>
      <c r="I140" s="370" t="s">
        <v>5776</v>
      </c>
      <c r="J140" s="370" t="s">
        <v>6129</v>
      </c>
      <c r="K140" s="370" t="s">
        <v>5763</v>
      </c>
      <c r="L140" s="370" t="s">
        <v>5762</v>
      </c>
      <c r="M140" s="370" t="s">
        <v>5761</v>
      </c>
      <c r="N140" s="370" t="s">
        <v>6208</v>
      </c>
      <c r="O140" s="370" t="s">
        <v>251</v>
      </c>
      <c r="P140" s="370" t="s">
        <v>6209</v>
      </c>
      <c r="Q140" s="370" t="s">
        <v>6210</v>
      </c>
      <c r="R140" s="390" t="s">
        <v>6211</v>
      </c>
      <c r="S140" s="763">
        <f>IF(COUNTIF(Psíquicos!$C$25:$E$36,E140)=0,0,1)</f>
        <v>0</v>
      </c>
      <c r="AJ140" s="2292" t="str">
        <f>IFERROR(IF(VLOOKUP(AK140,$D$7:$G$145,4,FALSE)&lt;&gt;"No",MAX(AJ$5:AJ139)+1,0),"")</f>
        <v/>
      </c>
      <c r="AK140" s="2293" t="str">
        <f t="shared" si="16"/>
        <v/>
      </c>
      <c r="AL140" s="2296" t="str">
        <f>IFERROR(VLOOKUP(Tablas!$A134,$AJ$7:$AK$145,2,FALSE),"")</f>
        <v/>
      </c>
    </row>
    <row r="141" spans="1:38" ht="12.75" customHeight="1" x14ac:dyDescent="0.2">
      <c r="A141" s="766">
        <v>141</v>
      </c>
      <c r="B141" s="761">
        <f>IF(OR(S141=0),0,SUM($S$6:S141))</f>
        <v>1</v>
      </c>
      <c r="C141" s="376"/>
      <c r="D141" s="272" t="s">
        <v>249</v>
      </c>
      <c r="E141" s="370"/>
      <c r="F141" s="371"/>
      <c r="G141" s="371"/>
      <c r="H141" s="372"/>
      <c r="I141" s="370"/>
      <c r="J141" s="370"/>
      <c r="K141" s="370"/>
      <c r="L141" s="370"/>
      <c r="M141" s="370"/>
      <c r="N141" s="370"/>
      <c r="O141" s="370"/>
      <c r="P141" s="370"/>
      <c r="Q141" s="370"/>
      <c r="R141" s="390"/>
      <c r="S141" s="765">
        <f>S142</f>
        <v>1</v>
      </c>
      <c r="AJ141" s="2292" t="str">
        <f>IFERROR(IF(VLOOKUP(AK141,$D$7:$G$145,4,FALSE)&lt;&gt;"No",MAX(AJ$5:AJ140)+1,0),"")</f>
        <v/>
      </c>
      <c r="AK141" s="2293" t="str">
        <f t="shared" si="16"/>
        <v/>
      </c>
      <c r="AL141" s="2296" t="str">
        <f>IFERROR(VLOOKUP(Tablas!$A135,$AJ$7:$AK$145,2,FALSE),"")</f>
        <v/>
      </c>
    </row>
    <row r="142" spans="1:38" ht="12.75" customHeight="1" x14ac:dyDescent="0.2">
      <c r="A142" s="766">
        <v>142</v>
      </c>
      <c r="B142" s="761">
        <f>IF(OR(S142=0),0,SUM($S$6:S142))</f>
        <v>2</v>
      </c>
      <c r="C142" s="376"/>
      <c r="D142" s="272" t="s">
        <v>250</v>
      </c>
      <c r="E142" s="370" t="s">
        <v>6212</v>
      </c>
      <c r="F142" s="371" t="s">
        <v>1456</v>
      </c>
      <c r="G142" s="371" t="s">
        <v>2584</v>
      </c>
      <c r="H142" s="372" t="s">
        <v>1304</v>
      </c>
      <c r="I142" s="370" t="s">
        <v>5762</v>
      </c>
      <c r="J142" s="370" t="s">
        <v>5761</v>
      </c>
      <c r="K142" s="370" t="s">
        <v>5725</v>
      </c>
      <c r="L142" s="370" t="s">
        <v>6213</v>
      </c>
      <c r="M142" s="370" t="s">
        <v>6214</v>
      </c>
      <c r="N142" s="370" t="s">
        <v>6008</v>
      </c>
      <c r="O142" s="370" t="s">
        <v>6009</v>
      </c>
      <c r="P142" s="370" t="s">
        <v>6010</v>
      </c>
      <c r="Q142" s="370" t="s">
        <v>6011</v>
      </c>
      <c r="R142" s="390" t="s">
        <v>6012</v>
      </c>
      <c r="S142" s="763">
        <v>1</v>
      </c>
      <c r="AJ142" s="2292" t="str">
        <f>IFERROR(IF(VLOOKUP(AK142,$D$7:$G$145,4,FALSE)&lt;&gt;"No",MAX(AJ$5:AJ141)+1,0),"")</f>
        <v/>
      </c>
      <c r="AK142" s="2293" t="str">
        <f t="shared" si="16"/>
        <v/>
      </c>
      <c r="AL142" s="2296" t="str">
        <f>IFERROR(VLOOKUP(Tablas!$A136,$AJ$7:$AK$145,2,FALSE),"")</f>
        <v/>
      </c>
    </row>
    <row r="143" spans="1:38" ht="12.75" customHeight="1" x14ac:dyDescent="0.2">
      <c r="A143" s="766">
        <v>143</v>
      </c>
      <c r="B143" s="761">
        <f>IF(OR(S143=0),0,SUM($S$6:S143))</f>
        <v>3</v>
      </c>
      <c r="C143" s="376"/>
      <c r="D143" s="272" t="s">
        <v>251</v>
      </c>
      <c r="E143" s="370" t="s">
        <v>6212</v>
      </c>
      <c r="F143" s="371" t="s">
        <v>1456</v>
      </c>
      <c r="G143" s="371" t="s">
        <v>2584</v>
      </c>
      <c r="H143" s="372" t="s">
        <v>1304</v>
      </c>
      <c r="I143" s="370" t="s">
        <v>5726</v>
      </c>
      <c r="J143" s="370" t="s">
        <v>6215</v>
      </c>
      <c r="K143" s="370" t="s">
        <v>6216</v>
      </c>
      <c r="L143" s="370" t="s">
        <v>6217</v>
      </c>
      <c r="M143" s="370" t="s">
        <v>5735</v>
      </c>
      <c r="N143" s="370" t="s">
        <v>10047</v>
      </c>
      <c r="O143" s="370" t="s">
        <v>10045</v>
      </c>
      <c r="P143" s="370" t="s">
        <v>6218</v>
      </c>
      <c r="Q143" s="370" t="s">
        <v>10046</v>
      </c>
      <c r="R143" s="390" t="s">
        <v>6219</v>
      </c>
      <c r="S143" s="763">
        <v>1</v>
      </c>
      <c r="AJ143" s="2292" t="str">
        <f>IFERROR(IF(VLOOKUP(AK143,$D$7:$G$145,4,FALSE)&lt;&gt;"No",MAX(AJ$5:AJ142)+1,0),"")</f>
        <v/>
      </c>
      <c r="AK143" s="2293" t="str">
        <f t="shared" si="16"/>
        <v/>
      </c>
      <c r="AL143" s="2296" t="str">
        <f>IFERROR(VLOOKUP(Tablas!$A137,$AJ$7:$AK$145,2,FALSE),"")</f>
        <v/>
      </c>
    </row>
    <row r="144" spans="1:38" ht="12.75" customHeight="1" x14ac:dyDescent="0.2">
      <c r="A144" s="766">
        <v>144</v>
      </c>
      <c r="B144" s="761">
        <f>IF(OR(S144=0),0,SUM($S$6:S144))</f>
        <v>4</v>
      </c>
      <c r="C144" s="376"/>
      <c r="D144" s="272" t="s">
        <v>252</v>
      </c>
      <c r="E144" s="370" t="s">
        <v>6212</v>
      </c>
      <c r="F144" s="371" t="s">
        <v>1456</v>
      </c>
      <c r="G144" s="371" t="s">
        <v>2584</v>
      </c>
      <c r="H144" s="372" t="s">
        <v>1305</v>
      </c>
      <c r="I144" s="370" t="s">
        <v>5725</v>
      </c>
      <c r="J144" s="370" t="s">
        <v>5726</v>
      </c>
      <c r="K144" s="370" t="s">
        <v>6220</v>
      </c>
      <c r="L144" s="370" t="s">
        <v>6221</v>
      </c>
      <c r="M144" s="370" t="s">
        <v>6222</v>
      </c>
      <c r="N144" s="370" t="s">
        <v>6223</v>
      </c>
      <c r="O144" s="370" t="s">
        <v>6224</v>
      </c>
      <c r="P144" s="370" t="s">
        <v>6225</v>
      </c>
      <c r="Q144" s="370" t="s">
        <v>6226</v>
      </c>
      <c r="R144" s="390" t="s">
        <v>6227</v>
      </c>
      <c r="S144" s="763">
        <v>1</v>
      </c>
      <c r="AJ144" s="2292" t="str">
        <f>IFERROR(IF(VLOOKUP(AK144,$D$7:$G$145,4,FALSE)&lt;&gt;"No",MAX(AJ$5:AJ143)+1,0),"")</f>
        <v/>
      </c>
      <c r="AK144" s="2293" t="str">
        <f t="shared" si="16"/>
        <v/>
      </c>
      <c r="AL144" s="2296" t="str">
        <f>IFERROR(VLOOKUP(Tablas!$A138,$AJ$7:$AK$145,2,FALSE),"")</f>
        <v/>
      </c>
    </row>
    <row r="145" spans="1:38" ht="12.75" customHeight="1" thickBot="1" x14ac:dyDescent="0.25">
      <c r="A145" s="766">
        <v>145</v>
      </c>
      <c r="B145" s="762">
        <f>IF(OR(S145=0),0,SUM($S$6:S145))</f>
        <v>5</v>
      </c>
      <c r="C145" s="382"/>
      <c r="D145" s="274" t="s">
        <v>253</v>
      </c>
      <c r="E145" s="392" t="s">
        <v>6212</v>
      </c>
      <c r="F145" s="393" t="s">
        <v>1456</v>
      </c>
      <c r="G145" s="393" t="s">
        <v>2584</v>
      </c>
      <c r="H145" s="394" t="s">
        <v>1304</v>
      </c>
      <c r="I145" s="392" t="s">
        <v>5762</v>
      </c>
      <c r="J145" s="392" t="s">
        <v>5761</v>
      </c>
      <c r="K145" s="392" t="s">
        <v>5725</v>
      </c>
      <c r="L145" s="392" t="s">
        <v>6228</v>
      </c>
      <c r="M145" s="392" t="s">
        <v>6229</v>
      </c>
      <c r="N145" s="392" t="s">
        <v>6230</v>
      </c>
      <c r="O145" s="392" t="s">
        <v>6231</v>
      </c>
      <c r="P145" s="392" t="s">
        <v>6232</v>
      </c>
      <c r="Q145" s="392" t="s">
        <v>6233</v>
      </c>
      <c r="R145" s="395" t="s">
        <v>6234</v>
      </c>
      <c r="S145" s="764">
        <v>1</v>
      </c>
      <c r="AJ145" s="2297" t="str">
        <f>IFERROR(IF(VLOOKUP(AK145,$D$7:$G$145,4,FALSE)&lt;&gt;"No",MAX(AJ$5:AJ144)+1,0),"")</f>
        <v/>
      </c>
      <c r="AK145" s="2298" t="str">
        <f t="shared" si="16"/>
        <v/>
      </c>
      <c r="AL145" s="2299" t="str">
        <f>IFERROR(VLOOKUP(Tablas!$A139,$AJ$7:$AK$145,2,FALSE),"")</f>
        <v/>
      </c>
    </row>
  </sheetData>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6"/>
      <c r="B1" s="396"/>
      <c r="C1" s="396"/>
      <c r="D1" s="396"/>
      <c r="E1" s="396"/>
      <c r="F1" s="396"/>
      <c r="G1" s="396"/>
      <c r="H1" s="396"/>
      <c r="I1" s="396"/>
      <c r="J1" s="396"/>
      <c r="K1" s="396"/>
      <c r="L1" s="396"/>
      <c r="M1" s="396"/>
      <c r="N1" s="396"/>
      <c r="O1" s="396"/>
      <c r="P1" s="396"/>
      <c r="Q1" s="396"/>
      <c r="R1" s="396"/>
      <c r="S1" s="2520"/>
      <c r="T1" s="2520"/>
      <c r="U1" s="2520"/>
      <c r="V1" s="2520"/>
      <c r="W1" s="2520"/>
      <c r="X1" s="2520"/>
      <c r="Y1" s="2520"/>
      <c r="Z1" s="2520"/>
      <c r="AA1" s="2520"/>
      <c r="AB1" s="2520"/>
      <c r="AC1" s="2520"/>
      <c r="AD1" s="2520"/>
      <c r="AE1" s="2520"/>
      <c r="AF1" s="2520"/>
      <c r="AG1" s="2520"/>
      <c r="AH1" s="2520"/>
      <c r="AI1" s="2520"/>
      <c r="AJ1" s="2520"/>
      <c r="AK1" s="2520"/>
      <c r="AL1" s="2520"/>
      <c r="AM1" s="2520"/>
      <c r="AN1" s="2520"/>
      <c r="AO1" s="2520"/>
      <c r="AP1" s="2520"/>
      <c r="AQ1" s="2520"/>
      <c r="AR1" s="2520"/>
      <c r="AS1" s="2520"/>
      <c r="AT1" s="2520"/>
      <c r="AU1" s="2520"/>
      <c r="AV1" s="2520"/>
      <c r="AW1" s="2520"/>
      <c r="AX1" s="2520"/>
      <c r="AY1" s="2520"/>
      <c r="AZ1" s="2520"/>
      <c r="BA1" s="2520"/>
      <c r="BB1" s="2520"/>
      <c r="BC1" s="2520"/>
      <c r="BD1" s="2520"/>
      <c r="BE1" s="2520"/>
      <c r="BF1" s="2520"/>
      <c r="BG1" s="2520"/>
      <c r="BH1" s="2520"/>
      <c r="BI1" s="2520"/>
      <c r="BJ1" s="2520"/>
      <c r="BK1" s="2520"/>
      <c r="BL1" s="2520"/>
      <c r="BM1" s="2520"/>
      <c r="BN1" s="2520"/>
      <c r="BO1" s="2520"/>
      <c r="BP1" s="2520"/>
      <c r="BQ1" s="2520"/>
      <c r="BR1" s="2520"/>
      <c r="BS1" s="2520"/>
      <c r="BT1" s="2520"/>
      <c r="BU1" s="2520"/>
      <c r="BV1" s="2520"/>
      <c r="BW1" s="2520"/>
      <c r="BX1" s="2520"/>
    </row>
    <row r="2" spans="1:76" ht="17.25" customHeight="1" thickBot="1" x14ac:dyDescent="0.25">
      <c r="A2" s="396"/>
      <c r="B2" s="397"/>
      <c r="C2" s="398"/>
      <c r="D2" s="398"/>
      <c r="E2" s="398"/>
      <c r="F2" s="398"/>
      <c r="G2" s="398"/>
      <c r="H2" s="398"/>
      <c r="I2" s="398"/>
      <c r="J2" s="398"/>
      <c r="K2" s="398"/>
      <c r="L2" s="398"/>
      <c r="M2" s="398"/>
      <c r="N2" s="398"/>
      <c r="O2" s="398"/>
      <c r="P2" s="398"/>
      <c r="Q2" s="398"/>
      <c r="R2" s="399"/>
      <c r="S2" s="396"/>
      <c r="T2" s="396"/>
      <c r="U2" s="397"/>
      <c r="V2" s="398"/>
      <c r="W2" s="398"/>
      <c r="X2" s="398"/>
      <c r="Y2" s="398"/>
      <c r="Z2" s="398"/>
      <c r="AA2" s="398"/>
      <c r="AB2" s="398"/>
      <c r="AC2" s="398"/>
      <c r="AD2" s="398"/>
      <c r="AE2" s="398"/>
      <c r="AF2" s="398"/>
      <c r="AG2" s="398"/>
      <c r="AH2" s="398"/>
      <c r="AI2" s="398"/>
      <c r="AJ2" s="398"/>
      <c r="AK2" s="399"/>
      <c r="AL2" s="396"/>
      <c r="AM2" s="396"/>
      <c r="AN2" s="397"/>
      <c r="AO2" s="398"/>
      <c r="AP2" s="398"/>
      <c r="AQ2" s="398"/>
      <c r="AR2" s="398"/>
      <c r="AS2" s="398"/>
      <c r="AT2" s="398"/>
      <c r="AU2" s="398"/>
      <c r="AV2" s="398"/>
      <c r="AW2" s="398"/>
      <c r="AX2" s="398"/>
      <c r="AY2" s="398"/>
      <c r="AZ2" s="398"/>
      <c r="BA2" s="398"/>
      <c r="BB2" s="398"/>
      <c r="BC2" s="398"/>
      <c r="BD2" s="399"/>
      <c r="BE2" s="396"/>
      <c r="BF2" s="2481"/>
      <c r="BG2" s="397"/>
      <c r="BH2" s="398"/>
      <c r="BI2" s="398"/>
      <c r="BJ2" s="398"/>
      <c r="BK2" s="398"/>
      <c r="BL2" s="398"/>
      <c r="BM2" s="398"/>
      <c r="BN2" s="398"/>
      <c r="BO2" s="398"/>
      <c r="BP2" s="398"/>
      <c r="BQ2" s="398"/>
      <c r="BR2" s="398"/>
      <c r="BS2" s="398"/>
      <c r="BT2" s="398"/>
      <c r="BU2" s="398"/>
      <c r="BV2" s="398"/>
      <c r="BW2" s="399"/>
      <c r="BX2" s="2481"/>
    </row>
    <row r="3" spans="1:76" ht="12.2" customHeight="1" x14ac:dyDescent="0.2">
      <c r="A3" s="396"/>
      <c r="B3" s="279"/>
      <c r="C3" s="6438"/>
      <c r="D3" s="6439"/>
      <c r="E3" s="6439"/>
      <c r="F3" s="6439"/>
      <c r="G3" s="6439"/>
      <c r="H3" s="6439"/>
      <c r="I3" s="400"/>
      <c r="J3" s="400"/>
      <c r="K3" s="400"/>
      <c r="L3" s="400"/>
      <c r="M3" s="400"/>
      <c r="N3" s="400"/>
      <c r="O3" s="400"/>
      <c r="P3" s="400"/>
      <c r="Q3" s="401"/>
      <c r="R3" s="402"/>
      <c r="S3" s="396"/>
      <c r="T3" s="396"/>
      <c r="U3" s="279"/>
      <c r="V3" s="6438"/>
      <c r="W3" s="6439"/>
      <c r="X3" s="6439"/>
      <c r="Y3" s="6439"/>
      <c r="Z3" s="6439"/>
      <c r="AA3" s="6439"/>
      <c r="AB3" s="2521"/>
      <c r="AC3" s="2521"/>
      <c r="AD3" s="2521"/>
      <c r="AE3" s="2521"/>
      <c r="AF3" s="2521"/>
      <c r="AG3" s="2521"/>
      <c r="AH3" s="2521"/>
      <c r="AI3" s="2521"/>
      <c r="AJ3" s="401"/>
      <c r="AK3" s="402"/>
      <c r="AL3" s="396"/>
      <c r="AM3" s="396"/>
      <c r="AN3" s="279"/>
      <c r="AO3" s="6438"/>
      <c r="AP3" s="6439"/>
      <c r="AQ3" s="6439"/>
      <c r="AR3" s="6439"/>
      <c r="AS3" s="6439"/>
      <c r="AT3" s="6439"/>
      <c r="AU3" s="2521"/>
      <c r="AV3" s="2521"/>
      <c r="AW3" s="2521"/>
      <c r="AX3" s="2521"/>
      <c r="AY3" s="2521"/>
      <c r="AZ3" s="2521"/>
      <c r="BA3" s="2521"/>
      <c r="BB3" s="2521"/>
      <c r="BC3" s="401"/>
      <c r="BD3" s="402"/>
      <c r="BE3" s="396"/>
      <c r="BF3" s="2481"/>
      <c r="BG3" s="279"/>
      <c r="BH3" s="6438"/>
      <c r="BI3" s="6439"/>
      <c r="BJ3" s="6439"/>
      <c r="BK3" s="6439"/>
      <c r="BL3" s="6439"/>
      <c r="BM3" s="6439"/>
      <c r="BN3" s="2521"/>
      <c r="BO3" s="2521"/>
      <c r="BP3" s="2521"/>
      <c r="BQ3" s="2521"/>
      <c r="BR3" s="2521"/>
      <c r="BS3" s="2521"/>
      <c r="BT3" s="2521"/>
      <c r="BU3" s="2521"/>
      <c r="BV3" s="401"/>
      <c r="BW3" s="402"/>
      <c r="BX3" s="2481"/>
    </row>
    <row r="4" spans="1:76" ht="12.2" customHeight="1" x14ac:dyDescent="0.2">
      <c r="A4" s="396"/>
      <c r="B4" s="279"/>
      <c r="C4" s="6440"/>
      <c r="D4" s="6441"/>
      <c r="E4" s="6441"/>
      <c r="F4" s="6441"/>
      <c r="G4" s="6441"/>
      <c r="H4" s="6441"/>
      <c r="I4" s="330"/>
      <c r="J4" s="4528" t="s">
        <v>1323</v>
      </c>
      <c r="K4" s="4529"/>
      <c r="L4" s="4307" t="str">
        <f>IF(OR(General!$F$22="",General!$F$22=0),"",General!$F$22)</f>
        <v/>
      </c>
      <c r="M4" s="4307"/>
      <c r="N4" s="4307"/>
      <c r="O4" s="4307"/>
      <c r="P4" s="4307"/>
      <c r="Q4" s="356"/>
      <c r="R4" s="402"/>
      <c r="S4" s="396"/>
      <c r="T4" s="396"/>
      <c r="U4" s="279"/>
      <c r="V4" s="6440"/>
      <c r="W4" s="6441"/>
      <c r="X4" s="6441"/>
      <c r="Y4" s="6441"/>
      <c r="Z4" s="6441"/>
      <c r="AA4" s="6441"/>
      <c r="AB4" s="2522"/>
      <c r="AC4" s="4528" t="s">
        <v>1323</v>
      </c>
      <c r="AD4" s="4529"/>
      <c r="AE4" s="4307" t="str">
        <f>IF(OR(General!$F$22="",General!$F$22=0),"",General!$F$22)</f>
        <v/>
      </c>
      <c r="AF4" s="4307"/>
      <c r="AG4" s="4307"/>
      <c r="AH4" s="4307"/>
      <c r="AI4" s="4307"/>
      <c r="AJ4" s="356"/>
      <c r="AK4" s="402"/>
      <c r="AL4" s="396"/>
      <c r="AM4" s="396"/>
      <c r="AN4" s="279"/>
      <c r="AO4" s="6440"/>
      <c r="AP4" s="6441"/>
      <c r="AQ4" s="6441"/>
      <c r="AR4" s="6441"/>
      <c r="AS4" s="6441"/>
      <c r="AT4" s="6441"/>
      <c r="AU4" s="2522"/>
      <c r="AV4" s="4528" t="s">
        <v>1323</v>
      </c>
      <c r="AW4" s="4529"/>
      <c r="AX4" s="4307" t="str">
        <f>IF(OR(General!$F$22="",General!$F$22=0),"",General!$F$22)</f>
        <v/>
      </c>
      <c r="AY4" s="4307"/>
      <c r="AZ4" s="4307"/>
      <c r="BA4" s="4307"/>
      <c r="BB4" s="4307"/>
      <c r="BC4" s="356"/>
      <c r="BD4" s="402"/>
      <c r="BE4" s="396"/>
      <c r="BF4" s="2481"/>
      <c r="BG4" s="279"/>
      <c r="BH4" s="6440"/>
      <c r="BI4" s="6441"/>
      <c r="BJ4" s="6441"/>
      <c r="BK4" s="6441"/>
      <c r="BL4" s="6441"/>
      <c r="BM4" s="6441"/>
      <c r="BN4" s="2522"/>
      <c r="BO4" s="4528" t="s">
        <v>1323</v>
      </c>
      <c r="BP4" s="4529"/>
      <c r="BQ4" s="4307" t="str">
        <f>IF(OR(General!$F$22="",General!$F$22=0),"",General!$F$22)</f>
        <v/>
      </c>
      <c r="BR4" s="4307"/>
      <c r="BS4" s="4307"/>
      <c r="BT4" s="4307"/>
      <c r="BU4" s="4307"/>
      <c r="BV4" s="356"/>
      <c r="BW4" s="402"/>
      <c r="BX4" s="2481"/>
    </row>
    <row r="5" spans="1:76" ht="12.2" customHeight="1" x14ac:dyDescent="0.2">
      <c r="A5" s="396"/>
      <c r="B5" s="279"/>
      <c r="C5" s="6440"/>
      <c r="D5" s="6441"/>
      <c r="E5" s="6441"/>
      <c r="F5" s="6441"/>
      <c r="G5" s="6441"/>
      <c r="H5" s="6441"/>
      <c r="I5" s="330"/>
      <c r="J5" s="4518" t="s">
        <v>1324</v>
      </c>
      <c r="K5" s="4519"/>
      <c r="L5" s="3140" t="str">
        <f>IF(LEN(PDs!$E$11)&lt;=General!$AO$5,PDs!$E$11,"… /"&amp;RIGHT(PDs!$E$11,General!$AO$5-FIND("/",RIGHT(PDs!$E$11,General!$AO$5))))</f>
        <v/>
      </c>
      <c r="M5" s="3140"/>
      <c r="N5" s="3140"/>
      <c r="O5" s="2264" t="s">
        <v>1325</v>
      </c>
      <c r="P5" s="2265" t="str">
        <f>Principal!$O$6</f>
        <v>0</v>
      </c>
      <c r="Q5" s="403"/>
      <c r="R5" s="402"/>
      <c r="S5" s="396"/>
      <c r="T5" s="396"/>
      <c r="U5" s="279"/>
      <c r="V5" s="6440"/>
      <c r="W5" s="6441"/>
      <c r="X5" s="6441"/>
      <c r="Y5" s="6441"/>
      <c r="Z5" s="6441"/>
      <c r="AA5" s="6441"/>
      <c r="AB5" s="2522"/>
      <c r="AC5" s="4518" t="s">
        <v>1324</v>
      </c>
      <c r="AD5" s="4519"/>
      <c r="AE5" s="3140" t="str">
        <f>$L$5</f>
        <v/>
      </c>
      <c r="AF5" s="3140"/>
      <c r="AG5" s="3140"/>
      <c r="AH5" s="2264" t="s">
        <v>1325</v>
      </c>
      <c r="AI5" s="2265" t="str">
        <f>Principal!$O$6</f>
        <v>0</v>
      </c>
      <c r="AJ5" s="403"/>
      <c r="AK5" s="402"/>
      <c r="AL5" s="396"/>
      <c r="AM5" s="396"/>
      <c r="AN5" s="279"/>
      <c r="AO5" s="6440"/>
      <c r="AP5" s="6441"/>
      <c r="AQ5" s="6441"/>
      <c r="AR5" s="6441"/>
      <c r="AS5" s="6441"/>
      <c r="AT5" s="6441"/>
      <c r="AU5" s="2522"/>
      <c r="AV5" s="4518" t="s">
        <v>1324</v>
      </c>
      <c r="AW5" s="4519"/>
      <c r="AX5" s="3140" t="str">
        <f>$L$5</f>
        <v/>
      </c>
      <c r="AY5" s="3140"/>
      <c r="AZ5" s="3140"/>
      <c r="BA5" s="2264" t="s">
        <v>1325</v>
      </c>
      <c r="BB5" s="2265" t="str">
        <f>Principal!$O$6</f>
        <v>0</v>
      </c>
      <c r="BC5" s="403"/>
      <c r="BD5" s="402"/>
      <c r="BE5" s="396"/>
      <c r="BF5" s="2481"/>
      <c r="BG5" s="279"/>
      <c r="BH5" s="6440"/>
      <c r="BI5" s="6441"/>
      <c r="BJ5" s="6441"/>
      <c r="BK5" s="6441"/>
      <c r="BL5" s="6441"/>
      <c r="BM5" s="6441"/>
      <c r="BN5" s="2522"/>
      <c r="BO5" s="4518" t="s">
        <v>1324</v>
      </c>
      <c r="BP5" s="4519"/>
      <c r="BQ5" s="3140" t="str">
        <f>$L$5</f>
        <v/>
      </c>
      <c r="BR5" s="3140"/>
      <c r="BS5" s="3140"/>
      <c r="BT5" s="2264" t="s">
        <v>1325</v>
      </c>
      <c r="BU5" s="2265" t="str">
        <f>Principal!$O$6</f>
        <v>0</v>
      </c>
      <c r="BV5" s="403"/>
      <c r="BW5" s="402"/>
      <c r="BX5" s="2481"/>
    </row>
    <row r="6" spans="1:76" ht="12.2" customHeight="1" x14ac:dyDescent="0.2">
      <c r="A6" s="396"/>
      <c r="B6" s="279"/>
      <c r="C6" s="6440"/>
      <c r="D6" s="6441"/>
      <c r="E6" s="6441"/>
      <c r="F6" s="6441"/>
      <c r="G6" s="6441"/>
      <c r="H6" s="6441"/>
      <c r="I6" s="330"/>
      <c r="J6" s="4520" t="s">
        <v>6235</v>
      </c>
      <c r="K6" s="4521"/>
      <c r="L6" s="4521"/>
      <c r="M6" s="4521"/>
      <c r="N6" s="4521"/>
      <c r="O6" s="4521"/>
      <c r="P6" s="4521"/>
      <c r="Q6" s="403"/>
      <c r="R6" s="402"/>
      <c r="S6" s="396"/>
      <c r="T6" s="396"/>
      <c r="U6" s="279"/>
      <c r="V6" s="6440"/>
      <c r="W6" s="6441"/>
      <c r="X6" s="6441"/>
      <c r="Y6" s="6441"/>
      <c r="Z6" s="6441"/>
      <c r="AA6" s="6441"/>
      <c r="AB6" s="2522"/>
      <c r="AC6" s="4520" t="s">
        <v>6235</v>
      </c>
      <c r="AD6" s="4521"/>
      <c r="AE6" s="4521"/>
      <c r="AF6" s="4521"/>
      <c r="AG6" s="4521"/>
      <c r="AH6" s="4521"/>
      <c r="AI6" s="4521"/>
      <c r="AJ6" s="403"/>
      <c r="AK6" s="402"/>
      <c r="AL6" s="396"/>
      <c r="AM6" s="396"/>
      <c r="AN6" s="279"/>
      <c r="AO6" s="6440"/>
      <c r="AP6" s="6441"/>
      <c r="AQ6" s="6441"/>
      <c r="AR6" s="6441"/>
      <c r="AS6" s="6441"/>
      <c r="AT6" s="6441"/>
      <c r="AU6" s="2522"/>
      <c r="AV6" s="4520" t="s">
        <v>6235</v>
      </c>
      <c r="AW6" s="4521"/>
      <c r="AX6" s="4521"/>
      <c r="AY6" s="4521"/>
      <c r="AZ6" s="4521"/>
      <c r="BA6" s="4521"/>
      <c r="BB6" s="4521"/>
      <c r="BC6" s="403"/>
      <c r="BD6" s="402"/>
      <c r="BE6" s="396"/>
      <c r="BF6" s="2481"/>
      <c r="BG6" s="279"/>
      <c r="BH6" s="6440"/>
      <c r="BI6" s="6441"/>
      <c r="BJ6" s="6441"/>
      <c r="BK6" s="6441"/>
      <c r="BL6" s="6441"/>
      <c r="BM6" s="6441"/>
      <c r="BN6" s="2522"/>
      <c r="BO6" s="4520" t="s">
        <v>6235</v>
      </c>
      <c r="BP6" s="4521"/>
      <c r="BQ6" s="4521"/>
      <c r="BR6" s="4521"/>
      <c r="BS6" s="4521"/>
      <c r="BT6" s="4521"/>
      <c r="BU6" s="4521"/>
      <c r="BV6" s="403"/>
      <c r="BW6" s="402"/>
      <c r="BX6" s="2481"/>
    </row>
    <row r="7" spans="1:76" ht="12.2" customHeight="1" x14ac:dyDescent="0.2">
      <c r="A7" s="396"/>
      <c r="B7" s="279"/>
      <c r="C7" s="6440"/>
      <c r="D7" s="6441"/>
      <c r="E7" s="6441"/>
      <c r="F7" s="6441"/>
      <c r="G7" s="6441"/>
      <c r="H7" s="6441"/>
      <c r="I7" s="330"/>
      <c r="J7" s="4521"/>
      <c r="K7" s="4521"/>
      <c r="L7" s="4521"/>
      <c r="M7" s="4521"/>
      <c r="N7" s="4521"/>
      <c r="O7" s="4521"/>
      <c r="P7" s="4521"/>
      <c r="Q7" s="403"/>
      <c r="R7" s="402"/>
      <c r="S7" s="396"/>
      <c r="T7" s="396"/>
      <c r="U7" s="279"/>
      <c r="V7" s="6440"/>
      <c r="W7" s="6441"/>
      <c r="X7" s="6441"/>
      <c r="Y7" s="6441"/>
      <c r="Z7" s="6441"/>
      <c r="AA7" s="6441"/>
      <c r="AB7" s="2522"/>
      <c r="AC7" s="4521"/>
      <c r="AD7" s="4521"/>
      <c r="AE7" s="4521"/>
      <c r="AF7" s="4521"/>
      <c r="AG7" s="4521"/>
      <c r="AH7" s="4521"/>
      <c r="AI7" s="4521"/>
      <c r="AJ7" s="403"/>
      <c r="AK7" s="402"/>
      <c r="AL7" s="396"/>
      <c r="AM7" s="396"/>
      <c r="AN7" s="279"/>
      <c r="AO7" s="6440"/>
      <c r="AP7" s="6441"/>
      <c r="AQ7" s="6441"/>
      <c r="AR7" s="6441"/>
      <c r="AS7" s="6441"/>
      <c r="AT7" s="6441"/>
      <c r="AU7" s="2522"/>
      <c r="AV7" s="4521"/>
      <c r="AW7" s="4521"/>
      <c r="AX7" s="4521"/>
      <c r="AY7" s="4521"/>
      <c r="AZ7" s="4521"/>
      <c r="BA7" s="4521"/>
      <c r="BB7" s="4521"/>
      <c r="BC7" s="403"/>
      <c r="BD7" s="402"/>
      <c r="BE7" s="396"/>
      <c r="BF7" s="2481"/>
      <c r="BG7" s="279"/>
      <c r="BH7" s="6440"/>
      <c r="BI7" s="6441"/>
      <c r="BJ7" s="6441"/>
      <c r="BK7" s="6441"/>
      <c r="BL7" s="6441"/>
      <c r="BM7" s="6441"/>
      <c r="BN7" s="2522"/>
      <c r="BO7" s="4521"/>
      <c r="BP7" s="4521"/>
      <c r="BQ7" s="4521"/>
      <c r="BR7" s="4521"/>
      <c r="BS7" s="4521"/>
      <c r="BT7" s="4521"/>
      <c r="BU7" s="4521"/>
      <c r="BV7" s="403"/>
      <c r="BW7" s="402"/>
      <c r="BX7" s="2481"/>
    </row>
    <row r="8" spans="1:76" ht="12.2" customHeight="1" thickBot="1" x14ac:dyDescent="0.25">
      <c r="A8" s="396"/>
      <c r="B8" s="279"/>
      <c r="C8" s="6442"/>
      <c r="D8" s="6443"/>
      <c r="E8" s="6443"/>
      <c r="F8" s="6443"/>
      <c r="G8" s="6443"/>
      <c r="H8" s="6443"/>
      <c r="I8" s="404"/>
      <c r="J8" s="404"/>
      <c r="K8" s="404"/>
      <c r="L8" s="404"/>
      <c r="M8" s="404"/>
      <c r="N8" s="404"/>
      <c r="O8" s="404"/>
      <c r="P8" s="404"/>
      <c r="Q8" s="405"/>
      <c r="R8" s="402"/>
      <c r="S8" s="396"/>
      <c r="T8" s="396"/>
      <c r="U8" s="279"/>
      <c r="V8" s="6442"/>
      <c r="W8" s="6443"/>
      <c r="X8" s="6443"/>
      <c r="Y8" s="6443"/>
      <c r="Z8" s="6443"/>
      <c r="AA8" s="6443"/>
      <c r="AB8" s="2523"/>
      <c r="AC8" s="2523"/>
      <c r="AD8" s="2523"/>
      <c r="AE8" s="2523"/>
      <c r="AF8" s="2523"/>
      <c r="AG8" s="2523"/>
      <c r="AH8" s="2523"/>
      <c r="AI8" s="2523"/>
      <c r="AJ8" s="405"/>
      <c r="AK8" s="402"/>
      <c r="AL8" s="396"/>
      <c r="AM8" s="396"/>
      <c r="AN8" s="279"/>
      <c r="AO8" s="6442"/>
      <c r="AP8" s="6443"/>
      <c r="AQ8" s="6443"/>
      <c r="AR8" s="6443"/>
      <c r="AS8" s="6443"/>
      <c r="AT8" s="6443"/>
      <c r="AU8" s="2523"/>
      <c r="AV8" s="2523"/>
      <c r="AW8" s="2523"/>
      <c r="AX8" s="2523"/>
      <c r="AY8" s="2523"/>
      <c r="AZ8" s="2523"/>
      <c r="BA8" s="2523"/>
      <c r="BB8" s="2523"/>
      <c r="BC8" s="405"/>
      <c r="BD8" s="402"/>
      <c r="BE8" s="396"/>
      <c r="BF8" s="2481"/>
      <c r="BG8" s="279"/>
      <c r="BH8" s="6442"/>
      <c r="BI8" s="6443"/>
      <c r="BJ8" s="6443"/>
      <c r="BK8" s="6443"/>
      <c r="BL8" s="6443"/>
      <c r="BM8" s="6443"/>
      <c r="BN8" s="2523"/>
      <c r="BO8" s="2523"/>
      <c r="BP8" s="2523"/>
      <c r="BQ8" s="2523"/>
      <c r="BR8" s="2523"/>
      <c r="BS8" s="2523"/>
      <c r="BT8" s="2523"/>
      <c r="BU8" s="2523"/>
      <c r="BV8" s="405"/>
      <c r="BW8" s="402"/>
      <c r="BX8" s="2481"/>
    </row>
    <row r="9" spans="1:76" ht="12.2" customHeight="1" x14ac:dyDescent="0.2">
      <c r="A9" s="2520"/>
      <c r="B9" s="279"/>
      <c r="R9" s="402"/>
      <c r="S9" s="2520"/>
      <c r="T9" s="2520"/>
      <c r="U9" s="279"/>
      <c r="AK9" s="402"/>
      <c r="AL9" s="2520"/>
      <c r="AM9" s="2520"/>
      <c r="AN9" s="279"/>
      <c r="BD9" s="402"/>
      <c r="BE9" s="2520"/>
      <c r="BF9" s="2520"/>
      <c r="BG9" s="279"/>
      <c r="BW9" s="402"/>
      <c r="BX9" s="2520"/>
    </row>
    <row r="10" spans="1:76" ht="12.2" customHeight="1" thickBot="1" x14ac:dyDescent="0.25">
      <c r="A10" s="396"/>
      <c r="B10" s="279"/>
      <c r="R10" s="402"/>
      <c r="S10" s="396"/>
      <c r="T10" s="396"/>
      <c r="U10" s="279"/>
      <c r="AK10" s="402"/>
      <c r="AL10" s="396"/>
      <c r="AM10" s="396"/>
      <c r="AN10" s="279"/>
      <c r="BD10" s="402"/>
      <c r="BE10" s="396"/>
      <c r="BF10" s="2481"/>
      <c r="BG10" s="279"/>
      <c r="BW10" s="402"/>
      <c r="BX10" s="2481"/>
    </row>
    <row r="11" spans="1:76" ht="12.2" customHeight="1" x14ac:dyDescent="0.2">
      <c r="A11" s="396"/>
      <c r="B11" s="279"/>
      <c r="C11" s="6468"/>
      <c r="D11" s="6469"/>
      <c r="E11" s="6469"/>
      <c r="F11" s="6469"/>
      <c r="G11" s="6469"/>
      <c r="H11" s="406" t="s">
        <v>1325</v>
      </c>
      <c r="I11" s="407" t="str">
        <f>IF(C11=0,"",VLOOKUP(C11,'Tablas Magia'!$D$6:$Z$680,3,FALSE))</f>
        <v/>
      </c>
      <c r="J11" s="6470" t="s">
        <v>6236</v>
      </c>
      <c r="K11" s="6470"/>
      <c r="L11" s="6470"/>
      <c r="M11" s="6471" t="str">
        <f>IF(C11=0,"",VLOOKUP(C11,'Tablas Magia'!$D$6:$Z$680,2,FALSE))</f>
        <v/>
      </c>
      <c r="N11" s="6471"/>
      <c r="O11" s="6471"/>
      <c r="P11" s="6471"/>
      <c r="Q11" s="6472"/>
      <c r="R11" s="402"/>
      <c r="S11" s="396"/>
      <c r="T11" s="396"/>
      <c r="U11" s="279"/>
      <c r="V11" s="6468"/>
      <c r="W11" s="6469"/>
      <c r="X11" s="6469"/>
      <c r="Y11" s="6469"/>
      <c r="Z11" s="6469"/>
      <c r="AA11" s="406" t="s">
        <v>1325</v>
      </c>
      <c r="AB11" s="407" t="str">
        <f>IF(V11=0,"",VLOOKUP(V11,'Tablas Magia'!$D$6:$Z$680,3,FALSE))</f>
        <v/>
      </c>
      <c r="AC11" s="6470" t="s">
        <v>6236</v>
      </c>
      <c r="AD11" s="6470"/>
      <c r="AE11" s="6470"/>
      <c r="AF11" s="6471" t="str">
        <f>IF(V11=0,"",VLOOKUP(V11,'Tablas Magia'!$D$6:$Z$680,2,FALSE))</f>
        <v/>
      </c>
      <c r="AG11" s="6471"/>
      <c r="AH11" s="6471"/>
      <c r="AI11" s="6471"/>
      <c r="AJ11" s="6472"/>
      <c r="AK11" s="402"/>
      <c r="AL11" s="396"/>
      <c r="AM11" s="396"/>
      <c r="AN11" s="279"/>
      <c r="AO11" s="6468"/>
      <c r="AP11" s="6469"/>
      <c r="AQ11" s="6469"/>
      <c r="AR11" s="6469"/>
      <c r="AS11" s="6469"/>
      <c r="AT11" s="406" t="s">
        <v>1325</v>
      </c>
      <c r="AU11" s="407" t="str">
        <f>IF(AO11=0,"",VLOOKUP(AO11,'Tablas Magia'!$D$6:$Z$680,3,FALSE))</f>
        <v/>
      </c>
      <c r="AV11" s="6470" t="s">
        <v>6236</v>
      </c>
      <c r="AW11" s="6470"/>
      <c r="AX11" s="6470"/>
      <c r="AY11" s="6471" t="str">
        <f>IF(AO11=0,"",VLOOKUP(AO11,'Tablas Magia'!$D$6:$Z$680,2,FALSE))</f>
        <v/>
      </c>
      <c r="AZ11" s="6471"/>
      <c r="BA11" s="6471"/>
      <c r="BB11" s="6471"/>
      <c r="BC11" s="6472"/>
      <c r="BD11" s="402"/>
      <c r="BE11" s="396"/>
      <c r="BF11" s="2481"/>
      <c r="BG11" s="279"/>
      <c r="BH11" s="6468"/>
      <c r="BI11" s="6469"/>
      <c r="BJ11" s="6469"/>
      <c r="BK11" s="6469"/>
      <c r="BL11" s="6469"/>
      <c r="BM11" s="406" t="s">
        <v>1325</v>
      </c>
      <c r="BN11" s="407" t="str">
        <f>IF(BH11=0,"",VLOOKUP(BH11,'Tablas Magia'!$D$6:$Z$680,3,FALSE))</f>
        <v/>
      </c>
      <c r="BO11" s="6470" t="s">
        <v>6236</v>
      </c>
      <c r="BP11" s="6470"/>
      <c r="BQ11" s="6470"/>
      <c r="BR11" s="6471" t="str">
        <f>IF(BH11=0,"",VLOOKUP(BH11,'Tablas Magia'!$D$6:$Z$680,2,FALSE))</f>
        <v/>
      </c>
      <c r="BS11" s="6471"/>
      <c r="BT11" s="6471"/>
      <c r="BU11" s="6471"/>
      <c r="BV11" s="6472"/>
      <c r="BW11" s="402"/>
      <c r="BX11" s="2481"/>
    </row>
    <row r="12" spans="1:76" ht="12.2" customHeight="1" x14ac:dyDescent="0.2">
      <c r="A12" s="396"/>
      <c r="B12" s="279"/>
      <c r="C12" s="6473" t="s">
        <v>6237</v>
      </c>
      <c r="D12" s="6474"/>
      <c r="E12" s="408" t="s">
        <v>6238</v>
      </c>
      <c r="F12" s="408" t="s">
        <v>1509</v>
      </c>
      <c r="G12" s="408" t="s">
        <v>2828</v>
      </c>
      <c r="H12" s="409" t="s">
        <v>1836</v>
      </c>
      <c r="I12" s="6475" t="str">
        <f>IF(C11=0,"",VLOOKUP(C11,'Tablas Magia'!$D$6:$Z$680,5,FALSE))</f>
        <v/>
      </c>
      <c r="J12" s="6475"/>
      <c r="K12" s="6476" t="s">
        <v>6239</v>
      </c>
      <c r="L12" s="6476"/>
      <c r="M12" s="6475" t="str">
        <f>IF(C11=0,"",VLOOKUP(C11,'Tablas Magia'!$D$6:$Z$680,6,FALSE))</f>
        <v/>
      </c>
      <c r="N12" s="6475"/>
      <c r="O12" s="6477" t="s">
        <v>6240</v>
      </c>
      <c r="P12" s="6477"/>
      <c r="Q12" s="410" t="str">
        <f>IF(C11=0,"",VLOOKUP(C11,'Tablas Magia'!$D$6:$Z$680,4,FALSE))</f>
        <v/>
      </c>
      <c r="R12" s="402"/>
      <c r="S12" s="396"/>
      <c r="T12" s="396"/>
      <c r="U12" s="279"/>
      <c r="V12" s="6473" t="s">
        <v>6237</v>
      </c>
      <c r="W12" s="6474"/>
      <c r="X12" s="408" t="s">
        <v>6238</v>
      </c>
      <c r="Y12" s="408" t="s">
        <v>1509</v>
      </c>
      <c r="Z12" s="408" t="s">
        <v>2828</v>
      </c>
      <c r="AA12" s="409" t="s">
        <v>1836</v>
      </c>
      <c r="AB12" s="6475" t="str">
        <f>IF(V11=0,"",VLOOKUP(V11,'Tablas Magia'!$D$6:$Z$680,5,FALSE))</f>
        <v/>
      </c>
      <c r="AC12" s="6475"/>
      <c r="AD12" s="6476" t="s">
        <v>6239</v>
      </c>
      <c r="AE12" s="6476"/>
      <c r="AF12" s="6475" t="str">
        <f>IF(V11=0,"",VLOOKUP(V11,'Tablas Magia'!$D$6:$Z$680,6,FALSE))</f>
        <v/>
      </c>
      <c r="AG12" s="6475"/>
      <c r="AH12" s="6477" t="s">
        <v>6240</v>
      </c>
      <c r="AI12" s="6477"/>
      <c r="AJ12" s="410" t="str">
        <f>IF(V11=0,"",VLOOKUP(V11,'Tablas Magia'!$D$6:$Z$680,4,FALSE))</f>
        <v/>
      </c>
      <c r="AK12" s="402"/>
      <c r="AL12" s="396"/>
      <c r="AM12" s="396"/>
      <c r="AN12" s="279"/>
      <c r="AO12" s="6473" t="s">
        <v>6237</v>
      </c>
      <c r="AP12" s="6474"/>
      <c r="AQ12" s="408" t="s">
        <v>6238</v>
      </c>
      <c r="AR12" s="408" t="s">
        <v>1509</v>
      </c>
      <c r="AS12" s="408" t="s">
        <v>2828</v>
      </c>
      <c r="AT12" s="409" t="s">
        <v>1836</v>
      </c>
      <c r="AU12" s="6475" t="str">
        <f>IF(AO11=0,"",VLOOKUP(AO11,'Tablas Magia'!$D$6:$Z$680,5,FALSE))</f>
        <v/>
      </c>
      <c r="AV12" s="6475"/>
      <c r="AW12" s="6476" t="s">
        <v>6239</v>
      </c>
      <c r="AX12" s="6476"/>
      <c r="AY12" s="6475" t="str">
        <f>IF(AO11=0,"",VLOOKUP(AO11,'Tablas Magia'!$D$6:$Z$680,6,FALSE))</f>
        <v/>
      </c>
      <c r="AZ12" s="6475"/>
      <c r="BA12" s="6477" t="s">
        <v>6240</v>
      </c>
      <c r="BB12" s="6477"/>
      <c r="BC12" s="410" t="str">
        <f>IF(AO11=0,"",VLOOKUP(AO11,'Tablas Magia'!$D$6:$Z$680,4,FALSE))</f>
        <v/>
      </c>
      <c r="BD12" s="402"/>
      <c r="BE12" s="396"/>
      <c r="BF12" s="2481"/>
      <c r="BG12" s="279"/>
      <c r="BH12" s="6473" t="s">
        <v>6237</v>
      </c>
      <c r="BI12" s="6474"/>
      <c r="BJ12" s="408" t="s">
        <v>6238</v>
      </c>
      <c r="BK12" s="408" t="s">
        <v>1509</v>
      </c>
      <c r="BL12" s="408" t="s">
        <v>2828</v>
      </c>
      <c r="BM12" s="409" t="s">
        <v>1836</v>
      </c>
      <c r="BN12" s="6475" t="str">
        <f>IF(BH11=0,"",VLOOKUP(BH11,'Tablas Magia'!$D$6:$Z$680,5,FALSE))</f>
        <v/>
      </c>
      <c r="BO12" s="6475"/>
      <c r="BP12" s="6476" t="s">
        <v>6239</v>
      </c>
      <c r="BQ12" s="6476"/>
      <c r="BR12" s="6475" t="str">
        <f>IF(BH11=0,"",VLOOKUP(BH11,'Tablas Magia'!$D$6:$Z$680,6,FALSE))</f>
        <v/>
      </c>
      <c r="BS12" s="6475"/>
      <c r="BT12" s="6477" t="s">
        <v>6240</v>
      </c>
      <c r="BU12" s="6477"/>
      <c r="BV12" s="410" t="str">
        <f>IF(BH11=0,"",VLOOKUP(BH11,'Tablas Magia'!$D$6:$Z$680,4,FALSE))</f>
        <v/>
      </c>
      <c r="BW12" s="402"/>
      <c r="BX12" s="2481"/>
    </row>
    <row r="13" spans="1:76" ht="12.2" customHeight="1" x14ac:dyDescent="0.2">
      <c r="A13" s="396"/>
      <c r="B13" s="279"/>
      <c r="C13" s="6449" t="s">
        <v>1365</v>
      </c>
      <c r="D13" s="6450"/>
      <c r="E13" s="411" t="str">
        <f>IF(C11=0,"",VLOOKUP(C11,'Tablas Magia'!$D$6:$Z$680,7,FALSE))</f>
        <v/>
      </c>
      <c r="F13" s="411" t="str">
        <f>IF(C11=0,"",VLOOKUP(C11,'Tablas Magia'!$D$6:$Z$680,11,FALSE))</f>
        <v/>
      </c>
      <c r="G13" s="412" t="str">
        <f>IF(C11=0,"",VLOOKUP(C11,'Tablas Magia'!$D$6:$Z$680,15,FALSE))</f>
        <v/>
      </c>
      <c r="H13" s="6451" t="str">
        <f>IF(C11=0,"",VLOOKUP(C11,'Tablas Magia'!$D$6:$Z$680,19,FALSE))</f>
        <v/>
      </c>
      <c r="I13" s="6452"/>
      <c r="J13" s="6452"/>
      <c r="K13" s="6452"/>
      <c r="L13" s="6452"/>
      <c r="M13" s="6452"/>
      <c r="N13" s="6452"/>
      <c r="O13" s="6452"/>
      <c r="P13" s="6452"/>
      <c r="Q13" s="6453"/>
      <c r="R13" s="402"/>
      <c r="S13" s="396"/>
      <c r="T13" s="396"/>
      <c r="U13" s="279"/>
      <c r="V13" s="6449" t="s">
        <v>1365</v>
      </c>
      <c r="W13" s="6450"/>
      <c r="X13" s="411" t="str">
        <f>IF(V11=0,"",VLOOKUP(V11,'Tablas Magia'!$D$6:$Z$680,7,FALSE))</f>
        <v/>
      </c>
      <c r="Y13" s="411" t="str">
        <f>IF(V11=0,"",VLOOKUP(V11,'Tablas Magia'!$D$6:$Z$680,11,FALSE))</f>
        <v/>
      </c>
      <c r="Z13" s="412" t="str">
        <f>IF(V11=0,"",VLOOKUP(V11,'Tablas Magia'!$D$6:$Z$680,15,FALSE))</f>
        <v/>
      </c>
      <c r="AA13" s="6451" t="str">
        <f>IF(V11=0,"",VLOOKUP(V11,'Tablas Magia'!$D$6:$Z$680,19,FALSE))</f>
        <v/>
      </c>
      <c r="AB13" s="6452"/>
      <c r="AC13" s="6452"/>
      <c r="AD13" s="6452"/>
      <c r="AE13" s="6452"/>
      <c r="AF13" s="6452"/>
      <c r="AG13" s="6452"/>
      <c r="AH13" s="6452"/>
      <c r="AI13" s="6452"/>
      <c r="AJ13" s="6453"/>
      <c r="AK13" s="402"/>
      <c r="AL13" s="396"/>
      <c r="AM13" s="396"/>
      <c r="AN13" s="279"/>
      <c r="AO13" s="6449" t="s">
        <v>1365</v>
      </c>
      <c r="AP13" s="6450"/>
      <c r="AQ13" s="411" t="str">
        <f>IF(AO11=0,"",VLOOKUP(AO11,'Tablas Magia'!$D$6:$Z$680,7,FALSE))</f>
        <v/>
      </c>
      <c r="AR13" s="411" t="str">
        <f>IF(AO11=0,"",VLOOKUP(AO11,'Tablas Magia'!$D$6:$Z$680,11,FALSE))</f>
        <v/>
      </c>
      <c r="AS13" s="412" t="str">
        <f>IF(AO11=0,"",VLOOKUP(AO11,'Tablas Magia'!$D$6:$Z$680,15,FALSE))</f>
        <v/>
      </c>
      <c r="AT13" s="6451" t="str">
        <f>IF(AO11=0,"",VLOOKUP(AO11,'Tablas Magia'!$D$6:$Z$680,19,FALSE))</f>
        <v/>
      </c>
      <c r="AU13" s="6452"/>
      <c r="AV13" s="6452"/>
      <c r="AW13" s="6452"/>
      <c r="AX13" s="6452"/>
      <c r="AY13" s="6452"/>
      <c r="AZ13" s="6452"/>
      <c r="BA13" s="6452"/>
      <c r="BB13" s="6452"/>
      <c r="BC13" s="6453"/>
      <c r="BD13" s="402"/>
      <c r="BE13" s="396"/>
      <c r="BF13" s="2481"/>
      <c r="BG13" s="279"/>
      <c r="BH13" s="6449" t="s">
        <v>1365</v>
      </c>
      <c r="BI13" s="6450"/>
      <c r="BJ13" s="411" t="str">
        <f>IF(BH11=0,"",VLOOKUP(BH11,'Tablas Magia'!$D$6:$Z$680,7,FALSE))</f>
        <v/>
      </c>
      <c r="BK13" s="411" t="str">
        <f>IF(BH11=0,"",VLOOKUP(BH11,'Tablas Magia'!$D$6:$Z$680,11,FALSE))</f>
        <v/>
      </c>
      <c r="BL13" s="412" t="str">
        <f>IF(BH11=0,"",VLOOKUP(BH11,'Tablas Magia'!$D$6:$Z$680,15,FALSE))</f>
        <v/>
      </c>
      <c r="BM13" s="6451" t="str">
        <f>IF(BH11=0,"",VLOOKUP(BH11,'Tablas Magia'!$D$6:$Z$680,19,FALSE))</f>
        <v/>
      </c>
      <c r="BN13" s="6452"/>
      <c r="BO13" s="6452"/>
      <c r="BP13" s="6452"/>
      <c r="BQ13" s="6452"/>
      <c r="BR13" s="6452"/>
      <c r="BS13" s="6452"/>
      <c r="BT13" s="6452"/>
      <c r="BU13" s="6452"/>
      <c r="BV13" s="6453"/>
      <c r="BW13" s="402"/>
      <c r="BX13" s="2481"/>
    </row>
    <row r="14" spans="1:76" ht="12.2" customHeight="1" x14ac:dyDescent="0.2">
      <c r="A14" s="396"/>
      <c r="B14" s="279"/>
      <c r="C14" s="6444" t="s">
        <v>3197</v>
      </c>
      <c r="D14" s="6445"/>
      <c r="E14" s="413" t="str">
        <f>IF(C11=0,"",VLOOKUP(C11,'Tablas Magia'!$D$6:$Z$680,8,FALSE))</f>
        <v/>
      </c>
      <c r="F14" s="413" t="str">
        <f>IF(C11=0,"",VLOOKUP(C11,'Tablas Magia'!$D$6:$Z$680,12,FALSE))</f>
        <v/>
      </c>
      <c r="G14" s="414" t="str">
        <f>IF(C11=0,"",VLOOKUP(C11,'Tablas Magia'!$D$6:$Z$680,16,FALSE))</f>
        <v/>
      </c>
      <c r="H14" s="6446" t="str">
        <f>IF(C11=0,"",VLOOKUP(C11,'Tablas Magia'!$D$6:$Z$680,20,FALSE))</f>
        <v/>
      </c>
      <c r="I14" s="6447"/>
      <c r="J14" s="6447"/>
      <c r="K14" s="6447"/>
      <c r="L14" s="6447"/>
      <c r="M14" s="6447"/>
      <c r="N14" s="6447"/>
      <c r="O14" s="6447"/>
      <c r="P14" s="6447"/>
      <c r="Q14" s="6448"/>
      <c r="R14" s="402"/>
      <c r="S14" s="396"/>
      <c r="T14" s="396"/>
      <c r="U14" s="279"/>
      <c r="V14" s="6444" t="s">
        <v>3197</v>
      </c>
      <c r="W14" s="6445"/>
      <c r="X14" s="413" t="str">
        <f>IF(V11=0,"",VLOOKUP(V11,'Tablas Magia'!$D$6:$Z$680,8,FALSE))</f>
        <v/>
      </c>
      <c r="Y14" s="413" t="str">
        <f>IF(V11=0,"",VLOOKUP(V11,'Tablas Magia'!$D$6:$Z$680,12,FALSE))</f>
        <v/>
      </c>
      <c r="Z14" s="414" t="str">
        <f>IF(V11=0,"",VLOOKUP(V11,'Tablas Magia'!$D$6:$Z$680,16,FALSE))</f>
        <v/>
      </c>
      <c r="AA14" s="6446" t="str">
        <f>IF(V11=0,"",VLOOKUP(V11,'Tablas Magia'!$D$6:$Z$680,20,FALSE))</f>
        <v/>
      </c>
      <c r="AB14" s="6447"/>
      <c r="AC14" s="6447"/>
      <c r="AD14" s="6447"/>
      <c r="AE14" s="6447"/>
      <c r="AF14" s="6447"/>
      <c r="AG14" s="6447"/>
      <c r="AH14" s="6447"/>
      <c r="AI14" s="6447"/>
      <c r="AJ14" s="6448"/>
      <c r="AK14" s="402"/>
      <c r="AL14" s="396"/>
      <c r="AM14" s="396"/>
      <c r="AN14" s="279"/>
      <c r="AO14" s="6444" t="s">
        <v>3197</v>
      </c>
      <c r="AP14" s="6445"/>
      <c r="AQ14" s="413" t="str">
        <f>IF(AO11=0,"",VLOOKUP(AO11,'Tablas Magia'!$D$6:$Z$680,8,FALSE))</f>
        <v/>
      </c>
      <c r="AR14" s="413" t="str">
        <f>IF(AO11=0,"",VLOOKUP(AO11,'Tablas Magia'!$D$6:$Z$680,12,FALSE))</f>
        <v/>
      </c>
      <c r="AS14" s="414" t="str">
        <f>IF(AO11=0,"",VLOOKUP(AO11,'Tablas Magia'!$D$6:$Z$680,16,FALSE))</f>
        <v/>
      </c>
      <c r="AT14" s="6446" t="str">
        <f>IF(AO11=0,"",VLOOKUP(AO11,'Tablas Magia'!$D$6:$Z$680,20,FALSE))</f>
        <v/>
      </c>
      <c r="AU14" s="6447"/>
      <c r="AV14" s="6447"/>
      <c r="AW14" s="6447"/>
      <c r="AX14" s="6447"/>
      <c r="AY14" s="6447"/>
      <c r="AZ14" s="6447"/>
      <c r="BA14" s="6447"/>
      <c r="BB14" s="6447"/>
      <c r="BC14" s="6448"/>
      <c r="BD14" s="402"/>
      <c r="BE14" s="396"/>
      <c r="BF14" s="2481"/>
      <c r="BG14" s="279"/>
      <c r="BH14" s="6444" t="s">
        <v>3197</v>
      </c>
      <c r="BI14" s="6445"/>
      <c r="BJ14" s="413" t="str">
        <f>IF(BH11=0,"",VLOOKUP(BH11,'Tablas Magia'!$D$6:$Z$680,8,FALSE))</f>
        <v/>
      </c>
      <c r="BK14" s="413" t="str">
        <f>IF(BH11=0,"",VLOOKUP(BH11,'Tablas Magia'!$D$6:$Z$680,12,FALSE))</f>
        <v/>
      </c>
      <c r="BL14" s="414" t="str">
        <f>IF(BH11=0,"",VLOOKUP(BH11,'Tablas Magia'!$D$6:$Z$680,16,FALSE))</f>
        <v/>
      </c>
      <c r="BM14" s="6446" t="str">
        <f>IF(BH11=0,"",VLOOKUP(BH11,'Tablas Magia'!$D$6:$Z$680,20,FALSE))</f>
        <v/>
      </c>
      <c r="BN14" s="6447"/>
      <c r="BO14" s="6447"/>
      <c r="BP14" s="6447"/>
      <c r="BQ14" s="6447"/>
      <c r="BR14" s="6447"/>
      <c r="BS14" s="6447"/>
      <c r="BT14" s="6447"/>
      <c r="BU14" s="6447"/>
      <c r="BV14" s="6448"/>
      <c r="BW14" s="402"/>
      <c r="BX14" s="2481"/>
    </row>
    <row r="15" spans="1:76" ht="12.2" customHeight="1" x14ac:dyDescent="0.2">
      <c r="A15" s="396"/>
      <c r="B15" s="279"/>
      <c r="C15" s="6449" t="s">
        <v>3198</v>
      </c>
      <c r="D15" s="6450"/>
      <c r="E15" s="411" t="str">
        <f>IF(C11=0,"",VLOOKUP(C11,'Tablas Magia'!$D$6:$Z$680,9,FALSE))</f>
        <v/>
      </c>
      <c r="F15" s="411" t="str">
        <f>IF(C11=0,"",VLOOKUP(C11,'Tablas Magia'!$D$6:$Z$680,13,FALSE))</f>
        <v/>
      </c>
      <c r="G15" s="412" t="str">
        <f>IF(C11=0,"",VLOOKUP(C11,'Tablas Magia'!$D$6:$Z$680,17,FALSE))</f>
        <v/>
      </c>
      <c r="H15" s="6451" t="str">
        <f>IF(C11=0,"",VLOOKUP(C11,'Tablas Magia'!$D$6:$Z$680,21,FALSE))</f>
        <v/>
      </c>
      <c r="I15" s="6452"/>
      <c r="J15" s="6452"/>
      <c r="K15" s="6452"/>
      <c r="L15" s="6452"/>
      <c r="M15" s="6452"/>
      <c r="N15" s="6452"/>
      <c r="O15" s="6452"/>
      <c r="P15" s="6452"/>
      <c r="Q15" s="6453"/>
      <c r="R15" s="402"/>
      <c r="S15" s="396"/>
      <c r="T15" s="396"/>
      <c r="U15" s="279"/>
      <c r="V15" s="6449" t="s">
        <v>3198</v>
      </c>
      <c r="W15" s="6450"/>
      <c r="X15" s="411" t="str">
        <f>IF(V11=0,"",VLOOKUP(V11,'Tablas Magia'!$D$6:$Z$680,9,FALSE))</f>
        <v/>
      </c>
      <c r="Y15" s="411" t="str">
        <f>IF(V11=0,"",VLOOKUP(V11,'Tablas Magia'!$D$6:$Z$680,13,FALSE))</f>
        <v/>
      </c>
      <c r="Z15" s="412" t="str">
        <f>IF(V11=0,"",VLOOKUP(V11,'Tablas Magia'!$D$6:$Z$680,17,FALSE))</f>
        <v/>
      </c>
      <c r="AA15" s="6451" t="str">
        <f>IF(V11=0,"",VLOOKUP(V11,'Tablas Magia'!$D$6:$Z$680,21,FALSE))</f>
        <v/>
      </c>
      <c r="AB15" s="6452"/>
      <c r="AC15" s="6452"/>
      <c r="AD15" s="6452"/>
      <c r="AE15" s="6452"/>
      <c r="AF15" s="6452"/>
      <c r="AG15" s="6452"/>
      <c r="AH15" s="6452"/>
      <c r="AI15" s="6452"/>
      <c r="AJ15" s="6453"/>
      <c r="AK15" s="402"/>
      <c r="AL15" s="396"/>
      <c r="AM15" s="396"/>
      <c r="AN15" s="279"/>
      <c r="AO15" s="6449" t="s">
        <v>3198</v>
      </c>
      <c r="AP15" s="6450"/>
      <c r="AQ15" s="411" t="str">
        <f>IF(AO11=0,"",VLOOKUP(AO11,'Tablas Magia'!$D$6:$Z$680,9,FALSE))</f>
        <v/>
      </c>
      <c r="AR15" s="411" t="str">
        <f>IF(AO11=0,"",VLOOKUP(AO11,'Tablas Magia'!$D$6:$Z$680,13,FALSE))</f>
        <v/>
      </c>
      <c r="AS15" s="412" t="str">
        <f>IF(AO11=0,"",VLOOKUP(AO11,'Tablas Magia'!$D$6:$Z$680,17,FALSE))</f>
        <v/>
      </c>
      <c r="AT15" s="6451" t="str">
        <f>IF(AO11=0,"",VLOOKUP(AO11,'Tablas Magia'!$D$6:$Z$680,21,FALSE))</f>
        <v/>
      </c>
      <c r="AU15" s="6452"/>
      <c r="AV15" s="6452"/>
      <c r="AW15" s="6452"/>
      <c r="AX15" s="6452"/>
      <c r="AY15" s="6452"/>
      <c r="AZ15" s="6452"/>
      <c r="BA15" s="6452"/>
      <c r="BB15" s="6452"/>
      <c r="BC15" s="6453"/>
      <c r="BD15" s="402"/>
      <c r="BE15" s="396"/>
      <c r="BF15" s="2481"/>
      <c r="BG15" s="279"/>
      <c r="BH15" s="6449" t="s">
        <v>3198</v>
      </c>
      <c r="BI15" s="6450"/>
      <c r="BJ15" s="411" t="str">
        <f>IF(BH11=0,"",VLOOKUP(BH11,'Tablas Magia'!$D$6:$Z$680,9,FALSE))</f>
        <v/>
      </c>
      <c r="BK15" s="411" t="str">
        <f>IF(BH11=0,"",VLOOKUP(BH11,'Tablas Magia'!$D$6:$Z$680,13,FALSE))</f>
        <v/>
      </c>
      <c r="BL15" s="412" t="str">
        <f>IF(BH11=0,"",VLOOKUP(BH11,'Tablas Magia'!$D$6:$Z$680,17,FALSE))</f>
        <v/>
      </c>
      <c r="BM15" s="6451" t="str">
        <f>IF(BH11=0,"",VLOOKUP(BH11,'Tablas Magia'!$D$6:$Z$680,21,FALSE))</f>
        <v/>
      </c>
      <c r="BN15" s="6452"/>
      <c r="BO15" s="6452"/>
      <c r="BP15" s="6452"/>
      <c r="BQ15" s="6452"/>
      <c r="BR15" s="6452"/>
      <c r="BS15" s="6452"/>
      <c r="BT15" s="6452"/>
      <c r="BU15" s="6452"/>
      <c r="BV15" s="6453"/>
      <c r="BW15" s="402"/>
      <c r="BX15" s="2481"/>
    </row>
    <row r="16" spans="1:76" ht="12.2" customHeight="1" thickBot="1" x14ac:dyDescent="0.25">
      <c r="A16" s="396"/>
      <c r="B16" s="279"/>
      <c r="C16" s="6454" t="s">
        <v>3199</v>
      </c>
      <c r="D16" s="6455"/>
      <c r="E16" s="415" t="str">
        <f>IF(C11=0,"",VLOOKUP(C11,'Tablas Magia'!$D$6:$Z$680,10,FALSE))</f>
        <v/>
      </c>
      <c r="F16" s="415" t="str">
        <f>IF(C11=0,"",VLOOKUP(C11,'Tablas Magia'!$D$6:$Z$680,14,FALSE))</f>
        <v/>
      </c>
      <c r="G16" s="416" t="str">
        <f>IF(C11=0,"",VLOOKUP(C11,'Tablas Magia'!$D$6:$Z$680,18,FALSE))</f>
        <v/>
      </c>
      <c r="H16" s="6456" t="str">
        <f>IF(C11=0,"",VLOOKUP(C11,'Tablas Magia'!$D$6:$Z$680,22,FALSE))</f>
        <v/>
      </c>
      <c r="I16" s="6457"/>
      <c r="J16" s="6457"/>
      <c r="K16" s="6457"/>
      <c r="L16" s="6457"/>
      <c r="M16" s="6457"/>
      <c r="N16" s="6457"/>
      <c r="O16" s="6457"/>
      <c r="P16" s="6457"/>
      <c r="Q16" s="6458"/>
      <c r="R16" s="402"/>
      <c r="S16" s="396"/>
      <c r="T16" s="396"/>
      <c r="U16" s="279"/>
      <c r="V16" s="6454" t="s">
        <v>3199</v>
      </c>
      <c r="W16" s="6455"/>
      <c r="X16" s="415" t="str">
        <f>IF(V11=0,"",VLOOKUP(V11,'Tablas Magia'!$D$6:$Z$680,10,FALSE))</f>
        <v/>
      </c>
      <c r="Y16" s="415" t="str">
        <f>IF(V11=0,"",VLOOKUP(V11,'Tablas Magia'!$D$6:$Z$680,14,FALSE))</f>
        <v/>
      </c>
      <c r="Z16" s="416" t="str">
        <f>IF(V11=0,"",VLOOKUP(V11,'Tablas Magia'!$D$6:$Z$680,18,FALSE))</f>
        <v/>
      </c>
      <c r="AA16" s="6456" t="str">
        <f>IF(V11=0,"",VLOOKUP(V11,'Tablas Magia'!$D$6:$Z$680,22,FALSE))</f>
        <v/>
      </c>
      <c r="AB16" s="6457"/>
      <c r="AC16" s="6457"/>
      <c r="AD16" s="6457"/>
      <c r="AE16" s="6457"/>
      <c r="AF16" s="6457"/>
      <c r="AG16" s="6457"/>
      <c r="AH16" s="6457"/>
      <c r="AI16" s="6457"/>
      <c r="AJ16" s="6458"/>
      <c r="AK16" s="402"/>
      <c r="AL16" s="396"/>
      <c r="AM16" s="396"/>
      <c r="AN16" s="279"/>
      <c r="AO16" s="6454" t="s">
        <v>3199</v>
      </c>
      <c r="AP16" s="6455"/>
      <c r="AQ16" s="415" t="str">
        <f>IF(AO11=0,"",VLOOKUP(AO11,'Tablas Magia'!$D$6:$Z$680,10,FALSE))</f>
        <v/>
      </c>
      <c r="AR16" s="415" t="str">
        <f>IF(AO11=0,"",VLOOKUP(AO11,'Tablas Magia'!$D$6:$Z$680,14,FALSE))</f>
        <v/>
      </c>
      <c r="AS16" s="416" t="str">
        <f>IF(AO11=0,"",VLOOKUP(AO11,'Tablas Magia'!$D$6:$Z$680,18,FALSE))</f>
        <v/>
      </c>
      <c r="AT16" s="6456" t="str">
        <f>IF(AO11=0,"",VLOOKUP(AO11,'Tablas Magia'!$D$6:$Z$680,22,FALSE))</f>
        <v/>
      </c>
      <c r="AU16" s="6457"/>
      <c r="AV16" s="6457"/>
      <c r="AW16" s="6457"/>
      <c r="AX16" s="6457"/>
      <c r="AY16" s="6457"/>
      <c r="AZ16" s="6457"/>
      <c r="BA16" s="6457"/>
      <c r="BB16" s="6457"/>
      <c r="BC16" s="6458"/>
      <c r="BD16" s="402"/>
      <c r="BE16" s="396"/>
      <c r="BF16" s="2481"/>
      <c r="BG16" s="279"/>
      <c r="BH16" s="6454" t="s">
        <v>3199</v>
      </c>
      <c r="BI16" s="6455"/>
      <c r="BJ16" s="415" t="str">
        <f>IF(BH11=0,"",VLOOKUP(BH11,'Tablas Magia'!$D$6:$Z$680,10,FALSE))</f>
        <v/>
      </c>
      <c r="BK16" s="415" t="str">
        <f>IF(BH11=0,"",VLOOKUP(BH11,'Tablas Magia'!$D$6:$Z$680,14,FALSE))</f>
        <v/>
      </c>
      <c r="BL16" s="416" t="str">
        <f>IF(BH11=0,"",VLOOKUP(BH11,'Tablas Magia'!$D$6:$Z$680,18,FALSE))</f>
        <v/>
      </c>
      <c r="BM16" s="6456" t="str">
        <f>IF(BH11=0,"",VLOOKUP(BH11,'Tablas Magia'!$D$6:$Z$680,22,FALSE))</f>
        <v/>
      </c>
      <c r="BN16" s="6457"/>
      <c r="BO16" s="6457"/>
      <c r="BP16" s="6457"/>
      <c r="BQ16" s="6457"/>
      <c r="BR16" s="6457"/>
      <c r="BS16" s="6457"/>
      <c r="BT16" s="6457"/>
      <c r="BU16" s="6457"/>
      <c r="BV16" s="6458"/>
      <c r="BW16" s="402"/>
      <c r="BX16" s="2481"/>
    </row>
    <row r="17" spans="1:76" ht="12.2" customHeight="1" x14ac:dyDescent="0.2">
      <c r="A17" s="396"/>
      <c r="B17" s="279"/>
      <c r="C17" s="6459" t="str">
        <f>IF(C11=0,"",VLOOKUP(C11,'Tablas Magia'!$D$6:$Z$680,23,FALSE))</f>
        <v/>
      </c>
      <c r="D17" s="6460"/>
      <c r="E17" s="6460"/>
      <c r="F17" s="6460"/>
      <c r="G17" s="6460"/>
      <c r="H17" s="6460"/>
      <c r="I17" s="6460"/>
      <c r="J17" s="6460"/>
      <c r="K17" s="6460"/>
      <c r="L17" s="6460"/>
      <c r="M17" s="6460"/>
      <c r="N17" s="6460"/>
      <c r="O17" s="6460"/>
      <c r="P17" s="6460"/>
      <c r="Q17" s="6461"/>
      <c r="R17" s="402"/>
      <c r="S17" s="396"/>
      <c r="T17" s="396"/>
      <c r="U17" s="279"/>
      <c r="V17" s="6459" t="str">
        <f>IF(V11=0,"",VLOOKUP(V11,'Tablas Magia'!$D$6:$Z$680,23,FALSE))</f>
        <v/>
      </c>
      <c r="W17" s="6460"/>
      <c r="X17" s="6460"/>
      <c r="Y17" s="6460"/>
      <c r="Z17" s="6460"/>
      <c r="AA17" s="6460"/>
      <c r="AB17" s="6460"/>
      <c r="AC17" s="6460"/>
      <c r="AD17" s="6460"/>
      <c r="AE17" s="6460"/>
      <c r="AF17" s="6460"/>
      <c r="AG17" s="6460"/>
      <c r="AH17" s="6460"/>
      <c r="AI17" s="6460"/>
      <c r="AJ17" s="6461"/>
      <c r="AK17" s="402"/>
      <c r="AL17" s="396"/>
      <c r="AM17" s="396"/>
      <c r="AN17" s="279"/>
      <c r="AO17" s="6459" t="str">
        <f>IF(AO11=0,"",VLOOKUP(AO11,'Tablas Magia'!$D$6:$Z$680,23,FALSE))</f>
        <v/>
      </c>
      <c r="AP17" s="6460"/>
      <c r="AQ17" s="6460"/>
      <c r="AR17" s="6460"/>
      <c r="AS17" s="6460"/>
      <c r="AT17" s="6460"/>
      <c r="AU17" s="6460"/>
      <c r="AV17" s="6460"/>
      <c r="AW17" s="6460"/>
      <c r="AX17" s="6460"/>
      <c r="AY17" s="6460"/>
      <c r="AZ17" s="6460"/>
      <c r="BA17" s="6460"/>
      <c r="BB17" s="6460"/>
      <c r="BC17" s="6461"/>
      <c r="BD17" s="402"/>
      <c r="BE17" s="396"/>
      <c r="BF17" s="2481"/>
      <c r="BG17" s="279"/>
      <c r="BH17" s="6459" t="str">
        <f>IF(BH11=0,"",VLOOKUP(BH11,'Tablas Magia'!$D$6:$Z$680,23,FALSE))</f>
        <v/>
      </c>
      <c r="BI17" s="6460"/>
      <c r="BJ17" s="6460"/>
      <c r="BK17" s="6460"/>
      <c r="BL17" s="6460"/>
      <c r="BM17" s="6460"/>
      <c r="BN17" s="6460"/>
      <c r="BO17" s="6460"/>
      <c r="BP17" s="6460"/>
      <c r="BQ17" s="6460"/>
      <c r="BR17" s="6460"/>
      <c r="BS17" s="6460"/>
      <c r="BT17" s="6460"/>
      <c r="BU17" s="6460"/>
      <c r="BV17" s="6461"/>
      <c r="BW17" s="402"/>
      <c r="BX17" s="2481"/>
    </row>
    <row r="18" spans="1:76" ht="12.2" customHeight="1" x14ac:dyDescent="0.2">
      <c r="A18" s="396"/>
      <c r="B18" s="279"/>
      <c r="C18" s="6462"/>
      <c r="D18" s="6463"/>
      <c r="E18" s="6463"/>
      <c r="F18" s="6463"/>
      <c r="G18" s="6463"/>
      <c r="H18" s="6463"/>
      <c r="I18" s="6463"/>
      <c r="J18" s="6463"/>
      <c r="K18" s="6463"/>
      <c r="L18" s="6463"/>
      <c r="M18" s="6463"/>
      <c r="N18" s="6463"/>
      <c r="O18" s="6463"/>
      <c r="P18" s="6463"/>
      <c r="Q18" s="6464"/>
      <c r="R18" s="402"/>
      <c r="S18" s="396"/>
      <c r="T18" s="396"/>
      <c r="U18" s="279"/>
      <c r="V18" s="6462"/>
      <c r="W18" s="6463"/>
      <c r="X18" s="6463"/>
      <c r="Y18" s="6463"/>
      <c r="Z18" s="6463"/>
      <c r="AA18" s="6463"/>
      <c r="AB18" s="6463"/>
      <c r="AC18" s="6463"/>
      <c r="AD18" s="6463"/>
      <c r="AE18" s="6463"/>
      <c r="AF18" s="6463"/>
      <c r="AG18" s="6463"/>
      <c r="AH18" s="6463"/>
      <c r="AI18" s="6463"/>
      <c r="AJ18" s="6464"/>
      <c r="AK18" s="402"/>
      <c r="AL18" s="396"/>
      <c r="AM18" s="396"/>
      <c r="AN18" s="279"/>
      <c r="AO18" s="6462"/>
      <c r="AP18" s="6463"/>
      <c r="AQ18" s="6463"/>
      <c r="AR18" s="6463"/>
      <c r="AS18" s="6463"/>
      <c r="AT18" s="6463"/>
      <c r="AU18" s="6463"/>
      <c r="AV18" s="6463"/>
      <c r="AW18" s="6463"/>
      <c r="AX18" s="6463"/>
      <c r="AY18" s="6463"/>
      <c r="AZ18" s="6463"/>
      <c r="BA18" s="6463"/>
      <c r="BB18" s="6463"/>
      <c r="BC18" s="6464"/>
      <c r="BD18" s="402"/>
      <c r="BE18" s="396"/>
      <c r="BF18" s="2481"/>
      <c r="BG18" s="279"/>
      <c r="BH18" s="6462"/>
      <c r="BI18" s="6463"/>
      <c r="BJ18" s="6463"/>
      <c r="BK18" s="6463"/>
      <c r="BL18" s="6463"/>
      <c r="BM18" s="6463"/>
      <c r="BN18" s="6463"/>
      <c r="BO18" s="6463"/>
      <c r="BP18" s="6463"/>
      <c r="BQ18" s="6463"/>
      <c r="BR18" s="6463"/>
      <c r="BS18" s="6463"/>
      <c r="BT18" s="6463"/>
      <c r="BU18" s="6463"/>
      <c r="BV18" s="6464"/>
      <c r="BW18" s="402"/>
      <c r="BX18" s="2481"/>
    </row>
    <row r="19" spans="1:76" ht="12.2" customHeight="1" x14ac:dyDescent="0.2">
      <c r="A19" s="396"/>
      <c r="B19" s="279"/>
      <c r="C19" s="6462"/>
      <c r="D19" s="6463"/>
      <c r="E19" s="6463"/>
      <c r="F19" s="6463"/>
      <c r="G19" s="6463"/>
      <c r="H19" s="6463"/>
      <c r="I19" s="6463"/>
      <c r="J19" s="6463"/>
      <c r="K19" s="6463"/>
      <c r="L19" s="6463"/>
      <c r="M19" s="6463"/>
      <c r="N19" s="6463"/>
      <c r="O19" s="6463"/>
      <c r="P19" s="6463"/>
      <c r="Q19" s="6464"/>
      <c r="R19" s="402"/>
      <c r="S19" s="396"/>
      <c r="T19" s="396"/>
      <c r="U19" s="279"/>
      <c r="V19" s="6462"/>
      <c r="W19" s="6463"/>
      <c r="X19" s="6463"/>
      <c r="Y19" s="6463"/>
      <c r="Z19" s="6463"/>
      <c r="AA19" s="6463"/>
      <c r="AB19" s="6463"/>
      <c r="AC19" s="6463"/>
      <c r="AD19" s="6463"/>
      <c r="AE19" s="6463"/>
      <c r="AF19" s="6463"/>
      <c r="AG19" s="6463"/>
      <c r="AH19" s="6463"/>
      <c r="AI19" s="6463"/>
      <c r="AJ19" s="6464"/>
      <c r="AK19" s="402"/>
      <c r="AL19" s="396"/>
      <c r="AM19" s="396"/>
      <c r="AN19" s="279"/>
      <c r="AO19" s="6462"/>
      <c r="AP19" s="6463"/>
      <c r="AQ19" s="6463"/>
      <c r="AR19" s="6463"/>
      <c r="AS19" s="6463"/>
      <c r="AT19" s="6463"/>
      <c r="AU19" s="6463"/>
      <c r="AV19" s="6463"/>
      <c r="AW19" s="6463"/>
      <c r="AX19" s="6463"/>
      <c r="AY19" s="6463"/>
      <c r="AZ19" s="6463"/>
      <c r="BA19" s="6463"/>
      <c r="BB19" s="6463"/>
      <c r="BC19" s="6464"/>
      <c r="BD19" s="402"/>
      <c r="BE19" s="396"/>
      <c r="BF19" s="2481"/>
      <c r="BG19" s="279"/>
      <c r="BH19" s="6462"/>
      <c r="BI19" s="6463"/>
      <c r="BJ19" s="6463"/>
      <c r="BK19" s="6463"/>
      <c r="BL19" s="6463"/>
      <c r="BM19" s="6463"/>
      <c r="BN19" s="6463"/>
      <c r="BO19" s="6463"/>
      <c r="BP19" s="6463"/>
      <c r="BQ19" s="6463"/>
      <c r="BR19" s="6463"/>
      <c r="BS19" s="6463"/>
      <c r="BT19" s="6463"/>
      <c r="BU19" s="6463"/>
      <c r="BV19" s="6464"/>
      <c r="BW19" s="402"/>
      <c r="BX19" s="2481"/>
    </row>
    <row r="20" spans="1:76" ht="12.2" customHeight="1" thickBot="1" x14ac:dyDescent="0.25">
      <c r="A20" s="396"/>
      <c r="B20" s="279"/>
      <c r="C20" s="6465"/>
      <c r="D20" s="6466"/>
      <c r="E20" s="6466"/>
      <c r="F20" s="6466"/>
      <c r="G20" s="6466"/>
      <c r="H20" s="6466"/>
      <c r="I20" s="6466"/>
      <c r="J20" s="6466"/>
      <c r="K20" s="6466"/>
      <c r="L20" s="6466"/>
      <c r="M20" s="6466"/>
      <c r="N20" s="6466"/>
      <c r="O20" s="6466"/>
      <c r="P20" s="6466"/>
      <c r="Q20" s="6467"/>
      <c r="R20" s="402"/>
      <c r="S20" s="396"/>
      <c r="T20" s="396"/>
      <c r="U20" s="279"/>
      <c r="V20" s="6465"/>
      <c r="W20" s="6466"/>
      <c r="X20" s="6466"/>
      <c r="Y20" s="6466"/>
      <c r="Z20" s="6466"/>
      <c r="AA20" s="6466"/>
      <c r="AB20" s="6466"/>
      <c r="AC20" s="6466"/>
      <c r="AD20" s="6466"/>
      <c r="AE20" s="6466"/>
      <c r="AF20" s="6466"/>
      <c r="AG20" s="6466"/>
      <c r="AH20" s="6466"/>
      <c r="AI20" s="6466"/>
      <c r="AJ20" s="6467"/>
      <c r="AK20" s="402"/>
      <c r="AL20" s="396"/>
      <c r="AM20" s="396"/>
      <c r="AN20" s="279"/>
      <c r="AO20" s="6465"/>
      <c r="AP20" s="6466"/>
      <c r="AQ20" s="6466"/>
      <c r="AR20" s="6466"/>
      <c r="AS20" s="6466"/>
      <c r="AT20" s="6466"/>
      <c r="AU20" s="6466"/>
      <c r="AV20" s="6466"/>
      <c r="AW20" s="6466"/>
      <c r="AX20" s="6466"/>
      <c r="AY20" s="6466"/>
      <c r="AZ20" s="6466"/>
      <c r="BA20" s="6466"/>
      <c r="BB20" s="6466"/>
      <c r="BC20" s="6467"/>
      <c r="BD20" s="402"/>
      <c r="BE20" s="396"/>
      <c r="BF20" s="2481"/>
      <c r="BG20" s="279"/>
      <c r="BH20" s="6465"/>
      <c r="BI20" s="6466"/>
      <c r="BJ20" s="6466"/>
      <c r="BK20" s="6466"/>
      <c r="BL20" s="6466"/>
      <c r="BM20" s="6466"/>
      <c r="BN20" s="6466"/>
      <c r="BO20" s="6466"/>
      <c r="BP20" s="6466"/>
      <c r="BQ20" s="6466"/>
      <c r="BR20" s="6466"/>
      <c r="BS20" s="6466"/>
      <c r="BT20" s="6466"/>
      <c r="BU20" s="6466"/>
      <c r="BV20" s="6467"/>
      <c r="BW20" s="402"/>
      <c r="BX20" s="2481"/>
    </row>
    <row r="21" spans="1:76" ht="12.2" customHeight="1" thickBot="1" x14ac:dyDescent="0.25">
      <c r="A21" s="396"/>
      <c r="B21" s="279"/>
      <c r="C21" s="813"/>
      <c r="D21" s="813"/>
      <c r="E21" s="813"/>
      <c r="F21" s="813"/>
      <c r="G21" s="813"/>
      <c r="H21" s="417"/>
      <c r="I21" s="418"/>
      <c r="J21" s="419"/>
      <c r="K21" s="419"/>
      <c r="L21" s="419"/>
      <c r="M21" s="354"/>
      <c r="N21" s="354"/>
      <c r="O21" s="354"/>
      <c r="P21" s="354"/>
      <c r="Q21" s="354"/>
      <c r="R21" s="402"/>
      <c r="S21" s="396"/>
      <c r="T21" s="396"/>
      <c r="U21" s="279"/>
      <c r="V21" s="1714"/>
      <c r="W21" s="1714"/>
      <c r="X21" s="1714"/>
      <c r="Y21" s="1714"/>
      <c r="Z21" s="1714"/>
      <c r="AA21" s="417"/>
      <c r="AB21" s="418"/>
      <c r="AC21" s="419"/>
      <c r="AD21" s="419"/>
      <c r="AE21" s="419"/>
      <c r="AF21" s="354"/>
      <c r="AG21" s="354"/>
      <c r="AH21" s="354"/>
      <c r="AI21" s="354"/>
      <c r="AJ21" s="354"/>
      <c r="AK21" s="402"/>
      <c r="AL21" s="396"/>
      <c r="AM21" s="396"/>
      <c r="AN21" s="279"/>
      <c r="AO21" s="1714"/>
      <c r="AP21" s="1714"/>
      <c r="AQ21" s="1714"/>
      <c r="AR21" s="1714"/>
      <c r="AS21" s="1714"/>
      <c r="AT21" s="417"/>
      <c r="AU21" s="418"/>
      <c r="AV21" s="419"/>
      <c r="AW21" s="419"/>
      <c r="AX21" s="419"/>
      <c r="AY21" s="354"/>
      <c r="AZ21" s="354"/>
      <c r="BA21" s="354"/>
      <c r="BB21" s="354"/>
      <c r="BC21" s="354"/>
      <c r="BD21" s="402"/>
      <c r="BE21" s="396"/>
      <c r="BF21" s="2481"/>
      <c r="BG21" s="279"/>
      <c r="BH21" s="1714"/>
      <c r="BI21" s="1714"/>
      <c r="BJ21" s="1714"/>
      <c r="BK21" s="1714"/>
      <c r="BL21" s="1714"/>
      <c r="BM21" s="417"/>
      <c r="BN21" s="418"/>
      <c r="BO21" s="419"/>
      <c r="BP21" s="419"/>
      <c r="BQ21" s="419"/>
      <c r="BR21" s="354"/>
      <c r="BS21" s="354"/>
      <c r="BT21" s="354"/>
      <c r="BU21" s="354"/>
      <c r="BV21" s="354"/>
      <c r="BW21" s="402"/>
      <c r="BX21" s="2481"/>
    </row>
    <row r="22" spans="1:76" ht="12.2" customHeight="1" x14ac:dyDescent="0.2">
      <c r="A22" s="396"/>
      <c r="B22" s="279"/>
      <c r="C22" s="6468"/>
      <c r="D22" s="6469"/>
      <c r="E22" s="6469"/>
      <c r="F22" s="6469"/>
      <c r="G22" s="6469"/>
      <c r="H22" s="406" t="s">
        <v>1325</v>
      </c>
      <c r="I22" s="407" t="str">
        <f>IF(C22=0,"",VLOOKUP(C22,'Tablas Magia'!$D$6:$Z$680,3,FALSE))</f>
        <v/>
      </c>
      <c r="J22" s="6470" t="s">
        <v>6236</v>
      </c>
      <c r="K22" s="6470"/>
      <c r="L22" s="6470"/>
      <c r="M22" s="6471" t="str">
        <f>IF(C22=0,"",VLOOKUP(C22,'Tablas Magia'!$D$6:$Z$680,2,FALSE))</f>
        <v/>
      </c>
      <c r="N22" s="6471"/>
      <c r="O22" s="6471"/>
      <c r="P22" s="6471"/>
      <c r="Q22" s="6472"/>
      <c r="R22" s="402"/>
      <c r="S22" s="396"/>
      <c r="T22" s="396"/>
      <c r="U22" s="279"/>
      <c r="V22" s="6468"/>
      <c r="W22" s="6469"/>
      <c r="X22" s="6469"/>
      <c r="Y22" s="6469"/>
      <c r="Z22" s="6469"/>
      <c r="AA22" s="406" t="s">
        <v>1325</v>
      </c>
      <c r="AB22" s="407" t="str">
        <f>IF(V22=0,"",VLOOKUP(V22,'Tablas Magia'!$D$6:$Z$680,3,FALSE))</f>
        <v/>
      </c>
      <c r="AC22" s="6470" t="s">
        <v>6236</v>
      </c>
      <c r="AD22" s="6470"/>
      <c r="AE22" s="6470"/>
      <c r="AF22" s="6471" t="str">
        <f>IF(V22=0,"",VLOOKUP(V22,'Tablas Magia'!$D$6:$Z$680,2,FALSE))</f>
        <v/>
      </c>
      <c r="AG22" s="6471"/>
      <c r="AH22" s="6471"/>
      <c r="AI22" s="6471"/>
      <c r="AJ22" s="6472"/>
      <c r="AK22" s="402"/>
      <c r="AL22" s="396"/>
      <c r="AM22" s="396"/>
      <c r="AN22" s="279"/>
      <c r="AO22" s="6468"/>
      <c r="AP22" s="6469"/>
      <c r="AQ22" s="6469"/>
      <c r="AR22" s="6469"/>
      <c r="AS22" s="6469"/>
      <c r="AT22" s="406" t="s">
        <v>1325</v>
      </c>
      <c r="AU22" s="407" t="str">
        <f>IF(AO22=0,"",VLOOKUP(AO22,'Tablas Magia'!$D$6:$Z$680,3,FALSE))</f>
        <v/>
      </c>
      <c r="AV22" s="6470" t="s">
        <v>6236</v>
      </c>
      <c r="AW22" s="6470"/>
      <c r="AX22" s="6470"/>
      <c r="AY22" s="6471" t="str">
        <f>IF(AO22=0,"",VLOOKUP(AO22,'Tablas Magia'!$D$6:$Z$680,2,FALSE))</f>
        <v/>
      </c>
      <c r="AZ22" s="6471"/>
      <c r="BA22" s="6471"/>
      <c r="BB22" s="6471"/>
      <c r="BC22" s="6472"/>
      <c r="BD22" s="402"/>
      <c r="BE22" s="396"/>
      <c r="BF22" s="2481"/>
      <c r="BG22" s="279"/>
      <c r="BH22" s="6468"/>
      <c r="BI22" s="6469"/>
      <c r="BJ22" s="6469"/>
      <c r="BK22" s="6469"/>
      <c r="BL22" s="6469"/>
      <c r="BM22" s="406" t="s">
        <v>1325</v>
      </c>
      <c r="BN22" s="407" t="str">
        <f>IF(BH22=0,"",VLOOKUP(BH22,'Tablas Magia'!$D$6:$Z$680,3,FALSE))</f>
        <v/>
      </c>
      <c r="BO22" s="6470" t="s">
        <v>6236</v>
      </c>
      <c r="BP22" s="6470"/>
      <c r="BQ22" s="6470"/>
      <c r="BR22" s="6471" t="str">
        <f>IF(BH22=0,"",VLOOKUP(BH22,'Tablas Magia'!$D$6:$Z$680,2,FALSE))</f>
        <v/>
      </c>
      <c r="BS22" s="6471"/>
      <c r="BT22" s="6471"/>
      <c r="BU22" s="6471"/>
      <c r="BV22" s="6472"/>
      <c r="BW22" s="402"/>
      <c r="BX22" s="2481"/>
    </row>
    <row r="23" spans="1:76" ht="12.2" customHeight="1" x14ac:dyDescent="0.2">
      <c r="A23" s="396"/>
      <c r="B23" s="279"/>
      <c r="C23" s="6473" t="s">
        <v>6237</v>
      </c>
      <c r="D23" s="6474"/>
      <c r="E23" s="408" t="s">
        <v>6238</v>
      </c>
      <c r="F23" s="408" t="s">
        <v>1509</v>
      </c>
      <c r="G23" s="408" t="s">
        <v>2828</v>
      </c>
      <c r="H23" s="409" t="s">
        <v>1836</v>
      </c>
      <c r="I23" s="6475" t="str">
        <f>IF(C22=0,"",VLOOKUP(C22,'Tablas Magia'!$D$6:$Z$680,5,FALSE))</f>
        <v/>
      </c>
      <c r="J23" s="6475"/>
      <c r="K23" s="6476" t="s">
        <v>6239</v>
      </c>
      <c r="L23" s="6476"/>
      <c r="M23" s="6475" t="str">
        <f>IF(C22=0,"",VLOOKUP(C22,'Tablas Magia'!$D$6:$Z$680,6,FALSE))</f>
        <v/>
      </c>
      <c r="N23" s="6475"/>
      <c r="O23" s="6477" t="s">
        <v>6240</v>
      </c>
      <c r="P23" s="6477"/>
      <c r="Q23" s="410" t="str">
        <f>IF(C22=0,"",VLOOKUP(C22,'Tablas Magia'!$D$6:$Z$680,4,FALSE))</f>
        <v/>
      </c>
      <c r="R23" s="402"/>
      <c r="S23" s="396"/>
      <c r="T23" s="396"/>
      <c r="U23" s="279"/>
      <c r="V23" s="6473" t="s">
        <v>6237</v>
      </c>
      <c r="W23" s="6474"/>
      <c r="X23" s="408" t="s">
        <v>6238</v>
      </c>
      <c r="Y23" s="408" t="s">
        <v>1509</v>
      </c>
      <c r="Z23" s="408" t="s">
        <v>2828</v>
      </c>
      <c r="AA23" s="409" t="s">
        <v>1836</v>
      </c>
      <c r="AB23" s="6475" t="str">
        <f>IF(V22=0,"",VLOOKUP(V22,'Tablas Magia'!$D$6:$Z$680,5,FALSE))</f>
        <v/>
      </c>
      <c r="AC23" s="6475"/>
      <c r="AD23" s="6476" t="s">
        <v>6239</v>
      </c>
      <c r="AE23" s="6476"/>
      <c r="AF23" s="6475" t="str">
        <f>IF(V22=0,"",VLOOKUP(V22,'Tablas Magia'!$D$6:$Z$680,6,FALSE))</f>
        <v/>
      </c>
      <c r="AG23" s="6475"/>
      <c r="AH23" s="6477" t="s">
        <v>6240</v>
      </c>
      <c r="AI23" s="6477"/>
      <c r="AJ23" s="410" t="str">
        <f>IF(V22=0,"",VLOOKUP(V22,'Tablas Magia'!$D$6:$Z$680,4,FALSE))</f>
        <v/>
      </c>
      <c r="AK23" s="402"/>
      <c r="AL23" s="396"/>
      <c r="AM23" s="396"/>
      <c r="AN23" s="279"/>
      <c r="AO23" s="6473" t="s">
        <v>6237</v>
      </c>
      <c r="AP23" s="6474"/>
      <c r="AQ23" s="408" t="s">
        <v>6238</v>
      </c>
      <c r="AR23" s="408" t="s">
        <v>1509</v>
      </c>
      <c r="AS23" s="408" t="s">
        <v>2828</v>
      </c>
      <c r="AT23" s="409" t="s">
        <v>1836</v>
      </c>
      <c r="AU23" s="6475" t="str">
        <f>IF(AO22=0,"",VLOOKUP(AO22,'Tablas Magia'!$D$6:$Z$680,5,FALSE))</f>
        <v/>
      </c>
      <c r="AV23" s="6475"/>
      <c r="AW23" s="6476" t="s">
        <v>6239</v>
      </c>
      <c r="AX23" s="6476"/>
      <c r="AY23" s="6475" t="str">
        <f>IF(AO22=0,"",VLOOKUP(AO22,'Tablas Magia'!$D$6:$Z$680,6,FALSE))</f>
        <v/>
      </c>
      <c r="AZ23" s="6475"/>
      <c r="BA23" s="6477" t="s">
        <v>6240</v>
      </c>
      <c r="BB23" s="6477"/>
      <c r="BC23" s="410" t="str">
        <f>IF(AO22=0,"",VLOOKUP(AO22,'Tablas Magia'!$D$6:$Z$680,4,FALSE))</f>
        <v/>
      </c>
      <c r="BD23" s="402"/>
      <c r="BE23" s="396"/>
      <c r="BF23" s="2481"/>
      <c r="BG23" s="279"/>
      <c r="BH23" s="6473" t="s">
        <v>6237</v>
      </c>
      <c r="BI23" s="6474"/>
      <c r="BJ23" s="408" t="s">
        <v>6238</v>
      </c>
      <c r="BK23" s="408" t="s">
        <v>1509</v>
      </c>
      <c r="BL23" s="408" t="s">
        <v>2828</v>
      </c>
      <c r="BM23" s="409" t="s">
        <v>1836</v>
      </c>
      <c r="BN23" s="6475" t="str">
        <f>IF(BH22=0,"",VLOOKUP(BH22,'Tablas Magia'!$D$6:$Z$680,5,FALSE))</f>
        <v/>
      </c>
      <c r="BO23" s="6475"/>
      <c r="BP23" s="6476" t="s">
        <v>6239</v>
      </c>
      <c r="BQ23" s="6476"/>
      <c r="BR23" s="6475" t="str">
        <f>IF(BH22=0,"",VLOOKUP(BH22,'Tablas Magia'!$D$6:$Z$680,6,FALSE))</f>
        <v/>
      </c>
      <c r="BS23" s="6475"/>
      <c r="BT23" s="6477" t="s">
        <v>6240</v>
      </c>
      <c r="BU23" s="6477"/>
      <c r="BV23" s="410" t="str">
        <f>IF(BH22=0,"",VLOOKUP(BH22,'Tablas Magia'!$D$6:$Z$680,4,FALSE))</f>
        <v/>
      </c>
      <c r="BW23" s="402"/>
      <c r="BX23" s="2481"/>
    </row>
    <row r="24" spans="1:76" ht="12.2" customHeight="1" x14ac:dyDescent="0.2">
      <c r="A24" s="396"/>
      <c r="B24" s="279"/>
      <c r="C24" s="6449" t="s">
        <v>1365</v>
      </c>
      <c r="D24" s="6450"/>
      <c r="E24" s="411" t="str">
        <f>IF(C22=0,"",VLOOKUP(C22,'Tablas Magia'!$D$6:$Z$680,7,FALSE))</f>
        <v/>
      </c>
      <c r="F24" s="411" t="str">
        <f>IF(C22=0,"",VLOOKUP(C22,'Tablas Magia'!$D$6:$Z$680,11,FALSE))</f>
        <v/>
      </c>
      <c r="G24" s="412" t="str">
        <f>IF(C22=0,"",VLOOKUP(C22,'Tablas Magia'!$D$6:$Z$680,15,FALSE))</f>
        <v/>
      </c>
      <c r="H24" s="6451" t="str">
        <f>IF(C22=0,"",VLOOKUP(C22,'Tablas Magia'!$D$6:$Z$680,19,FALSE))</f>
        <v/>
      </c>
      <c r="I24" s="6452"/>
      <c r="J24" s="6452"/>
      <c r="K24" s="6452"/>
      <c r="L24" s="6452"/>
      <c r="M24" s="6452"/>
      <c r="N24" s="6452"/>
      <c r="O24" s="6452"/>
      <c r="P24" s="6452"/>
      <c r="Q24" s="6453"/>
      <c r="R24" s="402"/>
      <c r="S24" s="396"/>
      <c r="T24" s="396"/>
      <c r="U24" s="279"/>
      <c r="V24" s="6449" t="s">
        <v>1365</v>
      </c>
      <c r="W24" s="6450"/>
      <c r="X24" s="411" t="str">
        <f>IF(V22=0,"",VLOOKUP(V22,'Tablas Magia'!$D$6:$Z$680,7,FALSE))</f>
        <v/>
      </c>
      <c r="Y24" s="411" t="str">
        <f>IF(V22=0,"",VLOOKUP(V22,'Tablas Magia'!$D$6:$Z$680,11,FALSE))</f>
        <v/>
      </c>
      <c r="Z24" s="412" t="str">
        <f>IF(V22=0,"",VLOOKUP(V22,'Tablas Magia'!$D$6:$Z$680,15,FALSE))</f>
        <v/>
      </c>
      <c r="AA24" s="6451" t="str">
        <f>IF(V22=0,"",VLOOKUP(V22,'Tablas Magia'!$D$6:$Z$680,19,FALSE))</f>
        <v/>
      </c>
      <c r="AB24" s="6452"/>
      <c r="AC24" s="6452"/>
      <c r="AD24" s="6452"/>
      <c r="AE24" s="6452"/>
      <c r="AF24" s="6452"/>
      <c r="AG24" s="6452"/>
      <c r="AH24" s="6452"/>
      <c r="AI24" s="6452"/>
      <c r="AJ24" s="6453"/>
      <c r="AK24" s="402"/>
      <c r="AL24" s="396"/>
      <c r="AM24" s="396"/>
      <c r="AN24" s="279"/>
      <c r="AO24" s="6449" t="s">
        <v>1365</v>
      </c>
      <c r="AP24" s="6450"/>
      <c r="AQ24" s="411" t="str">
        <f>IF(AO22=0,"",VLOOKUP(AO22,'Tablas Magia'!$D$6:$Z$680,7,FALSE))</f>
        <v/>
      </c>
      <c r="AR24" s="411" t="str">
        <f>IF(AO22=0,"",VLOOKUP(AO22,'Tablas Magia'!$D$6:$Z$680,11,FALSE))</f>
        <v/>
      </c>
      <c r="AS24" s="412" t="str">
        <f>IF(AO22=0,"",VLOOKUP(AO22,'Tablas Magia'!$D$6:$Z$680,15,FALSE))</f>
        <v/>
      </c>
      <c r="AT24" s="6451" t="str">
        <f>IF(AO22=0,"",VLOOKUP(AO22,'Tablas Magia'!$D$6:$Z$680,19,FALSE))</f>
        <v/>
      </c>
      <c r="AU24" s="6452"/>
      <c r="AV24" s="6452"/>
      <c r="AW24" s="6452"/>
      <c r="AX24" s="6452"/>
      <c r="AY24" s="6452"/>
      <c r="AZ24" s="6452"/>
      <c r="BA24" s="6452"/>
      <c r="BB24" s="6452"/>
      <c r="BC24" s="6453"/>
      <c r="BD24" s="402"/>
      <c r="BE24" s="396"/>
      <c r="BF24" s="2481"/>
      <c r="BG24" s="279"/>
      <c r="BH24" s="6449" t="s">
        <v>1365</v>
      </c>
      <c r="BI24" s="6450"/>
      <c r="BJ24" s="411" t="str">
        <f>IF(BH22=0,"",VLOOKUP(BH22,'Tablas Magia'!$D$6:$Z$680,7,FALSE))</f>
        <v/>
      </c>
      <c r="BK24" s="411" t="str">
        <f>IF(BH22=0,"",VLOOKUP(BH22,'Tablas Magia'!$D$6:$Z$680,11,FALSE))</f>
        <v/>
      </c>
      <c r="BL24" s="412" t="str">
        <f>IF(BH22=0,"",VLOOKUP(BH22,'Tablas Magia'!$D$6:$Z$680,15,FALSE))</f>
        <v/>
      </c>
      <c r="BM24" s="6451" t="str">
        <f>IF(BH22=0,"",VLOOKUP(BH22,'Tablas Magia'!$D$6:$Z$680,19,FALSE))</f>
        <v/>
      </c>
      <c r="BN24" s="6452"/>
      <c r="BO24" s="6452"/>
      <c r="BP24" s="6452"/>
      <c r="BQ24" s="6452"/>
      <c r="BR24" s="6452"/>
      <c r="BS24" s="6452"/>
      <c r="BT24" s="6452"/>
      <c r="BU24" s="6452"/>
      <c r="BV24" s="6453"/>
      <c r="BW24" s="402"/>
      <c r="BX24" s="2481"/>
    </row>
    <row r="25" spans="1:76" ht="12.2" customHeight="1" x14ac:dyDescent="0.2">
      <c r="A25" s="396"/>
      <c r="B25" s="279"/>
      <c r="C25" s="6444" t="s">
        <v>3197</v>
      </c>
      <c r="D25" s="6445"/>
      <c r="E25" s="413" t="str">
        <f>IF(C22=0,"",VLOOKUP(C22,'Tablas Magia'!$D$6:$Z$680,8,FALSE))</f>
        <v/>
      </c>
      <c r="F25" s="413" t="str">
        <f>IF(C22=0,"",VLOOKUP(C22,'Tablas Magia'!$D$6:$Z$680,12,FALSE))</f>
        <v/>
      </c>
      <c r="G25" s="414" t="str">
        <f>IF(C22=0,"",VLOOKUP(C22,'Tablas Magia'!$D$6:$Z$680,16,FALSE))</f>
        <v/>
      </c>
      <c r="H25" s="6446" t="str">
        <f>IF(C22=0,"",VLOOKUP(C22,'Tablas Magia'!$D$6:$Z$680,20,FALSE))</f>
        <v/>
      </c>
      <c r="I25" s="6447"/>
      <c r="J25" s="6447"/>
      <c r="K25" s="6447"/>
      <c r="L25" s="6447"/>
      <c r="M25" s="6447"/>
      <c r="N25" s="6447"/>
      <c r="O25" s="6447"/>
      <c r="P25" s="6447"/>
      <c r="Q25" s="6448"/>
      <c r="R25" s="402"/>
      <c r="S25" s="396"/>
      <c r="T25" s="396"/>
      <c r="U25" s="279"/>
      <c r="V25" s="6444" t="s">
        <v>3197</v>
      </c>
      <c r="W25" s="6445"/>
      <c r="X25" s="413" t="str">
        <f>IF(V22=0,"",VLOOKUP(V22,'Tablas Magia'!$D$6:$Z$680,8,FALSE))</f>
        <v/>
      </c>
      <c r="Y25" s="413" t="str">
        <f>IF(V22=0,"",VLOOKUP(V22,'Tablas Magia'!$D$6:$Z$680,12,FALSE))</f>
        <v/>
      </c>
      <c r="Z25" s="414" t="str">
        <f>IF(V22=0,"",VLOOKUP(V22,'Tablas Magia'!$D$6:$Z$680,16,FALSE))</f>
        <v/>
      </c>
      <c r="AA25" s="6446" t="str">
        <f>IF(V22=0,"",VLOOKUP(V22,'Tablas Magia'!$D$6:$Z$680,20,FALSE))</f>
        <v/>
      </c>
      <c r="AB25" s="6447"/>
      <c r="AC25" s="6447"/>
      <c r="AD25" s="6447"/>
      <c r="AE25" s="6447"/>
      <c r="AF25" s="6447"/>
      <c r="AG25" s="6447"/>
      <c r="AH25" s="6447"/>
      <c r="AI25" s="6447"/>
      <c r="AJ25" s="6448"/>
      <c r="AK25" s="402"/>
      <c r="AL25" s="396"/>
      <c r="AM25" s="396"/>
      <c r="AN25" s="279"/>
      <c r="AO25" s="6444" t="s">
        <v>3197</v>
      </c>
      <c r="AP25" s="6445"/>
      <c r="AQ25" s="413" t="str">
        <f>IF(AO22=0,"",VLOOKUP(AO22,'Tablas Magia'!$D$6:$Z$680,8,FALSE))</f>
        <v/>
      </c>
      <c r="AR25" s="413" t="str">
        <f>IF(AO22=0,"",VLOOKUP(AO22,'Tablas Magia'!$D$6:$Z$680,12,FALSE))</f>
        <v/>
      </c>
      <c r="AS25" s="414" t="str">
        <f>IF(AO22=0,"",VLOOKUP(AO22,'Tablas Magia'!$D$6:$Z$680,16,FALSE))</f>
        <v/>
      </c>
      <c r="AT25" s="6446" t="str">
        <f>IF(AO22=0,"",VLOOKUP(AO22,'Tablas Magia'!$D$6:$Z$680,20,FALSE))</f>
        <v/>
      </c>
      <c r="AU25" s="6447"/>
      <c r="AV25" s="6447"/>
      <c r="AW25" s="6447"/>
      <c r="AX25" s="6447"/>
      <c r="AY25" s="6447"/>
      <c r="AZ25" s="6447"/>
      <c r="BA25" s="6447"/>
      <c r="BB25" s="6447"/>
      <c r="BC25" s="6448"/>
      <c r="BD25" s="402"/>
      <c r="BE25" s="396"/>
      <c r="BF25" s="2481"/>
      <c r="BG25" s="279"/>
      <c r="BH25" s="6444" t="s">
        <v>3197</v>
      </c>
      <c r="BI25" s="6445"/>
      <c r="BJ25" s="413" t="str">
        <f>IF(BH22=0,"",VLOOKUP(BH22,'Tablas Magia'!$D$6:$Z$680,8,FALSE))</f>
        <v/>
      </c>
      <c r="BK25" s="413" t="str">
        <f>IF(BH22=0,"",VLOOKUP(BH22,'Tablas Magia'!$D$6:$Z$680,12,FALSE))</f>
        <v/>
      </c>
      <c r="BL25" s="414" t="str">
        <f>IF(BH22=0,"",VLOOKUP(BH22,'Tablas Magia'!$D$6:$Z$680,16,FALSE))</f>
        <v/>
      </c>
      <c r="BM25" s="6446" t="str">
        <f>IF(BH22=0,"",VLOOKUP(BH22,'Tablas Magia'!$D$6:$Z$680,20,FALSE))</f>
        <v/>
      </c>
      <c r="BN25" s="6447"/>
      <c r="BO25" s="6447"/>
      <c r="BP25" s="6447"/>
      <c r="BQ25" s="6447"/>
      <c r="BR25" s="6447"/>
      <c r="BS25" s="6447"/>
      <c r="BT25" s="6447"/>
      <c r="BU25" s="6447"/>
      <c r="BV25" s="6448"/>
      <c r="BW25" s="402"/>
      <c r="BX25" s="2481"/>
    </row>
    <row r="26" spans="1:76" ht="12.2" customHeight="1" x14ac:dyDescent="0.2">
      <c r="A26" s="396"/>
      <c r="B26" s="279"/>
      <c r="C26" s="6449" t="s">
        <v>3198</v>
      </c>
      <c r="D26" s="6450"/>
      <c r="E26" s="411" t="str">
        <f>IF(C22=0,"",VLOOKUP(C22,'Tablas Magia'!$D$6:$Z$680,9,FALSE))</f>
        <v/>
      </c>
      <c r="F26" s="411" t="str">
        <f>IF(C22=0,"",VLOOKUP(C22,'Tablas Magia'!$D$6:$Z$680,13,FALSE))</f>
        <v/>
      </c>
      <c r="G26" s="412" t="str">
        <f>IF(C22=0,"",VLOOKUP(C22,'Tablas Magia'!$D$6:$Z$680,17,FALSE))</f>
        <v/>
      </c>
      <c r="H26" s="6451" t="str">
        <f>IF(C22=0,"",VLOOKUP(C22,'Tablas Magia'!$D$6:$Z$680,21,FALSE))</f>
        <v/>
      </c>
      <c r="I26" s="6452"/>
      <c r="J26" s="6452"/>
      <c r="K26" s="6452"/>
      <c r="L26" s="6452"/>
      <c r="M26" s="6452"/>
      <c r="N26" s="6452"/>
      <c r="O26" s="6452"/>
      <c r="P26" s="6452"/>
      <c r="Q26" s="6453"/>
      <c r="R26" s="402"/>
      <c r="S26" s="396"/>
      <c r="T26" s="396"/>
      <c r="U26" s="279"/>
      <c r="V26" s="6449" t="s">
        <v>3198</v>
      </c>
      <c r="W26" s="6450"/>
      <c r="X26" s="411" t="str">
        <f>IF(V22=0,"",VLOOKUP(V22,'Tablas Magia'!$D$6:$Z$680,9,FALSE))</f>
        <v/>
      </c>
      <c r="Y26" s="411" t="str">
        <f>IF(V22=0,"",VLOOKUP(V22,'Tablas Magia'!$D$6:$Z$680,13,FALSE))</f>
        <v/>
      </c>
      <c r="Z26" s="412" t="str">
        <f>IF(V22=0,"",VLOOKUP(V22,'Tablas Magia'!$D$6:$Z$680,17,FALSE))</f>
        <v/>
      </c>
      <c r="AA26" s="6451" t="str">
        <f>IF(V22=0,"",VLOOKUP(V22,'Tablas Magia'!$D$6:$Z$680,21,FALSE))</f>
        <v/>
      </c>
      <c r="AB26" s="6452"/>
      <c r="AC26" s="6452"/>
      <c r="AD26" s="6452"/>
      <c r="AE26" s="6452"/>
      <c r="AF26" s="6452"/>
      <c r="AG26" s="6452"/>
      <c r="AH26" s="6452"/>
      <c r="AI26" s="6452"/>
      <c r="AJ26" s="6453"/>
      <c r="AK26" s="402"/>
      <c r="AL26" s="396"/>
      <c r="AM26" s="396"/>
      <c r="AN26" s="279"/>
      <c r="AO26" s="6449" t="s">
        <v>3198</v>
      </c>
      <c r="AP26" s="6450"/>
      <c r="AQ26" s="411" t="str">
        <f>IF(AO22=0,"",VLOOKUP(AO22,'Tablas Magia'!$D$6:$Z$680,9,FALSE))</f>
        <v/>
      </c>
      <c r="AR26" s="411" t="str">
        <f>IF(AO22=0,"",VLOOKUP(AO22,'Tablas Magia'!$D$6:$Z$680,13,FALSE))</f>
        <v/>
      </c>
      <c r="AS26" s="412" t="str">
        <f>IF(AO22=0,"",VLOOKUP(AO22,'Tablas Magia'!$D$6:$Z$680,17,FALSE))</f>
        <v/>
      </c>
      <c r="AT26" s="6451" t="str">
        <f>IF(AO22=0,"",VLOOKUP(AO22,'Tablas Magia'!$D$6:$Z$680,21,FALSE))</f>
        <v/>
      </c>
      <c r="AU26" s="6452"/>
      <c r="AV26" s="6452"/>
      <c r="AW26" s="6452"/>
      <c r="AX26" s="6452"/>
      <c r="AY26" s="6452"/>
      <c r="AZ26" s="6452"/>
      <c r="BA26" s="6452"/>
      <c r="BB26" s="6452"/>
      <c r="BC26" s="6453"/>
      <c r="BD26" s="402"/>
      <c r="BE26" s="396"/>
      <c r="BF26" s="2481"/>
      <c r="BG26" s="279"/>
      <c r="BH26" s="6449" t="s">
        <v>3198</v>
      </c>
      <c r="BI26" s="6450"/>
      <c r="BJ26" s="411" t="str">
        <f>IF(BH22=0,"",VLOOKUP(BH22,'Tablas Magia'!$D$6:$Z$680,9,FALSE))</f>
        <v/>
      </c>
      <c r="BK26" s="411" t="str">
        <f>IF(BH22=0,"",VLOOKUP(BH22,'Tablas Magia'!$D$6:$Z$680,13,FALSE))</f>
        <v/>
      </c>
      <c r="BL26" s="412" t="str">
        <f>IF(BH22=0,"",VLOOKUP(BH22,'Tablas Magia'!$D$6:$Z$680,17,FALSE))</f>
        <v/>
      </c>
      <c r="BM26" s="6451" t="str">
        <f>IF(BH22=0,"",VLOOKUP(BH22,'Tablas Magia'!$D$6:$Z$680,21,FALSE))</f>
        <v/>
      </c>
      <c r="BN26" s="6452"/>
      <c r="BO26" s="6452"/>
      <c r="BP26" s="6452"/>
      <c r="BQ26" s="6452"/>
      <c r="BR26" s="6452"/>
      <c r="BS26" s="6452"/>
      <c r="BT26" s="6452"/>
      <c r="BU26" s="6452"/>
      <c r="BV26" s="6453"/>
      <c r="BW26" s="402"/>
      <c r="BX26" s="2481"/>
    </row>
    <row r="27" spans="1:76" ht="12.2" customHeight="1" thickBot="1" x14ac:dyDescent="0.25">
      <c r="A27" s="396"/>
      <c r="B27" s="279"/>
      <c r="C27" s="6454" t="s">
        <v>3199</v>
      </c>
      <c r="D27" s="6455"/>
      <c r="E27" s="415" t="str">
        <f>IF(C22=0,"",VLOOKUP(C22,'Tablas Magia'!$D$6:$Z$680,10,FALSE))</f>
        <v/>
      </c>
      <c r="F27" s="415" t="str">
        <f>IF(C22=0,"",VLOOKUP(C22,'Tablas Magia'!$D$6:$Z$680,14,FALSE))</f>
        <v/>
      </c>
      <c r="G27" s="416" t="str">
        <f>IF(C22=0,"",VLOOKUP(C22,'Tablas Magia'!$D$6:$Z$680,18,FALSE))</f>
        <v/>
      </c>
      <c r="H27" s="6456" t="str">
        <f>IF(C22=0,"",VLOOKUP(C22,'Tablas Magia'!$D$6:$Z$680,22,FALSE))</f>
        <v/>
      </c>
      <c r="I27" s="6457"/>
      <c r="J27" s="6457"/>
      <c r="K27" s="6457"/>
      <c r="L27" s="6457"/>
      <c r="M27" s="6457"/>
      <c r="N27" s="6457"/>
      <c r="O27" s="6457"/>
      <c r="P27" s="6457"/>
      <c r="Q27" s="6458"/>
      <c r="R27" s="402"/>
      <c r="S27" s="396"/>
      <c r="T27" s="396"/>
      <c r="U27" s="279"/>
      <c r="V27" s="6454" t="s">
        <v>3199</v>
      </c>
      <c r="W27" s="6455"/>
      <c r="X27" s="415" t="str">
        <f>IF(V22=0,"",VLOOKUP(V22,'Tablas Magia'!$D$6:$Z$680,10,FALSE))</f>
        <v/>
      </c>
      <c r="Y27" s="415" t="str">
        <f>IF(V22=0,"",VLOOKUP(V22,'Tablas Magia'!$D$6:$Z$680,14,FALSE))</f>
        <v/>
      </c>
      <c r="Z27" s="416" t="str">
        <f>IF(V22=0,"",VLOOKUP(V22,'Tablas Magia'!$D$6:$Z$680,18,FALSE))</f>
        <v/>
      </c>
      <c r="AA27" s="6456" t="str">
        <f>IF(V22=0,"",VLOOKUP(V22,'Tablas Magia'!$D$6:$Z$680,22,FALSE))</f>
        <v/>
      </c>
      <c r="AB27" s="6457"/>
      <c r="AC27" s="6457"/>
      <c r="AD27" s="6457"/>
      <c r="AE27" s="6457"/>
      <c r="AF27" s="6457"/>
      <c r="AG27" s="6457"/>
      <c r="AH27" s="6457"/>
      <c r="AI27" s="6457"/>
      <c r="AJ27" s="6458"/>
      <c r="AK27" s="402"/>
      <c r="AL27" s="396"/>
      <c r="AM27" s="396"/>
      <c r="AN27" s="279"/>
      <c r="AO27" s="6454" t="s">
        <v>3199</v>
      </c>
      <c r="AP27" s="6455"/>
      <c r="AQ27" s="415" t="str">
        <f>IF(AO22=0,"",VLOOKUP(AO22,'Tablas Magia'!$D$6:$Z$680,10,FALSE))</f>
        <v/>
      </c>
      <c r="AR27" s="415" t="str">
        <f>IF(AO22=0,"",VLOOKUP(AO22,'Tablas Magia'!$D$6:$Z$680,14,FALSE))</f>
        <v/>
      </c>
      <c r="AS27" s="416" t="str">
        <f>IF(AO22=0,"",VLOOKUP(AO22,'Tablas Magia'!$D$6:$Z$680,18,FALSE))</f>
        <v/>
      </c>
      <c r="AT27" s="6456" t="str">
        <f>IF(AO22=0,"",VLOOKUP(AO22,'Tablas Magia'!$D$6:$Z$680,22,FALSE))</f>
        <v/>
      </c>
      <c r="AU27" s="6457"/>
      <c r="AV27" s="6457"/>
      <c r="AW27" s="6457"/>
      <c r="AX27" s="6457"/>
      <c r="AY27" s="6457"/>
      <c r="AZ27" s="6457"/>
      <c r="BA27" s="6457"/>
      <c r="BB27" s="6457"/>
      <c r="BC27" s="6458"/>
      <c r="BD27" s="402"/>
      <c r="BE27" s="396"/>
      <c r="BF27" s="2481"/>
      <c r="BG27" s="279"/>
      <c r="BH27" s="6454" t="s">
        <v>3199</v>
      </c>
      <c r="BI27" s="6455"/>
      <c r="BJ27" s="415" t="str">
        <f>IF(BH22=0,"",VLOOKUP(BH22,'Tablas Magia'!$D$6:$Z$680,10,FALSE))</f>
        <v/>
      </c>
      <c r="BK27" s="415" t="str">
        <f>IF(BH22=0,"",VLOOKUP(BH22,'Tablas Magia'!$D$6:$Z$680,14,FALSE))</f>
        <v/>
      </c>
      <c r="BL27" s="416" t="str">
        <f>IF(BH22=0,"",VLOOKUP(BH22,'Tablas Magia'!$D$6:$Z$680,18,FALSE))</f>
        <v/>
      </c>
      <c r="BM27" s="6456" t="str">
        <f>IF(BH22=0,"",VLOOKUP(BH22,'Tablas Magia'!$D$6:$Z$680,22,FALSE))</f>
        <v/>
      </c>
      <c r="BN27" s="6457"/>
      <c r="BO27" s="6457"/>
      <c r="BP27" s="6457"/>
      <c r="BQ27" s="6457"/>
      <c r="BR27" s="6457"/>
      <c r="BS27" s="6457"/>
      <c r="BT27" s="6457"/>
      <c r="BU27" s="6457"/>
      <c r="BV27" s="6458"/>
      <c r="BW27" s="402"/>
      <c r="BX27" s="2481"/>
    </row>
    <row r="28" spans="1:76" ht="12.2" customHeight="1" x14ac:dyDescent="0.2">
      <c r="A28" s="396"/>
      <c r="B28" s="279"/>
      <c r="C28" s="6459" t="str">
        <f>IF(C22=0,"",VLOOKUP(C22,'Tablas Magia'!$D$6:$Z$680,23,FALSE))</f>
        <v/>
      </c>
      <c r="D28" s="6460"/>
      <c r="E28" s="6460"/>
      <c r="F28" s="6460"/>
      <c r="G28" s="6460"/>
      <c r="H28" s="6460"/>
      <c r="I28" s="6460"/>
      <c r="J28" s="6460"/>
      <c r="K28" s="6460"/>
      <c r="L28" s="6460"/>
      <c r="M28" s="6460"/>
      <c r="N28" s="6460"/>
      <c r="O28" s="6460"/>
      <c r="P28" s="6460"/>
      <c r="Q28" s="6461"/>
      <c r="R28" s="402"/>
      <c r="S28" s="396"/>
      <c r="T28" s="396"/>
      <c r="U28" s="279"/>
      <c r="V28" s="6459" t="str">
        <f>IF(V22=0,"",VLOOKUP(V22,'Tablas Magia'!$D$6:$Z$680,23,FALSE))</f>
        <v/>
      </c>
      <c r="W28" s="6460"/>
      <c r="X28" s="6460"/>
      <c r="Y28" s="6460"/>
      <c r="Z28" s="6460"/>
      <c r="AA28" s="6460"/>
      <c r="AB28" s="6460"/>
      <c r="AC28" s="6460"/>
      <c r="AD28" s="6460"/>
      <c r="AE28" s="6460"/>
      <c r="AF28" s="6460"/>
      <c r="AG28" s="6460"/>
      <c r="AH28" s="6460"/>
      <c r="AI28" s="6460"/>
      <c r="AJ28" s="6461"/>
      <c r="AK28" s="402"/>
      <c r="AL28" s="396"/>
      <c r="AM28" s="396"/>
      <c r="AN28" s="279"/>
      <c r="AO28" s="6459" t="str">
        <f>IF(AO22=0,"",VLOOKUP(AO22,'Tablas Magia'!$D$6:$Z$680,23,FALSE))</f>
        <v/>
      </c>
      <c r="AP28" s="6460"/>
      <c r="AQ28" s="6460"/>
      <c r="AR28" s="6460"/>
      <c r="AS28" s="6460"/>
      <c r="AT28" s="6460"/>
      <c r="AU28" s="6460"/>
      <c r="AV28" s="6460"/>
      <c r="AW28" s="6460"/>
      <c r="AX28" s="6460"/>
      <c r="AY28" s="6460"/>
      <c r="AZ28" s="6460"/>
      <c r="BA28" s="6460"/>
      <c r="BB28" s="6460"/>
      <c r="BC28" s="6461"/>
      <c r="BD28" s="402"/>
      <c r="BE28" s="396"/>
      <c r="BF28" s="2481"/>
      <c r="BG28" s="279"/>
      <c r="BH28" s="6459" t="str">
        <f>IF(BH22=0,"",VLOOKUP(BH22,'Tablas Magia'!$D$6:$Z$680,23,FALSE))</f>
        <v/>
      </c>
      <c r="BI28" s="6460"/>
      <c r="BJ28" s="6460"/>
      <c r="BK28" s="6460"/>
      <c r="BL28" s="6460"/>
      <c r="BM28" s="6460"/>
      <c r="BN28" s="6460"/>
      <c r="BO28" s="6460"/>
      <c r="BP28" s="6460"/>
      <c r="BQ28" s="6460"/>
      <c r="BR28" s="6460"/>
      <c r="BS28" s="6460"/>
      <c r="BT28" s="6460"/>
      <c r="BU28" s="6460"/>
      <c r="BV28" s="6461"/>
      <c r="BW28" s="402"/>
      <c r="BX28" s="2481"/>
    </row>
    <row r="29" spans="1:76" ht="12.2" customHeight="1" x14ac:dyDescent="0.2">
      <c r="A29" s="396"/>
      <c r="B29" s="279"/>
      <c r="C29" s="6462"/>
      <c r="D29" s="6463"/>
      <c r="E29" s="6463"/>
      <c r="F29" s="6463"/>
      <c r="G29" s="6463"/>
      <c r="H29" s="6463"/>
      <c r="I29" s="6463"/>
      <c r="J29" s="6463"/>
      <c r="K29" s="6463"/>
      <c r="L29" s="6463"/>
      <c r="M29" s="6463"/>
      <c r="N29" s="6463"/>
      <c r="O29" s="6463"/>
      <c r="P29" s="6463"/>
      <c r="Q29" s="6464"/>
      <c r="R29" s="402"/>
      <c r="S29" s="396"/>
      <c r="T29" s="396"/>
      <c r="U29" s="279"/>
      <c r="V29" s="6462"/>
      <c r="W29" s="6463"/>
      <c r="X29" s="6463"/>
      <c r="Y29" s="6463"/>
      <c r="Z29" s="6463"/>
      <c r="AA29" s="6463"/>
      <c r="AB29" s="6463"/>
      <c r="AC29" s="6463"/>
      <c r="AD29" s="6463"/>
      <c r="AE29" s="6463"/>
      <c r="AF29" s="6463"/>
      <c r="AG29" s="6463"/>
      <c r="AH29" s="6463"/>
      <c r="AI29" s="6463"/>
      <c r="AJ29" s="6464"/>
      <c r="AK29" s="402"/>
      <c r="AL29" s="396"/>
      <c r="AM29" s="396"/>
      <c r="AN29" s="279"/>
      <c r="AO29" s="6462"/>
      <c r="AP29" s="6463"/>
      <c r="AQ29" s="6463"/>
      <c r="AR29" s="6463"/>
      <c r="AS29" s="6463"/>
      <c r="AT29" s="6463"/>
      <c r="AU29" s="6463"/>
      <c r="AV29" s="6463"/>
      <c r="AW29" s="6463"/>
      <c r="AX29" s="6463"/>
      <c r="AY29" s="6463"/>
      <c r="AZ29" s="6463"/>
      <c r="BA29" s="6463"/>
      <c r="BB29" s="6463"/>
      <c r="BC29" s="6464"/>
      <c r="BD29" s="402"/>
      <c r="BE29" s="396"/>
      <c r="BF29" s="2481"/>
      <c r="BG29" s="279"/>
      <c r="BH29" s="6462"/>
      <c r="BI29" s="6463"/>
      <c r="BJ29" s="6463"/>
      <c r="BK29" s="6463"/>
      <c r="BL29" s="6463"/>
      <c r="BM29" s="6463"/>
      <c r="BN29" s="6463"/>
      <c r="BO29" s="6463"/>
      <c r="BP29" s="6463"/>
      <c r="BQ29" s="6463"/>
      <c r="BR29" s="6463"/>
      <c r="BS29" s="6463"/>
      <c r="BT29" s="6463"/>
      <c r="BU29" s="6463"/>
      <c r="BV29" s="6464"/>
      <c r="BW29" s="402"/>
      <c r="BX29" s="2481"/>
    </row>
    <row r="30" spans="1:76" ht="12.2" customHeight="1" x14ac:dyDescent="0.2">
      <c r="A30" s="396"/>
      <c r="B30" s="279"/>
      <c r="C30" s="6462"/>
      <c r="D30" s="6463"/>
      <c r="E30" s="6463"/>
      <c r="F30" s="6463"/>
      <c r="G30" s="6463"/>
      <c r="H30" s="6463"/>
      <c r="I30" s="6463"/>
      <c r="J30" s="6463"/>
      <c r="K30" s="6463"/>
      <c r="L30" s="6463"/>
      <c r="M30" s="6463"/>
      <c r="N30" s="6463"/>
      <c r="O30" s="6463"/>
      <c r="P30" s="6463"/>
      <c r="Q30" s="6464"/>
      <c r="R30" s="402"/>
      <c r="S30" s="396"/>
      <c r="T30" s="396"/>
      <c r="U30" s="279"/>
      <c r="V30" s="6462"/>
      <c r="W30" s="6463"/>
      <c r="X30" s="6463"/>
      <c r="Y30" s="6463"/>
      <c r="Z30" s="6463"/>
      <c r="AA30" s="6463"/>
      <c r="AB30" s="6463"/>
      <c r="AC30" s="6463"/>
      <c r="AD30" s="6463"/>
      <c r="AE30" s="6463"/>
      <c r="AF30" s="6463"/>
      <c r="AG30" s="6463"/>
      <c r="AH30" s="6463"/>
      <c r="AI30" s="6463"/>
      <c r="AJ30" s="6464"/>
      <c r="AK30" s="402"/>
      <c r="AL30" s="396"/>
      <c r="AM30" s="396"/>
      <c r="AN30" s="279"/>
      <c r="AO30" s="6462"/>
      <c r="AP30" s="6463"/>
      <c r="AQ30" s="6463"/>
      <c r="AR30" s="6463"/>
      <c r="AS30" s="6463"/>
      <c r="AT30" s="6463"/>
      <c r="AU30" s="6463"/>
      <c r="AV30" s="6463"/>
      <c r="AW30" s="6463"/>
      <c r="AX30" s="6463"/>
      <c r="AY30" s="6463"/>
      <c r="AZ30" s="6463"/>
      <c r="BA30" s="6463"/>
      <c r="BB30" s="6463"/>
      <c r="BC30" s="6464"/>
      <c r="BD30" s="402"/>
      <c r="BE30" s="396"/>
      <c r="BF30" s="2481"/>
      <c r="BG30" s="279"/>
      <c r="BH30" s="6462"/>
      <c r="BI30" s="6463"/>
      <c r="BJ30" s="6463"/>
      <c r="BK30" s="6463"/>
      <c r="BL30" s="6463"/>
      <c r="BM30" s="6463"/>
      <c r="BN30" s="6463"/>
      <c r="BO30" s="6463"/>
      <c r="BP30" s="6463"/>
      <c r="BQ30" s="6463"/>
      <c r="BR30" s="6463"/>
      <c r="BS30" s="6463"/>
      <c r="BT30" s="6463"/>
      <c r="BU30" s="6463"/>
      <c r="BV30" s="6464"/>
      <c r="BW30" s="402"/>
      <c r="BX30" s="2481"/>
    </row>
    <row r="31" spans="1:76" ht="12.2" customHeight="1" thickBot="1" x14ac:dyDescent="0.25">
      <c r="A31" s="396"/>
      <c r="B31" s="279"/>
      <c r="C31" s="6465"/>
      <c r="D31" s="6466"/>
      <c r="E31" s="6466"/>
      <c r="F31" s="6466"/>
      <c r="G31" s="6466"/>
      <c r="H31" s="6466"/>
      <c r="I31" s="6466"/>
      <c r="J31" s="6466"/>
      <c r="K31" s="6466"/>
      <c r="L31" s="6466"/>
      <c r="M31" s="6466"/>
      <c r="N31" s="6466"/>
      <c r="O31" s="6466"/>
      <c r="P31" s="6466"/>
      <c r="Q31" s="6467"/>
      <c r="R31" s="402"/>
      <c r="S31" s="396"/>
      <c r="T31" s="396"/>
      <c r="U31" s="279"/>
      <c r="V31" s="6465"/>
      <c r="W31" s="6466"/>
      <c r="X31" s="6466"/>
      <c r="Y31" s="6466"/>
      <c r="Z31" s="6466"/>
      <c r="AA31" s="6466"/>
      <c r="AB31" s="6466"/>
      <c r="AC31" s="6466"/>
      <c r="AD31" s="6466"/>
      <c r="AE31" s="6466"/>
      <c r="AF31" s="6466"/>
      <c r="AG31" s="6466"/>
      <c r="AH31" s="6466"/>
      <c r="AI31" s="6466"/>
      <c r="AJ31" s="6467"/>
      <c r="AK31" s="402"/>
      <c r="AL31" s="396"/>
      <c r="AM31" s="396"/>
      <c r="AN31" s="279"/>
      <c r="AO31" s="6465"/>
      <c r="AP31" s="6466"/>
      <c r="AQ31" s="6466"/>
      <c r="AR31" s="6466"/>
      <c r="AS31" s="6466"/>
      <c r="AT31" s="6466"/>
      <c r="AU31" s="6466"/>
      <c r="AV31" s="6466"/>
      <c r="AW31" s="6466"/>
      <c r="AX31" s="6466"/>
      <c r="AY31" s="6466"/>
      <c r="AZ31" s="6466"/>
      <c r="BA31" s="6466"/>
      <c r="BB31" s="6466"/>
      <c r="BC31" s="6467"/>
      <c r="BD31" s="402"/>
      <c r="BE31" s="396"/>
      <c r="BF31" s="2481"/>
      <c r="BG31" s="279"/>
      <c r="BH31" s="6465"/>
      <c r="BI31" s="6466"/>
      <c r="BJ31" s="6466"/>
      <c r="BK31" s="6466"/>
      <c r="BL31" s="6466"/>
      <c r="BM31" s="6466"/>
      <c r="BN31" s="6466"/>
      <c r="BO31" s="6466"/>
      <c r="BP31" s="6466"/>
      <c r="BQ31" s="6466"/>
      <c r="BR31" s="6466"/>
      <c r="BS31" s="6466"/>
      <c r="BT31" s="6466"/>
      <c r="BU31" s="6466"/>
      <c r="BV31" s="6467"/>
      <c r="BW31" s="402"/>
      <c r="BX31" s="2481"/>
    </row>
    <row r="32" spans="1:76" ht="12.2" customHeight="1" thickBot="1" x14ac:dyDescent="0.25">
      <c r="A32" s="396"/>
      <c r="B32" s="279"/>
      <c r="C32" s="419"/>
      <c r="D32" s="419"/>
      <c r="E32" s="420"/>
      <c r="F32" s="420"/>
      <c r="G32" s="420"/>
      <c r="H32" s="419"/>
      <c r="I32" s="354"/>
      <c r="J32" s="354"/>
      <c r="K32" s="419"/>
      <c r="L32" s="419"/>
      <c r="M32" s="354"/>
      <c r="N32" s="354"/>
      <c r="O32" s="421"/>
      <c r="P32" s="421"/>
      <c r="Q32" s="354"/>
      <c r="R32" s="402"/>
      <c r="S32" s="396"/>
      <c r="T32" s="396"/>
      <c r="U32" s="279"/>
      <c r="V32" s="419"/>
      <c r="W32" s="419"/>
      <c r="X32" s="420"/>
      <c r="Y32" s="420"/>
      <c r="Z32" s="420"/>
      <c r="AA32" s="419"/>
      <c r="AB32" s="354"/>
      <c r="AC32" s="354"/>
      <c r="AD32" s="419"/>
      <c r="AE32" s="419"/>
      <c r="AF32" s="354"/>
      <c r="AG32" s="354"/>
      <c r="AH32" s="421"/>
      <c r="AI32" s="421"/>
      <c r="AJ32" s="354"/>
      <c r="AK32" s="402"/>
      <c r="AL32" s="396"/>
      <c r="AM32" s="396"/>
      <c r="AN32" s="279"/>
      <c r="AO32" s="419"/>
      <c r="AP32" s="419"/>
      <c r="AQ32" s="420"/>
      <c r="AR32" s="420"/>
      <c r="AS32" s="420"/>
      <c r="AT32" s="419"/>
      <c r="AU32" s="354"/>
      <c r="AV32" s="354"/>
      <c r="AW32" s="419"/>
      <c r="AX32" s="419"/>
      <c r="AY32" s="354"/>
      <c r="AZ32" s="354"/>
      <c r="BA32" s="421"/>
      <c r="BB32" s="421"/>
      <c r="BC32" s="354"/>
      <c r="BD32" s="402"/>
      <c r="BE32" s="396"/>
      <c r="BF32" s="2481"/>
      <c r="BG32" s="279"/>
      <c r="BH32" s="419"/>
      <c r="BI32" s="419"/>
      <c r="BJ32" s="420"/>
      <c r="BK32" s="420"/>
      <c r="BL32" s="420"/>
      <c r="BM32" s="419"/>
      <c r="BN32" s="354"/>
      <c r="BO32" s="354"/>
      <c r="BP32" s="419"/>
      <c r="BQ32" s="419"/>
      <c r="BR32" s="354"/>
      <c r="BS32" s="354"/>
      <c r="BT32" s="421"/>
      <c r="BU32" s="421"/>
      <c r="BV32" s="354"/>
      <c r="BW32" s="402"/>
      <c r="BX32" s="2481"/>
    </row>
    <row r="33" spans="1:76" ht="12.2" customHeight="1" x14ac:dyDescent="0.2">
      <c r="A33" s="396"/>
      <c r="B33" s="279"/>
      <c r="C33" s="6468"/>
      <c r="D33" s="6469"/>
      <c r="E33" s="6469"/>
      <c r="F33" s="6469"/>
      <c r="G33" s="6469"/>
      <c r="H33" s="406" t="s">
        <v>1325</v>
      </c>
      <c r="I33" s="407" t="str">
        <f>IF(C33=0,"",VLOOKUP(C33,'Tablas Magia'!$D$6:$Z$680,3,FALSE))</f>
        <v/>
      </c>
      <c r="J33" s="6470" t="s">
        <v>6236</v>
      </c>
      <c r="K33" s="6470"/>
      <c r="L33" s="6470"/>
      <c r="M33" s="6471" t="str">
        <f>IF(C33=0,"",VLOOKUP(C33,'Tablas Magia'!$D$6:$Z$680,2,FALSE))</f>
        <v/>
      </c>
      <c r="N33" s="6471"/>
      <c r="O33" s="6471"/>
      <c r="P33" s="6471"/>
      <c r="Q33" s="6472"/>
      <c r="R33" s="402"/>
      <c r="S33" s="396"/>
      <c r="T33" s="396"/>
      <c r="U33" s="279"/>
      <c r="V33" s="6468"/>
      <c r="W33" s="6469"/>
      <c r="X33" s="6469"/>
      <c r="Y33" s="6469"/>
      <c r="Z33" s="6469"/>
      <c r="AA33" s="406" t="s">
        <v>1325</v>
      </c>
      <c r="AB33" s="407" t="str">
        <f>IF(V33=0,"",VLOOKUP(V33,'Tablas Magia'!$D$6:$Z$680,3,FALSE))</f>
        <v/>
      </c>
      <c r="AC33" s="6470" t="s">
        <v>6236</v>
      </c>
      <c r="AD33" s="6470"/>
      <c r="AE33" s="6470"/>
      <c r="AF33" s="6471" t="str">
        <f>IF(V33=0,"",VLOOKUP(V33,'Tablas Magia'!$D$6:$Z$680,2,FALSE))</f>
        <v/>
      </c>
      <c r="AG33" s="6471"/>
      <c r="AH33" s="6471"/>
      <c r="AI33" s="6471"/>
      <c r="AJ33" s="6472"/>
      <c r="AK33" s="402"/>
      <c r="AL33" s="396"/>
      <c r="AM33" s="396"/>
      <c r="AN33" s="279"/>
      <c r="AO33" s="6468"/>
      <c r="AP33" s="6469"/>
      <c r="AQ33" s="6469"/>
      <c r="AR33" s="6469"/>
      <c r="AS33" s="6469"/>
      <c r="AT33" s="406" t="s">
        <v>1325</v>
      </c>
      <c r="AU33" s="407" t="str">
        <f>IF(AO33=0,"",VLOOKUP(AO33,'Tablas Magia'!$D$6:$Z$680,3,FALSE))</f>
        <v/>
      </c>
      <c r="AV33" s="6470" t="s">
        <v>6236</v>
      </c>
      <c r="AW33" s="6470"/>
      <c r="AX33" s="6470"/>
      <c r="AY33" s="6471" t="str">
        <f>IF(AO33=0,"",VLOOKUP(AO33,'Tablas Magia'!$D$6:$Z$680,2,FALSE))</f>
        <v/>
      </c>
      <c r="AZ33" s="6471"/>
      <c r="BA33" s="6471"/>
      <c r="BB33" s="6471"/>
      <c r="BC33" s="6472"/>
      <c r="BD33" s="402"/>
      <c r="BE33" s="396"/>
      <c r="BF33" s="2481"/>
      <c r="BG33" s="279"/>
      <c r="BH33" s="6468"/>
      <c r="BI33" s="6469"/>
      <c r="BJ33" s="6469"/>
      <c r="BK33" s="6469"/>
      <c r="BL33" s="6469"/>
      <c r="BM33" s="406" t="s">
        <v>1325</v>
      </c>
      <c r="BN33" s="407" t="str">
        <f>IF(BH33=0,"",VLOOKUP(BH33,'Tablas Magia'!$D$6:$Z$680,3,FALSE))</f>
        <v/>
      </c>
      <c r="BO33" s="6470" t="s">
        <v>6236</v>
      </c>
      <c r="BP33" s="6470"/>
      <c r="BQ33" s="6470"/>
      <c r="BR33" s="6471" t="str">
        <f>IF(BH33=0,"",VLOOKUP(BH33,'Tablas Magia'!$D$6:$Z$680,2,FALSE))</f>
        <v/>
      </c>
      <c r="BS33" s="6471"/>
      <c r="BT33" s="6471"/>
      <c r="BU33" s="6471"/>
      <c r="BV33" s="6472"/>
      <c r="BW33" s="402"/>
      <c r="BX33" s="2481"/>
    </row>
    <row r="34" spans="1:76" ht="12.2" customHeight="1" x14ac:dyDescent="0.2">
      <c r="A34" s="396"/>
      <c r="B34" s="279"/>
      <c r="C34" s="6473" t="s">
        <v>6237</v>
      </c>
      <c r="D34" s="6474"/>
      <c r="E34" s="408" t="s">
        <v>6238</v>
      </c>
      <c r="F34" s="408" t="s">
        <v>1509</v>
      </c>
      <c r="G34" s="408" t="s">
        <v>2828</v>
      </c>
      <c r="H34" s="409" t="s">
        <v>1836</v>
      </c>
      <c r="I34" s="6475" t="str">
        <f>IF(C33=0,"",VLOOKUP(C33,'Tablas Magia'!$D$6:$Z$680,5,FALSE))</f>
        <v/>
      </c>
      <c r="J34" s="6475"/>
      <c r="K34" s="6476" t="s">
        <v>6239</v>
      </c>
      <c r="L34" s="6476"/>
      <c r="M34" s="6475" t="str">
        <f>IF(C33=0,"",VLOOKUP(C33,'Tablas Magia'!$D$6:$Z$680,6,FALSE))</f>
        <v/>
      </c>
      <c r="N34" s="6475"/>
      <c r="O34" s="6477" t="s">
        <v>6240</v>
      </c>
      <c r="P34" s="6477"/>
      <c r="Q34" s="410" t="str">
        <f>IF(C33=0,"",VLOOKUP(C33,'Tablas Magia'!$D$6:$Z$680,4,FALSE))</f>
        <v/>
      </c>
      <c r="R34" s="402"/>
      <c r="S34" s="396"/>
      <c r="T34" s="396"/>
      <c r="U34" s="279"/>
      <c r="V34" s="6473" t="s">
        <v>6237</v>
      </c>
      <c r="W34" s="6474"/>
      <c r="X34" s="408" t="s">
        <v>6238</v>
      </c>
      <c r="Y34" s="408" t="s">
        <v>1509</v>
      </c>
      <c r="Z34" s="408" t="s">
        <v>2828</v>
      </c>
      <c r="AA34" s="409" t="s">
        <v>1836</v>
      </c>
      <c r="AB34" s="6475" t="str">
        <f>IF(V33=0,"",VLOOKUP(V33,'Tablas Magia'!$D$6:$Z$680,5,FALSE))</f>
        <v/>
      </c>
      <c r="AC34" s="6475"/>
      <c r="AD34" s="6476" t="s">
        <v>6239</v>
      </c>
      <c r="AE34" s="6476"/>
      <c r="AF34" s="6475" t="str">
        <f>IF(V33=0,"",VLOOKUP(V33,'Tablas Magia'!$D$6:$Z$680,6,FALSE))</f>
        <v/>
      </c>
      <c r="AG34" s="6475"/>
      <c r="AH34" s="6477" t="s">
        <v>6240</v>
      </c>
      <c r="AI34" s="6477"/>
      <c r="AJ34" s="410" t="str">
        <f>IF(V33=0,"",VLOOKUP(V33,'Tablas Magia'!$D$6:$Z$680,4,FALSE))</f>
        <v/>
      </c>
      <c r="AK34" s="402"/>
      <c r="AL34" s="396"/>
      <c r="AM34" s="396"/>
      <c r="AN34" s="279"/>
      <c r="AO34" s="6473" t="s">
        <v>6237</v>
      </c>
      <c r="AP34" s="6474"/>
      <c r="AQ34" s="408" t="s">
        <v>6238</v>
      </c>
      <c r="AR34" s="408" t="s">
        <v>1509</v>
      </c>
      <c r="AS34" s="408" t="s">
        <v>2828</v>
      </c>
      <c r="AT34" s="409" t="s">
        <v>1836</v>
      </c>
      <c r="AU34" s="6475" t="str">
        <f>IF(AO33=0,"",VLOOKUP(AO33,'Tablas Magia'!$D$6:$Z$680,5,FALSE))</f>
        <v/>
      </c>
      <c r="AV34" s="6475"/>
      <c r="AW34" s="6476" t="s">
        <v>6239</v>
      </c>
      <c r="AX34" s="6476"/>
      <c r="AY34" s="6475" t="str">
        <f>IF(AO33=0,"",VLOOKUP(AO33,'Tablas Magia'!$D$6:$Z$680,6,FALSE))</f>
        <v/>
      </c>
      <c r="AZ34" s="6475"/>
      <c r="BA34" s="6477" t="s">
        <v>6240</v>
      </c>
      <c r="BB34" s="6477"/>
      <c r="BC34" s="410" t="str">
        <f>IF(AO33=0,"",VLOOKUP(AO33,'Tablas Magia'!$D$6:$Z$680,4,FALSE))</f>
        <v/>
      </c>
      <c r="BD34" s="402"/>
      <c r="BE34" s="396"/>
      <c r="BF34" s="2481"/>
      <c r="BG34" s="279"/>
      <c r="BH34" s="6473" t="s">
        <v>6237</v>
      </c>
      <c r="BI34" s="6474"/>
      <c r="BJ34" s="408" t="s">
        <v>6238</v>
      </c>
      <c r="BK34" s="408" t="s">
        <v>1509</v>
      </c>
      <c r="BL34" s="408" t="s">
        <v>2828</v>
      </c>
      <c r="BM34" s="409" t="s">
        <v>1836</v>
      </c>
      <c r="BN34" s="6475" t="str">
        <f>IF(BH33=0,"",VLOOKUP(BH33,'Tablas Magia'!$D$6:$Z$680,5,FALSE))</f>
        <v/>
      </c>
      <c r="BO34" s="6475"/>
      <c r="BP34" s="6476" t="s">
        <v>6239</v>
      </c>
      <c r="BQ34" s="6476"/>
      <c r="BR34" s="6475" t="str">
        <f>IF(BH33=0,"",VLOOKUP(BH33,'Tablas Magia'!$D$6:$Z$680,6,FALSE))</f>
        <v/>
      </c>
      <c r="BS34" s="6475"/>
      <c r="BT34" s="6477" t="s">
        <v>6240</v>
      </c>
      <c r="BU34" s="6477"/>
      <c r="BV34" s="410" t="str">
        <f>IF(BH33=0,"",VLOOKUP(BH33,'Tablas Magia'!$D$6:$Z$680,4,FALSE))</f>
        <v/>
      </c>
      <c r="BW34" s="402"/>
      <c r="BX34" s="2481"/>
    </row>
    <row r="35" spans="1:76" ht="12.2" customHeight="1" x14ac:dyDescent="0.2">
      <c r="A35" s="396"/>
      <c r="B35" s="279"/>
      <c r="C35" s="6449" t="s">
        <v>1365</v>
      </c>
      <c r="D35" s="6450"/>
      <c r="E35" s="411" t="str">
        <f>IF(C33=0,"",VLOOKUP(C33,'Tablas Magia'!$D$6:$Z$680,7,FALSE))</f>
        <v/>
      </c>
      <c r="F35" s="411" t="str">
        <f>IF(C33=0,"",VLOOKUP(C33,'Tablas Magia'!$D$6:$Z$680,11,FALSE))</f>
        <v/>
      </c>
      <c r="G35" s="412" t="str">
        <f>IF(C33=0,"",VLOOKUP(C33,'Tablas Magia'!$D$6:$Z$680,15,FALSE))</f>
        <v/>
      </c>
      <c r="H35" s="6451" t="str">
        <f>IF(C33=0,"",VLOOKUP(C33,'Tablas Magia'!$D$6:$Z$680,19,FALSE))</f>
        <v/>
      </c>
      <c r="I35" s="6452"/>
      <c r="J35" s="6452"/>
      <c r="K35" s="6452"/>
      <c r="L35" s="6452"/>
      <c r="M35" s="6452"/>
      <c r="N35" s="6452"/>
      <c r="O35" s="6452"/>
      <c r="P35" s="6452"/>
      <c r="Q35" s="6453"/>
      <c r="R35" s="402"/>
      <c r="S35" s="396"/>
      <c r="T35" s="396"/>
      <c r="U35" s="279"/>
      <c r="V35" s="6449" t="s">
        <v>1365</v>
      </c>
      <c r="W35" s="6450"/>
      <c r="X35" s="411" t="str">
        <f>IF(V33=0,"",VLOOKUP(V33,'Tablas Magia'!$D$6:$Z$680,7,FALSE))</f>
        <v/>
      </c>
      <c r="Y35" s="411" t="str">
        <f>IF(V33=0,"",VLOOKUP(V33,'Tablas Magia'!$D$6:$Z$680,11,FALSE))</f>
        <v/>
      </c>
      <c r="Z35" s="412" t="str">
        <f>IF(V33=0,"",VLOOKUP(V33,'Tablas Magia'!$D$6:$Z$680,15,FALSE))</f>
        <v/>
      </c>
      <c r="AA35" s="6451" t="str">
        <f>IF(V33=0,"",VLOOKUP(V33,'Tablas Magia'!$D$6:$Z$680,19,FALSE))</f>
        <v/>
      </c>
      <c r="AB35" s="6452"/>
      <c r="AC35" s="6452"/>
      <c r="AD35" s="6452"/>
      <c r="AE35" s="6452"/>
      <c r="AF35" s="6452"/>
      <c r="AG35" s="6452"/>
      <c r="AH35" s="6452"/>
      <c r="AI35" s="6452"/>
      <c r="AJ35" s="6453"/>
      <c r="AK35" s="402"/>
      <c r="AL35" s="396"/>
      <c r="AM35" s="396"/>
      <c r="AN35" s="279"/>
      <c r="AO35" s="6449" t="s">
        <v>1365</v>
      </c>
      <c r="AP35" s="6450"/>
      <c r="AQ35" s="411" t="str">
        <f>IF(AO33=0,"",VLOOKUP(AO33,'Tablas Magia'!$D$6:$Z$680,7,FALSE))</f>
        <v/>
      </c>
      <c r="AR35" s="411" t="str">
        <f>IF(AO33=0,"",VLOOKUP(AO33,'Tablas Magia'!$D$6:$Z$680,11,FALSE))</f>
        <v/>
      </c>
      <c r="AS35" s="412" t="str">
        <f>IF(AO33=0,"",VLOOKUP(AO33,'Tablas Magia'!$D$6:$Z$680,15,FALSE))</f>
        <v/>
      </c>
      <c r="AT35" s="6451" t="str">
        <f>IF(AO33=0,"",VLOOKUP(AO33,'Tablas Magia'!$D$6:$Z$680,19,FALSE))</f>
        <v/>
      </c>
      <c r="AU35" s="6452"/>
      <c r="AV35" s="6452"/>
      <c r="AW35" s="6452"/>
      <c r="AX35" s="6452"/>
      <c r="AY35" s="6452"/>
      <c r="AZ35" s="6452"/>
      <c r="BA35" s="6452"/>
      <c r="BB35" s="6452"/>
      <c r="BC35" s="6453"/>
      <c r="BD35" s="402"/>
      <c r="BE35" s="396"/>
      <c r="BF35" s="2481"/>
      <c r="BG35" s="279"/>
      <c r="BH35" s="6449" t="s">
        <v>1365</v>
      </c>
      <c r="BI35" s="6450"/>
      <c r="BJ35" s="411" t="str">
        <f>IF(BH33=0,"",VLOOKUP(BH33,'Tablas Magia'!$D$6:$Z$680,7,FALSE))</f>
        <v/>
      </c>
      <c r="BK35" s="411" t="str">
        <f>IF(BH33=0,"",VLOOKUP(BH33,'Tablas Magia'!$D$6:$Z$680,11,FALSE))</f>
        <v/>
      </c>
      <c r="BL35" s="412" t="str">
        <f>IF(BH33=0,"",VLOOKUP(BH33,'Tablas Magia'!$D$6:$Z$680,15,FALSE))</f>
        <v/>
      </c>
      <c r="BM35" s="6451" t="str">
        <f>IF(BH33=0,"",VLOOKUP(BH33,'Tablas Magia'!$D$6:$Z$680,19,FALSE))</f>
        <v/>
      </c>
      <c r="BN35" s="6452"/>
      <c r="BO35" s="6452"/>
      <c r="BP35" s="6452"/>
      <c r="BQ35" s="6452"/>
      <c r="BR35" s="6452"/>
      <c r="BS35" s="6452"/>
      <c r="BT35" s="6452"/>
      <c r="BU35" s="6452"/>
      <c r="BV35" s="6453"/>
      <c r="BW35" s="402"/>
      <c r="BX35" s="2481"/>
    </row>
    <row r="36" spans="1:76" ht="12.2" customHeight="1" x14ac:dyDescent="0.2">
      <c r="A36" s="396"/>
      <c r="B36" s="279"/>
      <c r="C36" s="6444" t="s">
        <v>3197</v>
      </c>
      <c r="D36" s="6445"/>
      <c r="E36" s="413" t="str">
        <f>IF(C33=0,"",VLOOKUP(C33,'Tablas Magia'!$D$6:$Z$680,8,FALSE))</f>
        <v/>
      </c>
      <c r="F36" s="413" t="str">
        <f>IF(C33=0,"",VLOOKUP(C33,'Tablas Magia'!$D$6:$Z$680,12,FALSE))</f>
        <v/>
      </c>
      <c r="G36" s="414" t="str">
        <f>IF(C33=0,"",VLOOKUP(C33,'Tablas Magia'!$D$6:$Z$680,16,FALSE))</f>
        <v/>
      </c>
      <c r="H36" s="6446" t="str">
        <f>IF(C33=0,"",VLOOKUP(C33,'Tablas Magia'!$D$6:$Z$680,20,FALSE))</f>
        <v/>
      </c>
      <c r="I36" s="6447"/>
      <c r="J36" s="6447"/>
      <c r="K36" s="6447"/>
      <c r="L36" s="6447"/>
      <c r="M36" s="6447"/>
      <c r="N36" s="6447"/>
      <c r="O36" s="6447"/>
      <c r="P36" s="6447"/>
      <c r="Q36" s="6448"/>
      <c r="R36" s="402"/>
      <c r="S36" s="396"/>
      <c r="T36" s="396"/>
      <c r="U36" s="279"/>
      <c r="V36" s="6444" t="s">
        <v>3197</v>
      </c>
      <c r="W36" s="6445"/>
      <c r="X36" s="413" t="str">
        <f>IF(V33=0,"",VLOOKUP(V33,'Tablas Magia'!$D$6:$Z$680,8,FALSE))</f>
        <v/>
      </c>
      <c r="Y36" s="413" t="str">
        <f>IF(V33=0,"",VLOOKUP(V33,'Tablas Magia'!$D$6:$Z$680,12,FALSE))</f>
        <v/>
      </c>
      <c r="Z36" s="414" t="str">
        <f>IF(V33=0,"",VLOOKUP(V33,'Tablas Magia'!$D$6:$Z$680,16,FALSE))</f>
        <v/>
      </c>
      <c r="AA36" s="6446" t="str">
        <f>IF(V33=0,"",VLOOKUP(V33,'Tablas Magia'!$D$6:$Z$680,20,FALSE))</f>
        <v/>
      </c>
      <c r="AB36" s="6447"/>
      <c r="AC36" s="6447"/>
      <c r="AD36" s="6447"/>
      <c r="AE36" s="6447"/>
      <c r="AF36" s="6447"/>
      <c r="AG36" s="6447"/>
      <c r="AH36" s="6447"/>
      <c r="AI36" s="6447"/>
      <c r="AJ36" s="6448"/>
      <c r="AK36" s="402"/>
      <c r="AL36" s="396"/>
      <c r="AM36" s="396"/>
      <c r="AN36" s="279"/>
      <c r="AO36" s="6444" t="s">
        <v>3197</v>
      </c>
      <c r="AP36" s="6445"/>
      <c r="AQ36" s="413" t="str">
        <f>IF(AO33=0,"",VLOOKUP(AO33,'Tablas Magia'!$D$6:$Z$680,8,FALSE))</f>
        <v/>
      </c>
      <c r="AR36" s="413" t="str">
        <f>IF(AO33=0,"",VLOOKUP(AO33,'Tablas Magia'!$D$6:$Z$680,12,FALSE))</f>
        <v/>
      </c>
      <c r="AS36" s="414" t="str">
        <f>IF(AO33=0,"",VLOOKUP(AO33,'Tablas Magia'!$D$6:$Z$680,16,FALSE))</f>
        <v/>
      </c>
      <c r="AT36" s="6446" t="str">
        <f>IF(AO33=0,"",VLOOKUP(AO33,'Tablas Magia'!$D$6:$Z$680,20,FALSE))</f>
        <v/>
      </c>
      <c r="AU36" s="6447"/>
      <c r="AV36" s="6447"/>
      <c r="AW36" s="6447"/>
      <c r="AX36" s="6447"/>
      <c r="AY36" s="6447"/>
      <c r="AZ36" s="6447"/>
      <c r="BA36" s="6447"/>
      <c r="BB36" s="6447"/>
      <c r="BC36" s="6448"/>
      <c r="BD36" s="402"/>
      <c r="BE36" s="396"/>
      <c r="BF36" s="2481"/>
      <c r="BG36" s="279"/>
      <c r="BH36" s="6444" t="s">
        <v>3197</v>
      </c>
      <c r="BI36" s="6445"/>
      <c r="BJ36" s="413" t="str">
        <f>IF(BH33=0,"",VLOOKUP(BH33,'Tablas Magia'!$D$6:$Z$680,8,FALSE))</f>
        <v/>
      </c>
      <c r="BK36" s="413" t="str">
        <f>IF(BH33=0,"",VLOOKUP(BH33,'Tablas Magia'!$D$6:$Z$680,12,FALSE))</f>
        <v/>
      </c>
      <c r="BL36" s="414" t="str">
        <f>IF(BH33=0,"",VLOOKUP(BH33,'Tablas Magia'!$D$6:$Z$680,16,FALSE))</f>
        <v/>
      </c>
      <c r="BM36" s="6446" t="str">
        <f>IF(BH33=0,"",VLOOKUP(BH33,'Tablas Magia'!$D$6:$Z$680,20,FALSE))</f>
        <v/>
      </c>
      <c r="BN36" s="6447"/>
      <c r="BO36" s="6447"/>
      <c r="BP36" s="6447"/>
      <c r="BQ36" s="6447"/>
      <c r="BR36" s="6447"/>
      <c r="BS36" s="6447"/>
      <c r="BT36" s="6447"/>
      <c r="BU36" s="6447"/>
      <c r="BV36" s="6448"/>
      <c r="BW36" s="402"/>
      <c r="BX36" s="2481"/>
    </row>
    <row r="37" spans="1:76" ht="12.2" customHeight="1" x14ac:dyDescent="0.2">
      <c r="A37" s="396"/>
      <c r="B37" s="279"/>
      <c r="C37" s="6449" t="s">
        <v>3198</v>
      </c>
      <c r="D37" s="6450"/>
      <c r="E37" s="411" t="str">
        <f>IF(C33=0,"",VLOOKUP(C33,'Tablas Magia'!$D$6:$Z$680,9,FALSE))</f>
        <v/>
      </c>
      <c r="F37" s="411" t="str">
        <f>IF(C33=0,"",VLOOKUP(C33,'Tablas Magia'!$D$6:$Z$680,13,FALSE))</f>
        <v/>
      </c>
      <c r="G37" s="412" t="str">
        <f>IF(C33=0,"",VLOOKUP(C33,'Tablas Magia'!$D$6:$Z$680,17,FALSE))</f>
        <v/>
      </c>
      <c r="H37" s="6451" t="str">
        <f>IF(C33=0,"",VLOOKUP(C33,'Tablas Magia'!$D$6:$Z$680,21,FALSE))</f>
        <v/>
      </c>
      <c r="I37" s="6452"/>
      <c r="J37" s="6452"/>
      <c r="K37" s="6452"/>
      <c r="L37" s="6452"/>
      <c r="M37" s="6452"/>
      <c r="N37" s="6452"/>
      <c r="O37" s="6452"/>
      <c r="P37" s="6452"/>
      <c r="Q37" s="6453"/>
      <c r="R37" s="402"/>
      <c r="S37" s="396"/>
      <c r="T37" s="396"/>
      <c r="U37" s="279"/>
      <c r="V37" s="6449" t="s">
        <v>3198</v>
      </c>
      <c r="W37" s="6450"/>
      <c r="X37" s="411" t="str">
        <f>IF(V33=0,"",VLOOKUP(V33,'Tablas Magia'!$D$6:$Z$680,9,FALSE))</f>
        <v/>
      </c>
      <c r="Y37" s="411" t="str">
        <f>IF(V33=0,"",VLOOKUP(V33,'Tablas Magia'!$D$6:$Z$680,13,FALSE))</f>
        <v/>
      </c>
      <c r="Z37" s="412" t="str">
        <f>IF(V33=0,"",VLOOKUP(V33,'Tablas Magia'!$D$6:$Z$680,17,FALSE))</f>
        <v/>
      </c>
      <c r="AA37" s="6451" t="str">
        <f>IF(V33=0,"",VLOOKUP(V33,'Tablas Magia'!$D$6:$Z$680,21,FALSE))</f>
        <v/>
      </c>
      <c r="AB37" s="6452"/>
      <c r="AC37" s="6452"/>
      <c r="AD37" s="6452"/>
      <c r="AE37" s="6452"/>
      <c r="AF37" s="6452"/>
      <c r="AG37" s="6452"/>
      <c r="AH37" s="6452"/>
      <c r="AI37" s="6452"/>
      <c r="AJ37" s="6453"/>
      <c r="AK37" s="402"/>
      <c r="AL37" s="396"/>
      <c r="AM37" s="396"/>
      <c r="AN37" s="279"/>
      <c r="AO37" s="6449" t="s">
        <v>3198</v>
      </c>
      <c r="AP37" s="6450"/>
      <c r="AQ37" s="411" t="str">
        <f>IF(AO33=0,"",VLOOKUP(AO33,'Tablas Magia'!$D$6:$Z$680,9,FALSE))</f>
        <v/>
      </c>
      <c r="AR37" s="411" t="str">
        <f>IF(AO33=0,"",VLOOKUP(AO33,'Tablas Magia'!$D$6:$Z$680,13,FALSE))</f>
        <v/>
      </c>
      <c r="AS37" s="412" t="str">
        <f>IF(AO33=0,"",VLOOKUP(AO33,'Tablas Magia'!$D$6:$Z$680,17,FALSE))</f>
        <v/>
      </c>
      <c r="AT37" s="6451" t="str">
        <f>IF(AO33=0,"",VLOOKUP(AO33,'Tablas Magia'!$D$6:$Z$680,21,FALSE))</f>
        <v/>
      </c>
      <c r="AU37" s="6452"/>
      <c r="AV37" s="6452"/>
      <c r="AW37" s="6452"/>
      <c r="AX37" s="6452"/>
      <c r="AY37" s="6452"/>
      <c r="AZ37" s="6452"/>
      <c r="BA37" s="6452"/>
      <c r="BB37" s="6452"/>
      <c r="BC37" s="6453"/>
      <c r="BD37" s="402"/>
      <c r="BE37" s="396"/>
      <c r="BF37" s="2481"/>
      <c r="BG37" s="279"/>
      <c r="BH37" s="6449" t="s">
        <v>3198</v>
      </c>
      <c r="BI37" s="6450"/>
      <c r="BJ37" s="411" t="str">
        <f>IF(BH33=0,"",VLOOKUP(BH33,'Tablas Magia'!$D$6:$Z$680,9,FALSE))</f>
        <v/>
      </c>
      <c r="BK37" s="411" t="str">
        <f>IF(BH33=0,"",VLOOKUP(BH33,'Tablas Magia'!$D$6:$Z$680,13,FALSE))</f>
        <v/>
      </c>
      <c r="BL37" s="412" t="str">
        <f>IF(BH33=0,"",VLOOKUP(BH33,'Tablas Magia'!$D$6:$Z$680,17,FALSE))</f>
        <v/>
      </c>
      <c r="BM37" s="6451" t="str">
        <f>IF(BH33=0,"",VLOOKUP(BH33,'Tablas Magia'!$D$6:$Z$680,21,FALSE))</f>
        <v/>
      </c>
      <c r="BN37" s="6452"/>
      <c r="BO37" s="6452"/>
      <c r="BP37" s="6452"/>
      <c r="BQ37" s="6452"/>
      <c r="BR37" s="6452"/>
      <c r="BS37" s="6452"/>
      <c r="BT37" s="6452"/>
      <c r="BU37" s="6452"/>
      <c r="BV37" s="6453"/>
      <c r="BW37" s="402"/>
      <c r="BX37" s="2481"/>
    </row>
    <row r="38" spans="1:76" ht="12.2" customHeight="1" thickBot="1" x14ac:dyDescent="0.25">
      <c r="A38" s="396"/>
      <c r="B38" s="279"/>
      <c r="C38" s="6454" t="s">
        <v>3199</v>
      </c>
      <c r="D38" s="6455"/>
      <c r="E38" s="415" t="str">
        <f>IF(C33=0,"",VLOOKUP(C33,'Tablas Magia'!$D$6:$Z$680,10,FALSE))</f>
        <v/>
      </c>
      <c r="F38" s="415" t="str">
        <f>IF(C33=0,"",VLOOKUP(C33,'Tablas Magia'!$D$6:$Z$680,14,FALSE))</f>
        <v/>
      </c>
      <c r="G38" s="416" t="str">
        <f>IF(C33=0,"",VLOOKUP(C33,'Tablas Magia'!$D$6:$Z$680,18,FALSE))</f>
        <v/>
      </c>
      <c r="H38" s="6456" t="str">
        <f>IF(C33=0,"",VLOOKUP(C33,'Tablas Magia'!$D$6:$Z$680,22,FALSE))</f>
        <v/>
      </c>
      <c r="I38" s="6457"/>
      <c r="J38" s="6457"/>
      <c r="K38" s="6457"/>
      <c r="L38" s="6457"/>
      <c r="M38" s="6457"/>
      <c r="N38" s="6457"/>
      <c r="O38" s="6457"/>
      <c r="P38" s="6457"/>
      <c r="Q38" s="6458"/>
      <c r="R38" s="402"/>
      <c r="S38" s="396"/>
      <c r="T38" s="396"/>
      <c r="U38" s="279"/>
      <c r="V38" s="6454" t="s">
        <v>3199</v>
      </c>
      <c r="W38" s="6455"/>
      <c r="X38" s="415" t="str">
        <f>IF(V33=0,"",VLOOKUP(V33,'Tablas Magia'!$D$6:$Z$680,10,FALSE))</f>
        <v/>
      </c>
      <c r="Y38" s="415" t="str">
        <f>IF(V33=0,"",VLOOKUP(V33,'Tablas Magia'!$D$6:$Z$680,14,FALSE))</f>
        <v/>
      </c>
      <c r="Z38" s="416" t="str">
        <f>IF(V33=0,"",VLOOKUP(V33,'Tablas Magia'!$D$6:$Z$680,18,FALSE))</f>
        <v/>
      </c>
      <c r="AA38" s="6456" t="str">
        <f>IF(V33=0,"",VLOOKUP(V33,'Tablas Magia'!$D$6:$Z$680,22,FALSE))</f>
        <v/>
      </c>
      <c r="AB38" s="6457"/>
      <c r="AC38" s="6457"/>
      <c r="AD38" s="6457"/>
      <c r="AE38" s="6457"/>
      <c r="AF38" s="6457"/>
      <c r="AG38" s="6457"/>
      <c r="AH38" s="6457"/>
      <c r="AI38" s="6457"/>
      <c r="AJ38" s="6458"/>
      <c r="AK38" s="402"/>
      <c r="AL38" s="396"/>
      <c r="AM38" s="396"/>
      <c r="AN38" s="279"/>
      <c r="AO38" s="6454" t="s">
        <v>3199</v>
      </c>
      <c r="AP38" s="6455"/>
      <c r="AQ38" s="415" t="str">
        <f>IF(AO33=0,"",VLOOKUP(AO33,'Tablas Magia'!$D$6:$Z$680,10,FALSE))</f>
        <v/>
      </c>
      <c r="AR38" s="415" t="str">
        <f>IF(AO33=0,"",VLOOKUP(AO33,'Tablas Magia'!$D$6:$Z$680,14,FALSE))</f>
        <v/>
      </c>
      <c r="AS38" s="416" t="str">
        <f>IF(AO33=0,"",VLOOKUP(AO33,'Tablas Magia'!$D$6:$Z$680,18,FALSE))</f>
        <v/>
      </c>
      <c r="AT38" s="6456" t="str">
        <f>IF(AO33=0,"",VLOOKUP(AO33,'Tablas Magia'!$D$6:$Z$680,22,FALSE))</f>
        <v/>
      </c>
      <c r="AU38" s="6457"/>
      <c r="AV38" s="6457"/>
      <c r="AW38" s="6457"/>
      <c r="AX38" s="6457"/>
      <c r="AY38" s="6457"/>
      <c r="AZ38" s="6457"/>
      <c r="BA38" s="6457"/>
      <c r="BB38" s="6457"/>
      <c r="BC38" s="6458"/>
      <c r="BD38" s="402"/>
      <c r="BE38" s="396"/>
      <c r="BF38" s="2481"/>
      <c r="BG38" s="279"/>
      <c r="BH38" s="6454" t="s">
        <v>3199</v>
      </c>
      <c r="BI38" s="6455"/>
      <c r="BJ38" s="415" t="str">
        <f>IF(BH33=0,"",VLOOKUP(BH33,'Tablas Magia'!$D$6:$Z$680,10,FALSE))</f>
        <v/>
      </c>
      <c r="BK38" s="415" t="str">
        <f>IF(BH33=0,"",VLOOKUP(BH33,'Tablas Magia'!$D$6:$Z$680,14,FALSE))</f>
        <v/>
      </c>
      <c r="BL38" s="416" t="str">
        <f>IF(BH33=0,"",VLOOKUP(BH33,'Tablas Magia'!$D$6:$Z$680,18,FALSE))</f>
        <v/>
      </c>
      <c r="BM38" s="6456" t="str">
        <f>IF(BH33=0,"",VLOOKUP(BH33,'Tablas Magia'!$D$6:$Z$680,22,FALSE))</f>
        <v/>
      </c>
      <c r="BN38" s="6457"/>
      <c r="BO38" s="6457"/>
      <c r="BP38" s="6457"/>
      <c r="BQ38" s="6457"/>
      <c r="BR38" s="6457"/>
      <c r="BS38" s="6457"/>
      <c r="BT38" s="6457"/>
      <c r="BU38" s="6457"/>
      <c r="BV38" s="6458"/>
      <c r="BW38" s="402"/>
      <c r="BX38" s="2481"/>
    </row>
    <row r="39" spans="1:76" ht="12.2" customHeight="1" x14ac:dyDescent="0.2">
      <c r="A39" s="396"/>
      <c r="B39" s="279"/>
      <c r="C39" s="6459" t="str">
        <f>IF(C33=0,"",VLOOKUP(C33,'Tablas Magia'!$D$6:$Z$680,23,FALSE))</f>
        <v/>
      </c>
      <c r="D39" s="6460"/>
      <c r="E39" s="6460"/>
      <c r="F39" s="6460"/>
      <c r="G39" s="6460"/>
      <c r="H39" s="6460"/>
      <c r="I39" s="6460"/>
      <c r="J39" s="6460"/>
      <c r="K39" s="6460"/>
      <c r="L39" s="6460"/>
      <c r="M39" s="6460"/>
      <c r="N39" s="6460"/>
      <c r="O39" s="6460"/>
      <c r="P39" s="6460"/>
      <c r="Q39" s="6461"/>
      <c r="R39" s="402"/>
      <c r="S39" s="396"/>
      <c r="T39" s="396"/>
      <c r="U39" s="279"/>
      <c r="V39" s="6459" t="str">
        <f>IF(V33=0,"",VLOOKUP(V33,'Tablas Magia'!$D$6:$Z$680,23,FALSE))</f>
        <v/>
      </c>
      <c r="W39" s="6460"/>
      <c r="X39" s="6460"/>
      <c r="Y39" s="6460"/>
      <c r="Z39" s="6460"/>
      <c r="AA39" s="6460"/>
      <c r="AB39" s="6460"/>
      <c r="AC39" s="6460"/>
      <c r="AD39" s="6460"/>
      <c r="AE39" s="6460"/>
      <c r="AF39" s="6460"/>
      <c r="AG39" s="6460"/>
      <c r="AH39" s="6460"/>
      <c r="AI39" s="6460"/>
      <c r="AJ39" s="6461"/>
      <c r="AK39" s="402"/>
      <c r="AL39" s="396"/>
      <c r="AM39" s="396"/>
      <c r="AN39" s="279"/>
      <c r="AO39" s="6459" t="str">
        <f>IF(AO33=0,"",VLOOKUP(AO33,'Tablas Magia'!$D$6:$Z$680,23,FALSE))</f>
        <v/>
      </c>
      <c r="AP39" s="6460"/>
      <c r="AQ39" s="6460"/>
      <c r="AR39" s="6460"/>
      <c r="AS39" s="6460"/>
      <c r="AT39" s="6460"/>
      <c r="AU39" s="6460"/>
      <c r="AV39" s="6460"/>
      <c r="AW39" s="6460"/>
      <c r="AX39" s="6460"/>
      <c r="AY39" s="6460"/>
      <c r="AZ39" s="6460"/>
      <c r="BA39" s="6460"/>
      <c r="BB39" s="6460"/>
      <c r="BC39" s="6461"/>
      <c r="BD39" s="402"/>
      <c r="BE39" s="396"/>
      <c r="BF39" s="2481"/>
      <c r="BG39" s="279"/>
      <c r="BH39" s="6459" t="str">
        <f>IF(BH33=0,"",VLOOKUP(BH33,'Tablas Magia'!$D$6:$Z$680,23,FALSE))</f>
        <v/>
      </c>
      <c r="BI39" s="6460"/>
      <c r="BJ39" s="6460"/>
      <c r="BK39" s="6460"/>
      <c r="BL39" s="6460"/>
      <c r="BM39" s="6460"/>
      <c r="BN39" s="6460"/>
      <c r="BO39" s="6460"/>
      <c r="BP39" s="6460"/>
      <c r="BQ39" s="6460"/>
      <c r="BR39" s="6460"/>
      <c r="BS39" s="6460"/>
      <c r="BT39" s="6460"/>
      <c r="BU39" s="6460"/>
      <c r="BV39" s="6461"/>
      <c r="BW39" s="402"/>
      <c r="BX39" s="2481"/>
    </row>
    <row r="40" spans="1:76" ht="12.2" customHeight="1" x14ac:dyDescent="0.2">
      <c r="A40" s="396"/>
      <c r="B40" s="279"/>
      <c r="C40" s="6462"/>
      <c r="D40" s="6463"/>
      <c r="E40" s="6463"/>
      <c r="F40" s="6463"/>
      <c r="G40" s="6463"/>
      <c r="H40" s="6463"/>
      <c r="I40" s="6463"/>
      <c r="J40" s="6463"/>
      <c r="K40" s="6463"/>
      <c r="L40" s="6463"/>
      <c r="M40" s="6463"/>
      <c r="N40" s="6463"/>
      <c r="O40" s="6463"/>
      <c r="P40" s="6463"/>
      <c r="Q40" s="6464"/>
      <c r="R40" s="402"/>
      <c r="S40" s="396"/>
      <c r="T40" s="396"/>
      <c r="U40" s="279"/>
      <c r="V40" s="6462"/>
      <c r="W40" s="6463"/>
      <c r="X40" s="6463"/>
      <c r="Y40" s="6463"/>
      <c r="Z40" s="6463"/>
      <c r="AA40" s="6463"/>
      <c r="AB40" s="6463"/>
      <c r="AC40" s="6463"/>
      <c r="AD40" s="6463"/>
      <c r="AE40" s="6463"/>
      <c r="AF40" s="6463"/>
      <c r="AG40" s="6463"/>
      <c r="AH40" s="6463"/>
      <c r="AI40" s="6463"/>
      <c r="AJ40" s="6464"/>
      <c r="AK40" s="402"/>
      <c r="AL40" s="396"/>
      <c r="AM40" s="396"/>
      <c r="AN40" s="279"/>
      <c r="AO40" s="6462"/>
      <c r="AP40" s="6463"/>
      <c r="AQ40" s="6463"/>
      <c r="AR40" s="6463"/>
      <c r="AS40" s="6463"/>
      <c r="AT40" s="6463"/>
      <c r="AU40" s="6463"/>
      <c r="AV40" s="6463"/>
      <c r="AW40" s="6463"/>
      <c r="AX40" s="6463"/>
      <c r="AY40" s="6463"/>
      <c r="AZ40" s="6463"/>
      <c r="BA40" s="6463"/>
      <c r="BB40" s="6463"/>
      <c r="BC40" s="6464"/>
      <c r="BD40" s="402"/>
      <c r="BE40" s="396"/>
      <c r="BF40" s="2481"/>
      <c r="BG40" s="279"/>
      <c r="BH40" s="6462"/>
      <c r="BI40" s="6463"/>
      <c r="BJ40" s="6463"/>
      <c r="BK40" s="6463"/>
      <c r="BL40" s="6463"/>
      <c r="BM40" s="6463"/>
      <c r="BN40" s="6463"/>
      <c r="BO40" s="6463"/>
      <c r="BP40" s="6463"/>
      <c r="BQ40" s="6463"/>
      <c r="BR40" s="6463"/>
      <c r="BS40" s="6463"/>
      <c r="BT40" s="6463"/>
      <c r="BU40" s="6463"/>
      <c r="BV40" s="6464"/>
      <c r="BW40" s="402"/>
      <c r="BX40" s="2481"/>
    </row>
    <row r="41" spans="1:76" ht="12.2" customHeight="1" x14ac:dyDescent="0.2">
      <c r="A41" s="396"/>
      <c r="B41" s="279"/>
      <c r="C41" s="6462"/>
      <c r="D41" s="6463"/>
      <c r="E41" s="6463"/>
      <c r="F41" s="6463"/>
      <c r="G41" s="6463"/>
      <c r="H41" s="6463"/>
      <c r="I41" s="6463"/>
      <c r="J41" s="6463"/>
      <c r="K41" s="6463"/>
      <c r="L41" s="6463"/>
      <c r="M41" s="6463"/>
      <c r="N41" s="6463"/>
      <c r="O41" s="6463"/>
      <c r="P41" s="6463"/>
      <c r="Q41" s="6464"/>
      <c r="R41" s="402"/>
      <c r="S41" s="396"/>
      <c r="T41" s="396"/>
      <c r="U41" s="279"/>
      <c r="V41" s="6462"/>
      <c r="W41" s="6463"/>
      <c r="X41" s="6463"/>
      <c r="Y41" s="6463"/>
      <c r="Z41" s="6463"/>
      <c r="AA41" s="6463"/>
      <c r="AB41" s="6463"/>
      <c r="AC41" s="6463"/>
      <c r="AD41" s="6463"/>
      <c r="AE41" s="6463"/>
      <c r="AF41" s="6463"/>
      <c r="AG41" s="6463"/>
      <c r="AH41" s="6463"/>
      <c r="AI41" s="6463"/>
      <c r="AJ41" s="6464"/>
      <c r="AK41" s="402"/>
      <c r="AL41" s="396"/>
      <c r="AM41" s="396"/>
      <c r="AN41" s="279"/>
      <c r="AO41" s="6462"/>
      <c r="AP41" s="6463"/>
      <c r="AQ41" s="6463"/>
      <c r="AR41" s="6463"/>
      <c r="AS41" s="6463"/>
      <c r="AT41" s="6463"/>
      <c r="AU41" s="6463"/>
      <c r="AV41" s="6463"/>
      <c r="AW41" s="6463"/>
      <c r="AX41" s="6463"/>
      <c r="AY41" s="6463"/>
      <c r="AZ41" s="6463"/>
      <c r="BA41" s="6463"/>
      <c r="BB41" s="6463"/>
      <c r="BC41" s="6464"/>
      <c r="BD41" s="402"/>
      <c r="BE41" s="396"/>
      <c r="BF41" s="2481"/>
      <c r="BG41" s="279"/>
      <c r="BH41" s="6462"/>
      <c r="BI41" s="6463"/>
      <c r="BJ41" s="6463"/>
      <c r="BK41" s="6463"/>
      <c r="BL41" s="6463"/>
      <c r="BM41" s="6463"/>
      <c r="BN41" s="6463"/>
      <c r="BO41" s="6463"/>
      <c r="BP41" s="6463"/>
      <c r="BQ41" s="6463"/>
      <c r="BR41" s="6463"/>
      <c r="BS41" s="6463"/>
      <c r="BT41" s="6463"/>
      <c r="BU41" s="6463"/>
      <c r="BV41" s="6464"/>
      <c r="BW41" s="402"/>
      <c r="BX41" s="2481"/>
    </row>
    <row r="42" spans="1:76" ht="12.2" customHeight="1" thickBot="1" x14ac:dyDescent="0.25">
      <c r="A42" s="396"/>
      <c r="B42" s="279"/>
      <c r="C42" s="6465"/>
      <c r="D42" s="6466"/>
      <c r="E42" s="6466"/>
      <c r="F42" s="6466"/>
      <c r="G42" s="6466"/>
      <c r="H42" s="6466"/>
      <c r="I42" s="6466"/>
      <c r="J42" s="6466"/>
      <c r="K42" s="6466"/>
      <c r="L42" s="6466"/>
      <c r="M42" s="6466"/>
      <c r="N42" s="6466"/>
      <c r="O42" s="6466"/>
      <c r="P42" s="6466"/>
      <c r="Q42" s="6467"/>
      <c r="R42" s="402"/>
      <c r="S42" s="396"/>
      <c r="T42" s="396"/>
      <c r="U42" s="279"/>
      <c r="V42" s="6465"/>
      <c r="W42" s="6466"/>
      <c r="X42" s="6466"/>
      <c r="Y42" s="6466"/>
      <c r="Z42" s="6466"/>
      <c r="AA42" s="6466"/>
      <c r="AB42" s="6466"/>
      <c r="AC42" s="6466"/>
      <c r="AD42" s="6466"/>
      <c r="AE42" s="6466"/>
      <c r="AF42" s="6466"/>
      <c r="AG42" s="6466"/>
      <c r="AH42" s="6466"/>
      <c r="AI42" s="6466"/>
      <c r="AJ42" s="6467"/>
      <c r="AK42" s="402"/>
      <c r="AL42" s="396"/>
      <c r="AM42" s="396"/>
      <c r="AN42" s="279"/>
      <c r="AO42" s="6465"/>
      <c r="AP42" s="6466"/>
      <c r="AQ42" s="6466"/>
      <c r="AR42" s="6466"/>
      <c r="AS42" s="6466"/>
      <c r="AT42" s="6466"/>
      <c r="AU42" s="6466"/>
      <c r="AV42" s="6466"/>
      <c r="AW42" s="6466"/>
      <c r="AX42" s="6466"/>
      <c r="AY42" s="6466"/>
      <c r="AZ42" s="6466"/>
      <c r="BA42" s="6466"/>
      <c r="BB42" s="6466"/>
      <c r="BC42" s="6467"/>
      <c r="BD42" s="402"/>
      <c r="BE42" s="396"/>
      <c r="BF42" s="2481"/>
      <c r="BG42" s="279"/>
      <c r="BH42" s="6465"/>
      <c r="BI42" s="6466"/>
      <c r="BJ42" s="6466"/>
      <c r="BK42" s="6466"/>
      <c r="BL42" s="6466"/>
      <c r="BM42" s="6466"/>
      <c r="BN42" s="6466"/>
      <c r="BO42" s="6466"/>
      <c r="BP42" s="6466"/>
      <c r="BQ42" s="6466"/>
      <c r="BR42" s="6466"/>
      <c r="BS42" s="6466"/>
      <c r="BT42" s="6466"/>
      <c r="BU42" s="6466"/>
      <c r="BV42" s="6467"/>
      <c r="BW42" s="402"/>
      <c r="BX42" s="2481"/>
    </row>
    <row r="43" spans="1:76" ht="12.2" customHeight="1" thickBot="1" x14ac:dyDescent="0.25">
      <c r="A43" s="396"/>
      <c r="B43" s="279"/>
      <c r="C43" s="422"/>
      <c r="D43" s="422"/>
      <c r="E43" s="423"/>
      <c r="F43" s="423"/>
      <c r="G43" s="423"/>
      <c r="H43" s="423"/>
      <c r="I43" s="423"/>
      <c r="J43" s="423"/>
      <c r="K43" s="423"/>
      <c r="L43" s="423"/>
      <c r="M43" s="423"/>
      <c r="N43" s="423"/>
      <c r="O43" s="423"/>
      <c r="P43" s="423"/>
      <c r="Q43" s="423"/>
      <c r="R43" s="402"/>
      <c r="S43" s="396"/>
      <c r="T43" s="396"/>
      <c r="U43" s="279"/>
      <c r="V43" s="422"/>
      <c r="W43" s="422"/>
      <c r="X43" s="423"/>
      <c r="Y43" s="423"/>
      <c r="Z43" s="423"/>
      <c r="AA43" s="423"/>
      <c r="AB43" s="423"/>
      <c r="AC43" s="423"/>
      <c r="AD43" s="423"/>
      <c r="AE43" s="423"/>
      <c r="AF43" s="423"/>
      <c r="AG43" s="423"/>
      <c r="AH43" s="423"/>
      <c r="AI43" s="423"/>
      <c r="AJ43" s="423"/>
      <c r="AK43" s="402"/>
      <c r="AL43" s="396"/>
      <c r="AM43" s="396"/>
      <c r="AN43" s="279"/>
      <c r="AO43" s="422"/>
      <c r="AP43" s="422"/>
      <c r="AQ43" s="423"/>
      <c r="AR43" s="423"/>
      <c r="AS43" s="423"/>
      <c r="AT43" s="423"/>
      <c r="AU43" s="423"/>
      <c r="AV43" s="423"/>
      <c r="AW43" s="423"/>
      <c r="AX43" s="423"/>
      <c r="AY43" s="423"/>
      <c r="AZ43" s="423"/>
      <c r="BA43" s="423"/>
      <c r="BB43" s="423"/>
      <c r="BC43" s="423"/>
      <c r="BD43" s="402"/>
      <c r="BE43" s="396"/>
      <c r="BF43" s="2481"/>
      <c r="BG43" s="279"/>
      <c r="BH43" s="422"/>
      <c r="BI43" s="422"/>
      <c r="BJ43" s="423"/>
      <c r="BK43" s="423"/>
      <c r="BL43" s="423"/>
      <c r="BM43" s="423"/>
      <c r="BN43" s="423"/>
      <c r="BO43" s="423"/>
      <c r="BP43" s="423"/>
      <c r="BQ43" s="423"/>
      <c r="BR43" s="423"/>
      <c r="BS43" s="423"/>
      <c r="BT43" s="423"/>
      <c r="BU43" s="423"/>
      <c r="BV43" s="423"/>
      <c r="BW43" s="402"/>
      <c r="BX43" s="2481"/>
    </row>
    <row r="44" spans="1:76" ht="12.2" customHeight="1" x14ac:dyDescent="0.2">
      <c r="A44" s="396"/>
      <c r="B44" s="279"/>
      <c r="C44" s="6468"/>
      <c r="D44" s="6469"/>
      <c r="E44" s="6469"/>
      <c r="F44" s="6469"/>
      <c r="G44" s="6469"/>
      <c r="H44" s="406" t="s">
        <v>1325</v>
      </c>
      <c r="I44" s="407" t="str">
        <f>IF(C44=0,"",VLOOKUP(C44,'Tablas Magia'!$D$6:$Z$680,3,FALSE))</f>
        <v/>
      </c>
      <c r="J44" s="6470" t="s">
        <v>6236</v>
      </c>
      <c r="K44" s="6470"/>
      <c r="L44" s="6470"/>
      <c r="M44" s="6471" t="str">
        <f>IF(C44=0,"",VLOOKUP(C44,'Tablas Magia'!$D$6:$Z$680,2,FALSE))</f>
        <v/>
      </c>
      <c r="N44" s="6471"/>
      <c r="O44" s="6471"/>
      <c r="P44" s="6471"/>
      <c r="Q44" s="6472"/>
      <c r="R44" s="402"/>
      <c r="S44" s="396"/>
      <c r="T44" s="396"/>
      <c r="U44" s="279"/>
      <c r="V44" s="6468"/>
      <c r="W44" s="6469"/>
      <c r="X44" s="6469"/>
      <c r="Y44" s="6469"/>
      <c r="Z44" s="6469"/>
      <c r="AA44" s="406" t="s">
        <v>1325</v>
      </c>
      <c r="AB44" s="407" t="str">
        <f>IF(V44=0,"",VLOOKUP(V44,'Tablas Magia'!$D$6:$Z$680,3,FALSE))</f>
        <v/>
      </c>
      <c r="AC44" s="6470" t="s">
        <v>6236</v>
      </c>
      <c r="AD44" s="6470"/>
      <c r="AE44" s="6470"/>
      <c r="AF44" s="6471" t="str">
        <f>IF(V44=0,"",VLOOKUP(V44,'Tablas Magia'!$D$6:$Z$680,2,FALSE))</f>
        <v/>
      </c>
      <c r="AG44" s="6471"/>
      <c r="AH44" s="6471"/>
      <c r="AI44" s="6471"/>
      <c r="AJ44" s="6472"/>
      <c r="AK44" s="402"/>
      <c r="AL44" s="396"/>
      <c r="AM44" s="396"/>
      <c r="AN44" s="279"/>
      <c r="AO44" s="6468"/>
      <c r="AP44" s="6469"/>
      <c r="AQ44" s="6469"/>
      <c r="AR44" s="6469"/>
      <c r="AS44" s="6469"/>
      <c r="AT44" s="406" t="s">
        <v>1325</v>
      </c>
      <c r="AU44" s="407" t="str">
        <f>IF(AO44=0,"",VLOOKUP(AO44,'Tablas Magia'!$D$6:$Z$680,3,FALSE))</f>
        <v/>
      </c>
      <c r="AV44" s="6470" t="s">
        <v>6236</v>
      </c>
      <c r="AW44" s="6470"/>
      <c r="AX44" s="6470"/>
      <c r="AY44" s="6471" t="str">
        <f>IF(AO44=0,"",VLOOKUP(AO44,'Tablas Magia'!$D$6:$Z$680,2,FALSE))</f>
        <v/>
      </c>
      <c r="AZ44" s="6471"/>
      <c r="BA44" s="6471"/>
      <c r="BB44" s="6471"/>
      <c r="BC44" s="6472"/>
      <c r="BD44" s="402"/>
      <c r="BE44" s="396"/>
      <c r="BF44" s="2481"/>
      <c r="BG44" s="279"/>
      <c r="BH44" s="6468"/>
      <c r="BI44" s="6469"/>
      <c r="BJ44" s="6469"/>
      <c r="BK44" s="6469"/>
      <c r="BL44" s="6469"/>
      <c r="BM44" s="406" t="s">
        <v>1325</v>
      </c>
      <c r="BN44" s="407" t="str">
        <f>IF(BH44=0,"",VLOOKUP(BH44,'Tablas Magia'!$D$6:$Z$680,3,FALSE))</f>
        <v/>
      </c>
      <c r="BO44" s="6470" t="s">
        <v>6236</v>
      </c>
      <c r="BP44" s="6470"/>
      <c r="BQ44" s="6470"/>
      <c r="BR44" s="6471" t="str">
        <f>IF(BH44=0,"",VLOOKUP(BH44,'Tablas Magia'!$D$6:$Z$680,2,FALSE))</f>
        <v/>
      </c>
      <c r="BS44" s="6471"/>
      <c r="BT44" s="6471"/>
      <c r="BU44" s="6471"/>
      <c r="BV44" s="6472"/>
      <c r="BW44" s="402"/>
      <c r="BX44" s="2481"/>
    </row>
    <row r="45" spans="1:76" ht="12.2" customHeight="1" x14ac:dyDescent="0.2">
      <c r="A45" s="396"/>
      <c r="B45" s="279"/>
      <c r="C45" s="6473" t="s">
        <v>6237</v>
      </c>
      <c r="D45" s="6474"/>
      <c r="E45" s="408" t="s">
        <v>6238</v>
      </c>
      <c r="F45" s="408" t="s">
        <v>1509</v>
      </c>
      <c r="G45" s="408" t="s">
        <v>2828</v>
      </c>
      <c r="H45" s="409" t="s">
        <v>1836</v>
      </c>
      <c r="I45" s="6475" t="str">
        <f>IF(C44=0,"",VLOOKUP(C44,'Tablas Magia'!$D$6:$Z$680,5,FALSE))</f>
        <v/>
      </c>
      <c r="J45" s="6475"/>
      <c r="K45" s="6476" t="s">
        <v>6239</v>
      </c>
      <c r="L45" s="6476"/>
      <c r="M45" s="6475" t="str">
        <f>IF(C44=0,"",VLOOKUP(C44,'Tablas Magia'!$D$6:$Z$680,6,FALSE))</f>
        <v/>
      </c>
      <c r="N45" s="6475"/>
      <c r="O45" s="6477" t="s">
        <v>6240</v>
      </c>
      <c r="P45" s="6477"/>
      <c r="Q45" s="410" t="str">
        <f>IF(C44=0,"",VLOOKUP(C44,'Tablas Magia'!$D$6:$Z$680,4,FALSE))</f>
        <v/>
      </c>
      <c r="R45" s="402"/>
      <c r="S45" s="396"/>
      <c r="T45" s="396"/>
      <c r="U45" s="279"/>
      <c r="V45" s="6473" t="s">
        <v>6237</v>
      </c>
      <c r="W45" s="6474"/>
      <c r="X45" s="408" t="s">
        <v>6238</v>
      </c>
      <c r="Y45" s="408" t="s">
        <v>1509</v>
      </c>
      <c r="Z45" s="408" t="s">
        <v>2828</v>
      </c>
      <c r="AA45" s="409" t="s">
        <v>1836</v>
      </c>
      <c r="AB45" s="6475" t="str">
        <f>IF(V44=0,"",VLOOKUP(V44,'Tablas Magia'!$D$6:$Z$680,5,FALSE))</f>
        <v/>
      </c>
      <c r="AC45" s="6475"/>
      <c r="AD45" s="6476" t="s">
        <v>6239</v>
      </c>
      <c r="AE45" s="6476"/>
      <c r="AF45" s="6475" t="str">
        <f>IF(V44=0,"",VLOOKUP(V44,'Tablas Magia'!$D$6:$Z$680,6,FALSE))</f>
        <v/>
      </c>
      <c r="AG45" s="6475"/>
      <c r="AH45" s="6477" t="s">
        <v>6240</v>
      </c>
      <c r="AI45" s="6477"/>
      <c r="AJ45" s="410" t="str">
        <f>IF(V44=0,"",VLOOKUP(V44,'Tablas Magia'!$D$6:$Z$680,4,FALSE))</f>
        <v/>
      </c>
      <c r="AK45" s="402"/>
      <c r="AL45" s="396"/>
      <c r="AM45" s="396"/>
      <c r="AN45" s="279"/>
      <c r="AO45" s="6473" t="s">
        <v>6237</v>
      </c>
      <c r="AP45" s="6474"/>
      <c r="AQ45" s="408" t="s">
        <v>6238</v>
      </c>
      <c r="AR45" s="408" t="s">
        <v>1509</v>
      </c>
      <c r="AS45" s="408" t="s">
        <v>2828</v>
      </c>
      <c r="AT45" s="409" t="s">
        <v>1836</v>
      </c>
      <c r="AU45" s="6475" t="str">
        <f>IF(AO44=0,"",VLOOKUP(AO44,'Tablas Magia'!$D$6:$Z$680,5,FALSE))</f>
        <v/>
      </c>
      <c r="AV45" s="6475"/>
      <c r="AW45" s="6476" t="s">
        <v>6239</v>
      </c>
      <c r="AX45" s="6476"/>
      <c r="AY45" s="6475" t="str">
        <f>IF(AO44=0,"",VLOOKUP(AO44,'Tablas Magia'!$D$6:$Z$680,6,FALSE))</f>
        <v/>
      </c>
      <c r="AZ45" s="6475"/>
      <c r="BA45" s="6477" t="s">
        <v>6240</v>
      </c>
      <c r="BB45" s="6477"/>
      <c r="BC45" s="410" t="str">
        <f>IF(AO44=0,"",VLOOKUP(AO44,'Tablas Magia'!$D$6:$Z$680,4,FALSE))</f>
        <v/>
      </c>
      <c r="BD45" s="402"/>
      <c r="BE45" s="396"/>
      <c r="BF45" s="2481"/>
      <c r="BG45" s="279"/>
      <c r="BH45" s="6473" t="s">
        <v>6237</v>
      </c>
      <c r="BI45" s="6474"/>
      <c r="BJ45" s="408" t="s">
        <v>6238</v>
      </c>
      <c r="BK45" s="408" t="s">
        <v>1509</v>
      </c>
      <c r="BL45" s="408" t="s">
        <v>2828</v>
      </c>
      <c r="BM45" s="409" t="s">
        <v>1836</v>
      </c>
      <c r="BN45" s="6475" t="str">
        <f>IF(BH44=0,"",VLOOKUP(BH44,'Tablas Magia'!$D$6:$Z$680,5,FALSE))</f>
        <v/>
      </c>
      <c r="BO45" s="6475"/>
      <c r="BP45" s="6476" t="s">
        <v>6239</v>
      </c>
      <c r="BQ45" s="6476"/>
      <c r="BR45" s="6475" t="str">
        <f>IF(BH44=0,"",VLOOKUP(BH44,'Tablas Magia'!$D$6:$Z$680,6,FALSE))</f>
        <v/>
      </c>
      <c r="BS45" s="6475"/>
      <c r="BT45" s="6477" t="s">
        <v>6240</v>
      </c>
      <c r="BU45" s="6477"/>
      <c r="BV45" s="410" t="str">
        <f>IF(BH44=0,"",VLOOKUP(BH44,'Tablas Magia'!$D$6:$Z$680,4,FALSE))</f>
        <v/>
      </c>
      <c r="BW45" s="402"/>
      <c r="BX45" s="2481"/>
    </row>
    <row r="46" spans="1:76" ht="12.2" customHeight="1" x14ac:dyDescent="0.2">
      <c r="A46" s="396"/>
      <c r="B46" s="279"/>
      <c r="C46" s="6449" t="s">
        <v>1365</v>
      </c>
      <c r="D46" s="6450"/>
      <c r="E46" s="411" t="str">
        <f>IF(C44=0,"",VLOOKUP(C44,'Tablas Magia'!$D$6:$Z$680,7,FALSE))</f>
        <v/>
      </c>
      <c r="F46" s="411" t="str">
        <f>IF(C44=0,"",VLOOKUP(C44,'Tablas Magia'!$D$6:$Z$680,11,FALSE))</f>
        <v/>
      </c>
      <c r="G46" s="412" t="str">
        <f>IF(C44=0,"",VLOOKUP(C44,'Tablas Magia'!$D$6:$Z$680,15,FALSE))</f>
        <v/>
      </c>
      <c r="H46" s="6451" t="str">
        <f>IF(C44=0,"",VLOOKUP(C44,'Tablas Magia'!$D$6:$Z$680,19,FALSE))</f>
        <v/>
      </c>
      <c r="I46" s="6452"/>
      <c r="J46" s="6452"/>
      <c r="K46" s="6452"/>
      <c r="L46" s="6452"/>
      <c r="M46" s="6452"/>
      <c r="N46" s="6452"/>
      <c r="O46" s="6452"/>
      <c r="P46" s="6452"/>
      <c r="Q46" s="6453"/>
      <c r="R46" s="402"/>
      <c r="S46" s="396"/>
      <c r="T46" s="396"/>
      <c r="U46" s="279"/>
      <c r="V46" s="6449" t="s">
        <v>1365</v>
      </c>
      <c r="W46" s="6450"/>
      <c r="X46" s="411" t="str">
        <f>IF(V44=0,"",VLOOKUP(V44,'Tablas Magia'!$D$6:$Z$680,7,FALSE))</f>
        <v/>
      </c>
      <c r="Y46" s="411" t="str">
        <f>IF(V44=0,"",VLOOKUP(V44,'Tablas Magia'!$D$6:$Z$680,11,FALSE))</f>
        <v/>
      </c>
      <c r="Z46" s="412" t="str">
        <f>IF(V44=0,"",VLOOKUP(V44,'Tablas Magia'!$D$6:$Z$680,15,FALSE))</f>
        <v/>
      </c>
      <c r="AA46" s="6451" t="str">
        <f>IF(V44=0,"",VLOOKUP(V44,'Tablas Magia'!$D$6:$Z$680,19,FALSE))</f>
        <v/>
      </c>
      <c r="AB46" s="6452"/>
      <c r="AC46" s="6452"/>
      <c r="AD46" s="6452"/>
      <c r="AE46" s="6452"/>
      <c r="AF46" s="6452"/>
      <c r="AG46" s="6452"/>
      <c r="AH46" s="6452"/>
      <c r="AI46" s="6452"/>
      <c r="AJ46" s="6453"/>
      <c r="AK46" s="402"/>
      <c r="AL46" s="396"/>
      <c r="AM46" s="396"/>
      <c r="AN46" s="279"/>
      <c r="AO46" s="6449" t="s">
        <v>1365</v>
      </c>
      <c r="AP46" s="6450"/>
      <c r="AQ46" s="411" t="str">
        <f>IF(AO44=0,"",VLOOKUP(AO44,'Tablas Magia'!$D$6:$Z$680,7,FALSE))</f>
        <v/>
      </c>
      <c r="AR46" s="411" t="str">
        <f>IF(AO44=0,"",VLOOKUP(AO44,'Tablas Magia'!$D$6:$Z$680,11,FALSE))</f>
        <v/>
      </c>
      <c r="AS46" s="412" t="str">
        <f>IF(AO44=0,"",VLOOKUP(AO44,'Tablas Magia'!$D$6:$Z$680,15,FALSE))</f>
        <v/>
      </c>
      <c r="AT46" s="6451" t="str">
        <f>IF(AO44=0,"",VLOOKUP(AO44,'Tablas Magia'!$D$6:$Z$680,19,FALSE))</f>
        <v/>
      </c>
      <c r="AU46" s="6452"/>
      <c r="AV46" s="6452"/>
      <c r="AW46" s="6452"/>
      <c r="AX46" s="6452"/>
      <c r="AY46" s="6452"/>
      <c r="AZ46" s="6452"/>
      <c r="BA46" s="6452"/>
      <c r="BB46" s="6452"/>
      <c r="BC46" s="6453"/>
      <c r="BD46" s="402"/>
      <c r="BE46" s="396"/>
      <c r="BF46" s="2481"/>
      <c r="BG46" s="279"/>
      <c r="BH46" s="6449" t="s">
        <v>1365</v>
      </c>
      <c r="BI46" s="6450"/>
      <c r="BJ46" s="411" t="str">
        <f>IF(BH44=0,"",VLOOKUP(BH44,'Tablas Magia'!$D$6:$Z$680,7,FALSE))</f>
        <v/>
      </c>
      <c r="BK46" s="411" t="str">
        <f>IF(BH44=0,"",VLOOKUP(BH44,'Tablas Magia'!$D$6:$Z$680,11,FALSE))</f>
        <v/>
      </c>
      <c r="BL46" s="412" t="str">
        <f>IF(BH44=0,"",VLOOKUP(BH44,'Tablas Magia'!$D$6:$Z$680,15,FALSE))</f>
        <v/>
      </c>
      <c r="BM46" s="6451" t="str">
        <f>IF(BH44=0,"",VLOOKUP(BH44,'Tablas Magia'!$D$6:$Z$680,19,FALSE))</f>
        <v/>
      </c>
      <c r="BN46" s="6452"/>
      <c r="BO46" s="6452"/>
      <c r="BP46" s="6452"/>
      <c r="BQ46" s="6452"/>
      <c r="BR46" s="6452"/>
      <c r="BS46" s="6452"/>
      <c r="BT46" s="6452"/>
      <c r="BU46" s="6452"/>
      <c r="BV46" s="6453"/>
      <c r="BW46" s="402"/>
      <c r="BX46" s="2481"/>
    </row>
    <row r="47" spans="1:76" ht="12.2" customHeight="1" x14ac:dyDescent="0.2">
      <c r="A47" s="396"/>
      <c r="B47" s="279"/>
      <c r="C47" s="6444" t="s">
        <v>3197</v>
      </c>
      <c r="D47" s="6445"/>
      <c r="E47" s="413" t="str">
        <f>IF(C44=0,"",VLOOKUP(C44,'Tablas Magia'!$D$6:$Z$680,8,FALSE))</f>
        <v/>
      </c>
      <c r="F47" s="413" t="str">
        <f>IF(C44=0,"",VLOOKUP(C44,'Tablas Magia'!$D$6:$Z$680,12,FALSE))</f>
        <v/>
      </c>
      <c r="G47" s="414" t="str">
        <f>IF(C44=0,"",VLOOKUP(C44,'Tablas Magia'!$D$6:$Z$680,16,FALSE))</f>
        <v/>
      </c>
      <c r="H47" s="6446" t="str">
        <f>IF(C44=0,"",VLOOKUP(C44,'Tablas Magia'!$D$6:$Z$680,20,FALSE))</f>
        <v/>
      </c>
      <c r="I47" s="6447"/>
      <c r="J47" s="6447"/>
      <c r="K47" s="6447"/>
      <c r="L47" s="6447"/>
      <c r="M47" s="6447"/>
      <c r="N47" s="6447"/>
      <c r="O47" s="6447"/>
      <c r="P47" s="6447"/>
      <c r="Q47" s="6448"/>
      <c r="R47" s="402"/>
      <c r="S47" s="396"/>
      <c r="T47" s="396"/>
      <c r="U47" s="279"/>
      <c r="V47" s="6444" t="s">
        <v>3197</v>
      </c>
      <c r="W47" s="6445"/>
      <c r="X47" s="413" t="str">
        <f>IF(V44=0,"",VLOOKUP(V44,'Tablas Magia'!$D$6:$Z$680,8,FALSE))</f>
        <v/>
      </c>
      <c r="Y47" s="413" t="str">
        <f>IF(V44=0,"",VLOOKUP(V44,'Tablas Magia'!$D$6:$Z$680,12,FALSE))</f>
        <v/>
      </c>
      <c r="Z47" s="414" t="str">
        <f>IF(V44=0,"",VLOOKUP(V44,'Tablas Magia'!$D$6:$Z$680,16,FALSE))</f>
        <v/>
      </c>
      <c r="AA47" s="6446" t="str">
        <f>IF(V44=0,"",VLOOKUP(V44,'Tablas Magia'!$D$6:$Z$680,20,FALSE))</f>
        <v/>
      </c>
      <c r="AB47" s="6447"/>
      <c r="AC47" s="6447"/>
      <c r="AD47" s="6447"/>
      <c r="AE47" s="6447"/>
      <c r="AF47" s="6447"/>
      <c r="AG47" s="6447"/>
      <c r="AH47" s="6447"/>
      <c r="AI47" s="6447"/>
      <c r="AJ47" s="6448"/>
      <c r="AK47" s="402"/>
      <c r="AL47" s="396"/>
      <c r="AM47" s="396"/>
      <c r="AN47" s="279"/>
      <c r="AO47" s="6444" t="s">
        <v>3197</v>
      </c>
      <c r="AP47" s="6445"/>
      <c r="AQ47" s="413" t="str">
        <f>IF(AO44=0,"",VLOOKUP(AO44,'Tablas Magia'!$D$6:$Z$680,8,FALSE))</f>
        <v/>
      </c>
      <c r="AR47" s="413" t="str">
        <f>IF(AO44=0,"",VLOOKUP(AO44,'Tablas Magia'!$D$6:$Z$680,12,FALSE))</f>
        <v/>
      </c>
      <c r="AS47" s="414" t="str">
        <f>IF(AO44=0,"",VLOOKUP(AO44,'Tablas Magia'!$D$6:$Z$680,16,FALSE))</f>
        <v/>
      </c>
      <c r="AT47" s="6446" t="str">
        <f>IF(AO44=0,"",VLOOKUP(AO44,'Tablas Magia'!$D$6:$Z$680,20,FALSE))</f>
        <v/>
      </c>
      <c r="AU47" s="6447"/>
      <c r="AV47" s="6447"/>
      <c r="AW47" s="6447"/>
      <c r="AX47" s="6447"/>
      <c r="AY47" s="6447"/>
      <c r="AZ47" s="6447"/>
      <c r="BA47" s="6447"/>
      <c r="BB47" s="6447"/>
      <c r="BC47" s="6448"/>
      <c r="BD47" s="402"/>
      <c r="BE47" s="396"/>
      <c r="BF47" s="2481"/>
      <c r="BG47" s="279"/>
      <c r="BH47" s="6444" t="s">
        <v>3197</v>
      </c>
      <c r="BI47" s="6445"/>
      <c r="BJ47" s="413" t="str">
        <f>IF(BH44=0,"",VLOOKUP(BH44,'Tablas Magia'!$D$6:$Z$680,8,FALSE))</f>
        <v/>
      </c>
      <c r="BK47" s="413" t="str">
        <f>IF(BH44=0,"",VLOOKUP(BH44,'Tablas Magia'!$D$6:$Z$680,12,FALSE))</f>
        <v/>
      </c>
      <c r="BL47" s="414" t="str">
        <f>IF(BH44=0,"",VLOOKUP(BH44,'Tablas Magia'!$D$6:$Z$680,16,FALSE))</f>
        <v/>
      </c>
      <c r="BM47" s="6446" t="str">
        <f>IF(BH44=0,"",VLOOKUP(BH44,'Tablas Magia'!$D$6:$Z$680,20,FALSE))</f>
        <v/>
      </c>
      <c r="BN47" s="6447"/>
      <c r="BO47" s="6447"/>
      <c r="BP47" s="6447"/>
      <c r="BQ47" s="6447"/>
      <c r="BR47" s="6447"/>
      <c r="BS47" s="6447"/>
      <c r="BT47" s="6447"/>
      <c r="BU47" s="6447"/>
      <c r="BV47" s="6448"/>
      <c r="BW47" s="402"/>
      <c r="BX47" s="2481"/>
    </row>
    <row r="48" spans="1:76" ht="12.2" customHeight="1" x14ac:dyDescent="0.2">
      <c r="A48" s="396"/>
      <c r="B48" s="279"/>
      <c r="C48" s="6449" t="s">
        <v>3198</v>
      </c>
      <c r="D48" s="6450"/>
      <c r="E48" s="411" t="str">
        <f>IF(C44=0,"",VLOOKUP(C44,'Tablas Magia'!$D$6:$Z$680,9,FALSE))</f>
        <v/>
      </c>
      <c r="F48" s="411" t="str">
        <f>IF(C44=0,"",VLOOKUP(C44,'Tablas Magia'!$D$6:$Z$680,13,FALSE))</f>
        <v/>
      </c>
      <c r="G48" s="412" t="str">
        <f>IF(C44=0,"",VLOOKUP(C44,'Tablas Magia'!$D$6:$Z$680,17,FALSE))</f>
        <v/>
      </c>
      <c r="H48" s="6451" t="str">
        <f>IF(C44=0,"",VLOOKUP(C44,'Tablas Magia'!$D$6:$Z$680,21,FALSE))</f>
        <v/>
      </c>
      <c r="I48" s="6452"/>
      <c r="J48" s="6452"/>
      <c r="K48" s="6452"/>
      <c r="L48" s="6452"/>
      <c r="M48" s="6452"/>
      <c r="N48" s="6452"/>
      <c r="O48" s="6452"/>
      <c r="P48" s="6452"/>
      <c r="Q48" s="6453"/>
      <c r="R48" s="402"/>
      <c r="S48" s="396"/>
      <c r="T48" s="396"/>
      <c r="U48" s="279"/>
      <c r="V48" s="6449" t="s">
        <v>3198</v>
      </c>
      <c r="W48" s="6450"/>
      <c r="X48" s="411" t="str">
        <f>IF(V44=0,"",VLOOKUP(V44,'Tablas Magia'!$D$6:$Z$680,9,FALSE))</f>
        <v/>
      </c>
      <c r="Y48" s="411" t="str">
        <f>IF(V44=0,"",VLOOKUP(V44,'Tablas Magia'!$D$6:$Z$680,13,FALSE))</f>
        <v/>
      </c>
      <c r="Z48" s="412" t="str">
        <f>IF(V44=0,"",VLOOKUP(V44,'Tablas Magia'!$D$6:$Z$680,17,FALSE))</f>
        <v/>
      </c>
      <c r="AA48" s="6451" t="str">
        <f>IF(V44=0,"",VLOOKUP(V44,'Tablas Magia'!$D$6:$Z$680,21,FALSE))</f>
        <v/>
      </c>
      <c r="AB48" s="6452"/>
      <c r="AC48" s="6452"/>
      <c r="AD48" s="6452"/>
      <c r="AE48" s="6452"/>
      <c r="AF48" s="6452"/>
      <c r="AG48" s="6452"/>
      <c r="AH48" s="6452"/>
      <c r="AI48" s="6452"/>
      <c r="AJ48" s="6453"/>
      <c r="AK48" s="402"/>
      <c r="AL48" s="396"/>
      <c r="AM48" s="396"/>
      <c r="AN48" s="279"/>
      <c r="AO48" s="6449" t="s">
        <v>3198</v>
      </c>
      <c r="AP48" s="6450"/>
      <c r="AQ48" s="411" t="str">
        <f>IF(AO44=0,"",VLOOKUP(AO44,'Tablas Magia'!$D$6:$Z$680,9,FALSE))</f>
        <v/>
      </c>
      <c r="AR48" s="411" t="str">
        <f>IF(AO44=0,"",VLOOKUP(AO44,'Tablas Magia'!$D$6:$Z$680,13,FALSE))</f>
        <v/>
      </c>
      <c r="AS48" s="412" t="str">
        <f>IF(AO44=0,"",VLOOKUP(AO44,'Tablas Magia'!$D$6:$Z$680,17,FALSE))</f>
        <v/>
      </c>
      <c r="AT48" s="6451" t="str">
        <f>IF(AO44=0,"",VLOOKUP(AO44,'Tablas Magia'!$D$6:$Z$680,21,FALSE))</f>
        <v/>
      </c>
      <c r="AU48" s="6452"/>
      <c r="AV48" s="6452"/>
      <c r="AW48" s="6452"/>
      <c r="AX48" s="6452"/>
      <c r="AY48" s="6452"/>
      <c r="AZ48" s="6452"/>
      <c r="BA48" s="6452"/>
      <c r="BB48" s="6452"/>
      <c r="BC48" s="6453"/>
      <c r="BD48" s="402"/>
      <c r="BE48" s="396"/>
      <c r="BF48" s="2481"/>
      <c r="BG48" s="279"/>
      <c r="BH48" s="6449" t="s">
        <v>3198</v>
      </c>
      <c r="BI48" s="6450"/>
      <c r="BJ48" s="411" t="str">
        <f>IF(BH44=0,"",VLOOKUP(BH44,'Tablas Magia'!$D$6:$Z$680,9,FALSE))</f>
        <v/>
      </c>
      <c r="BK48" s="411" t="str">
        <f>IF(BH44=0,"",VLOOKUP(BH44,'Tablas Magia'!$D$6:$Z$680,13,FALSE))</f>
        <v/>
      </c>
      <c r="BL48" s="412" t="str">
        <f>IF(BH44=0,"",VLOOKUP(BH44,'Tablas Magia'!$D$6:$Z$680,17,FALSE))</f>
        <v/>
      </c>
      <c r="BM48" s="6451" t="str">
        <f>IF(BH44=0,"",VLOOKUP(BH44,'Tablas Magia'!$D$6:$Z$680,21,FALSE))</f>
        <v/>
      </c>
      <c r="BN48" s="6452"/>
      <c r="BO48" s="6452"/>
      <c r="BP48" s="6452"/>
      <c r="BQ48" s="6452"/>
      <c r="BR48" s="6452"/>
      <c r="BS48" s="6452"/>
      <c r="BT48" s="6452"/>
      <c r="BU48" s="6452"/>
      <c r="BV48" s="6453"/>
      <c r="BW48" s="402"/>
      <c r="BX48" s="2481"/>
    </row>
    <row r="49" spans="1:76" ht="12.2" customHeight="1" thickBot="1" x14ac:dyDescent="0.25">
      <c r="A49" s="396"/>
      <c r="B49" s="279"/>
      <c r="C49" s="6454" t="s">
        <v>3199</v>
      </c>
      <c r="D49" s="6455"/>
      <c r="E49" s="415" t="str">
        <f>IF(C44=0,"",VLOOKUP(C44,'Tablas Magia'!$D$6:$Z$680,10,FALSE))</f>
        <v/>
      </c>
      <c r="F49" s="415" t="str">
        <f>IF(C44=0,"",VLOOKUP(C44,'Tablas Magia'!$D$6:$Z$680,14,FALSE))</f>
        <v/>
      </c>
      <c r="G49" s="416" t="str">
        <f>IF(C44=0,"",VLOOKUP(C44,'Tablas Magia'!$D$6:$Z$680,18,FALSE))</f>
        <v/>
      </c>
      <c r="H49" s="6456" t="str">
        <f>IF(C44=0,"",VLOOKUP(C44,'Tablas Magia'!$D$6:$Z$680,22,FALSE))</f>
        <v/>
      </c>
      <c r="I49" s="6457"/>
      <c r="J49" s="6457"/>
      <c r="K49" s="6457"/>
      <c r="L49" s="6457"/>
      <c r="M49" s="6457"/>
      <c r="N49" s="6457"/>
      <c r="O49" s="6457"/>
      <c r="P49" s="6457"/>
      <c r="Q49" s="6458"/>
      <c r="R49" s="402"/>
      <c r="S49" s="396"/>
      <c r="T49" s="396"/>
      <c r="U49" s="279"/>
      <c r="V49" s="6454" t="s">
        <v>3199</v>
      </c>
      <c r="W49" s="6455"/>
      <c r="X49" s="415" t="str">
        <f>IF(V44=0,"",VLOOKUP(V44,'Tablas Magia'!$D$6:$Z$680,10,FALSE))</f>
        <v/>
      </c>
      <c r="Y49" s="415" t="str">
        <f>IF(V44=0,"",VLOOKUP(V44,'Tablas Magia'!$D$6:$Z$680,14,FALSE))</f>
        <v/>
      </c>
      <c r="Z49" s="416" t="str">
        <f>IF(V44=0,"",VLOOKUP(V44,'Tablas Magia'!$D$6:$Z$680,18,FALSE))</f>
        <v/>
      </c>
      <c r="AA49" s="6456" t="str">
        <f>IF(V44=0,"",VLOOKUP(V44,'Tablas Magia'!$D$6:$Z$680,22,FALSE))</f>
        <v/>
      </c>
      <c r="AB49" s="6457"/>
      <c r="AC49" s="6457"/>
      <c r="AD49" s="6457"/>
      <c r="AE49" s="6457"/>
      <c r="AF49" s="6457"/>
      <c r="AG49" s="6457"/>
      <c r="AH49" s="6457"/>
      <c r="AI49" s="6457"/>
      <c r="AJ49" s="6458"/>
      <c r="AK49" s="402"/>
      <c r="AL49" s="396"/>
      <c r="AM49" s="396"/>
      <c r="AN49" s="279"/>
      <c r="AO49" s="6454" t="s">
        <v>3199</v>
      </c>
      <c r="AP49" s="6455"/>
      <c r="AQ49" s="415" t="str">
        <f>IF(AO44=0,"",VLOOKUP(AO44,'Tablas Magia'!$D$6:$Z$680,10,FALSE))</f>
        <v/>
      </c>
      <c r="AR49" s="415" t="str">
        <f>IF(AO44=0,"",VLOOKUP(AO44,'Tablas Magia'!$D$6:$Z$680,14,FALSE))</f>
        <v/>
      </c>
      <c r="AS49" s="416" t="str">
        <f>IF(AO44=0,"",VLOOKUP(AO44,'Tablas Magia'!$D$6:$Z$680,18,FALSE))</f>
        <v/>
      </c>
      <c r="AT49" s="6456" t="str">
        <f>IF(AO44=0,"",VLOOKUP(AO44,'Tablas Magia'!$D$6:$Z$680,22,FALSE))</f>
        <v/>
      </c>
      <c r="AU49" s="6457"/>
      <c r="AV49" s="6457"/>
      <c r="AW49" s="6457"/>
      <c r="AX49" s="6457"/>
      <c r="AY49" s="6457"/>
      <c r="AZ49" s="6457"/>
      <c r="BA49" s="6457"/>
      <c r="BB49" s="6457"/>
      <c r="BC49" s="6458"/>
      <c r="BD49" s="402"/>
      <c r="BE49" s="396"/>
      <c r="BF49" s="2481"/>
      <c r="BG49" s="279"/>
      <c r="BH49" s="6454" t="s">
        <v>3199</v>
      </c>
      <c r="BI49" s="6455"/>
      <c r="BJ49" s="415" t="str">
        <f>IF(BH44=0,"",VLOOKUP(BH44,'Tablas Magia'!$D$6:$Z$680,10,FALSE))</f>
        <v/>
      </c>
      <c r="BK49" s="415" t="str">
        <f>IF(BH44=0,"",VLOOKUP(BH44,'Tablas Magia'!$D$6:$Z$680,14,FALSE))</f>
        <v/>
      </c>
      <c r="BL49" s="416" t="str">
        <f>IF(BH44=0,"",VLOOKUP(BH44,'Tablas Magia'!$D$6:$Z$680,18,FALSE))</f>
        <v/>
      </c>
      <c r="BM49" s="6456" t="str">
        <f>IF(BH44=0,"",VLOOKUP(BH44,'Tablas Magia'!$D$6:$Z$680,22,FALSE))</f>
        <v/>
      </c>
      <c r="BN49" s="6457"/>
      <c r="BO49" s="6457"/>
      <c r="BP49" s="6457"/>
      <c r="BQ49" s="6457"/>
      <c r="BR49" s="6457"/>
      <c r="BS49" s="6457"/>
      <c r="BT49" s="6457"/>
      <c r="BU49" s="6457"/>
      <c r="BV49" s="6458"/>
      <c r="BW49" s="402"/>
      <c r="BX49" s="2481"/>
    </row>
    <row r="50" spans="1:76" ht="12.2" customHeight="1" x14ac:dyDescent="0.2">
      <c r="A50" s="396"/>
      <c r="B50" s="279"/>
      <c r="C50" s="6459" t="str">
        <f>IF(C44=0,"",VLOOKUP(C44,'Tablas Magia'!$D$6:$Z$680,23,FALSE))</f>
        <v/>
      </c>
      <c r="D50" s="6460"/>
      <c r="E50" s="6460"/>
      <c r="F50" s="6460"/>
      <c r="G50" s="6460"/>
      <c r="H50" s="6460"/>
      <c r="I50" s="6460"/>
      <c r="J50" s="6460"/>
      <c r="K50" s="6460"/>
      <c r="L50" s="6460"/>
      <c r="M50" s="6460"/>
      <c r="N50" s="6460"/>
      <c r="O50" s="6460"/>
      <c r="P50" s="6460"/>
      <c r="Q50" s="6461"/>
      <c r="R50" s="402"/>
      <c r="S50" s="396"/>
      <c r="T50" s="396"/>
      <c r="U50" s="279"/>
      <c r="V50" s="6459" t="str">
        <f>IF(V44=0,"",VLOOKUP(V44,'Tablas Magia'!$D$6:$Z$680,23,FALSE))</f>
        <v/>
      </c>
      <c r="W50" s="6460"/>
      <c r="X50" s="6460"/>
      <c r="Y50" s="6460"/>
      <c r="Z50" s="6460"/>
      <c r="AA50" s="6460"/>
      <c r="AB50" s="6460"/>
      <c r="AC50" s="6460"/>
      <c r="AD50" s="6460"/>
      <c r="AE50" s="6460"/>
      <c r="AF50" s="6460"/>
      <c r="AG50" s="6460"/>
      <c r="AH50" s="6460"/>
      <c r="AI50" s="6460"/>
      <c r="AJ50" s="6461"/>
      <c r="AK50" s="402"/>
      <c r="AL50" s="396"/>
      <c r="AM50" s="396"/>
      <c r="AN50" s="279"/>
      <c r="AO50" s="6459" t="str">
        <f>IF(AO44=0,"",VLOOKUP(AO44,'Tablas Magia'!$D$6:$Z$680,23,FALSE))</f>
        <v/>
      </c>
      <c r="AP50" s="6460"/>
      <c r="AQ50" s="6460"/>
      <c r="AR50" s="6460"/>
      <c r="AS50" s="6460"/>
      <c r="AT50" s="6460"/>
      <c r="AU50" s="6460"/>
      <c r="AV50" s="6460"/>
      <c r="AW50" s="6460"/>
      <c r="AX50" s="6460"/>
      <c r="AY50" s="6460"/>
      <c r="AZ50" s="6460"/>
      <c r="BA50" s="6460"/>
      <c r="BB50" s="6460"/>
      <c r="BC50" s="6461"/>
      <c r="BD50" s="402"/>
      <c r="BE50" s="396"/>
      <c r="BF50" s="2481"/>
      <c r="BG50" s="279"/>
      <c r="BH50" s="6459" t="str">
        <f>IF(BH44=0,"",VLOOKUP(BH44,'Tablas Magia'!$D$6:$Z$680,23,FALSE))</f>
        <v/>
      </c>
      <c r="BI50" s="6460"/>
      <c r="BJ50" s="6460"/>
      <c r="BK50" s="6460"/>
      <c r="BL50" s="6460"/>
      <c r="BM50" s="6460"/>
      <c r="BN50" s="6460"/>
      <c r="BO50" s="6460"/>
      <c r="BP50" s="6460"/>
      <c r="BQ50" s="6460"/>
      <c r="BR50" s="6460"/>
      <c r="BS50" s="6460"/>
      <c r="BT50" s="6460"/>
      <c r="BU50" s="6460"/>
      <c r="BV50" s="6461"/>
      <c r="BW50" s="402"/>
      <c r="BX50" s="2481"/>
    </row>
    <row r="51" spans="1:76" ht="12.2" customHeight="1" x14ac:dyDescent="0.2">
      <c r="A51" s="396"/>
      <c r="B51" s="279"/>
      <c r="C51" s="6462"/>
      <c r="D51" s="6463"/>
      <c r="E51" s="6463"/>
      <c r="F51" s="6463"/>
      <c r="G51" s="6463"/>
      <c r="H51" s="6463"/>
      <c r="I51" s="6463"/>
      <c r="J51" s="6463"/>
      <c r="K51" s="6463"/>
      <c r="L51" s="6463"/>
      <c r="M51" s="6463"/>
      <c r="N51" s="6463"/>
      <c r="O51" s="6463"/>
      <c r="P51" s="6463"/>
      <c r="Q51" s="6464"/>
      <c r="R51" s="402"/>
      <c r="S51" s="396"/>
      <c r="T51" s="396"/>
      <c r="U51" s="279"/>
      <c r="V51" s="6462"/>
      <c r="W51" s="6463"/>
      <c r="X51" s="6463"/>
      <c r="Y51" s="6463"/>
      <c r="Z51" s="6463"/>
      <c r="AA51" s="6463"/>
      <c r="AB51" s="6463"/>
      <c r="AC51" s="6463"/>
      <c r="AD51" s="6463"/>
      <c r="AE51" s="6463"/>
      <c r="AF51" s="6463"/>
      <c r="AG51" s="6463"/>
      <c r="AH51" s="6463"/>
      <c r="AI51" s="6463"/>
      <c r="AJ51" s="6464"/>
      <c r="AK51" s="402"/>
      <c r="AL51" s="396"/>
      <c r="AM51" s="396"/>
      <c r="AN51" s="279"/>
      <c r="AO51" s="6462"/>
      <c r="AP51" s="6463"/>
      <c r="AQ51" s="6463"/>
      <c r="AR51" s="6463"/>
      <c r="AS51" s="6463"/>
      <c r="AT51" s="6463"/>
      <c r="AU51" s="6463"/>
      <c r="AV51" s="6463"/>
      <c r="AW51" s="6463"/>
      <c r="AX51" s="6463"/>
      <c r="AY51" s="6463"/>
      <c r="AZ51" s="6463"/>
      <c r="BA51" s="6463"/>
      <c r="BB51" s="6463"/>
      <c r="BC51" s="6464"/>
      <c r="BD51" s="402"/>
      <c r="BE51" s="396"/>
      <c r="BF51" s="2481"/>
      <c r="BG51" s="279"/>
      <c r="BH51" s="6462"/>
      <c r="BI51" s="6463"/>
      <c r="BJ51" s="6463"/>
      <c r="BK51" s="6463"/>
      <c r="BL51" s="6463"/>
      <c r="BM51" s="6463"/>
      <c r="BN51" s="6463"/>
      <c r="BO51" s="6463"/>
      <c r="BP51" s="6463"/>
      <c r="BQ51" s="6463"/>
      <c r="BR51" s="6463"/>
      <c r="BS51" s="6463"/>
      <c r="BT51" s="6463"/>
      <c r="BU51" s="6463"/>
      <c r="BV51" s="6464"/>
      <c r="BW51" s="402"/>
      <c r="BX51" s="2481"/>
    </row>
    <row r="52" spans="1:76" ht="12.2" customHeight="1" x14ac:dyDescent="0.2">
      <c r="A52" s="396"/>
      <c r="B52" s="279"/>
      <c r="C52" s="6462"/>
      <c r="D52" s="6463"/>
      <c r="E52" s="6463"/>
      <c r="F52" s="6463"/>
      <c r="G52" s="6463"/>
      <c r="H52" s="6463"/>
      <c r="I52" s="6463"/>
      <c r="J52" s="6463"/>
      <c r="K52" s="6463"/>
      <c r="L52" s="6463"/>
      <c r="M52" s="6463"/>
      <c r="N52" s="6463"/>
      <c r="O52" s="6463"/>
      <c r="P52" s="6463"/>
      <c r="Q52" s="6464"/>
      <c r="R52" s="402"/>
      <c r="S52" s="396"/>
      <c r="T52" s="396"/>
      <c r="U52" s="279"/>
      <c r="V52" s="6462"/>
      <c r="W52" s="6463"/>
      <c r="X52" s="6463"/>
      <c r="Y52" s="6463"/>
      <c r="Z52" s="6463"/>
      <c r="AA52" s="6463"/>
      <c r="AB52" s="6463"/>
      <c r="AC52" s="6463"/>
      <c r="AD52" s="6463"/>
      <c r="AE52" s="6463"/>
      <c r="AF52" s="6463"/>
      <c r="AG52" s="6463"/>
      <c r="AH52" s="6463"/>
      <c r="AI52" s="6463"/>
      <c r="AJ52" s="6464"/>
      <c r="AK52" s="402"/>
      <c r="AL52" s="396"/>
      <c r="AM52" s="396"/>
      <c r="AN52" s="279"/>
      <c r="AO52" s="6462"/>
      <c r="AP52" s="6463"/>
      <c r="AQ52" s="6463"/>
      <c r="AR52" s="6463"/>
      <c r="AS52" s="6463"/>
      <c r="AT52" s="6463"/>
      <c r="AU52" s="6463"/>
      <c r="AV52" s="6463"/>
      <c r="AW52" s="6463"/>
      <c r="AX52" s="6463"/>
      <c r="AY52" s="6463"/>
      <c r="AZ52" s="6463"/>
      <c r="BA52" s="6463"/>
      <c r="BB52" s="6463"/>
      <c r="BC52" s="6464"/>
      <c r="BD52" s="402"/>
      <c r="BE52" s="396"/>
      <c r="BF52" s="2481"/>
      <c r="BG52" s="279"/>
      <c r="BH52" s="6462"/>
      <c r="BI52" s="6463"/>
      <c r="BJ52" s="6463"/>
      <c r="BK52" s="6463"/>
      <c r="BL52" s="6463"/>
      <c r="BM52" s="6463"/>
      <c r="BN52" s="6463"/>
      <c r="BO52" s="6463"/>
      <c r="BP52" s="6463"/>
      <c r="BQ52" s="6463"/>
      <c r="BR52" s="6463"/>
      <c r="BS52" s="6463"/>
      <c r="BT52" s="6463"/>
      <c r="BU52" s="6463"/>
      <c r="BV52" s="6464"/>
      <c r="BW52" s="402"/>
      <c r="BX52" s="2481"/>
    </row>
    <row r="53" spans="1:76" ht="12.2" customHeight="1" thickBot="1" x14ac:dyDescent="0.25">
      <c r="A53" s="396"/>
      <c r="B53" s="279"/>
      <c r="C53" s="6465"/>
      <c r="D53" s="6466"/>
      <c r="E53" s="6466"/>
      <c r="F53" s="6466"/>
      <c r="G53" s="6466"/>
      <c r="H53" s="6466"/>
      <c r="I53" s="6466"/>
      <c r="J53" s="6466"/>
      <c r="K53" s="6466"/>
      <c r="L53" s="6466"/>
      <c r="M53" s="6466"/>
      <c r="N53" s="6466"/>
      <c r="O53" s="6466"/>
      <c r="P53" s="6466"/>
      <c r="Q53" s="6467"/>
      <c r="R53" s="402"/>
      <c r="S53" s="396"/>
      <c r="T53" s="396"/>
      <c r="U53" s="279"/>
      <c r="V53" s="6465"/>
      <c r="W53" s="6466"/>
      <c r="X53" s="6466"/>
      <c r="Y53" s="6466"/>
      <c r="Z53" s="6466"/>
      <c r="AA53" s="6466"/>
      <c r="AB53" s="6466"/>
      <c r="AC53" s="6466"/>
      <c r="AD53" s="6466"/>
      <c r="AE53" s="6466"/>
      <c r="AF53" s="6466"/>
      <c r="AG53" s="6466"/>
      <c r="AH53" s="6466"/>
      <c r="AI53" s="6466"/>
      <c r="AJ53" s="6467"/>
      <c r="AK53" s="402"/>
      <c r="AL53" s="396"/>
      <c r="AM53" s="396"/>
      <c r="AN53" s="279"/>
      <c r="AO53" s="6465"/>
      <c r="AP53" s="6466"/>
      <c r="AQ53" s="6466"/>
      <c r="AR53" s="6466"/>
      <c r="AS53" s="6466"/>
      <c r="AT53" s="6466"/>
      <c r="AU53" s="6466"/>
      <c r="AV53" s="6466"/>
      <c r="AW53" s="6466"/>
      <c r="AX53" s="6466"/>
      <c r="AY53" s="6466"/>
      <c r="AZ53" s="6466"/>
      <c r="BA53" s="6466"/>
      <c r="BB53" s="6466"/>
      <c r="BC53" s="6467"/>
      <c r="BD53" s="402"/>
      <c r="BE53" s="396"/>
      <c r="BF53" s="2481"/>
      <c r="BG53" s="279"/>
      <c r="BH53" s="6465"/>
      <c r="BI53" s="6466"/>
      <c r="BJ53" s="6466"/>
      <c r="BK53" s="6466"/>
      <c r="BL53" s="6466"/>
      <c r="BM53" s="6466"/>
      <c r="BN53" s="6466"/>
      <c r="BO53" s="6466"/>
      <c r="BP53" s="6466"/>
      <c r="BQ53" s="6466"/>
      <c r="BR53" s="6466"/>
      <c r="BS53" s="6466"/>
      <c r="BT53" s="6466"/>
      <c r="BU53" s="6466"/>
      <c r="BV53" s="6467"/>
      <c r="BW53" s="402"/>
      <c r="BX53" s="2481"/>
    </row>
    <row r="54" spans="1:76" ht="12.2" customHeight="1" thickBot="1" x14ac:dyDescent="0.25">
      <c r="A54" s="396"/>
      <c r="B54" s="279"/>
      <c r="C54" s="422"/>
      <c r="D54" s="422"/>
      <c r="E54" s="413"/>
      <c r="F54" s="413"/>
      <c r="G54" s="413"/>
      <c r="H54" s="423"/>
      <c r="I54" s="423"/>
      <c r="J54" s="423"/>
      <c r="K54" s="423"/>
      <c r="L54" s="423"/>
      <c r="M54" s="423"/>
      <c r="N54" s="423"/>
      <c r="O54" s="423"/>
      <c r="P54" s="423"/>
      <c r="Q54" s="423"/>
      <c r="R54" s="402"/>
      <c r="S54" s="396"/>
      <c r="T54" s="396"/>
      <c r="U54" s="279"/>
      <c r="V54" s="422"/>
      <c r="W54" s="422"/>
      <c r="X54" s="413"/>
      <c r="Y54" s="413"/>
      <c r="Z54" s="413"/>
      <c r="AA54" s="423"/>
      <c r="AB54" s="423"/>
      <c r="AC54" s="423"/>
      <c r="AD54" s="423"/>
      <c r="AE54" s="423"/>
      <c r="AF54" s="423"/>
      <c r="AG54" s="423"/>
      <c r="AH54" s="423"/>
      <c r="AI54" s="423"/>
      <c r="AJ54" s="423"/>
      <c r="AK54" s="402"/>
      <c r="AL54" s="396"/>
      <c r="AM54" s="396"/>
      <c r="AN54" s="279"/>
      <c r="AO54" s="422"/>
      <c r="AP54" s="422"/>
      <c r="AQ54" s="413"/>
      <c r="AR54" s="413"/>
      <c r="AS54" s="413"/>
      <c r="AT54" s="423"/>
      <c r="AU54" s="423"/>
      <c r="AV54" s="423"/>
      <c r="AW54" s="423"/>
      <c r="AX54" s="423"/>
      <c r="AY54" s="423"/>
      <c r="AZ54" s="423"/>
      <c r="BA54" s="423"/>
      <c r="BB54" s="423"/>
      <c r="BC54" s="423"/>
      <c r="BD54" s="402"/>
      <c r="BE54" s="396"/>
      <c r="BF54" s="2481"/>
      <c r="BG54" s="279"/>
      <c r="BH54" s="422"/>
      <c r="BI54" s="422"/>
      <c r="BJ54" s="413"/>
      <c r="BK54" s="413"/>
      <c r="BL54" s="413"/>
      <c r="BM54" s="423"/>
      <c r="BN54" s="423"/>
      <c r="BO54" s="423"/>
      <c r="BP54" s="423"/>
      <c r="BQ54" s="423"/>
      <c r="BR54" s="423"/>
      <c r="BS54" s="423"/>
      <c r="BT54" s="423"/>
      <c r="BU54" s="423"/>
      <c r="BV54" s="423"/>
      <c r="BW54" s="402"/>
      <c r="BX54" s="2481"/>
    </row>
    <row r="55" spans="1:76" ht="12.2" customHeight="1" x14ac:dyDescent="0.2">
      <c r="A55" s="396"/>
      <c r="B55" s="279"/>
      <c r="C55" s="6468"/>
      <c r="D55" s="6469"/>
      <c r="E55" s="6469"/>
      <c r="F55" s="6469"/>
      <c r="G55" s="6469"/>
      <c r="H55" s="406" t="s">
        <v>1325</v>
      </c>
      <c r="I55" s="407" t="str">
        <f>IF(C55=0,"",VLOOKUP(C55,'Tablas Magia'!$D$6:$Z$680,3,FALSE))</f>
        <v/>
      </c>
      <c r="J55" s="6470" t="s">
        <v>6236</v>
      </c>
      <c r="K55" s="6470"/>
      <c r="L55" s="6470"/>
      <c r="M55" s="6471" t="str">
        <f>IF(C55=0,"",VLOOKUP(C55,'Tablas Magia'!$D$6:$Z$680,2,FALSE))</f>
        <v/>
      </c>
      <c r="N55" s="6471"/>
      <c r="O55" s="6471"/>
      <c r="P55" s="6471"/>
      <c r="Q55" s="6472"/>
      <c r="R55" s="402"/>
      <c r="S55" s="396"/>
      <c r="T55" s="396"/>
      <c r="U55" s="279"/>
      <c r="V55" s="6468"/>
      <c r="W55" s="6469"/>
      <c r="X55" s="6469"/>
      <c r="Y55" s="6469"/>
      <c r="Z55" s="6469"/>
      <c r="AA55" s="406" t="s">
        <v>1325</v>
      </c>
      <c r="AB55" s="407" t="str">
        <f>IF(V55=0,"",VLOOKUP(V55,'Tablas Magia'!$D$6:$Z$680,3,FALSE))</f>
        <v/>
      </c>
      <c r="AC55" s="6470" t="s">
        <v>6236</v>
      </c>
      <c r="AD55" s="6470"/>
      <c r="AE55" s="6470"/>
      <c r="AF55" s="6471" t="str">
        <f>IF(V55=0,"",VLOOKUP(V55,'Tablas Magia'!$D$6:$Z$680,2,FALSE))</f>
        <v/>
      </c>
      <c r="AG55" s="6471"/>
      <c r="AH55" s="6471"/>
      <c r="AI55" s="6471"/>
      <c r="AJ55" s="6472"/>
      <c r="AK55" s="402"/>
      <c r="AL55" s="396"/>
      <c r="AM55" s="396"/>
      <c r="AN55" s="279"/>
      <c r="AO55" s="6468"/>
      <c r="AP55" s="6469"/>
      <c r="AQ55" s="6469"/>
      <c r="AR55" s="6469"/>
      <c r="AS55" s="6469"/>
      <c r="AT55" s="406" t="s">
        <v>1325</v>
      </c>
      <c r="AU55" s="407" t="str">
        <f>IF(AO55=0,"",VLOOKUP(AO55,'Tablas Magia'!$D$6:$Z$680,3,FALSE))</f>
        <v/>
      </c>
      <c r="AV55" s="6470" t="s">
        <v>6236</v>
      </c>
      <c r="AW55" s="6470"/>
      <c r="AX55" s="6470"/>
      <c r="AY55" s="6471" t="str">
        <f>IF(AO55=0,"",VLOOKUP(AO55,'Tablas Magia'!$D$6:$Z$680,2,FALSE))</f>
        <v/>
      </c>
      <c r="AZ55" s="6471"/>
      <c r="BA55" s="6471"/>
      <c r="BB55" s="6471"/>
      <c r="BC55" s="6472"/>
      <c r="BD55" s="402"/>
      <c r="BE55" s="396"/>
      <c r="BF55" s="2481"/>
      <c r="BG55" s="279"/>
      <c r="BH55" s="6468"/>
      <c r="BI55" s="6469"/>
      <c r="BJ55" s="6469"/>
      <c r="BK55" s="6469"/>
      <c r="BL55" s="6469"/>
      <c r="BM55" s="406" t="s">
        <v>1325</v>
      </c>
      <c r="BN55" s="407" t="str">
        <f>IF(BH55=0,"",VLOOKUP(BH55,'Tablas Magia'!$D$6:$Z$680,3,FALSE))</f>
        <v/>
      </c>
      <c r="BO55" s="6470" t="s">
        <v>6236</v>
      </c>
      <c r="BP55" s="6470"/>
      <c r="BQ55" s="6470"/>
      <c r="BR55" s="6471" t="str">
        <f>IF(BH55=0,"",VLOOKUP(BH55,'Tablas Magia'!$D$6:$Z$680,2,FALSE))</f>
        <v/>
      </c>
      <c r="BS55" s="6471"/>
      <c r="BT55" s="6471"/>
      <c r="BU55" s="6471"/>
      <c r="BV55" s="6472"/>
      <c r="BW55" s="402"/>
      <c r="BX55" s="2481"/>
    </row>
    <row r="56" spans="1:76" ht="12.2" customHeight="1" x14ac:dyDescent="0.2">
      <c r="A56" s="396"/>
      <c r="B56" s="279"/>
      <c r="C56" s="6473" t="s">
        <v>6237</v>
      </c>
      <c r="D56" s="6474"/>
      <c r="E56" s="408" t="s">
        <v>6238</v>
      </c>
      <c r="F56" s="408" t="s">
        <v>1509</v>
      </c>
      <c r="G56" s="408" t="s">
        <v>2828</v>
      </c>
      <c r="H56" s="409" t="s">
        <v>1836</v>
      </c>
      <c r="I56" s="6475" t="str">
        <f>IF(C55=0,"",VLOOKUP(C55,'Tablas Magia'!$D$6:$Z$680,5,FALSE))</f>
        <v/>
      </c>
      <c r="J56" s="6475"/>
      <c r="K56" s="6476" t="s">
        <v>6239</v>
      </c>
      <c r="L56" s="6476"/>
      <c r="M56" s="6475" t="str">
        <f>IF(C55=0,"",VLOOKUP(C55,'Tablas Magia'!$D$6:$Z$680,6,FALSE))</f>
        <v/>
      </c>
      <c r="N56" s="6475"/>
      <c r="O56" s="6477" t="s">
        <v>6240</v>
      </c>
      <c r="P56" s="6477"/>
      <c r="Q56" s="410" t="str">
        <f>IF(C55=0,"",VLOOKUP(C55,'Tablas Magia'!$D$6:$Z$680,4,FALSE))</f>
        <v/>
      </c>
      <c r="R56" s="402"/>
      <c r="S56" s="396"/>
      <c r="T56" s="396"/>
      <c r="U56" s="279"/>
      <c r="V56" s="6473" t="s">
        <v>6237</v>
      </c>
      <c r="W56" s="6474"/>
      <c r="X56" s="408" t="s">
        <v>6238</v>
      </c>
      <c r="Y56" s="408" t="s">
        <v>1509</v>
      </c>
      <c r="Z56" s="408" t="s">
        <v>2828</v>
      </c>
      <c r="AA56" s="409" t="s">
        <v>1836</v>
      </c>
      <c r="AB56" s="6475" t="str">
        <f>IF(V55=0,"",VLOOKUP(V55,'Tablas Magia'!$D$6:$Z$680,5,FALSE))</f>
        <v/>
      </c>
      <c r="AC56" s="6475"/>
      <c r="AD56" s="6476" t="s">
        <v>6239</v>
      </c>
      <c r="AE56" s="6476"/>
      <c r="AF56" s="6475" t="str">
        <f>IF(V55=0,"",VLOOKUP(V55,'Tablas Magia'!$D$6:$Z$680,6,FALSE))</f>
        <v/>
      </c>
      <c r="AG56" s="6475"/>
      <c r="AH56" s="6477" t="s">
        <v>6240</v>
      </c>
      <c r="AI56" s="6477"/>
      <c r="AJ56" s="410" t="str">
        <f>IF(V55=0,"",VLOOKUP(V55,'Tablas Magia'!$D$6:$Z$680,4,FALSE))</f>
        <v/>
      </c>
      <c r="AK56" s="402"/>
      <c r="AL56" s="396"/>
      <c r="AM56" s="396"/>
      <c r="AN56" s="279"/>
      <c r="AO56" s="6473" t="s">
        <v>6237</v>
      </c>
      <c r="AP56" s="6474"/>
      <c r="AQ56" s="408" t="s">
        <v>6238</v>
      </c>
      <c r="AR56" s="408" t="s">
        <v>1509</v>
      </c>
      <c r="AS56" s="408" t="s">
        <v>2828</v>
      </c>
      <c r="AT56" s="409" t="s">
        <v>1836</v>
      </c>
      <c r="AU56" s="6475" t="str">
        <f>IF(AO55=0,"",VLOOKUP(AO55,'Tablas Magia'!$D$6:$Z$680,5,FALSE))</f>
        <v/>
      </c>
      <c r="AV56" s="6475"/>
      <c r="AW56" s="6476" t="s">
        <v>6239</v>
      </c>
      <c r="AX56" s="6476"/>
      <c r="AY56" s="6475" t="str">
        <f>IF(AO55=0,"",VLOOKUP(AO55,'Tablas Magia'!$D$6:$Z$680,6,FALSE))</f>
        <v/>
      </c>
      <c r="AZ56" s="6475"/>
      <c r="BA56" s="6477" t="s">
        <v>6240</v>
      </c>
      <c r="BB56" s="6477"/>
      <c r="BC56" s="410" t="str">
        <f>IF(AO55=0,"",VLOOKUP(AO55,'Tablas Magia'!$D$6:$Z$680,4,FALSE))</f>
        <v/>
      </c>
      <c r="BD56" s="402"/>
      <c r="BE56" s="396"/>
      <c r="BF56" s="2481"/>
      <c r="BG56" s="279"/>
      <c r="BH56" s="6473" t="s">
        <v>6237</v>
      </c>
      <c r="BI56" s="6474"/>
      <c r="BJ56" s="408" t="s">
        <v>6238</v>
      </c>
      <c r="BK56" s="408" t="s">
        <v>1509</v>
      </c>
      <c r="BL56" s="408" t="s">
        <v>2828</v>
      </c>
      <c r="BM56" s="409" t="s">
        <v>1836</v>
      </c>
      <c r="BN56" s="6475" t="str">
        <f>IF(BH55=0,"",VLOOKUP(BH55,'Tablas Magia'!$D$6:$Z$680,5,FALSE))</f>
        <v/>
      </c>
      <c r="BO56" s="6475"/>
      <c r="BP56" s="6476" t="s">
        <v>6239</v>
      </c>
      <c r="BQ56" s="6476"/>
      <c r="BR56" s="6475" t="str">
        <f>IF(BH55=0,"",VLOOKUP(BH55,'Tablas Magia'!$D$6:$Z$680,6,FALSE))</f>
        <v/>
      </c>
      <c r="BS56" s="6475"/>
      <c r="BT56" s="6477" t="s">
        <v>6240</v>
      </c>
      <c r="BU56" s="6477"/>
      <c r="BV56" s="410" t="str">
        <f>IF(BH55=0,"",VLOOKUP(BH55,'Tablas Magia'!$D$6:$Z$680,4,FALSE))</f>
        <v/>
      </c>
      <c r="BW56" s="402"/>
      <c r="BX56" s="2481"/>
    </row>
    <row r="57" spans="1:76" ht="12.2" customHeight="1" x14ac:dyDescent="0.2">
      <c r="A57" s="396"/>
      <c r="B57" s="279"/>
      <c r="C57" s="6449" t="s">
        <v>1365</v>
      </c>
      <c r="D57" s="6450"/>
      <c r="E57" s="411" t="str">
        <f>IF(C55=0,"",VLOOKUP(C55,'Tablas Magia'!$D$6:$Z$680,7,FALSE))</f>
        <v/>
      </c>
      <c r="F57" s="411" t="str">
        <f>IF(C55=0,"",VLOOKUP(C55,'Tablas Magia'!$D$6:$Z$680,11,FALSE))</f>
        <v/>
      </c>
      <c r="G57" s="412" t="str">
        <f>IF(C55=0,"",VLOOKUP(C55,'Tablas Magia'!$D$6:$Z$680,15,FALSE))</f>
        <v/>
      </c>
      <c r="H57" s="6451" t="str">
        <f>IF(C55=0,"",VLOOKUP(C55,'Tablas Magia'!$D$6:$Z$680,19,FALSE))</f>
        <v/>
      </c>
      <c r="I57" s="6452"/>
      <c r="J57" s="6452"/>
      <c r="K57" s="6452"/>
      <c r="L57" s="6452"/>
      <c r="M57" s="6452"/>
      <c r="N57" s="6452"/>
      <c r="O57" s="6452"/>
      <c r="P57" s="6452"/>
      <c r="Q57" s="6453"/>
      <c r="R57" s="402"/>
      <c r="S57" s="396"/>
      <c r="T57" s="396"/>
      <c r="U57" s="279"/>
      <c r="V57" s="6449" t="s">
        <v>1365</v>
      </c>
      <c r="W57" s="6450"/>
      <c r="X57" s="411" t="str">
        <f>IF(V55=0,"",VLOOKUP(V55,'Tablas Magia'!$D$6:$Z$680,7,FALSE))</f>
        <v/>
      </c>
      <c r="Y57" s="411" t="str">
        <f>IF(V55=0,"",VLOOKUP(V55,'Tablas Magia'!$D$6:$Z$680,11,FALSE))</f>
        <v/>
      </c>
      <c r="Z57" s="412" t="str">
        <f>IF(V55=0,"",VLOOKUP(V55,'Tablas Magia'!$D$6:$Z$680,15,FALSE))</f>
        <v/>
      </c>
      <c r="AA57" s="6451" t="str">
        <f>IF(V55=0,"",VLOOKUP(V55,'Tablas Magia'!$D$6:$Z$680,19,FALSE))</f>
        <v/>
      </c>
      <c r="AB57" s="6452"/>
      <c r="AC57" s="6452"/>
      <c r="AD57" s="6452"/>
      <c r="AE57" s="6452"/>
      <c r="AF57" s="6452"/>
      <c r="AG57" s="6452"/>
      <c r="AH57" s="6452"/>
      <c r="AI57" s="6452"/>
      <c r="AJ57" s="6453"/>
      <c r="AK57" s="402"/>
      <c r="AL57" s="396"/>
      <c r="AM57" s="396"/>
      <c r="AN57" s="279"/>
      <c r="AO57" s="6449" t="s">
        <v>1365</v>
      </c>
      <c r="AP57" s="6450"/>
      <c r="AQ57" s="411" t="str">
        <f>IF(AO55=0,"",VLOOKUP(AO55,'Tablas Magia'!$D$6:$Z$680,7,FALSE))</f>
        <v/>
      </c>
      <c r="AR57" s="411" t="str">
        <f>IF(AO55=0,"",VLOOKUP(AO55,'Tablas Magia'!$D$6:$Z$680,11,FALSE))</f>
        <v/>
      </c>
      <c r="AS57" s="412" t="str">
        <f>IF(AO55=0,"",VLOOKUP(AO55,'Tablas Magia'!$D$6:$Z$680,15,FALSE))</f>
        <v/>
      </c>
      <c r="AT57" s="6451" t="str">
        <f>IF(AO55=0,"",VLOOKUP(AO55,'Tablas Magia'!$D$6:$Z$680,19,FALSE))</f>
        <v/>
      </c>
      <c r="AU57" s="6452"/>
      <c r="AV57" s="6452"/>
      <c r="AW57" s="6452"/>
      <c r="AX57" s="6452"/>
      <c r="AY57" s="6452"/>
      <c r="AZ57" s="6452"/>
      <c r="BA57" s="6452"/>
      <c r="BB57" s="6452"/>
      <c r="BC57" s="6453"/>
      <c r="BD57" s="402"/>
      <c r="BE57" s="396"/>
      <c r="BF57" s="2481"/>
      <c r="BG57" s="279"/>
      <c r="BH57" s="6449" t="s">
        <v>1365</v>
      </c>
      <c r="BI57" s="6450"/>
      <c r="BJ57" s="411" t="str">
        <f>IF(BH55=0,"",VLOOKUP(BH55,'Tablas Magia'!$D$6:$Z$680,7,FALSE))</f>
        <v/>
      </c>
      <c r="BK57" s="411" t="str">
        <f>IF(BH55=0,"",VLOOKUP(BH55,'Tablas Magia'!$D$6:$Z$680,11,FALSE))</f>
        <v/>
      </c>
      <c r="BL57" s="412" t="str">
        <f>IF(BH55=0,"",VLOOKUP(BH55,'Tablas Magia'!$D$6:$Z$680,15,FALSE))</f>
        <v/>
      </c>
      <c r="BM57" s="6451" t="str">
        <f>IF(BH55=0,"",VLOOKUP(BH55,'Tablas Magia'!$D$6:$Z$680,19,FALSE))</f>
        <v/>
      </c>
      <c r="BN57" s="6452"/>
      <c r="BO57" s="6452"/>
      <c r="BP57" s="6452"/>
      <c r="BQ57" s="6452"/>
      <c r="BR57" s="6452"/>
      <c r="BS57" s="6452"/>
      <c r="BT57" s="6452"/>
      <c r="BU57" s="6452"/>
      <c r="BV57" s="6453"/>
      <c r="BW57" s="402"/>
      <c r="BX57" s="2481"/>
    </row>
    <row r="58" spans="1:76" ht="12.2" customHeight="1" x14ac:dyDescent="0.2">
      <c r="A58" s="396"/>
      <c r="B58" s="279"/>
      <c r="C58" s="6444" t="s">
        <v>3197</v>
      </c>
      <c r="D58" s="6445"/>
      <c r="E58" s="413" t="str">
        <f>IF(C55=0,"",VLOOKUP(C55,'Tablas Magia'!$D$6:$Z$680,8,FALSE))</f>
        <v/>
      </c>
      <c r="F58" s="413" t="str">
        <f>IF(C55=0,"",VLOOKUP(C55,'Tablas Magia'!$D$6:$Z$680,12,FALSE))</f>
        <v/>
      </c>
      <c r="G58" s="414" t="str">
        <f>IF(C55=0,"",VLOOKUP(C55,'Tablas Magia'!$D$6:$Z$680,16,FALSE))</f>
        <v/>
      </c>
      <c r="H58" s="6446" t="str">
        <f>IF(C55=0,"",VLOOKUP(C55,'Tablas Magia'!$D$6:$Z$680,20,FALSE))</f>
        <v/>
      </c>
      <c r="I58" s="6447"/>
      <c r="J58" s="6447"/>
      <c r="K58" s="6447"/>
      <c r="L58" s="6447"/>
      <c r="M58" s="6447"/>
      <c r="N58" s="6447"/>
      <c r="O58" s="6447"/>
      <c r="P58" s="6447"/>
      <c r="Q58" s="6448"/>
      <c r="R58" s="402"/>
      <c r="S58" s="396"/>
      <c r="T58" s="396"/>
      <c r="U58" s="279"/>
      <c r="V58" s="6444" t="s">
        <v>3197</v>
      </c>
      <c r="W58" s="6445"/>
      <c r="X58" s="413" t="str">
        <f>IF(V55=0,"",VLOOKUP(V55,'Tablas Magia'!$D$6:$Z$680,8,FALSE))</f>
        <v/>
      </c>
      <c r="Y58" s="413" t="str">
        <f>IF(V55=0,"",VLOOKUP(V55,'Tablas Magia'!$D$6:$Z$680,12,FALSE))</f>
        <v/>
      </c>
      <c r="Z58" s="414" t="str">
        <f>IF(V55=0,"",VLOOKUP(V55,'Tablas Magia'!$D$6:$Z$680,16,FALSE))</f>
        <v/>
      </c>
      <c r="AA58" s="6446" t="str">
        <f>IF(V55=0,"",VLOOKUP(V55,'Tablas Magia'!$D$6:$Z$680,20,FALSE))</f>
        <v/>
      </c>
      <c r="AB58" s="6447"/>
      <c r="AC58" s="6447"/>
      <c r="AD58" s="6447"/>
      <c r="AE58" s="6447"/>
      <c r="AF58" s="6447"/>
      <c r="AG58" s="6447"/>
      <c r="AH58" s="6447"/>
      <c r="AI58" s="6447"/>
      <c r="AJ58" s="6448"/>
      <c r="AK58" s="402"/>
      <c r="AL58" s="396"/>
      <c r="AM58" s="396"/>
      <c r="AN58" s="279"/>
      <c r="AO58" s="6444" t="s">
        <v>3197</v>
      </c>
      <c r="AP58" s="6445"/>
      <c r="AQ58" s="413" t="str">
        <f>IF(AO55=0,"",VLOOKUP(AO55,'Tablas Magia'!$D$6:$Z$680,8,FALSE))</f>
        <v/>
      </c>
      <c r="AR58" s="413" t="str">
        <f>IF(AO55=0,"",VLOOKUP(AO55,'Tablas Magia'!$D$6:$Z$680,12,FALSE))</f>
        <v/>
      </c>
      <c r="AS58" s="414" t="str">
        <f>IF(AO55=0,"",VLOOKUP(AO55,'Tablas Magia'!$D$6:$Z$680,16,FALSE))</f>
        <v/>
      </c>
      <c r="AT58" s="6446" t="str">
        <f>IF(AO55=0,"",VLOOKUP(AO55,'Tablas Magia'!$D$6:$Z$680,20,FALSE))</f>
        <v/>
      </c>
      <c r="AU58" s="6447"/>
      <c r="AV58" s="6447"/>
      <c r="AW58" s="6447"/>
      <c r="AX58" s="6447"/>
      <c r="AY58" s="6447"/>
      <c r="AZ58" s="6447"/>
      <c r="BA58" s="6447"/>
      <c r="BB58" s="6447"/>
      <c r="BC58" s="6448"/>
      <c r="BD58" s="402"/>
      <c r="BE58" s="396"/>
      <c r="BF58" s="2481"/>
      <c r="BG58" s="279"/>
      <c r="BH58" s="6444" t="s">
        <v>3197</v>
      </c>
      <c r="BI58" s="6445"/>
      <c r="BJ58" s="413" t="str">
        <f>IF(BH55=0,"",VLOOKUP(BH55,'Tablas Magia'!$D$6:$Z$680,8,FALSE))</f>
        <v/>
      </c>
      <c r="BK58" s="413" t="str">
        <f>IF(BH55=0,"",VLOOKUP(BH55,'Tablas Magia'!$D$6:$Z$680,12,FALSE))</f>
        <v/>
      </c>
      <c r="BL58" s="414" t="str">
        <f>IF(BH55=0,"",VLOOKUP(BH55,'Tablas Magia'!$D$6:$Z$680,16,FALSE))</f>
        <v/>
      </c>
      <c r="BM58" s="6446" t="str">
        <f>IF(BH55=0,"",VLOOKUP(BH55,'Tablas Magia'!$D$6:$Z$680,20,FALSE))</f>
        <v/>
      </c>
      <c r="BN58" s="6447"/>
      <c r="BO58" s="6447"/>
      <c r="BP58" s="6447"/>
      <c r="BQ58" s="6447"/>
      <c r="BR58" s="6447"/>
      <c r="BS58" s="6447"/>
      <c r="BT58" s="6447"/>
      <c r="BU58" s="6447"/>
      <c r="BV58" s="6448"/>
      <c r="BW58" s="402"/>
      <c r="BX58" s="2481"/>
    </row>
    <row r="59" spans="1:76" ht="12.2" customHeight="1" x14ac:dyDescent="0.2">
      <c r="A59" s="396"/>
      <c r="B59" s="279"/>
      <c r="C59" s="6449" t="s">
        <v>3198</v>
      </c>
      <c r="D59" s="6450"/>
      <c r="E59" s="411" t="str">
        <f>IF(C55=0,"",VLOOKUP(C55,'Tablas Magia'!$D$6:$Z$680,9,FALSE))</f>
        <v/>
      </c>
      <c r="F59" s="411" t="str">
        <f>IF(C55=0,"",VLOOKUP(C55,'Tablas Magia'!$D$6:$Z$680,13,FALSE))</f>
        <v/>
      </c>
      <c r="G59" s="412" t="str">
        <f>IF(C55=0,"",VLOOKUP(C55,'Tablas Magia'!$D$6:$Z$680,17,FALSE))</f>
        <v/>
      </c>
      <c r="H59" s="6451" t="str">
        <f>IF(C55=0,"",VLOOKUP(C55,'Tablas Magia'!$D$6:$Z$680,21,FALSE))</f>
        <v/>
      </c>
      <c r="I59" s="6452"/>
      <c r="J59" s="6452"/>
      <c r="K59" s="6452"/>
      <c r="L59" s="6452"/>
      <c r="M59" s="6452"/>
      <c r="N59" s="6452"/>
      <c r="O59" s="6452"/>
      <c r="P59" s="6452"/>
      <c r="Q59" s="6453"/>
      <c r="R59" s="402"/>
      <c r="S59" s="396"/>
      <c r="T59" s="396"/>
      <c r="U59" s="279"/>
      <c r="V59" s="6449" t="s">
        <v>3198</v>
      </c>
      <c r="W59" s="6450"/>
      <c r="X59" s="411" t="str">
        <f>IF(V55=0,"",VLOOKUP(V55,'Tablas Magia'!$D$6:$Z$680,9,FALSE))</f>
        <v/>
      </c>
      <c r="Y59" s="411" t="str">
        <f>IF(V55=0,"",VLOOKUP(V55,'Tablas Magia'!$D$6:$Z$680,13,FALSE))</f>
        <v/>
      </c>
      <c r="Z59" s="412" t="str">
        <f>IF(V55=0,"",VLOOKUP(V55,'Tablas Magia'!$D$6:$Z$680,17,FALSE))</f>
        <v/>
      </c>
      <c r="AA59" s="6451" t="str">
        <f>IF(V55=0,"",VLOOKUP(V55,'Tablas Magia'!$D$6:$Z$680,21,FALSE))</f>
        <v/>
      </c>
      <c r="AB59" s="6452"/>
      <c r="AC59" s="6452"/>
      <c r="AD59" s="6452"/>
      <c r="AE59" s="6452"/>
      <c r="AF59" s="6452"/>
      <c r="AG59" s="6452"/>
      <c r="AH59" s="6452"/>
      <c r="AI59" s="6452"/>
      <c r="AJ59" s="6453"/>
      <c r="AK59" s="402"/>
      <c r="AL59" s="396"/>
      <c r="AM59" s="396"/>
      <c r="AN59" s="279"/>
      <c r="AO59" s="6449" t="s">
        <v>3198</v>
      </c>
      <c r="AP59" s="6450"/>
      <c r="AQ59" s="411" t="str">
        <f>IF(AO55=0,"",VLOOKUP(AO55,'Tablas Magia'!$D$6:$Z$680,9,FALSE))</f>
        <v/>
      </c>
      <c r="AR59" s="411" t="str">
        <f>IF(AO55=0,"",VLOOKUP(AO55,'Tablas Magia'!$D$6:$Z$680,13,FALSE))</f>
        <v/>
      </c>
      <c r="AS59" s="412" t="str">
        <f>IF(AO55=0,"",VLOOKUP(AO55,'Tablas Magia'!$D$6:$Z$680,17,FALSE))</f>
        <v/>
      </c>
      <c r="AT59" s="6451" t="str">
        <f>IF(AO55=0,"",VLOOKUP(AO55,'Tablas Magia'!$D$6:$Z$680,21,FALSE))</f>
        <v/>
      </c>
      <c r="AU59" s="6452"/>
      <c r="AV59" s="6452"/>
      <c r="AW59" s="6452"/>
      <c r="AX59" s="6452"/>
      <c r="AY59" s="6452"/>
      <c r="AZ59" s="6452"/>
      <c r="BA59" s="6452"/>
      <c r="BB59" s="6452"/>
      <c r="BC59" s="6453"/>
      <c r="BD59" s="402"/>
      <c r="BE59" s="396"/>
      <c r="BF59" s="2481"/>
      <c r="BG59" s="279"/>
      <c r="BH59" s="6449" t="s">
        <v>3198</v>
      </c>
      <c r="BI59" s="6450"/>
      <c r="BJ59" s="411" t="str">
        <f>IF(BH55=0,"",VLOOKUP(BH55,'Tablas Magia'!$D$6:$Z$680,9,FALSE))</f>
        <v/>
      </c>
      <c r="BK59" s="411" t="str">
        <f>IF(BH55=0,"",VLOOKUP(BH55,'Tablas Magia'!$D$6:$Z$680,13,FALSE))</f>
        <v/>
      </c>
      <c r="BL59" s="412" t="str">
        <f>IF(BH55=0,"",VLOOKUP(BH55,'Tablas Magia'!$D$6:$Z$680,17,FALSE))</f>
        <v/>
      </c>
      <c r="BM59" s="6451" t="str">
        <f>IF(BH55=0,"",VLOOKUP(BH55,'Tablas Magia'!$D$6:$Z$680,21,FALSE))</f>
        <v/>
      </c>
      <c r="BN59" s="6452"/>
      <c r="BO59" s="6452"/>
      <c r="BP59" s="6452"/>
      <c r="BQ59" s="6452"/>
      <c r="BR59" s="6452"/>
      <c r="BS59" s="6452"/>
      <c r="BT59" s="6452"/>
      <c r="BU59" s="6452"/>
      <c r="BV59" s="6453"/>
      <c r="BW59" s="402"/>
      <c r="BX59" s="2481"/>
    </row>
    <row r="60" spans="1:76" ht="12.2" customHeight="1" thickBot="1" x14ac:dyDescent="0.25">
      <c r="A60" s="396"/>
      <c r="B60" s="279"/>
      <c r="C60" s="6454" t="s">
        <v>3199</v>
      </c>
      <c r="D60" s="6455"/>
      <c r="E60" s="415" t="str">
        <f>IF(C55=0,"",VLOOKUP(C55,'Tablas Magia'!$D$6:$Z$680,10,FALSE))</f>
        <v/>
      </c>
      <c r="F60" s="415" t="str">
        <f>IF(C55=0,"",VLOOKUP(C55,'Tablas Magia'!$D$6:$Z$680,14,FALSE))</f>
        <v/>
      </c>
      <c r="G60" s="416" t="str">
        <f>IF(C55=0,"",VLOOKUP(C55,'Tablas Magia'!$D$6:$Z$680,18,FALSE))</f>
        <v/>
      </c>
      <c r="H60" s="6456" t="str">
        <f>IF(C55=0,"",VLOOKUP(C55,'Tablas Magia'!$D$6:$Z$680,22,FALSE))</f>
        <v/>
      </c>
      <c r="I60" s="6457"/>
      <c r="J60" s="6457"/>
      <c r="K60" s="6457"/>
      <c r="L60" s="6457"/>
      <c r="M60" s="6457"/>
      <c r="N60" s="6457"/>
      <c r="O60" s="6457"/>
      <c r="P60" s="6457"/>
      <c r="Q60" s="6458"/>
      <c r="R60" s="402"/>
      <c r="S60" s="396"/>
      <c r="T60" s="396"/>
      <c r="U60" s="279"/>
      <c r="V60" s="6454" t="s">
        <v>3199</v>
      </c>
      <c r="W60" s="6455"/>
      <c r="X60" s="415" t="str">
        <f>IF(V55=0,"",VLOOKUP(V55,'Tablas Magia'!$D$6:$Z$680,10,FALSE))</f>
        <v/>
      </c>
      <c r="Y60" s="415" t="str">
        <f>IF(V55=0,"",VLOOKUP(V55,'Tablas Magia'!$D$6:$Z$680,14,FALSE))</f>
        <v/>
      </c>
      <c r="Z60" s="416" t="str">
        <f>IF(V55=0,"",VLOOKUP(V55,'Tablas Magia'!$D$6:$Z$680,18,FALSE))</f>
        <v/>
      </c>
      <c r="AA60" s="6456" t="str">
        <f>IF(V55=0,"",VLOOKUP(V55,'Tablas Magia'!$D$6:$Z$680,22,FALSE))</f>
        <v/>
      </c>
      <c r="AB60" s="6457"/>
      <c r="AC60" s="6457"/>
      <c r="AD60" s="6457"/>
      <c r="AE60" s="6457"/>
      <c r="AF60" s="6457"/>
      <c r="AG60" s="6457"/>
      <c r="AH60" s="6457"/>
      <c r="AI60" s="6457"/>
      <c r="AJ60" s="6458"/>
      <c r="AK60" s="402"/>
      <c r="AL60" s="396"/>
      <c r="AM60" s="396"/>
      <c r="AN60" s="279"/>
      <c r="AO60" s="6454" t="s">
        <v>3199</v>
      </c>
      <c r="AP60" s="6455"/>
      <c r="AQ60" s="415" t="str">
        <f>IF(AO55=0,"",VLOOKUP(AO55,'Tablas Magia'!$D$6:$Z$680,10,FALSE))</f>
        <v/>
      </c>
      <c r="AR60" s="415" t="str">
        <f>IF(AO55=0,"",VLOOKUP(AO55,'Tablas Magia'!$D$6:$Z$680,14,FALSE))</f>
        <v/>
      </c>
      <c r="AS60" s="416" t="str">
        <f>IF(AO55=0,"",VLOOKUP(AO55,'Tablas Magia'!$D$6:$Z$680,18,FALSE))</f>
        <v/>
      </c>
      <c r="AT60" s="6456" t="str">
        <f>IF(AO55=0,"",VLOOKUP(AO55,'Tablas Magia'!$D$6:$Z$680,22,FALSE))</f>
        <v/>
      </c>
      <c r="AU60" s="6457"/>
      <c r="AV60" s="6457"/>
      <c r="AW60" s="6457"/>
      <c r="AX60" s="6457"/>
      <c r="AY60" s="6457"/>
      <c r="AZ60" s="6457"/>
      <c r="BA60" s="6457"/>
      <c r="BB60" s="6457"/>
      <c r="BC60" s="6458"/>
      <c r="BD60" s="402"/>
      <c r="BE60" s="396"/>
      <c r="BF60" s="2481"/>
      <c r="BG60" s="279"/>
      <c r="BH60" s="6454" t="s">
        <v>3199</v>
      </c>
      <c r="BI60" s="6455"/>
      <c r="BJ60" s="415" t="str">
        <f>IF(BH55=0,"",VLOOKUP(BH55,'Tablas Magia'!$D$6:$Z$680,10,FALSE))</f>
        <v/>
      </c>
      <c r="BK60" s="415" t="str">
        <f>IF(BH55=0,"",VLOOKUP(BH55,'Tablas Magia'!$D$6:$Z$680,14,FALSE))</f>
        <v/>
      </c>
      <c r="BL60" s="416" t="str">
        <f>IF(BH55=0,"",VLOOKUP(BH55,'Tablas Magia'!$D$6:$Z$680,18,FALSE))</f>
        <v/>
      </c>
      <c r="BM60" s="6456" t="str">
        <f>IF(BH55=0,"",VLOOKUP(BH55,'Tablas Magia'!$D$6:$Z$680,22,FALSE))</f>
        <v/>
      </c>
      <c r="BN60" s="6457"/>
      <c r="BO60" s="6457"/>
      <c r="BP60" s="6457"/>
      <c r="BQ60" s="6457"/>
      <c r="BR60" s="6457"/>
      <c r="BS60" s="6457"/>
      <c r="BT60" s="6457"/>
      <c r="BU60" s="6457"/>
      <c r="BV60" s="6458"/>
      <c r="BW60" s="402"/>
      <c r="BX60" s="2481"/>
    </row>
    <row r="61" spans="1:76" ht="12.2" customHeight="1" x14ac:dyDescent="0.2">
      <c r="A61" s="396"/>
      <c r="B61" s="279"/>
      <c r="C61" s="6459" t="str">
        <f>IF(C55=0,"",VLOOKUP(C55,'Tablas Magia'!$D$6:$Z$680,23,FALSE))</f>
        <v/>
      </c>
      <c r="D61" s="6460"/>
      <c r="E61" s="6460"/>
      <c r="F61" s="6460"/>
      <c r="G61" s="6460"/>
      <c r="H61" s="6460"/>
      <c r="I61" s="6460"/>
      <c r="J61" s="6460"/>
      <c r="K61" s="6460"/>
      <c r="L61" s="6460"/>
      <c r="M61" s="6460"/>
      <c r="N61" s="6460"/>
      <c r="O61" s="6460"/>
      <c r="P61" s="6460"/>
      <c r="Q61" s="6461"/>
      <c r="R61" s="402"/>
      <c r="S61" s="396"/>
      <c r="T61" s="396"/>
      <c r="U61" s="279"/>
      <c r="V61" s="6459" t="str">
        <f>IF(V55=0,"",VLOOKUP(V55,'Tablas Magia'!$D$6:$Z$680,23,FALSE))</f>
        <v/>
      </c>
      <c r="W61" s="6460"/>
      <c r="X61" s="6460"/>
      <c r="Y61" s="6460"/>
      <c r="Z61" s="6460"/>
      <c r="AA61" s="6460"/>
      <c r="AB61" s="6460"/>
      <c r="AC61" s="6460"/>
      <c r="AD61" s="6460"/>
      <c r="AE61" s="6460"/>
      <c r="AF61" s="6460"/>
      <c r="AG61" s="6460"/>
      <c r="AH61" s="6460"/>
      <c r="AI61" s="6460"/>
      <c r="AJ61" s="6461"/>
      <c r="AK61" s="402"/>
      <c r="AL61" s="396"/>
      <c r="AM61" s="396"/>
      <c r="AN61" s="279"/>
      <c r="AO61" s="6459" t="str">
        <f>IF(AO55=0,"",VLOOKUP(AO55,'Tablas Magia'!$D$6:$Z$680,23,FALSE))</f>
        <v/>
      </c>
      <c r="AP61" s="6460"/>
      <c r="AQ61" s="6460"/>
      <c r="AR61" s="6460"/>
      <c r="AS61" s="6460"/>
      <c r="AT61" s="6460"/>
      <c r="AU61" s="6460"/>
      <c r="AV61" s="6460"/>
      <c r="AW61" s="6460"/>
      <c r="AX61" s="6460"/>
      <c r="AY61" s="6460"/>
      <c r="AZ61" s="6460"/>
      <c r="BA61" s="6460"/>
      <c r="BB61" s="6460"/>
      <c r="BC61" s="6461"/>
      <c r="BD61" s="402"/>
      <c r="BE61" s="396"/>
      <c r="BF61" s="2481"/>
      <c r="BG61" s="279"/>
      <c r="BH61" s="6459" t="str">
        <f>IF(BH55=0,"",VLOOKUP(BH55,'Tablas Magia'!$D$6:$Z$680,23,FALSE))</f>
        <v/>
      </c>
      <c r="BI61" s="6460"/>
      <c r="BJ61" s="6460"/>
      <c r="BK61" s="6460"/>
      <c r="BL61" s="6460"/>
      <c r="BM61" s="6460"/>
      <c r="BN61" s="6460"/>
      <c r="BO61" s="6460"/>
      <c r="BP61" s="6460"/>
      <c r="BQ61" s="6460"/>
      <c r="BR61" s="6460"/>
      <c r="BS61" s="6460"/>
      <c r="BT61" s="6460"/>
      <c r="BU61" s="6460"/>
      <c r="BV61" s="6461"/>
      <c r="BW61" s="402"/>
      <c r="BX61" s="2481"/>
    </row>
    <row r="62" spans="1:76" ht="12.2" customHeight="1" x14ac:dyDescent="0.2">
      <c r="A62" s="396"/>
      <c r="B62" s="279"/>
      <c r="C62" s="6462"/>
      <c r="D62" s="6463"/>
      <c r="E62" s="6463"/>
      <c r="F62" s="6463"/>
      <c r="G62" s="6463"/>
      <c r="H62" s="6463"/>
      <c r="I62" s="6463"/>
      <c r="J62" s="6463"/>
      <c r="K62" s="6463"/>
      <c r="L62" s="6463"/>
      <c r="M62" s="6463"/>
      <c r="N62" s="6463"/>
      <c r="O62" s="6463"/>
      <c r="P62" s="6463"/>
      <c r="Q62" s="6464"/>
      <c r="R62" s="402"/>
      <c r="S62" s="396"/>
      <c r="T62" s="396"/>
      <c r="U62" s="279"/>
      <c r="V62" s="6462"/>
      <c r="W62" s="6463"/>
      <c r="X62" s="6463"/>
      <c r="Y62" s="6463"/>
      <c r="Z62" s="6463"/>
      <c r="AA62" s="6463"/>
      <c r="AB62" s="6463"/>
      <c r="AC62" s="6463"/>
      <c r="AD62" s="6463"/>
      <c r="AE62" s="6463"/>
      <c r="AF62" s="6463"/>
      <c r="AG62" s="6463"/>
      <c r="AH62" s="6463"/>
      <c r="AI62" s="6463"/>
      <c r="AJ62" s="6464"/>
      <c r="AK62" s="402"/>
      <c r="AL62" s="396"/>
      <c r="AM62" s="396"/>
      <c r="AN62" s="279"/>
      <c r="AO62" s="6462"/>
      <c r="AP62" s="6463"/>
      <c r="AQ62" s="6463"/>
      <c r="AR62" s="6463"/>
      <c r="AS62" s="6463"/>
      <c r="AT62" s="6463"/>
      <c r="AU62" s="6463"/>
      <c r="AV62" s="6463"/>
      <c r="AW62" s="6463"/>
      <c r="AX62" s="6463"/>
      <c r="AY62" s="6463"/>
      <c r="AZ62" s="6463"/>
      <c r="BA62" s="6463"/>
      <c r="BB62" s="6463"/>
      <c r="BC62" s="6464"/>
      <c r="BD62" s="402"/>
      <c r="BE62" s="396"/>
      <c r="BF62" s="2481"/>
      <c r="BG62" s="279"/>
      <c r="BH62" s="6462"/>
      <c r="BI62" s="6463"/>
      <c r="BJ62" s="6463"/>
      <c r="BK62" s="6463"/>
      <c r="BL62" s="6463"/>
      <c r="BM62" s="6463"/>
      <c r="BN62" s="6463"/>
      <c r="BO62" s="6463"/>
      <c r="BP62" s="6463"/>
      <c r="BQ62" s="6463"/>
      <c r="BR62" s="6463"/>
      <c r="BS62" s="6463"/>
      <c r="BT62" s="6463"/>
      <c r="BU62" s="6463"/>
      <c r="BV62" s="6464"/>
      <c r="BW62" s="402"/>
      <c r="BX62" s="2481"/>
    </row>
    <row r="63" spans="1:76" ht="12.2" customHeight="1" x14ac:dyDescent="0.2">
      <c r="A63" s="396"/>
      <c r="B63" s="279"/>
      <c r="C63" s="6462"/>
      <c r="D63" s="6463"/>
      <c r="E63" s="6463"/>
      <c r="F63" s="6463"/>
      <c r="G63" s="6463"/>
      <c r="H63" s="6463"/>
      <c r="I63" s="6463"/>
      <c r="J63" s="6463"/>
      <c r="K63" s="6463"/>
      <c r="L63" s="6463"/>
      <c r="M63" s="6463"/>
      <c r="N63" s="6463"/>
      <c r="O63" s="6463"/>
      <c r="P63" s="6463"/>
      <c r="Q63" s="6464"/>
      <c r="R63" s="402"/>
      <c r="S63" s="396"/>
      <c r="T63" s="396"/>
      <c r="U63" s="279"/>
      <c r="V63" s="6462"/>
      <c r="W63" s="6463"/>
      <c r="X63" s="6463"/>
      <c r="Y63" s="6463"/>
      <c r="Z63" s="6463"/>
      <c r="AA63" s="6463"/>
      <c r="AB63" s="6463"/>
      <c r="AC63" s="6463"/>
      <c r="AD63" s="6463"/>
      <c r="AE63" s="6463"/>
      <c r="AF63" s="6463"/>
      <c r="AG63" s="6463"/>
      <c r="AH63" s="6463"/>
      <c r="AI63" s="6463"/>
      <c r="AJ63" s="6464"/>
      <c r="AK63" s="402"/>
      <c r="AL63" s="396"/>
      <c r="AM63" s="396"/>
      <c r="AN63" s="279"/>
      <c r="AO63" s="6462"/>
      <c r="AP63" s="6463"/>
      <c r="AQ63" s="6463"/>
      <c r="AR63" s="6463"/>
      <c r="AS63" s="6463"/>
      <c r="AT63" s="6463"/>
      <c r="AU63" s="6463"/>
      <c r="AV63" s="6463"/>
      <c r="AW63" s="6463"/>
      <c r="AX63" s="6463"/>
      <c r="AY63" s="6463"/>
      <c r="AZ63" s="6463"/>
      <c r="BA63" s="6463"/>
      <c r="BB63" s="6463"/>
      <c r="BC63" s="6464"/>
      <c r="BD63" s="402"/>
      <c r="BE63" s="396"/>
      <c r="BF63" s="2481"/>
      <c r="BG63" s="279"/>
      <c r="BH63" s="6462"/>
      <c r="BI63" s="6463"/>
      <c r="BJ63" s="6463"/>
      <c r="BK63" s="6463"/>
      <c r="BL63" s="6463"/>
      <c r="BM63" s="6463"/>
      <c r="BN63" s="6463"/>
      <c r="BO63" s="6463"/>
      <c r="BP63" s="6463"/>
      <c r="BQ63" s="6463"/>
      <c r="BR63" s="6463"/>
      <c r="BS63" s="6463"/>
      <c r="BT63" s="6463"/>
      <c r="BU63" s="6463"/>
      <c r="BV63" s="6464"/>
      <c r="BW63" s="402"/>
      <c r="BX63" s="2481"/>
    </row>
    <row r="64" spans="1:76" ht="12.2" customHeight="1" thickBot="1" x14ac:dyDescent="0.25">
      <c r="A64" s="396"/>
      <c r="B64" s="279"/>
      <c r="C64" s="6465"/>
      <c r="D64" s="6466"/>
      <c r="E64" s="6466"/>
      <c r="F64" s="6466"/>
      <c r="G64" s="6466"/>
      <c r="H64" s="6466"/>
      <c r="I64" s="6466"/>
      <c r="J64" s="6466"/>
      <c r="K64" s="6466"/>
      <c r="L64" s="6466"/>
      <c r="M64" s="6466"/>
      <c r="N64" s="6466"/>
      <c r="O64" s="6466"/>
      <c r="P64" s="6466"/>
      <c r="Q64" s="6467"/>
      <c r="R64" s="402"/>
      <c r="S64" s="396"/>
      <c r="T64" s="396"/>
      <c r="U64" s="279"/>
      <c r="V64" s="6465"/>
      <c r="W64" s="6466"/>
      <c r="X64" s="6466"/>
      <c r="Y64" s="6466"/>
      <c r="Z64" s="6466"/>
      <c r="AA64" s="6466"/>
      <c r="AB64" s="6466"/>
      <c r="AC64" s="6466"/>
      <c r="AD64" s="6466"/>
      <c r="AE64" s="6466"/>
      <c r="AF64" s="6466"/>
      <c r="AG64" s="6466"/>
      <c r="AH64" s="6466"/>
      <c r="AI64" s="6466"/>
      <c r="AJ64" s="6467"/>
      <c r="AK64" s="402"/>
      <c r="AL64" s="396"/>
      <c r="AM64" s="396"/>
      <c r="AN64" s="279"/>
      <c r="AO64" s="6465"/>
      <c r="AP64" s="6466"/>
      <c r="AQ64" s="6466"/>
      <c r="AR64" s="6466"/>
      <c r="AS64" s="6466"/>
      <c r="AT64" s="6466"/>
      <c r="AU64" s="6466"/>
      <c r="AV64" s="6466"/>
      <c r="AW64" s="6466"/>
      <c r="AX64" s="6466"/>
      <c r="AY64" s="6466"/>
      <c r="AZ64" s="6466"/>
      <c r="BA64" s="6466"/>
      <c r="BB64" s="6466"/>
      <c r="BC64" s="6467"/>
      <c r="BD64" s="402"/>
      <c r="BE64" s="396"/>
      <c r="BF64" s="2481"/>
      <c r="BG64" s="279"/>
      <c r="BH64" s="6465"/>
      <c r="BI64" s="6466"/>
      <c r="BJ64" s="6466"/>
      <c r="BK64" s="6466"/>
      <c r="BL64" s="6466"/>
      <c r="BM64" s="6466"/>
      <c r="BN64" s="6466"/>
      <c r="BO64" s="6466"/>
      <c r="BP64" s="6466"/>
      <c r="BQ64" s="6466"/>
      <c r="BR64" s="6466"/>
      <c r="BS64" s="6466"/>
      <c r="BT64" s="6466"/>
      <c r="BU64" s="6466"/>
      <c r="BV64" s="6467"/>
      <c r="BW64" s="402"/>
      <c r="BX64" s="2481"/>
    </row>
    <row r="65" spans="1:76" ht="12.2" customHeight="1" x14ac:dyDescent="0.2">
      <c r="A65" s="396"/>
      <c r="B65" s="279"/>
      <c r="C65" s="422"/>
      <c r="D65" s="422"/>
      <c r="E65" s="413"/>
      <c r="F65" s="413"/>
      <c r="G65" s="413"/>
      <c r="H65" s="423"/>
      <c r="I65" s="423"/>
      <c r="J65" s="423"/>
      <c r="K65" s="423"/>
      <c r="L65" s="423"/>
      <c r="M65" s="423"/>
      <c r="N65" s="423"/>
      <c r="O65" s="423"/>
      <c r="P65" s="423"/>
      <c r="Q65" s="423"/>
      <c r="R65" s="402"/>
      <c r="S65" s="396"/>
      <c r="T65" s="396"/>
      <c r="U65" s="279"/>
      <c r="V65" s="422"/>
      <c r="W65" s="422"/>
      <c r="X65" s="413"/>
      <c r="Y65" s="413"/>
      <c r="Z65" s="413"/>
      <c r="AA65" s="423"/>
      <c r="AB65" s="423"/>
      <c r="AC65" s="423"/>
      <c r="AD65" s="423"/>
      <c r="AE65" s="423"/>
      <c r="AF65" s="423"/>
      <c r="AG65" s="423"/>
      <c r="AH65" s="423"/>
      <c r="AI65" s="423"/>
      <c r="AJ65" s="423"/>
      <c r="AK65" s="402"/>
      <c r="AL65" s="396"/>
      <c r="AM65" s="396"/>
      <c r="AN65" s="279"/>
      <c r="AO65" s="422"/>
      <c r="AP65" s="422"/>
      <c r="AQ65" s="413"/>
      <c r="AR65" s="413"/>
      <c r="AS65" s="413"/>
      <c r="AT65" s="423"/>
      <c r="AU65" s="423"/>
      <c r="AV65" s="423"/>
      <c r="AW65" s="423"/>
      <c r="AX65" s="423"/>
      <c r="AY65" s="423"/>
      <c r="AZ65" s="423"/>
      <c r="BA65" s="423"/>
      <c r="BB65" s="423"/>
      <c r="BC65" s="423"/>
      <c r="BD65" s="402"/>
      <c r="BE65" s="396"/>
      <c r="BF65" s="2481"/>
      <c r="BG65" s="279"/>
      <c r="BH65" s="422"/>
      <c r="BI65" s="422"/>
      <c r="BJ65" s="413"/>
      <c r="BK65" s="413"/>
      <c r="BL65" s="413"/>
      <c r="BM65" s="423"/>
      <c r="BN65" s="423"/>
      <c r="BO65" s="423"/>
      <c r="BP65" s="423"/>
      <c r="BQ65" s="423"/>
      <c r="BR65" s="423"/>
      <c r="BS65" s="423"/>
      <c r="BT65" s="423"/>
      <c r="BU65" s="423"/>
      <c r="BV65" s="423"/>
      <c r="BW65" s="402"/>
      <c r="BX65" s="2481"/>
    </row>
    <row r="66" spans="1:76" ht="12.2" customHeight="1" thickBot="1" x14ac:dyDescent="0.25">
      <c r="A66" s="396"/>
      <c r="B66" s="280"/>
      <c r="C66" s="424"/>
      <c r="D66" s="424"/>
      <c r="E66" s="424"/>
      <c r="F66" s="424"/>
      <c r="G66" s="424"/>
      <c r="H66" s="424"/>
      <c r="I66" s="424"/>
      <c r="J66" s="424"/>
      <c r="K66" s="424"/>
      <c r="L66" s="424"/>
      <c r="M66" s="424"/>
      <c r="N66" s="424"/>
      <c r="O66" s="424"/>
      <c r="P66" s="424"/>
      <c r="Q66" s="424"/>
      <c r="R66" s="425"/>
      <c r="S66" s="396"/>
      <c r="T66" s="396"/>
      <c r="U66" s="280"/>
      <c r="V66" s="424"/>
      <c r="W66" s="424"/>
      <c r="X66" s="424"/>
      <c r="Y66" s="424"/>
      <c r="Z66" s="424"/>
      <c r="AA66" s="424"/>
      <c r="AB66" s="424"/>
      <c r="AC66" s="424"/>
      <c r="AD66" s="424"/>
      <c r="AE66" s="424"/>
      <c r="AF66" s="424"/>
      <c r="AG66" s="424"/>
      <c r="AH66" s="424"/>
      <c r="AI66" s="424"/>
      <c r="AJ66" s="424"/>
      <c r="AK66" s="425"/>
      <c r="AL66" s="396"/>
      <c r="AM66" s="396"/>
      <c r="AN66" s="280"/>
      <c r="AO66" s="424"/>
      <c r="AP66" s="424"/>
      <c r="AQ66" s="424"/>
      <c r="AR66" s="424"/>
      <c r="AS66" s="424"/>
      <c r="AT66" s="424"/>
      <c r="AU66" s="424"/>
      <c r="AV66" s="424"/>
      <c r="AW66" s="424"/>
      <c r="AX66" s="424"/>
      <c r="AY66" s="424"/>
      <c r="AZ66" s="424"/>
      <c r="BA66" s="424"/>
      <c r="BB66" s="424"/>
      <c r="BC66" s="424"/>
      <c r="BD66" s="425"/>
      <c r="BE66" s="396"/>
      <c r="BF66" s="2481"/>
      <c r="BG66" s="280"/>
      <c r="BH66" s="424"/>
      <c r="BI66" s="424"/>
      <c r="BJ66" s="424"/>
      <c r="BK66" s="424"/>
      <c r="BL66" s="424"/>
      <c r="BM66" s="424"/>
      <c r="BN66" s="424"/>
      <c r="BO66" s="424"/>
      <c r="BP66" s="424"/>
      <c r="BQ66" s="424"/>
      <c r="BR66" s="424"/>
      <c r="BS66" s="424"/>
      <c r="BT66" s="424"/>
      <c r="BU66" s="424"/>
      <c r="BV66" s="424"/>
      <c r="BW66" s="425"/>
      <c r="BX66" s="2481"/>
    </row>
    <row r="67" spans="1:76" ht="12.2" customHeight="1" x14ac:dyDescent="0.2">
      <c r="A67" s="1715"/>
      <c r="B67" s="1715"/>
      <c r="C67" s="1715"/>
      <c r="D67" s="1715"/>
      <c r="E67" s="1715"/>
      <c r="F67" s="1715"/>
      <c r="G67" s="1715"/>
      <c r="H67" s="1715"/>
      <c r="I67" s="1715"/>
      <c r="J67" s="1715"/>
      <c r="K67" s="1715"/>
      <c r="L67" s="1715"/>
      <c r="M67" s="1715"/>
      <c r="N67" s="1715"/>
      <c r="O67" s="1715"/>
      <c r="P67" s="1715"/>
      <c r="Q67" s="1715"/>
      <c r="R67" s="1715"/>
      <c r="S67" s="1715"/>
      <c r="T67" s="1715"/>
      <c r="U67" s="1715"/>
      <c r="V67" s="1715"/>
      <c r="W67" s="1433"/>
      <c r="X67" s="1433"/>
      <c r="Y67" s="1433"/>
      <c r="Z67" s="1433"/>
      <c r="AA67" s="1433"/>
      <c r="AB67" s="1433"/>
      <c r="AC67" s="1433"/>
      <c r="AD67" s="1716"/>
      <c r="AE67" s="1716"/>
      <c r="AF67" s="1433"/>
      <c r="AG67" s="1433"/>
      <c r="AH67" s="1433"/>
      <c r="AI67" s="1716"/>
      <c r="AJ67" s="1716"/>
      <c r="AK67" s="1717"/>
      <c r="AL67" s="1717"/>
      <c r="AM67" s="1715"/>
      <c r="AN67" s="1715"/>
      <c r="AO67" s="1715"/>
      <c r="AP67" s="1433"/>
      <c r="AQ67" s="1433"/>
      <c r="AR67" s="1433"/>
      <c r="AS67" s="1433"/>
      <c r="AT67" s="1433"/>
      <c r="AU67" s="1433"/>
      <c r="AV67" s="1433"/>
      <c r="AW67" s="1716"/>
      <c r="AX67" s="1716"/>
      <c r="AY67" s="1433"/>
      <c r="AZ67" s="1433"/>
      <c r="BA67" s="1433"/>
      <c r="BB67" s="1716"/>
      <c r="BC67" s="1716"/>
      <c r="BD67" s="1717"/>
      <c r="BE67" s="1717"/>
      <c r="BF67" s="1715"/>
      <c r="BG67" s="1715"/>
      <c r="BH67" s="1715"/>
      <c r="BI67" s="1433"/>
      <c r="BJ67" s="1433"/>
      <c r="BK67" s="1433"/>
      <c r="BL67" s="1433"/>
      <c r="BM67" s="1433"/>
      <c r="BN67" s="1433"/>
      <c r="BO67" s="1433"/>
      <c r="BP67" s="1716"/>
      <c r="BQ67" s="1716"/>
      <c r="BR67" s="1433"/>
      <c r="BS67" s="1433"/>
      <c r="BT67" s="1433"/>
      <c r="BU67" s="1716"/>
      <c r="BV67" s="1716"/>
      <c r="BW67" s="1717"/>
      <c r="BX67" s="1717"/>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6"/>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8"/>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20"/>
      <c r="B1" s="2520"/>
      <c r="C1" s="2520"/>
      <c r="D1" s="2520"/>
      <c r="E1" s="2520"/>
      <c r="F1" s="2520"/>
      <c r="G1" s="2520"/>
      <c r="H1" s="2520"/>
      <c r="I1" s="2520"/>
      <c r="J1" s="2520"/>
      <c r="K1" s="2520"/>
      <c r="L1" s="2520"/>
      <c r="M1" s="2520"/>
      <c r="N1" s="2520"/>
      <c r="O1" s="2520"/>
      <c r="P1" s="2520"/>
      <c r="Q1" s="2520"/>
      <c r="R1" s="2520"/>
      <c r="S1" s="2520"/>
      <c r="T1" s="2481"/>
      <c r="U1" s="802"/>
      <c r="V1" s="2481"/>
      <c r="W1" s="2481"/>
      <c r="X1" s="2481"/>
      <c r="Y1" s="2481"/>
      <c r="Z1" s="2481"/>
      <c r="AA1" s="2481"/>
      <c r="AB1" s="2481"/>
      <c r="AC1" s="2481"/>
      <c r="AD1" s="2481"/>
      <c r="AE1" s="2481"/>
      <c r="AF1" s="2481"/>
      <c r="AG1" s="2481"/>
      <c r="AH1" s="2481"/>
      <c r="AI1" s="2481"/>
      <c r="AJ1" s="2481"/>
      <c r="AK1" s="2481"/>
      <c r="AL1" s="1433"/>
    </row>
    <row r="2" spans="1:38" ht="17.25" customHeight="1" thickBot="1" x14ac:dyDescent="0.25">
      <c r="A2" s="2520"/>
      <c r="B2" s="803"/>
      <c r="C2" s="398"/>
      <c r="D2" s="398"/>
      <c r="E2" s="398"/>
      <c r="F2" s="398"/>
      <c r="G2" s="398"/>
      <c r="H2" s="398"/>
      <c r="I2" s="398"/>
      <c r="J2" s="398"/>
      <c r="K2" s="398"/>
      <c r="L2" s="398"/>
      <c r="M2" s="398"/>
      <c r="N2" s="398"/>
      <c r="O2" s="398"/>
      <c r="P2" s="398"/>
      <c r="Q2" s="398"/>
      <c r="R2" s="399"/>
      <c r="S2" s="1433"/>
      <c r="T2" s="2481"/>
      <c r="U2" s="1086"/>
      <c r="V2" s="398"/>
      <c r="W2" s="398"/>
      <c r="X2" s="398"/>
      <c r="Y2" s="398"/>
      <c r="Z2" s="398"/>
      <c r="AA2" s="398"/>
      <c r="AB2" s="398"/>
      <c r="AC2" s="398"/>
      <c r="AD2" s="398"/>
      <c r="AE2" s="398"/>
      <c r="AF2" s="398"/>
      <c r="AG2" s="398"/>
      <c r="AH2" s="398"/>
      <c r="AI2" s="398"/>
      <c r="AJ2" s="398"/>
      <c r="AK2" s="399"/>
      <c r="AL2" s="1433"/>
    </row>
    <row r="3" spans="1:38" ht="12" customHeight="1" x14ac:dyDescent="0.2">
      <c r="A3" s="2520"/>
      <c r="B3" s="804"/>
      <c r="C3" s="6438"/>
      <c r="D3" s="6439"/>
      <c r="E3" s="6439"/>
      <c r="F3" s="6439"/>
      <c r="G3" s="6439"/>
      <c r="H3" s="6439"/>
      <c r="I3" s="2524"/>
      <c r="J3" s="2524"/>
      <c r="K3" s="2524"/>
      <c r="L3" s="2524"/>
      <c r="M3" s="2524"/>
      <c r="N3" s="2524"/>
      <c r="O3" s="2524"/>
      <c r="P3" s="2524"/>
      <c r="Q3" s="401"/>
      <c r="R3" s="402"/>
      <c r="S3" s="1433"/>
      <c r="T3" s="2481"/>
      <c r="U3" s="1087"/>
      <c r="V3" s="6438"/>
      <c r="W3" s="6439"/>
      <c r="X3" s="6439"/>
      <c r="Y3" s="6439"/>
      <c r="Z3" s="6439"/>
      <c r="AA3" s="6439"/>
      <c r="AB3" s="2482"/>
      <c r="AC3" s="2482"/>
      <c r="AD3" s="2482"/>
      <c r="AE3" s="2482"/>
      <c r="AF3" s="2482"/>
      <c r="AG3" s="2482"/>
      <c r="AH3" s="2482"/>
      <c r="AI3" s="2482"/>
      <c r="AJ3" s="401"/>
      <c r="AK3" s="402"/>
      <c r="AL3" s="1433"/>
    </row>
    <row r="4" spans="1:38" s="809" customFormat="1" ht="12" customHeight="1" x14ac:dyDescent="0.2">
      <c r="A4" s="2520"/>
      <c r="B4" s="1730"/>
      <c r="C4" s="6440"/>
      <c r="D4" s="6441"/>
      <c r="E4" s="6441"/>
      <c r="F4" s="6441"/>
      <c r="G4" s="6441"/>
      <c r="H4" s="6441"/>
      <c r="I4" s="2495"/>
      <c r="J4" s="6478" t="s">
        <v>10048</v>
      </c>
      <c r="K4" s="6478"/>
      <c r="L4" s="6478"/>
      <c r="M4" s="6478"/>
      <c r="N4" s="6478"/>
      <c r="O4" s="6478"/>
      <c r="P4" s="6478"/>
      <c r="Q4" s="356"/>
      <c r="R4" s="808"/>
      <c r="S4" s="1731"/>
      <c r="T4" s="807"/>
      <c r="U4" s="1730"/>
      <c r="V4" s="6440"/>
      <c r="W4" s="6441"/>
      <c r="X4" s="6441"/>
      <c r="Y4" s="6441"/>
      <c r="Z4" s="6441"/>
      <c r="AA4" s="6441"/>
      <c r="AB4" s="2483"/>
      <c r="AC4" s="6489" t="s">
        <v>10048</v>
      </c>
      <c r="AD4" s="6490"/>
      <c r="AE4" s="6490"/>
      <c r="AF4" s="6490"/>
      <c r="AG4" s="6490"/>
      <c r="AH4" s="6490"/>
      <c r="AI4" s="6490"/>
      <c r="AJ4" s="356"/>
      <c r="AK4" s="808"/>
      <c r="AL4" s="1731"/>
    </row>
    <row r="5" spans="1:38" ht="12" customHeight="1" x14ac:dyDescent="0.2">
      <c r="A5" s="2520"/>
      <c r="B5" s="804"/>
      <c r="C5" s="6440"/>
      <c r="D5" s="6441"/>
      <c r="E5" s="6441"/>
      <c r="F5" s="6441"/>
      <c r="G5" s="6441"/>
      <c r="H5" s="6441"/>
      <c r="I5" s="2495"/>
      <c r="J5" s="6478"/>
      <c r="K5" s="6478"/>
      <c r="L5" s="6478"/>
      <c r="M5" s="6478"/>
      <c r="N5" s="6478"/>
      <c r="O5" s="6478"/>
      <c r="P5" s="6478"/>
      <c r="Q5" s="403"/>
      <c r="R5" s="402"/>
      <c r="S5" s="1433"/>
      <c r="T5" s="2481"/>
      <c r="U5" s="1087"/>
      <c r="V5" s="6440"/>
      <c r="W5" s="6441"/>
      <c r="X5" s="6441"/>
      <c r="Y5" s="6441"/>
      <c r="Z5" s="6441"/>
      <c r="AA5" s="6441"/>
      <c r="AB5" s="2483"/>
      <c r="AC5" s="6490"/>
      <c r="AD5" s="6490"/>
      <c r="AE5" s="6490"/>
      <c r="AF5" s="6490"/>
      <c r="AG5" s="6490"/>
      <c r="AH5" s="6490"/>
      <c r="AI5" s="6490"/>
      <c r="AJ5" s="403"/>
      <c r="AK5" s="402"/>
      <c r="AL5" s="1433"/>
    </row>
    <row r="6" spans="1:38" ht="12" customHeight="1" x14ac:dyDescent="0.2">
      <c r="A6" s="2520"/>
      <c r="B6" s="804"/>
      <c r="C6" s="6440"/>
      <c r="D6" s="6441"/>
      <c r="E6" s="6441"/>
      <c r="F6" s="6441"/>
      <c r="G6" s="6441"/>
      <c r="H6" s="6441"/>
      <c r="I6" s="2496" t="s">
        <v>7044</v>
      </c>
      <c r="J6" s="6510"/>
      <c r="K6" s="6510"/>
      <c r="L6" s="6510"/>
      <c r="M6" s="2495"/>
      <c r="N6" s="2497"/>
      <c r="O6" s="2498" t="s">
        <v>8736</v>
      </c>
      <c r="P6" s="2499">
        <f>IFERROR(VLOOKUP($J$6,Místicos!$C$15:$H$25,6,FALSE),0)</f>
        <v>0</v>
      </c>
      <c r="Q6" s="403"/>
      <c r="R6" s="402"/>
      <c r="S6" s="1433"/>
      <c r="T6" s="2481"/>
      <c r="U6" s="1087"/>
      <c r="V6" s="6440"/>
      <c r="W6" s="6441"/>
      <c r="X6" s="6441"/>
      <c r="Y6" s="6441"/>
      <c r="Z6" s="6441"/>
      <c r="AA6" s="6441"/>
      <c r="AB6" s="2273" t="s">
        <v>7044</v>
      </c>
      <c r="AC6" s="6488" t="str">
        <f>IF($J$6="","",$J$6)</f>
        <v/>
      </c>
      <c r="AD6" s="6488"/>
      <c r="AE6" s="6488"/>
      <c r="AF6" s="2269"/>
      <c r="AG6" s="2269"/>
      <c r="AH6" s="2270" t="str">
        <f>$O$6</f>
        <v>Nivel de vía aprendido</v>
      </c>
      <c r="AI6" s="2271">
        <f>$P$6</f>
        <v>0</v>
      </c>
      <c r="AJ6" s="403"/>
      <c r="AK6" s="402"/>
      <c r="AL6" s="1433"/>
    </row>
    <row r="7" spans="1:38" ht="12" customHeight="1" x14ac:dyDescent="0.2">
      <c r="A7" s="2520"/>
      <c r="B7" s="804"/>
      <c r="C7" s="6440"/>
      <c r="D7" s="6441"/>
      <c r="E7" s="6441"/>
      <c r="F7" s="6441"/>
      <c r="G7" s="6441"/>
      <c r="H7" s="6441"/>
      <c r="I7" s="2500" t="s">
        <v>7045</v>
      </c>
      <c r="J7" s="6510"/>
      <c r="K7" s="6510"/>
      <c r="L7" s="6510"/>
      <c r="M7" s="2495"/>
      <c r="N7" s="2497"/>
      <c r="O7" s="2498" t="s">
        <v>8740</v>
      </c>
      <c r="P7" s="2272" t="s">
        <v>2088</v>
      </c>
      <c r="Q7" s="403"/>
      <c r="R7" s="402"/>
      <c r="S7" s="1433"/>
      <c r="T7" s="2481"/>
      <c r="U7" s="1087"/>
      <c r="V7" s="6440"/>
      <c r="W7" s="6441"/>
      <c r="X7" s="6441"/>
      <c r="Y7" s="6441"/>
      <c r="Z7" s="6441"/>
      <c r="AA7" s="6441"/>
      <c r="AB7" s="2274" t="s">
        <v>7045</v>
      </c>
      <c r="AC7" s="6488" t="str">
        <f>IF($J$8="","",$J$8)</f>
        <v/>
      </c>
      <c r="AD7" s="6488"/>
      <c r="AE7" s="6488"/>
      <c r="AF7" s="2269"/>
      <c r="AG7" s="2269"/>
      <c r="AH7" s="2269"/>
      <c r="AI7" s="2269"/>
      <c r="AJ7" s="403"/>
      <c r="AK7" s="402"/>
      <c r="AL7" s="1433"/>
    </row>
    <row r="8" spans="1:38" ht="12" customHeight="1" thickBot="1" x14ac:dyDescent="0.25">
      <c r="A8" s="2520"/>
      <c r="B8" s="804"/>
      <c r="C8" s="6442"/>
      <c r="D8" s="6443"/>
      <c r="E8" s="6443"/>
      <c r="F8" s="6443"/>
      <c r="G8" s="6443"/>
      <c r="H8" s="6443"/>
      <c r="I8" s="2525"/>
      <c r="J8" s="6509" t="str">
        <f>IF(J7&lt;&gt;"",J7,IFERROR(VLOOKUP(J6,Místicos!$C$15:$F$25,3,0),""))</f>
        <v/>
      </c>
      <c r="K8" s="6509"/>
      <c r="L8" s="6509"/>
      <c r="M8" s="2525"/>
      <c r="N8" s="2525"/>
      <c r="O8" s="2525"/>
      <c r="P8" s="2525"/>
      <c r="Q8" s="405"/>
      <c r="R8" s="402"/>
      <c r="S8" s="1433"/>
      <c r="T8" s="2481"/>
      <c r="U8" s="1087"/>
      <c r="V8" s="6442"/>
      <c r="W8" s="6443"/>
      <c r="X8" s="6443"/>
      <c r="Y8" s="6443"/>
      <c r="Z8" s="6443"/>
      <c r="AA8" s="6443"/>
      <c r="AB8" s="2484"/>
      <c r="AC8" s="2484"/>
      <c r="AD8" s="2484"/>
      <c r="AE8" s="2484"/>
      <c r="AF8" s="2484"/>
      <c r="AG8" s="2484"/>
      <c r="AH8" s="2484"/>
      <c r="AI8" s="2484"/>
      <c r="AJ8" s="405"/>
      <c r="AK8" s="402"/>
      <c r="AL8" s="1433"/>
    </row>
    <row r="9" spans="1:38" ht="12" customHeight="1" x14ac:dyDescent="0.2">
      <c r="A9" s="2520"/>
      <c r="B9" s="804"/>
      <c r="C9" s="2501"/>
      <c r="D9" s="2501"/>
      <c r="E9" s="2501"/>
      <c r="F9" s="2501"/>
      <c r="G9" s="2501"/>
      <c r="H9" s="2501"/>
      <c r="I9" s="2501"/>
      <c r="J9" s="2501"/>
      <c r="K9" s="2501"/>
      <c r="L9" s="2501"/>
      <c r="M9" s="2501"/>
      <c r="N9" s="2501"/>
      <c r="O9" s="2501"/>
      <c r="P9" s="2501"/>
      <c r="Q9" s="2501"/>
      <c r="R9" s="402"/>
      <c r="S9" s="1433"/>
      <c r="T9" s="2481"/>
      <c r="U9" s="1087"/>
      <c r="AK9" s="402"/>
      <c r="AL9" s="1433"/>
    </row>
    <row r="10" spans="1:38" ht="12" customHeight="1" thickBot="1" x14ac:dyDescent="0.25">
      <c r="A10" s="2520"/>
      <c r="B10" s="812"/>
      <c r="C10" s="6497" t="str">
        <f>"Conjuros de nivel "&amp;B11&amp;"-"&amp;B55</f>
        <v>Conjuros de nivel 2-10</v>
      </c>
      <c r="D10" s="6497"/>
      <c r="E10" s="6497"/>
      <c r="F10" s="6497"/>
      <c r="G10" s="6497"/>
      <c r="H10" s="6497"/>
      <c r="I10" s="6497"/>
      <c r="J10" s="6497"/>
      <c r="K10" s="6497"/>
      <c r="L10" s="6497"/>
      <c r="M10" s="6497"/>
      <c r="N10" s="6497"/>
      <c r="O10" s="6497"/>
      <c r="P10" s="6497"/>
      <c r="Q10" s="6497"/>
      <c r="R10" s="810"/>
      <c r="S10" s="1433"/>
      <c r="T10" s="396"/>
      <c r="U10" s="812"/>
      <c r="V10" s="6497" t="str">
        <f>"Conjuros de nivel "&amp;U11&amp;"-"&amp;U55</f>
        <v>Conjuros de nivel 12-20</v>
      </c>
      <c r="W10" s="6497"/>
      <c r="X10" s="6497"/>
      <c r="Y10" s="6497"/>
      <c r="Z10" s="6497"/>
      <c r="AA10" s="6497"/>
      <c r="AB10" s="6497"/>
      <c r="AC10" s="6497"/>
      <c r="AD10" s="6497"/>
      <c r="AE10" s="6497"/>
      <c r="AF10" s="6497"/>
      <c r="AG10" s="6497"/>
      <c r="AH10" s="6497"/>
      <c r="AI10" s="6497"/>
      <c r="AJ10" s="6497"/>
      <c r="AK10" s="811"/>
      <c r="AL10" s="396"/>
    </row>
    <row r="11" spans="1:38" ht="12" customHeight="1" x14ac:dyDescent="0.2">
      <c r="A11" s="2520"/>
      <c r="B11" s="804">
        <v>2</v>
      </c>
      <c r="C11" s="6501"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502"/>
      <c r="E11" s="6502"/>
      <c r="F11" s="6502"/>
      <c r="G11" s="6503"/>
      <c r="H11" s="406" t="s">
        <v>1325</v>
      </c>
      <c r="I11" s="407">
        <f>B11</f>
        <v>2</v>
      </c>
      <c r="J11" s="6486" t="s">
        <v>6236</v>
      </c>
      <c r="K11" s="6486"/>
      <c r="L11" s="6486"/>
      <c r="M11" s="6471" t="e">
        <f>IF(C11=0,"",VLOOKUP(C11,'Tablas Magia'!$D$6:$Z$680,2,FALSE))</f>
        <v>#N/A</v>
      </c>
      <c r="N11" s="6471"/>
      <c r="O11" s="1718"/>
      <c r="P11" s="6492" t="str">
        <f>IFERROR(IF(M11="Libre Acceso","Aprendido",IF(IFERROR(VLOOKUP(M11,Místicos!$C$15:$H$25,6,0)&gt;=I11,FALSE),"Aprendido",IF(IFERROR(VLOOKUP(M11,Místicos!$E$15:$H$25,4,0)&gt;=I11,FALSE),"Aprendido",""))),"")</f>
        <v/>
      </c>
      <c r="Q11" s="6493"/>
      <c r="R11" s="402"/>
      <c r="S11" s="1433"/>
      <c r="T11" s="396"/>
      <c r="U11" s="804">
        <f>B55+2</f>
        <v>12</v>
      </c>
      <c r="V11" s="6501"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507"/>
      <c r="X11" s="6507"/>
      <c r="Y11" s="6507"/>
      <c r="Z11" s="6508"/>
      <c r="AA11" s="406" t="s">
        <v>1325</v>
      </c>
      <c r="AB11" s="407">
        <f>U11</f>
        <v>12</v>
      </c>
      <c r="AC11" s="6486" t="s">
        <v>6236</v>
      </c>
      <c r="AD11" s="6486"/>
      <c r="AE11" s="6486"/>
      <c r="AF11" s="6471" t="e">
        <f>IF(V11=0,"",VLOOKUP(V11,'Tablas Magia'!$D$6:$Z$680,2,FALSE))</f>
        <v>#N/A</v>
      </c>
      <c r="AG11" s="6471"/>
      <c r="AH11" s="1718"/>
      <c r="AI11" s="6492" t="str">
        <f>IFERROR(IF(AF11="Libre Acceso","Aprendido",IF(IFERROR(VLOOKUP(AF11,Místicos!$C$15:$H$25,6,0)&gt;=AB11,FALSE),"Aprendido",IF(IFERROR(VLOOKUP(AF11,Místicos!$E$15:$H$25,4,0)&gt;=AB11,FALSE),"Aprendido",""))),"")</f>
        <v/>
      </c>
      <c r="AJ11" s="6493"/>
      <c r="AK11" s="402"/>
      <c r="AL11" s="396"/>
    </row>
    <row r="12" spans="1:38" ht="12" customHeight="1" x14ac:dyDescent="0.2">
      <c r="A12" s="2520"/>
      <c r="B12" s="804"/>
      <c r="C12" s="6473" t="s">
        <v>6237</v>
      </c>
      <c r="D12" s="6487"/>
      <c r="E12" s="2502" t="s">
        <v>6238</v>
      </c>
      <c r="F12" s="2502" t="s">
        <v>1509</v>
      </c>
      <c r="G12" s="2502" t="s">
        <v>2828</v>
      </c>
      <c r="H12" s="2503" t="s">
        <v>1836</v>
      </c>
      <c r="I12" s="6495" t="e">
        <f>IF(C11=0,"",VLOOKUP(C11,'Tablas Magia'!$D$6:$Z$680,5,FALSE))</f>
        <v>#N/A</v>
      </c>
      <c r="J12" s="6495"/>
      <c r="K12" s="6498" t="s">
        <v>6239</v>
      </c>
      <c r="L12" s="6498"/>
      <c r="M12" s="6495" t="e">
        <f>IF(C11=0,"",VLOOKUP(C11,'Tablas Magia'!$D$6:$Z$680,6,FALSE))</f>
        <v>#N/A</v>
      </c>
      <c r="N12" s="6495"/>
      <c r="O12" s="6496" t="s">
        <v>6240</v>
      </c>
      <c r="P12" s="6496"/>
      <c r="Q12" s="2504" t="e">
        <f>IF(C11=0,"",VLOOKUP(C11,'Tablas Magia'!$D$6:$Z$680,4,FALSE))</f>
        <v>#N/A</v>
      </c>
      <c r="R12" s="402"/>
      <c r="S12" s="396"/>
      <c r="T12" s="396"/>
      <c r="U12" s="804"/>
      <c r="V12" s="6473" t="s">
        <v>6237</v>
      </c>
      <c r="W12" s="6504"/>
      <c r="X12" s="1727" t="s">
        <v>6238</v>
      </c>
      <c r="Y12" s="1727" t="s">
        <v>1509</v>
      </c>
      <c r="Z12" s="1727" t="s">
        <v>2828</v>
      </c>
      <c r="AA12" s="1728" t="s">
        <v>1836</v>
      </c>
      <c r="AB12" s="6491" t="e">
        <f>IF(V11=0,"",VLOOKUP(V11,'Tablas Magia'!$D$6:$Z$680,5,FALSE))</f>
        <v>#N/A</v>
      </c>
      <c r="AC12" s="6491"/>
      <c r="AD12" s="6505" t="s">
        <v>6239</v>
      </c>
      <c r="AE12" s="6505"/>
      <c r="AF12" s="6491" t="e">
        <f>IF(V11=0,"",VLOOKUP(V11,'Tablas Magia'!$D$6:$Z$680,6,FALSE))</f>
        <v>#N/A</v>
      </c>
      <c r="AG12" s="6491"/>
      <c r="AH12" s="6506" t="s">
        <v>6240</v>
      </c>
      <c r="AI12" s="6506"/>
      <c r="AJ12" s="1729" t="e">
        <f>IF(V11=0,"",VLOOKUP(V11,'Tablas Magia'!$D$6:$Z$680,4,FALSE))</f>
        <v>#N/A</v>
      </c>
      <c r="AK12" s="402"/>
      <c r="AL12" s="396"/>
    </row>
    <row r="13" spans="1:38" ht="12" customHeight="1" x14ac:dyDescent="0.2">
      <c r="A13" s="2520"/>
      <c r="B13" s="804"/>
      <c r="C13" s="6449" t="s">
        <v>1365</v>
      </c>
      <c r="D13" s="6450"/>
      <c r="E13" s="2505" t="e">
        <f>IF(C11=0,"",VLOOKUP(C11,'Tablas Magia'!$D$6:$Z$680,7,FALSE))</f>
        <v>#N/A</v>
      </c>
      <c r="F13" s="2505" t="e">
        <f>IF(C11=0,"",VLOOKUP(C11,'Tablas Magia'!$D$6:$Z$680,11,FALSE))</f>
        <v>#N/A</v>
      </c>
      <c r="G13" s="412" t="e">
        <f>IF(C11=0,"",VLOOKUP(C11,'Tablas Magia'!$D$6:$Z$680,15,FALSE))</f>
        <v>#N/A</v>
      </c>
      <c r="H13" s="6451" t="e">
        <f>IF(C11=0,"",VLOOKUP(C11,'Tablas Magia'!$D$6:$Z$680,19,FALSE))</f>
        <v>#N/A</v>
      </c>
      <c r="I13" s="6494"/>
      <c r="J13" s="6494"/>
      <c r="K13" s="6494"/>
      <c r="L13" s="6494"/>
      <c r="M13" s="6494"/>
      <c r="N13" s="6494"/>
      <c r="O13" s="6494"/>
      <c r="P13" s="6494"/>
      <c r="Q13" s="6453"/>
      <c r="R13" s="402"/>
      <c r="S13" s="396"/>
      <c r="T13" s="396"/>
      <c r="U13" s="804"/>
      <c r="V13" s="6499" t="s">
        <v>1365</v>
      </c>
      <c r="W13" s="6500"/>
      <c r="X13" s="411" t="e">
        <f>IF(V11=0,"",VLOOKUP(V11,'Tablas Magia'!$D$6:$Z$680,7,FALSE))</f>
        <v>#N/A</v>
      </c>
      <c r="Y13" s="411" t="e">
        <f>IF(V11=0,"",VLOOKUP(V11,'Tablas Magia'!$D$6:$Z$680,11,FALSE))</f>
        <v>#N/A</v>
      </c>
      <c r="Z13" s="412" t="e">
        <f>IF(V11=0,"",VLOOKUP(V11,'Tablas Magia'!$D$6:$Z$680,15,FALSE))</f>
        <v>#N/A</v>
      </c>
      <c r="AA13" s="6481" t="e">
        <f>IF(V11=0,"",VLOOKUP(V11,'Tablas Magia'!$D$6:$Z$680,19,FALSE))</f>
        <v>#N/A</v>
      </c>
      <c r="AB13" s="6482"/>
      <c r="AC13" s="6482"/>
      <c r="AD13" s="6482"/>
      <c r="AE13" s="6482"/>
      <c r="AF13" s="6482"/>
      <c r="AG13" s="6482"/>
      <c r="AH13" s="6482"/>
      <c r="AI13" s="6482"/>
      <c r="AJ13" s="6483"/>
      <c r="AK13" s="402"/>
      <c r="AL13" s="396"/>
    </row>
    <row r="14" spans="1:38" ht="12" customHeight="1" x14ac:dyDescent="0.2">
      <c r="A14" s="2520"/>
      <c r="B14" s="804"/>
      <c r="C14" s="6444" t="s">
        <v>3197</v>
      </c>
      <c r="D14" s="6445"/>
      <c r="E14" s="2506" t="e">
        <f>IF(C11=0,"",VLOOKUP(C11,'Tablas Magia'!$D$6:$Z$680,8,FALSE))</f>
        <v>#N/A</v>
      </c>
      <c r="F14" s="2506" t="e">
        <f>IF(C11=0,"",VLOOKUP(C11,'Tablas Magia'!$D$6:$Z$680,12,FALSE))</f>
        <v>#N/A</v>
      </c>
      <c r="G14" s="414" t="e">
        <f>IF(C11=0,"",VLOOKUP(C11,'Tablas Magia'!$D$6:$Z$680,16,FALSE))</f>
        <v>#N/A</v>
      </c>
      <c r="H14" s="6446" t="e">
        <f>IF(C11=0,"",VLOOKUP(C11,'Tablas Magia'!$D$6:$Z$680,20,FALSE))</f>
        <v>#N/A</v>
      </c>
      <c r="I14" s="6484"/>
      <c r="J14" s="6484"/>
      <c r="K14" s="6484"/>
      <c r="L14" s="6484"/>
      <c r="M14" s="6484"/>
      <c r="N14" s="6484"/>
      <c r="O14" s="6484"/>
      <c r="P14" s="6484"/>
      <c r="Q14" s="6448"/>
      <c r="R14" s="402"/>
      <c r="S14" s="396"/>
      <c r="T14" s="396"/>
      <c r="U14" s="804"/>
      <c r="V14" s="6444" t="s">
        <v>3197</v>
      </c>
      <c r="W14" s="6445"/>
      <c r="X14" s="413" t="e">
        <f>IF(V11=0,"",VLOOKUP(V11,'Tablas Magia'!$D$6:$Z$680,8,FALSE))</f>
        <v>#N/A</v>
      </c>
      <c r="Y14" s="413" t="e">
        <f>IF(V11=0,"",VLOOKUP(V11,'Tablas Magia'!$D$6:$Z$680,12,FALSE))</f>
        <v>#N/A</v>
      </c>
      <c r="Z14" s="414" t="e">
        <f>IF(V11=0,"",VLOOKUP(V11,'Tablas Magia'!$D$6:$Z$680,16,FALSE))</f>
        <v>#N/A</v>
      </c>
      <c r="AA14" s="6446" t="e">
        <f>IF(V11=0,"",VLOOKUP(V11,'Tablas Magia'!$D$6:$Z$680,20,FALSE))</f>
        <v>#N/A</v>
      </c>
      <c r="AB14" s="6447"/>
      <c r="AC14" s="6447"/>
      <c r="AD14" s="6447"/>
      <c r="AE14" s="6447"/>
      <c r="AF14" s="6447"/>
      <c r="AG14" s="6447"/>
      <c r="AH14" s="6447"/>
      <c r="AI14" s="6447"/>
      <c r="AJ14" s="6448"/>
      <c r="AK14" s="402"/>
      <c r="AL14" s="396"/>
    </row>
    <row r="15" spans="1:38" ht="12" customHeight="1" x14ac:dyDescent="0.2">
      <c r="A15" s="2520"/>
      <c r="B15" s="804"/>
      <c r="C15" s="6449" t="s">
        <v>3198</v>
      </c>
      <c r="D15" s="6450"/>
      <c r="E15" s="2505" t="e">
        <f>IF(C11=0,"",VLOOKUP(C11,'Tablas Magia'!$D$6:$Z$680,9,FALSE))</f>
        <v>#N/A</v>
      </c>
      <c r="F15" s="2505" t="e">
        <f>IF(C11=0,"",VLOOKUP(C11,'Tablas Magia'!$D$6:$Z$680,13,FALSE))</f>
        <v>#N/A</v>
      </c>
      <c r="G15" s="412" t="e">
        <f>IF(C11=0,"",VLOOKUP(C11,'Tablas Magia'!$D$6:$Z$680,17,FALSE))</f>
        <v>#N/A</v>
      </c>
      <c r="H15" s="6451" t="e">
        <f>IF(C11=0,"",VLOOKUP(C11,'Tablas Magia'!$D$6:$Z$680,21,FALSE))</f>
        <v>#N/A</v>
      </c>
      <c r="I15" s="6494"/>
      <c r="J15" s="6494"/>
      <c r="K15" s="6494"/>
      <c r="L15" s="6494"/>
      <c r="M15" s="6494"/>
      <c r="N15" s="6494"/>
      <c r="O15" s="6494"/>
      <c r="P15" s="6494"/>
      <c r="Q15" s="6453"/>
      <c r="R15" s="402"/>
      <c r="S15" s="396"/>
      <c r="T15" s="396"/>
      <c r="U15" s="804"/>
      <c r="V15" s="6449" t="s">
        <v>3198</v>
      </c>
      <c r="W15" s="6450"/>
      <c r="X15" s="411" t="e">
        <f>IF(V11=0,"",VLOOKUP(V11,'Tablas Magia'!$D$6:$Z$680,9,FALSE))</f>
        <v>#N/A</v>
      </c>
      <c r="Y15" s="411" t="e">
        <f>IF(V11=0,"",VLOOKUP(V11,'Tablas Magia'!$D$6:$Z$680,13,FALSE))</f>
        <v>#N/A</v>
      </c>
      <c r="Z15" s="412" t="e">
        <f>IF(V11=0,"",VLOOKUP(V11,'Tablas Magia'!$D$6:$Z$680,17,FALSE))</f>
        <v>#N/A</v>
      </c>
      <c r="AA15" s="6451" t="e">
        <f>IF(V11=0,"",VLOOKUP(V11,'Tablas Magia'!$D$6:$Z$680,21,FALSE))</f>
        <v>#N/A</v>
      </c>
      <c r="AB15" s="6452"/>
      <c r="AC15" s="6452"/>
      <c r="AD15" s="6452"/>
      <c r="AE15" s="6452"/>
      <c r="AF15" s="6452"/>
      <c r="AG15" s="6452"/>
      <c r="AH15" s="6452"/>
      <c r="AI15" s="6452"/>
      <c r="AJ15" s="6453"/>
      <c r="AK15" s="402"/>
      <c r="AL15" s="396"/>
    </row>
    <row r="16" spans="1:38" ht="12" customHeight="1" thickBot="1" x14ac:dyDescent="0.25">
      <c r="A16" s="2520"/>
      <c r="B16" s="804"/>
      <c r="C16" s="6454" t="s">
        <v>3199</v>
      </c>
      <c r="D16" s="6455"/>
      <c r="E16" s="415" t="e">
        <f>IF(C11=0,"",VLOOKUP(C11,'Tablas Magia'!$D$6:$Z$680,10,FALSE))</f>
        <v>#N/A</v>
      </c>
      <c r="F16" s="415" t="e">
        <f>IF(C11=0,"",VLOOKUP(C11,'Tablas Magia'!$D$6:$Z$680,14,FALSE))</f>
        <v>#N/A</v>
      </c>
      <c r="G16" s="416" t="e">
        <f>IF(C11=0,"",VLOOKUP(C11,'Tablas Magia'!$D$6:$Z$680,18,FALSE))</f>
        <v>#N/A</v>
      </c>
      <c r="H16" s="6456" t="e">
        <f>IF(C11=0,"",VLOOKUP(C11,'Tablas Magia'!$D$6:$Z$680,22,FALSE))</f>
        <v>#N/A</v>
      </c>
      <c r="I16" s="6457"/>
      <c r="J16" s="6457"/>
      <c r="K16" s="6457"/>
      <c r="L16" s="6457"/>
      <c r="M16" s="6457"/>
      <c r="N16" s="6457"/>
      <c r="O16" s="6457"/>
      <c r="P16" s="6457"/>
      <c r="Q16" s="6458"/>
      <c r="R16" s="402"/>
      <c r="S16" s="396"/>
      <c r="T16" s="396"/>
      <c r="U16" s="804"/>
      <c r="V16" s="6454" t="s">
        <v>3199</v>
      </c>
      <c r="W16" s="6455"/>
      <c r="X16" s="415" t="e">
        <f>IF(V11=0,"",VLOOKUP(V11,'Tablas Magia'!$D$6:$Z$680,10,FALSE))</f>
        <v>#N/A</v>
      </c>
      <c r="Y16" s="415" t="e">
        <f>IF(V11=0,"",VLOOKUP(V11,'Tablas Magia'!$D$6:$Z$680,14,FALSE))</f>
        <v>#N/A</v>
      </c>
      <c r="Z16" s="416" t="e">
        <f>IF(V11=0,"",VLOOKUP(V11,'Tablas Magia'!$D$6:$Z$680,18,FALSE))</f>
        <v>#N/A</v>
      </c>
      <c r="AA16" s="6456" t="e">
        <f>IF(V11=0,"",VLOOKUP(V11,'Tablas Magia'!$D$6:$Z$680,22,FALSE))</f>
        <v>#N/A</v>
      </c>
      <c r="AB16" s="6457"/>
      <c r="AC16" s="6457"/>
      <c r="AD16" s="6457"/>
      <c r="AE16" s="6457"/>
      <c r="AF16" s="6457"/>
      <c r="AG16" s="6457"/>
      <c r="AH16" s="6457"/>
      <c r="AI16" s="6457"/>
      <c r="AJ16" s="6458"/>
      <c r="AK16" s="402"/>
      <c r="AL16" s="396"/>
    </row>
    <row r="17" spans="1:38" ht="12" customHeight="1" x14ac:dyDescent="0.2">
      <c r="A17" s="2520"/>
      <c r="B17" s="804"/>
      <c r="C17" s="6459" t="e">
        <f>IF(C11=0,"",VLOOKUP(C11,'Tablas Magia'!$D$6:$Z$680,23,FALSE))</f>
        <v>#N/A</v>
      </c>
      <c r="D17" s="6460"/>
      <c r="E17" s="6460"/>
      <c r="F17" s="6460"/>
      <c r="G17" s="6460"/>
      <c r="H17" s="6460"/>
      <c r="I17" s="6460"/>
      <c r="J17" s="6460"/>
      <c r="K17" s="6460"/>
      <c r="L17" s="6460"/>
      <c r="M17" s="6460"/>
      <c r="N17" s="6460"/>
      <c r="O17" s="6460"/>
      <c r="P17" s="6460"/>
      <c r="Q17" s="6461"/>
      <c r="R17" s="402"/>
      <c r="S17" s="396"/>
      <c r="T17" s="396"/>
      <c r="U17" s="804"/>
      <c r="V17" s="6459" t="e">
        <f>IF(V11=0,"",VLOOKUP(V11,'Tablas Magia'!$D$6:$Z$680,23,FALSE))</f>
        <v>#N/A</v>
      </c>
      <c r="W17" s="6460"/>
      <c r="X17" s="6460"/>
      <c r="Y17" s="6460"/>
      <c r="Z17" s="6460"/>
      <c r="AA17" s="6460"/>
      <c r="AB17" s="6460"/>
      <c r="AC17" s="6460"/>
      <c r="AD17" s="6460"/>
      <c r="AE17" s="6460"/>
      <c r="AF17" s="6460"/>
      <c r="AG17" s="6460"/>
      <c r="AH17" s="6460"/>
      <c r="AI17" s="6460"/>
      <c r="AJ17" s="6461"/>
      <c r="AK17" s="402"/>
      <c r="AL17" s="396"/>
    </row>
    <row r="18" spans="1:38" ht="12" customHeight="1" x14ac:dyDescent="0.2">
      <c r="A18" s="2520"/>
      <c r="B18" s="804"/>
      <c r="C18" s="6462"/>
      <c r="D18" s="6485"/>
      <c r="E18" s="6485"/>
      <c r="F18" s="6485"/>
      <c r="G18" s="6485"/>
      <c r="H18" s="6485"/>
      <c r="I18" s="6485"/>
      <c r="J18" s="6485"/>
      <c r="K18" s="6485"/>
      <c r="L18" s="6485"/>
      <c r="M18" s="6485"/>
      <c r="N18" s="6485"/>
      <c r="O18" s="6485"/>
      <c r="P18" s="6485"/>
      <c r="Q18" s="6464"/>
      <c r="R18" s="402"/>
      <c r="S18" s="396"/>
      <c r="T18" s="396"/>
      <c r="U18" s="804"/>
      <c r="V18" s="6462"/>
      <c r="W18" s="6463"/>
      <c r="X18" s="6463"/>
      <c r="Y18" s="6463"/>
      <c r="Z18" s="6463"/>
      <c r="AA18" s="6463"/>
      <c r="AB18" s="6463"/>
      <c r="AC18" s="6463"/>
      <c r="AD18" s="6463"/>
      <c r="AE18" s="6463"/>
      <c r="AF18" s="6463"/>
      <c r="AG18" s="6463"/>
      <c r="AH18" s="6463"/>
      <c r="AI18" s="6463"/>
      <c r="AJ18" s="6464"/>
      <c r="AK18" s="402"/>
      <c r="AL18" s="396"/>
    </row>
    <row r="19" spans="1:38" ht="12" customHeight="1" x14ac:dyDescent="0.2">
      <c r="A19" s="2520"/>
      <c r="B19" s="804"/>
      <c r="C19" s="6462"/>
      <c r="D19" s="6485"/>
      <c r="E19" s="6485"/>
      <c r="F19" s="6485"/>
      <c r="G19" s="6485"/>
      <c r="H19" s="6485"/>
      <c r="I19" s="6485"/>
      <c r="J19" s="6485"/>
      <c r="K19" s="6485"/>
      <c r="L19" s="6485"/>
      <c r="M19" s="6485"/>
      <c r="N19" s="6485"/>
      <c r="O19" s="6485"/>
      <c r="P19" s="6485"/>
      <c r="Q19" s="6464"/>
      <c r="R19" s="402"/>
      <c r="S19" s="396"/>
      <c r="T19" s="396"/>
      <c r="U19" s="804"/>
      <c r="V19" s="6462"/>
      <c r="W19" s="6463"/>
      <c r="X19" s="6463"/>
      <c r="Y19" s="6463"/>
      <c r="Z19" s="6463"/>
      <c r="AA19" s="6463"/>
      <c r="AB19" s="6463"/>
      <c r="AC19" s="6463"/>
      <c r="AD19" s="6463"/>
      <c r="AE19" s="6463"/>
      <c r="AF19" s="6463"/>
      <c r="AG19" s="6463"/>
      <c r="AH19" s="6463"/>
      <c r="AI19" s="6463"/>
      <c r="AJ19" s="6464"/>
      <c r="AK19" s="402"/>
      <c r="AL19" s="396"/>
    </row>
    <row r="20" spans="1:38" ht="12" customHeight="1" thickBot="1" x14ac:dyDescent="0.25">
      <c r="A20" s="2520"/>
      <c r="B20" s="804"/>
      <c r="C20" s="6465"/>
      <c r="D20" s="6466"/>
      <c r="E20" s="6466"/>
      <c r="F20" s="6466"/>
      <c r="G20" s="6466"/>
      <c r="H20" s="6466"/>
      <c r="I20" s="6466"/>
      <c r="J20" s="6466"/>
      <c r="K20" s="6466"/>
      <c r="L20" s="6466"/>
      <c r="M20" s="6466"/>
      <c r="N20" s="6466"/>
      <c r="O20" s="6466"/>
      <c r="P20" s="6466"/>
      <c r="Q20" s="6467"/>
      <c r="R20" s="402"/>
      <c r="S20" s="396"/>
      <c r="T20" s="396"/>
      <c r="U20" s="804"/>
      <c r="V20" s="6465"/>
      <c r="W20" s="6466"/>
      <c r="X20" s="6466"/>
      <c r="Y20" s="6466"/>
      <c r="Z20" s="6466"/>
      <c r="AA20" s="6466"/>
      <c r="AB20" s="6466"/>
      <c r="AC20" s="6466"/>
      <c r="AD20" s="6466"/>
      <c r="AE20" s="6466"/>
      <c r="AF20" s="6466"/>
      <c r="AG20" s="6466"/>
      <c r="AH20" s="6466"/>
      <c r="AI20" s="6466"/>
      <c r="AJ20" s="6467"/>
      <c r="AK20" s="402"/>
      <c r="AL20" s="396"/>
    </row>
    <row r="21" spans="1:38" ht="12" customHeight="1" thickBot="1" x14ac:dyDescent="0.25">
      <c r="A21" s="2520"/>
      <c r="B21" s="804"/>
      <c r="C21" s="2507"/>
      <c r="D21" s="2507"/>
      <c r="E21" s="2507"/>
      <c r="F21" s="2507"/>
      <c r="G21" s="2507"/>
      <c r="H21" s="2508"/>
      <c r="I21" s="2509"/>
      <c r="J21" s="2510"/>
      <c r="K21" s="2510"/>
      <c r="L21" s="2510"/>
      <c r="M21" s="2511"/>
      <c r="N21" s="2511"/>
      <c r="O21" s="2511"/>
      <c r="P21" s="2511"/>
      <c r="Q21" s="2511"/>
      <c r="R21" s="402"/>
      <c r="S21" s="396"/>
      <c r="T21" s="396"/>
      <c r="U21" s="804"/>
      <c r="V21" s="419"/>
      <c r="W21" s="419"/>
      <c r="X21" s="420"/>
      <c r="Y21" s="420"/>
      <c r="Z21" s="420"/>
      <c r="AA21" s="419"/>
      <c r="AB21" s="354"/>
      <c r="AC21" s="354"/>
      <c r="AD21" s="419"/>
      <c r="AE21" s="419"/>
      <c r="AF21" s="354"/>
      <c r="AG21" s="354"/>
      <c r="AH21" s="421"/>
      <c r="AI21" s="421"/>
      <c r="AJ21" s="354"/>
      <c r="AK21" s="402"/>
      <c r="AL21" s="396"/>
    </row>
    <row r="22" spans="1:38" ht="12" customHeight="1" x14ac:dyDescent="0.2">
      <c r="A22" s="2520"/>
      <c r="B22" s="804">
        <f>B11+2</f>
        <v>4</v>
      </c>
      <c r="C22" s="6501"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502"/>
      <c r="E22" s="6502"/>
      <c r="F22" s="6502"/>
      <c r="G22" s="6503"/>
      <c r="H22" s="406" t="s">
        <v>1325</v>
      </c>
      <c r="I22" s="407">
        <f>B22</f>
        <v>4</v>
      </c>
      <c r="J22" s="6486" t="s">
        <v>6236</v>
      </c>
      <c r="K22" s="6486"/>
      <c r="L22" s="6486"/>
      <c r="M22" s="6471" t="e">
        <f>IF(C22=0,"",VLOOKUP(C22,'Tablas Magia'!$D$6:$Z$680,2,FALSE))</f>
        <v>#N/A</v>
      </c>
      <c r="N22" s="6471"/>
      <c r="O22" s="1718"/>
      <c r="P22" s="6492" t="str">
        <f>IFERROR(IF(M22="Libre Acceso","Aprendido",IF(IFERROR(VLOOKUP(M22,Místicos!$C$15:$H$25,6,0)&gt;=I22,FALSE),"Aprendido",IF(IFERROR(VLOOKUP(M22,Místicos!$E$15:$H$25,4,0)&gt;=I22,FALSE),"Aprendido",""))),"")</f>
        <v/>
      </c>
      <c r="Q22" s="6493"/>
      <c r="R22" s="402"/>
      <c r="S22" s="396"/>
      <c r="T22" s="396"/>
      <c r="U22" s="804">
        <f>U11+2</f>
        <v>14</v>
      </c>
      <c r="V22" s="6501"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507"/>
      <c r="X22" s="6507"/>
      <c r="Y22" s="6507"/>
      <c r="Z22" s="6507"/>
      <c r="AA22" s="406" t="s">
        <v>1325</v>
      </c>
      <c r="AB22" s="407">
        <f>U22</f>
        <v>14</v>
      </c>
      <c r="AC22" s="6486" t="s">
        <v>6236</v>
      </c>
      <c r="AD22" s="6486"/>
      <c r="AE22" s="6486"/>
      <c r="AF22" s="6471" t="e">
        <f>IF(V22=0,"",VLOOKUP(V22,'Tablas Magia'!$D$6:$Z$680,2,FALSE))</f>
        <v>#N/A</v>
      </c>
      <c r="AG22" s="6471"/>
      <c r="AH22" s="1718"/>
      <c r="AI22" s="6492" t="str">
        <f>IFERROR(IF(AF22="Libre Acceso","Aprendido",IF(IFERROR(VLOOKUP(AF22,Místicos!$C$15:$H$25,6,0)&gt;=AB22,FALSE),"Aprendido",IF(IFERROR(VLOOKUP(AF22,Místicos!$E$15:$H$25,4,0)&gt;=AB22,FALSE),"Aprendido",""))),"")</f>
        <v/>
      </c>
      <c r="AJ22" s="6493"/>
      <c r="AK22" s="402"/>
      <c r="AL22" s="396"/>
    </row>
    <row r="23" spans="1:38" ht="12" customHeight="1" x14ac:dyDescent="0.2">
      <c r="A23" s="2520"/>
      <c r="B23" s="804"/>
      <c r="C23" s="6473" t="s">
        <v>6237</v>
      </c>
      <c r="D23" s="6487"/>
      <c r="E23" s="2502" t="s">
        <v>6238</v>
      </c>
      <c r="F23" s="2502" t="s">
        <v>1509</v>
      </c>
      <c r="G23" s="2502" t="s">
        <v>2828</v>
      </c>
      <c r="H23" s="2503" t="s">
        <v>1836</v>
      </c>
      <c r="I23" s="6495" t="e">
        <f>IF(C22=0,"",VLOOKUP(C22,'Tablas Magia'!$D$6:$Z$680,5,FALSE))</f>
        <v>#N/A</v>
      </c>
      <c r="J23" s="6495"/>
      <c r="K23" s="6498" t="s">
        <v>6239</v>
      </c>
      <c r="L23" s="6498"/>
      <c r="M23" s="6495" t="e">
        <f>IF(C22=0,"",VLOOKUP(C22,'Tablas Magia'!$D$6:$Z$680,6,FALSE))</f>
        <v>#N/A</v>
      </c>
      <c r="N23" s="6495"/>
      <c r="O23" s="6496" t="s">
        <v>6240</v>
      </c>
      <c r="P23" s="6496"/>
      <c r="Q23" s="2504" t="e">
        <f>IF(C22=0,"",VLOOKUP(C22,'Tablas Magia'!$D$6:$Z$680,4,FALSE))</f>
        <v>#N/A</v>
      </c>
      <c r="R23" s="402"/>
      <c r="S23" s="396"/>
      <c r="T23" s="396"/>
      <c r="U23" s="804"/>
      <c r="V23" s="6473" t="s">
        <v>6237</v>
      </c>
      <c r="W23" s="6504"/>
      <c r="X23" s="1727" t="s">
        <v>6238</v>
      </c>
      <c r="Y23" s="1727" t="s">
        <v>1509</v>
      </c>
      <c r="Z23" s="1727" t="s">
        <v>2828</v>
      </c>
      <c r="AA23" s="1728" t="s">
        <v>1836</v>
      </c>
      <c r="AB23" s="6491" t="e">
        <f>IF(V22=0,"",VLOOKUP(V22,'Tablas Magia'!$D$6:$Z$680,5,FALSE))</f>
        <v>#N/A</v>
      </c>
      <c r="AC23" s="6491"/>
      <c r="AD23" s="6505" t="s">
        <v>6239</v>
      </c>
      <c r="AE23" s="6505"/>
      <c r="AF23" s="6491" t="e">
        <f>IF(V22=0,"",VLOOKUP(V22,'Tablas Magia'!$D$6:$Z$680,6,FALSE))</f>
        <v>#N/A</v>
      </c>
      <c r="AG23" s="6491"/>
      <c r="AH23" s="6506" t="s">
        <v>6240</v>
      </c>
      <c r="AI23" s="6506"/>
      <c r="AJ23" s="1729" t="e">
        <f>IF(V22=0,"",VLOOKUP(V22,'Tablas Magia'!$D$6:$Z$680,4,FALSE))</f>
        <v>#N/A</v>
      </c>
      <c r="AK23" s="402"/>
      <c r="AL23" s="396"/>
    </row>
    <row r="24" spans="1:38" ht="12" customHeight="1" x14ac:dyDescent="0.2">
      <c r="A24" s="2520"/>
      <c r="B24" s="804"/>
      <c r="C24" s="6499" t="s">
        <v>1365</v>
      </c>
      <c r="D24" s="6500"/>
      <c r="E24" s="2505" t="e">
        <f>IF(C22=0,"",VLOOKUP(C22,'Tablas Magia'!$D$6:$Z$680,7,FALSE))</f>
        <v>#N/A</v>
      </c>
      <c r="F24" s="2505" t="e">
        <f>IF(C22=0,"",VLOOKUP(C22,'Tablas Magia'!$D$6:$Z$680,11,FALSE))</f>
        <v>#N/A</v>
      </c>
      <c r="G24" s="412" t="e">
        <f>IF(C22=0,"",VLOOKUP(C22,'Tablas Magia'!$D$6:$Z$680,15,FALSE))</f>
        <v>#N/A</v>
      </c>
      <c r="H24" s="6481" t="e">
        <f>IF(C22=0,"",VLOOKUP(C22,'Tablas Magia'!$D$6:$Z$680,19,FALSE))</f>
        <v>#N/A</v>
      </c>
      <c r="I24" s="6482"/>
      <c r="J24" s="6482"/>
      <c r="K24" s="6482"/>
      <c r="L24" s="6482"/>
      <c r="M24" s="6482"/>
      <c r="N24" s="6482"/>
      <c r="O24" s="6482"/>
      <c r="P24" s="6482"/>
      <c r="Q24" s="6483"/>
      <c r="R24" s="402"/>
      <c r="S24" s="396"/>
      <c r="T24" s="396"/>
      <c r="U24" s="804"/>
      <c r="V24" s="6449" t="s">
        <v>1365</v>
      </c>
      <c r="W24" s="6450"/>
      <c r="X24" s="411" t="e">
        <f>IF(V22=0,"",VLOOKUP(V22,'Tablas Magia'!$D$6:$Z$680,7,FALSE))</f>
        <v>#N/A</v>
      </c>
      <c r="Y24" s="411" t="e">
        <f>IF(V22=0,"",VLOOKUP(V22,'Tablas Magia'!$D$6:$Z$680,11,FALSE))</f>
        <v>#N/A</v>
      </c>
      <c r="Z24" s="412" t="e">
        <f>IF(V22=0,"",VLOOKUP(V22,'Tablas Magia'!$D$6:$Z$680,15,FALSE))</f>
        <v>#N/A</v>
      </c>
      <c r="AA24" s="6451" t="e">
        <f>IF(V22=0,"",VLOOKUP(V22,'Tablas Magia'!$D$6:$Z$680,19,FALSE))</f>
        <v>#N/A</v>
      </c>
      <c r="AB24" s="6452"/>
      <c r="AC24" s="6452"/>
      <c r="AD24" s="6452"/>
      <c r="AE24" s="6452"/>
      <c r="AF24" s="6452"/>
      <c r="AG24" s="6452"/>
      <c r="AH24" s="6452"/>
      <c r="AI24" s="6452"/>
      <c r="AJ24" s="6453"/>
      <c r="AK24" s="402"/>
      <c r="AL24" s="396"/>
    </row>
    <row r="25" spans="1:38" ht="12" customHeight="1" x14ac:dyDescent="0.2">
      <c r="A25" s="2520"/>
      <c r="B25" s="804"/>
      <c r="C25" s="6444" t="s">
        <v>3197</v>
      </c>
      <c r="D25" s="6445"/>
      <c r="E25" s="2506" t="e">
        <f>IF(C22=0,"",VLOOKUP(C22,'Tablas Magia'!$D$6:$Z$680,8,FALSE))</f>
        <v>#N/A</v>
      </c>
      <c r="F25" s="2506" t="e">
        <f>IF(C22=0,"",VLOOKUP(C22,'Tablas Magia'!$D$6:$Z$680,12,FALSE))</f>
        <v>#N/A</v>
      </c>
      <c r="G25" s="414" t="e">
        <f>IF(C22=0,"",VLOOKUP(C22,'Tablas Magia'!$D$6:$Z$680,16,FALSE))</f>
        <v>#N/A</v>
      </c>
      <c r="H25" s="6446" t="e">
        <f>IF(C22=0,"",VLOOKUP(C22,'Tablas Magia'!$D$6:$Z$680,20,FALSE))</f>
        <v>#N/A</v>
      </c>
      <c r="I25" s="6484"/>
      <c r="J25" s="6484"/>
      <c r="K25" s="6484"/>
      <c r="L25" s="6484"/>
      <c r="M25" s="6484"/>
      <c r="N25" s="6484"/>
      <c r="O25" s="6484"/>
      <c r="P25" s="6484"/>
      <c r="Q25" s="6448"/>
      <c r="R25" s="402"/>
      <c r="S25" s="396"/>
      <c r="T25" s="396"/>
      <c r="U25" s="804"/>
      <c r="V25" s="6444" t="s">
        <v>3197</v>
      </c>
      <c r="W25" s="6445"/>
      <c r="X25" s="413" t="e">
        <f>IF(V22=0,"",VLOOKUP(V22,'Tablas Magia'!$D$6:$Z$680,8,FALSE))</f>
        <v>#N/A</v>
      </c>
      <c r="Y25" s="413" t="e">
        <f>IF(V22=0,"",VLOOKUP(V22,'Tablas Magia'!$D$6:$Z$680,12,FALSE))</f>
        <v>#N/A</v>
      </c>
      <c r="Z25" s="414" t="e">
        <f>IF(V22=0,"",VLOOKUP(V22,'Tablas Magia'!$D$6:$Z$680,16,FALSE))</f>
        <v>#N/A</v>
      </c>
      <c r="AA25" s="6446" t="e">
        <f>IF(V22=0,"",VLOOKUP(V22,'Tablas Magia'!$D$6:$Z$680,20,FALSE))</f>
        <v>#N/A</v>
      </c>
      <c r="AB25" s="6447"/>
      <c r="AC25" s="6447"/>
      <c r="AD25" s="6447"/>
      <c r="AE25" s="6447"/>
      <c r="AF25" s="6447"/>
      <c r="AG25" s="6447"/>
      <c r="AH25" s="6447"/>
      <c r="AI25" s="6447"/>
      <c r="AJ25" s="6448"/>
      <c r="AK25" s="402"/>
      <c r="AL25" s="396"/>
    </row>
    <row r="26" spans="1:38" ht="12" customHeight="1" x14ac:dyDescent="0.2">
      <c r="A26" s="2520"/>
      <c r="B26" s="804"/>
      <c r="C26" s="6449" t="s">
        <v>3198</v>
      </c>
      <c r="D26" s="6450"/>
      <c r="E26" s="2505" t="e">
        <f>IF(C22=0,"",VLOOKUP(C22,'Tablas Magia'!$D$6:$Z$680,9,FALSE))</f>
        <v>#N/A</v>
      </c>
      <c r="F26" s="2505" t="e">
        <f>IF(C22=0,"",VLOOKUP(C22,'Tablas Magia'!$D$6:$Z$680,13,FALSE))</f>
        <v>#N/A</v>
      </c>
      <c r="G26" s="412" t="e">
        <f>IF(C22=0,"",VLOOKUP(C22,'Tablas Magia'!$D$6:$Z$680,17,FALSE))</f>
        <v>#N/A</v>
      </c>
      <c r="H26" s="6451" t="e">
        <f>IF(C22=0,"",VLOOKUP(C22,'Tablas Magia'!$D$6:$Z$680,21,FALSE))</f>
        <v>#N/A</v>
      </c>
      <c r="I26" s="6494"/>
      <c r="J26" s="6494"/>
      <c r="K26" s="6494"/>
      <c r="L26" s="6494"/>
      <c r="M26" s="6494"/>
      <c r="N26" s="6494"/>
      <c r="O26" s="6494"/>
      <c r="P26" s="6494"/>
      <c r="Q26" s="6453"/>
      <c r="R26" s="402"/>
      <c r="S26" s="396"/>
      <c r="T26" s="396"/>
      <c r="U26" s="804"/>
      <c r="V26" s="6449" t="s">
        <v>3198</v>
      </c>
      <c r="W26" s="6450"/>
      <c r="X26" s="411" t="e">
        <f>IF(V22=0,"",VLOOKUP(V22,'Tablas Magia'!$D$6:$Z$680,9,FALSE))</f>
        <v>#N/A</v>
      </c>
      <c r="Y26" s="411" t="e">
        <f>IF(V22=0,"",VLOOKUP(V22,'Tablas Magia'!$D$6:$Z$680,13,FALSE))</f>
        <v>#N/A</v>
      </c>
      <c r="Z26" s="412" t="e">
        <f>IF(V22=0,"",VLOOKUP(V22,'Tablas Magia'!$D$6:$Z$680,17,FALSE))</f>
        <v>#N/A</v>
      </c>
      <c r="AA26" s="6451" t="e">
        <f>IF(V22=0,"",VLOOKUP(V22,'Tablas Magia'!$D$6:$Z$680,21,FALSE))</f>
        <v>#N/A</v>
      </c>
      <c r="AB26" s="6452"/>
      <c r="AC26" s="6452"/>
      <c r="AD26" s="6452"/>
      <c r="AE26" s="6452"/>
      <c r="AF26" s="6452"/>
      <c r="AG26" s="6452"/>
      <c r="AH26" s="6452"/>
      <c r="AI26" s="6452"/>
      <c r="AJ26" s="6453"/>
      <c r="AK26" s="402"/>
      <c r="AL26" s="396"/>
    </row>
    <row r="27" spans="1:38" ht="12" customHeight="1" thickBot="1" x14ac:dyDescent="0.25">
      <c r="A27" s="2520"/>
      <c r="B27" s="804"/>
      <c r="C27" s="6454" t="s">
        <v>3199</v>
      </c>
      <c r="D27" s="6455"/>
      <c r="E27" s="415" t="e">
        <f>IF(C22=0,"",VLOOKUP(C22,'Tablas Magia'!$D$6:$Z$680,10,FALSE))</f>
        <v>#N/A</v>
      </c>
      <c r="F27" s="415" t="e">
        <f>IF(C22=0,"",VLOOKUP(C22,'Tablas Magia'!$D$6:$Z$680,14,FALSE))</f>
        <v>#N/A</v>
      </c>
      <c r="G27" s="416" t="e">
        <f>IF(C22=0,"",VLOOKUP(C22,'Tablas Magia'!$D$6:$Z$680,18,FALSE))</f>
        <v>#N/A</v>
      </c>
      <c r="H27" s="6456" t="e">
        <f>IF(C22=0,"",VLOOKUP(C22,'Tablas Magia'!$D$6:$Z$680,22,FALSE))</f>
        <v>#N/A</v>
      </c>
      <c r="I27" s="6457"/>
      <c r="J27" s="6457"/>
      <c r="K27" s="6457"/>
      <c r="L27" s="6457"/>
      <c r="M27" s="6457"/>
      <c r="N27" s="6457"/>
      <c r="O27" s="6457"/>
      <c r="P27" s="6457"/>
      <c r="Q27" s="6458"/>
      <c r="R27" s="402"/>
      <c r="S27" s="396"/>
      <c r="T27" s="396"/>
      <c r="U27" s="804"/>
      <c r="V27" s="6454" t="s">
        <v>3199</v>
      </c>
      <c r="W27" s="6455"/>
      <c r="X27" s="415" t="e">
        <f>IF(V22=0,"",VLOOKUP(V22,'Tablas Magia'!$D$6:$Z$680,10,FALSE))</f>
        <v>#N/A</v>
      </c>
      <c r="Y27" s="415" t="e">
        <f>IF(V22=0,"",VLOOKUP(V22,'Tablas Magia'!$D$6:$Z$680,14,FALSE))</f>
        <v>#N/A</v>
      </c>
      <c r="Z27" s="416" t="e">
        <f>IF(V22=0,"",VLOOKUP(V22,'Tablas Magia'!$D$6:$Z$680,18,FALSE))</f>
        <v>#N/A</v>
      </c>
      <c r="AA27" s="6456" t="e">
        <f>IF(V22=0,"",VLOOKUP(V22,'Tablas Magia'!$D$6:$Z$680,22,FALSE))</f>
        <v>#N/A</v>
      </c>
      <c r="AB27" s="6457"/>
      <c r="AC27" s="6457"/>
      <c r="AD27" s="6457"/>
      <c r="AE27" s="6457"/>
      <c r="AF27" s="6457"/>
      <c r="AG27" s="6457"/>
      <c r="AH27" s="6457"/>
      <c r="AI27" s="6457"/>
      <c r="AJ27" s="6458"/>
      <c r="AK27" s="402"/>
      <c r="AL27" s="396"/>
    </row>
    <row r="28" spans="1:38" ht="12" customHeight="1" x14ac:dyDescent="0.2">
      <c r="A28" s="2520"/>
      <c r="B28" s="804"/>
      <c r="C28" s="6459" t="e">
        <f>IF(C22=0,"",VLOOKUP(C22,'Tablas Magia'!$D$6:$Z$680,23,FALSE))</f>
        <v>#N/A</v>
      </c>
      <c r="D28" s="6460"/>
      <c r="E28" s="6460"/>
      <c r="F28" s="6460"/>
      <c r="G28" s="6460"/>
      <c r="H28" s="6460"/>
      <c r="I28" s="6460"/>
      <c r="J28" s="6460"/>
      <c r="K28" s="6460"/>
      <c r="L28" s="6460"/>
      <c r="M28" s="6460"/>
      <c r="N28" s="6460"/>
      <c r="O28" s="6460"/>
      <c r="P28" s="6460"/>
      <c r="Q28" s="6461"/>
      <c r="R28" s="402"/>
      <c r="S28" s="396"/>
      <c r="T28" s="396"/>
      <c r="U28" s="804"/>
      <c r="V28" s="6459" t="e">
        <f>IF(V22=0,"",VLOOKUP(V22,'Tablas Magia'!$D$6:$Z$680,23,FALSE))</f>
        <v>#N/A</v>
      </c>
      <c r="W28" s="6460"/>
      <c r="X28" s="6460"/>
      <c r="Y28" s="6460"/>
      <c r="Z28" s="6460"/>
      <c r="AA28" s="6460"/>
      <c r="AB28" s="6460"/>
      <c r="AC28" s="6460"/>
      <c r="AD28" s="6460"/>
      <c r="AE28" s="6460"/>
      <c r="AF28" s="6460"/>
      <c r="AG28" s="6460"/>
      <c r="AH28" s="6460"/>
      <c r="AI28" s="6460"/>
      <c r="AJ28" s="6461"/>
      <c r="AK28" s="402"/>
      <c r="AL28" s="396"/>
    </row>
    <row r="29" spans="1:38" ht="12" customHeight="1" x14ac:dyDescent="0.2">
      <c r="A29" s="2520"/>
      <c r="B29" s="804"/>
      <c r="C29" s="6462"/>
      <c r="D29" s="6485"/>
      <c r="E29" s="6485"/>
      <c r="F29" s="6485"/>
      <c r="G29" s="6485"/>
      <c r="H29" s="6485"/>
      <c r="I29" s="6485"/>
      <c r="J29" s="6485"/>
      <c r="K29" s="6485"/>
      <c r="L29" s="6485"/>
      <c r="M29" s="6485"/>
      <c r="N29" s="6485"/>
      <c r="O29" s="6485"/>
      <c r="P29" s="6485"/>
      <c r="Q29" s="6464"/>
      <c r="R29" s="402"/>
      <c r="S29" s="396"/>
      <c r="T29" s="396"/>
      <c r="U29" s="804"/>
      <c r="V29" s="6462"/>
      <c r="W29" s="6463"/>
      <c r="X29" s="6463"/>
      <c r="Y29" s="6463"/>
      <c r="Z29" s="6463"/>
      <c r="AA29" s="6463"/>
      <c r="AB29" s="6463"/>
      <c r="AC29" s="6463"/>
      <c r="AD29" s="6463"/>
      <c r="AE29" s="6463"/>
      <c r="AF29" s="6463"/>
      <c r="AG29" s="6463"/>
      <c r="AH29" s="6463"/>
      <c r="AI29" s="6463"/>
      <c r="AJ29" s="6464"/>
      <c r="AK29" s="402"/>
      <c r="AL29" s="396"/>
    </row>
    <row r="30" spans="1:38" ht="12" customHeight="1" x14ac:dyDescent="0.2">
      <c r="A30" s="2520"/>
      <c r="B30" s="804"/>
      <c r="C30" s="6462"/>
      <c r="D30" s="6485"/>
      <c r="E30" s="6485"/>
      <c r="F30" s="6485"/>
      <c r="G30" s="6485"/>
      <c r="H30" s="6485"/>
      <c r="I30" s="6485"/>
      <c r="J30" s="6485"/>
      <c r="K30" s="6485"/>
      <c r="L30" s="6485"/>
      <c r="M30" s="6485"/>
      <c r="N30" s="6485"/>
      <c r="O30" s="6485"/>
      <c r="P30" s="6485"/>
      <c r="Q30" s="6464"/>
      <c r="R30" s="402"/>
      <c r="S30" s="396"/>
      <c r="T30" s="396"/>
      <c r="U30" s="804"/>
      <c r="V30" s="6462"/>
      <c r="W30" s="6463"/>
      <c r="X30" s="6463"/>
      <c r="Y30" s="6463"/>
      <c r="Z30" s="6463"/>
      <c r="AA30" s="6463"/>
      <c r="AB30" s="6463"/>
      <c r="AC30" s="6463"/>
      <c r="AD30" s="6463"/>
      <c r="AE30" s="6463"/>
      <c r="AF30" s="6463"/>
      <c r="AG30" s="6463"/>
      <c r="AH30" s="6463"/>
      <c r="AI30" s="6463"/>
      <c r="AJ30" s="6464"/>
      <c r="AK30" s="402"/>
      <c r="AL30" s="396"/>
    </row>
    <row r="31" spans="1:38" ht="12" customHeight="1" thickBot="1" x14ac:dyDescent="0.25">
      <c r="A31" s="2520"/>
      <c r="B31" s="804"/>
      <c r="C31" s="6465"/>
      <c r="D31" s="6466"/>
      <c r="E31" s="6466"/>
      <c r="F31" s="6466"/>
      <c r="G31" s="6466"/>
      <c r="H31" s="6466"/>
      <c r="I31" s="6466"/>
      <c r="J31" s="6466"/>
      <c r="K31" s="6466"/>
      <c r="L31" s="6466"/>
      <c r="M31" s="6466"/>
      <c r="N31" s="6466"/>
      <c r="O31" s="6466"/>
      <c r="P31" s="6466"/>
      <c r="Q31" s="6467"/>
      <c r="R31" s="402"/>
      <c r="S31" s="396"/>
      <c r="T31" s="396"/>
      <c r="U31" s="804"/>
      <c r="V31" s="6465"/>
      <c r="W31" s="6466"/>
      <c r="X31" s="6466"/>
      <c r="Y31" s="6466"/>
      <c r="Z31" s="6466"/>
      <c r="AA31" s="6466"/>
      <c r="AB31" s="6466"/>
      <c r="AC31" s="6466"/>
      <c r="AD31" s="6466"/>
      <c r="AE31" s="6466"/>
      <c r="AF31" s="6466"/>
      <c r="AG31" s="6466"/>
      <c r="AH31" s="6466"/>
      <c r="AI31" s="6466"/>
      <c r="AJ31" s="6467"/>
      <c r="AK31" s="402"/>
      <c r="AL31" s="396"/>
    </row>
    <row r="32" spans="1:38" ht="12" customHeight="1" thickBot="1" x14ac:dyDescent="0.25">
      <c r="A32" s="2520"/>
      <c r="B32" s="804"/>
      <c r="C32" s="2510"/>
      <c r="D32" s="2510"/>
      <c r="E32" s="2512"/>
      <c r="F32" s="2512"/>
      <c r="G32" s="2512"/>
      <c r="H32" s="2510"/>
      <c r="I32" s="2511"/>
      <c r="J32" s="2511"/>
      <c r="K32" s="2510"/>
      <c r="L32" s="2510"/>
      <c r="M32" s="2511"/>
      <c r="N32" s="2511"/>
      <c r="O32" s="2513"/>
      <c r="P32" s="2513"/>
      <c r="Q32" s="2511"/>
      <c r="R32" s="402"/>
      <c r="S32" s="396"/>
      <c r="T32" s="396"/>
      <c r="U32" s="804"/>
      <c r="V32" s="422"/>
      <c r="W32" s="422"/>
      <c r="X32" s="423"/>
      <c r="Y32" s="423"/>
      <c r="Z32" s="423"/>
      <c r="AA32" s="423"/>
      <c r="AB32" s="423"/>
      <c r="AC32" s="423"/>
      <c r="AD32" s="423"/>
      <c r="AE32" s="423"/>
      <c r="AF32" s="423"/>
      <c r="AG32" s="423"/>
      <c r="AH32" s="423"/>
      <c r="AI32" s="423"/>
      <c r="AJ32" s="423"/>
      <c r="AK32" s="402"/>
      <c r="AL32" s="396"/>
    </row>
    <row r="33" spans="1:38" ht="12" customHeight="1" x14ac:dyDescent="0.2">
      <c r="A33" s="2520"/>
      <c r="B33" s="804">
        <f>B22+2</f>
        <v>6</v>
      </c>
      <c r="C33" s="6501"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502"/>
      <c r="E33" s="6502"/>
      <c r="F33" s="6502"/>
      <c r="G33" s="6503"/>
      <c r="H33" s="406" t="s">
        <v>1325</v>
      </c>
      <c r="I33" s="407">
        <f>B33</f>
        <v>6</v>
      </c>
      <c r="J33" s="6486" t="s">
        <v>6236</v>
      </c>
      <c r="K33" s="6486"/>
      <c r="L33" s="6486"/>
      <c r="M33" s="6471" t="e">
        <f>IF(C33=0,"",VLOOKUP(C33,'Tablas Magia'!$D$6:$Z$680,2,FALSE))</f>
        <v>#N/A</v>
      </c>
      <c r="N33" s="6471"/>
      <c r="O33" s="1718"/>
      <c r="P33" s="6492" t="str">
        <f>IFERROR(IF(M33="Libre Acceso","Aprendido",IF(IFERROR(VLOOKUP(M33,Místicos!$C$15:$H$25,6,0)&gt;=I33,FALSE),"Aprendido",IF(IFERROR(VLOOKUP(M33,Místicos!$E$15:$H$25,4,0)&gt;=I33,FALSE),"Aprendido",""))),"")</f>
        <v/>
      </c>
      <c r="Q33" s="6493"/>
      <c r="R33" s="402"/>
      <c r="S33" s="396"/>
      <c r="T33" s="396"/>
      <c r="U33" s="804">
        <f>U22+2</f>
        <v>16</v>
      </c>
      <c r="V33" s="6501"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507"/>
      <c r="X33" s="6507"/>
      <c r="Y33" s="6507"/>
      <c r="Z33" s="6507"/>
      <c r="AA33" s="406" t="s">
        <v>1325</v>
      </c>
      <c r="AB33" s="407">
        <f>U33</f>
        <v>16</v>
      </c>
      <c r="AC33" s="6486" t="s">
        <v>6236</v>
      </c>
      <c r="AD33" s="6486"/>
      <c r="AE33" s="6486"/>
      <c r="AF33" s="6471" t="e">
        <f>IF(V33=0,"",VLOOKUP(V33,'Tablas Magia'!$D$6:$Z$680,2,FALSE))</f>
        <v>#N/A</v>
      </c>
      <c r="AG33" s="6471"/>
      <c r="AH33" s="1718"/>
      <c r="AI33" s="6492" t="str">
        <f>IFERROR(IF(AF33="Libre Acceso","Aprendido",IF(IFERROR(VLOOKUP(AF33,Místicos!$C$15:$H$25,6,0)&gt;=AB33,FALSE),"Aprendido",IF(IFERROR(VLOOKUP(AF33,Místicos!$E$15:$H$25,4,0)&gt;=AB33,FALSE),"Aprendido",""))),"")</f>
        <v/>
      </c>
      <c r="AJ33" s="6493"/>
      <c r="AK33" s="402"/>
      <c r="AL33" s="396"/>
    </row>
    <row r="34" spans="1:38" ht="12" customHeight="1" x14ac:dyDescent="0.2">
      <c r="A34" s="2520"/>
      <c r="B34" s="804"/>
      <c r="C34" s="6473" t="s">
        <v>6237</v>
      </c>
      <c r="D34" s="6487"/>
      <c r="E34" s="2502" t="s">
        <v>6238</v>
      </c>
      <c r="F34" s="2502" t="s">
        <v>1509</v>
      </c>
      <c r="G34" s="2502" t="s">
        <v>2828</v>
      </c>
      <c r="H34" s="2503" t="s">
        <v>1836</v>
      </c>
      <c r="I34" s="6495" t="e">
        <f>IF(C33=0,"",VLOOKUP(C33,'Tablas Magia'!$D$6:$Z$680,5,FALSE))</f>
        <v>#N/A</v>
      </c>
      <c r="J34" s="6495"/>
      <c r="K34" s="6498" t="s">
        <v>6239</v>
      </c>
      <c r="L34" s="6498"/>
      <c r="M34" s="6495" t="e">
        <f>IF(C33=0,"",VLOOKUP(C33,'Tablas Magia'!$D$6:$Z$680,6,FALSE))</f>
        <v>#N/A</v>
      </c>
      <c r="N34" s="6495"/>
      <c r="O34" s="6496" t="s">
        <v>6240</v>
      </c>
      <c r="P34" s="6496"/>
      <c r="Q34" s="2504" t="e">
        <f>IF(C33=0,"",VLOOKUP(C33,'Tablas Magia'!$D$6:$Z$680,4,FALSE))</f>
        <v>#N/A</v>
      </c>
      <c r="R34" s="402"/>
      <c r="S34" s="396"/>
      <c r="T34" s="396"/>
      <c r="U34" s="804"/>
      <c r="V34" s="6473" t="s">
        <v>6237</v>
      </c>
      <c r="W34" s="6504"/>
      <c r="X34" s="1727" t="s">
        <v>6238</v>
      </c>
      <c r="Y34" s="1727" t="s">
        <v>1509</v>
      </c>
      <c r="Z34" s="1727" t="s">
        <v>2828</v>
      </c>
      <c r="AA34" s="1728" t="s">
        <v>1836</v>
      </c>
      <c r="AB34" s="6491" t="e">
        <f>IF(V33=0,"",VLOOKUP(V33,'Tablas Magia'!$D$6:$Z$680,5,FALSE))</f>
        <v>#N/A</v>
      </c>
      <c r="AC34" s="6491"/>
      <c r="AD34" s="6505" t="s">
        <v>6239</v>
      </c>
      <c r="AE34" s="6505"/>
      <c r="AF34" s="6491" t="e">
        <f>IF(V33=0,"",VLOOKUP(V33,'Tablas Magia'!$D$6:$Z$680,6,FALSE))</f>
        <v>#N/A</v>
      </c>
      <c r="AG34" s="6491"/>
      <c r="AH34" s="6506" t="s">
        <v>6240</v>
      </c>
      <c r="AI34" s="6506"/>
      <c r="AJ34" s="1729" t="e">
        <f>IF(V33=0,"",VLOOKUP(V33,'Tablas Magia'!$D$6:$Z$680,4,FALSE))</f>
        <v>#N/A</v>
      </c>
      <c r="AK34" s="402"/>
      <c r="AL34" s="396"/>
    </row>
    <row r="35" spans="1:38" ht="12" customHeight="1" x14ac:dyDescent="0.2">
      <c r="A35" s="2520"/>
      <c r="B35" s="804"/>
      <c r="C35" s="6499" t="s">
        <v>1365</v>
      </c>
      <c r="D35" s="6500"/>
      <c r="E35" s="2505" t="e">
        <f>IF(C33=0,"",VLOOKUP(C33,'Tablas Magia'!$D$6:$Z$680,7,FALSE))</f>
        <v>#N/A</v>
      </c>
      <c r="F35" s="2505" t="e">
        <f>IF(C33=0,"",VLOOKUP(C33,'Tablas Magia'!$D$6:$Z$680,11,FALSE))</f>
        <v>#N/A</v>
      </c>
      <c r="G35" s="412" t="e">
        <f>IF(C33=0,"",VLOOKUP(C33,'Tablas Magia'!$D$6:$Z$680,15,FALSE))</f>
        <v>#N/A</v>
      </c>
      <c r="H35" s="6481" t="e">
        <f>IF(C33=0,"",VLOOKUP(C33,'Tablas Magia'!$D$6:$Z$680,19,FALSE))</f>
        <v>#N/A</v>
      </c>
      <c r="I35" s="6482"/>
      <c r="J35" s="6482"/>
      <c r="K35" s="6482"/>
      <c r="L35" s="6482"/>
      <c r="M35" s="6482"/>
      <c r="N35" s="6482"/>
      <c r="O35" s="6482"/>
      <c r="P35" s="6482"/>
      <c r="Q35" s="6483"/>
      <c r="R35" s="402"/>
      <c r="S35" s="396"/>
      <c r="T35" s="396"/>
      <c r="U35" s="804"/>
      <c r="V35" s="6449" t="s">
        <v>1365</v>
      </c>
      <c r="W35" s="6450"/>
      <c r="X35" s="411" t="e">
        <f>IF(V33=0,"",VLOOKUP(V33,'Tablas Magia'!$D$6:$Z$680,7,FALSE))</f>
        <v>#N/A</v>
      </c>
      <c r="Y35" s="411" t="e">
        <f>IF(V33=0,"",VLOOKUP(V33,'Tablas Magia'!$D$6:$Z$680,11,FALSE))</f>
        <v>#N/A</v>
      </c>
      <c r="Z35" s="412" t="e">
        <f>IF(V33=0,"",VLOOKUP(V33,'Tablas Magia'!$D$6:$Z$680,15,FALSE))</f>
        <v>#N/A</v>
      </c>
      <c r="AA35" s="6451" t="e">
        <f>IF(V33=0,"",VLOOKUP(V33,'Tablas Magia'!$D$6:$Z$680,19,FALSE))</f>
        <v>#N/A</v>
      </c>
      <c r="AB35" s="6452"/>
      <c r="AC35" s="6452"/>
      <c r="AD35" s="6452"/>
      <c r="AE35" s="6452"/>
      <c r="AF35" s="6452"/>
      <c r="AG35" s="6452"/>
      <c r="AH35" s="6452"/>
      <c r="AI35" s="6452"/>
      <c r="AJ35" s="6453"/>
      <c r="AK35" s="402"/>
      <c r="AL35" s="396"/>
    </row>
    <row r="36" spans="1:38" ht="12" customHeight="1" x14ac:dyDescent="0.2">
      <c r="A36" s="2520"/>
      <c r="B36" s="804"/>
      <c r="C36" s="6444" t="s">
        <v>3197</v>
      </c>
      <c r="D36" s="6445"/>
      <c r="E36" s="2506" t="e">
        <f>IF(C33=0,"",VLOOKUP(C33,'Tablas Magia'!$D$6:$Z$680,8,FALSE))</f>
        <v>#N/A</v>
      </c>
      <c r="F36" s="2506" t="e">
        <f>IF(C33=0,"",VLOOKUP(C33,'Tablas Magia'!$D$6:$Z$680,12,FALSE))</f>
        <v>#N/A</v>
      </c>
      <c r="G36" s="414" t="e">
        <f>IF(C33=0,"",VLOOKUP(C33,'Tablas Magia'!$D$6:$Z$680,16,FALSE))</f>
        <v>#N/A</v>
      </c>
      <c r="H36" s="6446" t="e">
        <f>IF(C33=0,"",VLOOKUP(C33,'Tablas Magia'!$D$6:$Z$680,20,FALSE))</f>
        <v>#N/A</v>
      </c>
      <c r="I36" s="6484"/>
      <c r="J36" s="6484"/>
      <c r="K36" s="6484"/>
      <c r="L36" s="6484"/>
      <c r="M36" s="6484"/>
      <c r="N36" s="6484"/>
      <c r="O36" s="6484"/>
      <c r="P36" s="6484"/>
      <c r="Q36" s="6448"/>
      <c r="R36" s="402"/>
      <c r="S36" s="396"/>
      <c r="T36" s="396"/>
      <c r="U36" s="804"/>
      <c r="V36" s="6444" t="s">
        <v>3197</v>
      </c>
      <c r="W36" s="6445"/>
      <c r="X36" s="413" t="e">
        <f>IF(V33=0,"",VLOOKUP(V33,'Tablas Magia'!$D$6:$Z$680,8,FALSE))</f>
        <v>#N/A</v>
      </c>
      <c r="Y36" s="413" t="e">
        <f>IF(V33=0,"",VLOOKUP(V33,'Tablas Magia'!$D$6:$Z$680,12,FALSE))</f>
        <v>#N/A</v>
      </c>
      <c r="Z36" s="414" t="e">
        <f>IF(V33=0,"",VLOOKUP(V33,'Tablas Magia'!$D$6:$Z$680,16,FALSE))</f>
        <v>#N/A</v>
      </c>
      <c r="AA36" s="6446" t="e">
        <f>IF(V33=0,"",VLOOKUP(V33,'Tablas Magia'!$D$6:$Z$680,20,FALSE))</f>
        <v>#N/A</v>
      </c>
      <c r="AB36" s="6447"/>
      <c r="AC36" s="6447"/>
      <c r="AD36" s="6447"/>
      <c r="AE36" s="6447"/>
      <c r="AF36" s="6447"/>
      <c r="AG36" s="6447"/>
      <c r="AH36" s="6447"/>
      <c r="AI36" s="6447"/>
      <c r="AJ36" s="6448"/>
      <c r="AK36" s="402"/>
      <c r="AL36" s="396"/>
    </row>
    <row r="37" spans="1:38" ht="12" customHeight="1" x14ac:dyDescent="0.2">
      <c r="A37" s="2520"/>
      <c r="B37" s="804"/>
      <c r="C37" s="6449" t="s">
        <v>3198</v>
      </c>
      <c r="D37" s="6450"/>
      <c r="E37" s="2505" t="e">
        <f>IF(C33=0,"",VLOOKUP(C33,'Tablas Magia'!$D$6:$Z$680,9,FALSE))</f>
        <v>#N/A</v>
      </c>
      <c r="F37" s="2505" t="e">
        <f>IF(C33=0,"",VLOOKUP(C33,'Tablas Magia'!$D$6:$Z$680,13,FALSE))</f>
        <v>#N/A</v>
      </c>
      <c r="G37" s="412" t="e">
        <f>IF(C33=0,"",VLOOKUP(C33,'Tablas Magia'!$D$6:$Z$680,17,FALSE))</f>
        <v>#N/A</v>
      </c>
      <c r="H37" s="6451" t="e">
        <f>IF(C33=0,"",VLOOKUP(C33,'Tablas Magia'!$D$6:$Z$680,21,FALSE))</f>
        <v>#N/A</v>
      </c>
      <c r="I37" s="6494"/>
      <c r="J37" s="6494"/>
      <c r="K37" s="6494"/>
      <c r="L37" s="6494"/>
      <c r="M37" s="6494"/>
      <c r="N37" s="6494"/>
      <c r="O37" s="6494"/>
      <c r="P37" s="6494"/>
      <c r="Q37" s="6453"/>
      <c r="R37" s="402"/>
      <c r="S37" s="396"/>
      <c r="T37" s="396"/>
      <c r="U37" s="804"/>
      <c r="V37" s="6449" t="s">
        <v>3198</v>
      </c>
      <c r="W37" s="6450"/>
      <c r="X37" s="411" t="e">
        <f>IF(V33=0,"",VLOOKUP(V33,'Tablas Magia'!$D$6:$Z$680,9,FALSE))</f>
        <v>#N/A</v>
      </c>
      <c r="Y37" s="411" t="e">
        <f>IF(V33=0,"",VLOOKUP(V33,'Tablas Magia'!$D$6:$Z$680,13,FALSE))</f>
        <v>#N/A</v>
      </c>
      <c r="Z37" s="412" t="e">
        <f>IF(V33=0,"",VLOOKUP(V33,'Tablas Magia'!$D$6:$Z$680,17,FALSE))</f>
        <v>#N/A</v>
      </c>
      <c r="AA37" s="6451" t="e">
        <f>IF(V33=0,"",VLOOKUP(V33,'Tablas Magia'!$D$6:$Z$680,21,FALSE))</f>
        <v>#N/A</v>
      </c>
      <c r="AB37" s="6452"/>
      <c r="AC37" s="6452"/>
      <c r="AD37" s="6452"/>
      <c r="AE37" s="6452"/>
      <c r="AF37" s="6452"/>
      <c r="AG37" s="6452"/>
      <c r="AH37" s="6452"/>
      <c r="AI37" s="6452"/>
      <c r="AJ37" s="6453"/>
      <c r="AK37" s="402"/>
      <c r="AL37" s="396"/>
    </row>
    <row r="38" spans="1:38" ht="12" customHeight="1" thickBot="1" x14ac:dyDescent="0.25">
      <c r="A38" s="2520"/>
      <c r="B38" s="804"/>
      <c r="C38" s="6454" t="s">
        <v>3199</v>
      </c>
      <c r="D38" s="6455"/>
      <c r="E38" s="415" t="e">
        <f>IF(C33=0,"",VLOOKUP(C33,'Tablas Magia'!$D$6:$Z$680,10,FALSE))</f>
        <v>#N/A</v>
      </c>
      <c r="F38" s="415" t="e">
        <f>IF(C33=0,"",VLOOKUP(C33,'Tablas Magia'!$D$6:$Z$680,14,FALSE))</f>
        <v>#N/A</v>
      </c>
      <c r="G38" s="416" t="e">
        <f>IF(C33=0,"",VLOOKUP(C33,'Tablas Magia'!$D$6:$Z$680,18,FALSE))</f>
        <v>#N/A</v>
      </c>
      <c r="H38" s="6456" t="e">
        <f>IF(C33=0,"",VLOOKUP(C33,'Tablas Magia'!$D$6:$Z$680,22,FALSE))</f>
        <v>#N/A</v>
      </c>
      <c r="I38" s="6457"/>
      <c r="J38" s="6457"/>
      <c r="K38" s="6457"/>
      <c r="L38" s="6457"/>
      <c r="M38" s="6457"/>
      <c r="N38" s="6457"/>
      <c r="O38" s="6457"/>
      <c r="P38" s="6457"/>
      <c r="Q38" s="6458"/>
      <c r="R38" s="402"/>
      <c r="S38" s="396"/>
      <c r="T38" s="396"/>
      <c r="U38" s="804"/>
      <c r="V38" s="6454" t="s">
        <v>3199</v>
      </c>
      <c r="W38" s="6455"/>
      <c r="X38" s="415" t="e">
        <f>IF(V33=0,"",VLOOKUP(V33,'Tablas Magia'!$D$6:$Z$680,10,FALSE))</f>
        <v>#N/A</v>
      </c>
      <c r="Y38" s="415" t="e">
        <f>IF(V33=0,"",VLOOKUP(V33,'Tablas Magia'!$D$6:$Z$680,14,FALSE))</f>
        <v>#N/A</v>
      </c>
      <c r="Z38" s="416" t="e">
        <f>IF(V33=0,"",VLOOKUP(V33,'Tablas Magia'!$D$6:$Z$680,18,FALSE))</f>
        <v>#N/A</v>
      </c>
      <c r="AA38" s="6456" t="e">
        <f>IF(V33=0,"",VLOOKUP(V33,'Tablas Magia'!$D$6:$Z$680,22,FALSE))</f>
        <v>#N/A</v>
      </c>
      <c r="AB38" s="6457"/>
      <c r="AC38" s="6457"/>
      <c r="AD38" s="6457"/>
      <c r="AE38" s="6457"/>
      <c r="AF38" s="6457"/>
      <c r="AG38" s="6457"/>
      <c r="AH38" s="6457"/>
      <c r="AI38" s="6457"/>
      <c r="AJ38" s="6458"/>
      <c r="AK38" s="402"/>
      <c r="AL38" s="396"/>
    </row>
    <row r="39" spans="1:38" ht="12" customHeight="1" x14ac:dyDescent="0.2">
      <c r="A39" s="2520"/>
      <c r="B39" s="804"/>
      <c r="C39" s="6459" t="e">
        <f>IF(C33=0,"",VLOOKUP(C33,'Tablas Magia'!$D$6:$Z$680,23,FALSE))</f>
        <v>#N/A</v>
      </c>
      <c r="D39" s="6460"/>
      <c r="E39" s="6460"/>
      <c r="F39" s="6460"/>
      <c r="G39" s="6460"/>
      <c r="H39" s="6460"/>
      <c r="I39" s="6460"/>
      <c r="J39" s="6460"/>
      <c r="K39" s="6460"/>
      <c r="L39" s="6460"/>
      <c r="M39" s="6460"/>
      <c r="N39" s="6460"/>
      <c r="O39" s="6460"/>
      <c r="P39" s="6460"/>
      <c r="Q39" s="6461"/>
      <c r="R39" s="402"/>
      <c r="S39" s="396"/>
      <c r="T39" s="396"/>
      <c r="U39" s="804"/>
      <c r="V39" s="6459" t="e">
        <f>IF(V33=0,"",VLOOKUP(V33,'Tablas Magia'!$D$6:$Z$680,23,FALSE))</f>
        <v>#N/A</v>
      </c>
      <c r="W39" s="6460"/>
      <c r="X39" s="6460"/>
      <c r="Y39" s="6460"/>
      <c r="Z39" s="6460"/>
      <c r="AA39" s="6460"/>
      <c r="AB39" s="6460"/>
      <c r="AC39" s="6460"/>
      <c r="AD39" s="6460"/>
      <c r="AE39" s="6460"/>
      <c r="AF39" s="6460"/>
      <c r="AG39" s="6460"/>
      <c r="AH39" s="6460"/>
      <c r="AI39" s="6460"/>
      <c r="AJ39" s="6461"/>
      <c r="AK39" s="402"/>
      <c r="AL39" s="396"/>
    </row>
    <row r="40" spans="1:38" ht="12" customHeight="1" x14ac:dyDescent="0.2">
      <c r="A40" s="2520"/>
      <c r="B40" s="804"/>
      <c r="C40" s="6462"/>
      <c r="D40" s="6485"/>
      <c r="E40" s="6485"/>
      <c r="F40" s="6485"/>
      <c r="G40" s="6485"/>
      <c r="H40" s="6485"/>
      <c r="I40" s="6485"/>
      <c r="J40" s="6485"/>
      <c r="K40" s="6485"/>
      <c r="L40" s="6485"/>
      <c r="M40" s="6485"/>
      <c r="N40" s="6485"/>
      <c r="O40" s="6485"/>
      <c r="P40" s="6485"/>
      <c r="Q40" s="6464"/>
      <c r="R40" s="402"/>
      <c r="S40" s="396"/>
      <c r="T40" s="396"/>
      <c r="U40" s="804"/>
      <c r="V40" s="6462"/>
      <c r="W40" s="6463"/>
      <c r="X40" s="6463"/>
      <c r="Y40" s="6463"/>
      <c r="Z40" s="6463"/>
      <c r="AA40" s="6463"/>
      <c r="AB40" s="6463"/>
      <c r="AC40" s="6463"/>
      <c r="AD40" s="6463"/>
      <c r="AE40" s="6463"/>
      <c r="AF40" s="6463"/>
      <c r="AG40" s="6463"/>
      <c r="AH40" s="6463"/>
      <c r="AI40" s="6463"/>
      <c r="AJ40" s="6464"/>
      <c r="AK40" s="402"/>
      <c r="AL40" s="396"/>
    </row>
    <row r="41" spans="1:38" ht="12" customHeight="1" x14ac:dyDescent="0.2">
      <c r="A41" s="2520"/>
      <c r="B41" s="804"/>
      <c r="C41" s="6462"/>
      <c r="D41" s="6485"/>
      <c r="E41" s="6485"/>
      <c r="F41" s="6485"/>
      <c r="G41" s="6485"/>
      <c r="H41" s="6485"/>
      <c r="I41" s="6485"/>
      <c r="J41" s="6485"/>
      <c r="K41" s="6485"/>
      <c r="L41" s="6485"/>
      <c r="M41" s="6485"/>
      <c r="N41" s="6485"/>
      <c r="O41" s="6485"/>
      <c r="P41" s="6485"/>
      <c r="Q41" s="6464"/>
      <c r="R41" s="402"/>
      <c r="S41" s="396"/>
      <c r="T41" s="396"/>
      <c r="U41" s="804"/>
      <c r="V41" s="6462"/>
      <c r="W41" s="6463"/>
      <c r="X41" s="6463"/>
      <c r="Y41" s="6463"/>
      <c r="Z41" s="6463"/>
      <c r="AA41" s="6463"/>
      <c r="AB41" s="6463"/>
      <c r="AC41" s="6463"/>
      <c r="AD41" s="6463"/>
      <c r="AE41" s="6463"/>
      <c r="AF41" s="6463"/>
      <c r="AG41" s="6463"/>
      <c r="AH41" s="6463"/>
      <c r="AI41" s="6463"/>
      <c r="AJ41" s="6464"/>
      <c r="AK41" s="402"/>
      <c r="AL41" s="396"/>
    </row>
    <row r="42" spans="1:38" ht="12" customHeight="1" thickBot="1" x14ac:dyDescent="0.25">
      <c r="A42" s="2520"/>
      <c r="B42" s="804"/>
      <c r="C42" s="6465"/>
      <c r="D42" s="6466"/>
      <c r="E42" s="6466"/>
      <c r="F42" s="6466"/>
      <c r="G42" s="6466"/>
      <c r="H42" s="6466"/>
      <c r="I42" s="6466"/>
      <c r="J42" s="6466"/>
      <c r="K42" s="6466"/>
      <c r="L42" s="6466"/>
      <c r="M42" s="6466"/>
      <c r="N42" s="6466"/>
      <c r="O42" s="6466"/>
      <c r="P42" s="6466"/>
      <c r="Q42" s="6467"/>
      <c r="R42" s="402"/>
      <c r="S42" s="396"/>
      <c r="T42" s="396"/>
      <c r="U42" s="804"/>
      <c r="V42" s="6465"/>
      <c r="W42" s="6466"/>
      <c r="X42" s="6466"/>
      <c r="Y42" s="6466"/>
      <c r="Z42" s="6466"/>
      <c r="AA42" s="6466"/>
      <c r="AB42" s="6466"/>
      <c r="AC42" s="6466"/>
      <c r="AD42" s="6466"/>
      <c r="AE42" s="6466"/>
      <c r="AF42" s="6466"/>
      <c r="AG42" s="6466"/>
      <c r="AH42" s="6466"/>
      <c r="AI42" s="6466"/>
      <c r="AJ42" s="6467"/>
      <c r="AK42" s="402"/>
      <c r="AL42" s="396"/>
    </row>
    <row r="43" spans="1:38" ht="12" customHeight="1" thickBot="1" x14ac:dyDescent="0.25">
      <c r="A43" s="2520"/>
      <c r="B43" s="804"/>
      <c r="C43" s="2514"/>
      <c r="D43" s="2514"/>
      <c r="E43" s="2515"/>
      <c r="F43" s="2515"/>
      <c r="G43" s="2515"/>
      <c r="H43" s="2515"/>
      <c r="I43" s="2515"/>
      <c r="J43" s="2515"/>
      <c r="K43" s="2515"/>
      <c r="L43" s="2515"/>
      <c r="M43" s="2515"/>
      <c r="N43" s="2515"/>
      <c r="O43" s="2515"/>
      <c r="P43" s="2515"/>
      <c r="Q43" s="2515"/>
      <c r="R43" s="402"/>
      <c r="S43" s="396"/>
      <c r="T43" s="396"/>
      <c r="U43" s="804"/>
      <c r="V43" s="422"/>
      <c r="W43" s="422"/>
      <c r="X43" s="413"/>
      <c r="Y43" s="413"/>
      <c r="Z43" s="413"/>
      <c r="AA43" s="423"/>
      <c r="AB43" s="423"/>
      <c r="AC43" s="423"/>
      <c r="AD43" s="423"/>
      <c r="AE43" s="423"/>
      <c r="AF43" s="423"/>
      <c r="AG43" s="423"/>
      <c r="AH43" s="423"/>
      <c r="AI43" s="423"/>
      <c r="AJ43" s="423"/>
      <c r="AK43" s="402"/>
      <c r="AL43" s="396"/>
    </row>
    <row r="44" spans="1:38" ht="12" customHeight="1" x14ac:dyDescent="0.2">
      <c r="A44" s="2520"/>
      <c r="B44" s="804">
        <f>B33+2</f>
        <v>8</v>
      </c>
      <c r="C44" s="6501"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502"/>
      <c r="E44" s="6502"/>
      <c r="F44" s="6502"/>
      <c r="G44" s="6503"/>
      <c r="H44" s="406" t="s">
        <v>1325</v>
      </c>
      <c r="I44" s="407">
        <f>B44</f>
        <v>8</v>
      </c>
      <c r="J44" s="6486" t="s">
        <v>6236</v>
      </c>
      <c r="K44" s="6486"/>
      <c r="L44" s="6486"/>
      <c r="M44" s="6471" t="e">
        <f>IF(C44=0,"",VLOOKUP(C44,'Tablas Magia'!$D$6:$Z$680,2,FALSE))</f>
        <v>#N/A</v>
      </c>
      <c r="N44" s="6471"/>
      <c r="O44" s="1718"/>
      <c r="P44" s="6492" t="str">
        <f>IFERROR(IF(M44="Libre Acceso","Aprendido",IF(IFERROR(VLOOKUP(M44,Místicos!$C$15:$H$25,6,0)&gt;=I44,FALSE),"Aprendido",IF(IFERROR(VLOOKUP(M44,Místicos!$E$15:$H$25,4,0)&gt;=I44,FALSE),"Aprendido",""))),"")</f>
        <v/>
      </c>
      <c r="Q44" s="6493"/>
      <c r="R44" s="402"/>
      <c r="S44" s="396"/>
      <c r="T44" s="396"/>
      <c r="U44" s="804">
        <f>U33+2</f>
        <v>18</v>
      </c>
      <c r="V44" s="6501"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507"/>
      <c r="X44" s="6507"/>
      <c r="Y44" s="6507"/>
      <c r="Z44" s="6507"/>
      <c r="AA44" s="406" t="s">
        <v>1325</v>
      </c>
      <c r="AB44" s="407">
        <f>U44</f>
        <v>18</v>
      </c>
      <c r="AC44" s="6486" t="s">
        <v>6236</v>
      </c>
      <c r="AD44" s="6486"/>
      <c r="AE44" s="6486"/>
      <c r="AF44" s="6471" t="e">
        <f>IF(V44=0,"",VLOOKUP(V44,'Tablas Magia'!$D$6:$Z$680,2,FALSE))</f>
        <v>#N/A</v>
      </c>
      <c r="AG44" s="6471"/>
      <c r="AH44" s="1718"/>
      <c r="AI44" s="6492" t="str">
        <f>IFERROR(IF(AF44="Libre Acceso","Aprendido",IF(IFERROR(VLOOKUP(AF44,Místicos!$C$15:$H$25,6,0)&gt;=AB44,FALSE),"Aprendido",IF(IFERROR(VLOOKUP(AF44,Místicos!$E$15:$H$25,4,0)&gt;=AB44,FALSE),"Aprendido",""))),"")</f>
        <v/>
      </c>
      <c r="AJ44" s="6493"/>
      <c r="AK44" s="402"/>
      <c r="AL44" s="396"/>
    </row>
    <row r="45" spans="1:38" ht="12" customHeight="1" x14ac:dyDescent="0.2">
      <c r="A45" s="2520"/>
      <c r="B45" s="804"/>
      <c r="C45" s="6473" t="s">
        <v>6237</v>
      </c>
      <c r="D45" s="6487"/>
      <c r="E45" s="2502" t="s">
        <v>6238</v>
      </c>
      <c r="F45" s="2502" t="s">
        <v>1509</v>
      </c>
      <c r="G45" s="2502" t="s">
        <v>2828</v>
      </c>
      <c r="H45" s="2503" t="s">
        <v>1836</v>
      </c>
      <c r="I45" s="6495" t="e">
        <f>IF(C44=0,"",VLOOKUP(C44,'Tablas Magia'!$D$6:$Z$680,5,FALSE))</f>
        <v>#N/A</v>
      </c>
      <c r="J45" s="6495"/>
      <c r="K45" s="6498" t="s">
        <v>6239</v>
      </c>
      <c r="L45" s="6498"/>
      <c r="M45" s="6495" t="e">
        <f>IF(C44=0,"",VLOOKUP(C44,'Tablas Magia'!$D$6:$Z$680,6,FALSE))</f>
        <v>#N/A</v>
      </c>
      <c r="N45" s="6495"/>
      <c r="O45" s="6496" t="s">
        <v>6240</v>
      </c>
      <c r="P45" s="6496"/>
      <c r="Q45" s="2504" t="e">
        <f>IF(C44=0,"",VLOOKUP(C44,'Tablas Magia'!$D$6:$Z$680,4,FALSE))</f>
        <v>#N/A</v>
      </c>
      <c r="R45" s="402"/>
      <c r="S45" s="396"/>
      <c r="T45" s="396"/>
      <c r="U45" s="804"/>
      <c r="V45" s="6473" t="s">
        <v>6237</v>
      </c>
      <c r="W45" s="6504"/>
      <c r="X45" s="1727" t="s">
        <v>6238</v>
      </c>
      <c r="Y45" s="1727" t="s">
        <v>1509</v>
      </c>
      <c r="Z45" s="1727" t="s">
        <v>2828</v>
      </c>
      <c r="AA45" s="1728" t="s">
        <v>1836</v>
      </c>
      <c r="AB45" s="6491" t="e">
        <f>IF(V44=0,"",VLOOKUP(V44,'Tablas Magia'!$D$6:$Z$680,5,FALSE))</f>
        <v>#N/A</v>
      </c>
      <c r="AC45" s="6491"/>
      <c r="AD45" s="6505" t="s">
        <v>6239</v>
      </c>
      <c r="AE45" s="6505"/>
      <c r="AF45" s="6491" t="e">
        <f>IF(V44=0,"",VLOOKUP(V44,'Tablas Magia'!$D$6:$Z$680,6,FALSE))</f>
        <v>#N/A</v>
      </c>
      <c r="AG45" s="6491"/>
      <c r="AH45" s="6506" t="s">
        <v>6240</v>
      </c>
      <c r="AI45" s="6506"/>
      <c r="AJ45" s="1729" t="e">
        <f>IF(V44=0,"",VLOOKUP(V44,'Tablas Magia'!$D$6:$Z$680,4,FALSE))</f>
        <v>#N/A</v>
      </c>
      <c r="AK45" s="402"/>
      <c r="AL45" s="396"/>
    </row>
    <row r="46" spans="1:38" ht="12" customHeight="1" x14ac:dyDescent="0.2">
      <c r="A46" s="2520"/>
      <c r="B46" s="804"/>
      <c r="C46" s="6499" t="s">
        <v>1365</v>
      </c>
      <c r="D46" s="6500"/>
      <c r="E46" s="2505" t="e">
        <f>IF(C44=0,"",VLOOKUP(C44,'Tablas Magia'!$D$6:$Z$680,7,FALSE))</f>
        <v>#N/A</v>
      </c>
      <c r="F46" s="2505" t="e">
        <f>IF(C44=0,"",VLOOKUP(C44,'Tablas Magia'!$D$6:$Z$680,11,FALSE))</f>
        <v>#N/A</v>
      </c>
      <c r="G46" s="412" t="e">
        <f>IF(C44=0,"",VLOOKUP(C44,'Tablas Magia'!$D$6:$Z$680,15,FALSE))</f>
        <v>#N/A</v>
      </c>
      <c r="H46" s="6481" t="e">
        <f>IF(C44=0,"",VLOOKUP(C44,'Tablas Magia'!$D$6:$Z$680,19,FALSE))</f>
        <v>#N/A</v>
      </c>
      <c r="I46" s="6482"/>
      <c r="J46" s="6482"/>
      <c r="K46" s="6482"/>
      <c r="L46" s="6482"/>
      <c r="M46" s="6482"/>
      <c r="N46" s="6482"/>
      <c r="O46" s="6482"/>
      <c r="P46" s="6482"/>
      <c r="Q46" s="6483"/>
      <c r="R46" s="402"/>
      <c r="S46" s="396"/>
      <c r="T46" s="396"/>
      <c r="U46" s="804"/>
      <c r="V46" s="6449" t="s">
        <v>1365</v>
      </c>
      <c r="W46" s="6450"/>
      <c r="X46" s="411" t="e">
        <f>IF(V44=0,"",VLOOKUP(V44,'Tablas Magia'!$D$6:$Z$680,7,FALSE))</f>
        <v>#N/A</v>
      </c>
      <c r="Y46" s="411" t="e">
        <f>IF(V44=0,"",VLOOKUP(V44,'Tablas Magia'!$D$6:$Z$680,11,FALSE))</f>
        <v>#N/A</v>
      </c>
      <c r="Z46" s="412" t="e">
        <f>IF(V44=0,"",VLOOKUP(V44,'Tablas Magia'!$D$6:$Z$680,15,FALSE))</f>
        <v>#N/A</v>
      </c>
      <c r="AA46" s="6451" t="e">
        <f>IF(V44=0,"",VLOOKUP(V44,'Tablas Magia'!$D$6:$Z$680,19,FALSE))</f>
        <v>#N/A</v>
      </c>
      <c r="AB46" s="6452"/>
      <c r="AC46" s="6452"/>
      <c r="AD46" s="6452"/>
      <c r="AE46" s="6452"/>
      <c r="AF46" s="6452"/>
      <c r="AG46" s="6452"/>
      <c r="AH46" s="6452"/>
      <c r="AI46" s="6452"/>
      <c r="AJ46" s="6453"/>
      <c r="AK46" s="402"/>
      <c r="AL46" s="396"/>
    </row>
    <row r="47" spans="1:38" ht="12" customHeight="1" x14ac:dyDescent="0.2">
      <c r="A47" s="2520"/>
      <c r="B47" s="804"/>
      <c r="C47" s="6444" t="s">
        <v>3197</v>
      </c>
      <c r="D47" s="6445"/>
      <c r="E47" s="2506" t="e">
        <f>IF(C44=0,"",VLOOKUP(C44,'Tablas Magia'!$D$6:$Z$680,8,FALSE))</f>
        <v>#N/A</v>
      </c>
      <c r="F47" s="2506" t="e">
        <f>IF(C44=0,"",VLOOKUP(C44,'Tablas Magia'!$D$6:$Z$680,12,FALSE))</f>
        <v>#N/A</v>
      </c>
      <c r="G47" s="414" t="e">
        <f>IF(C44=0,"",VLOOKUP(C44,'Tablas Magia'!$D$6:$Z$680,16,FALSE))</f>
        <v>#N/A</v>
      </c>
      <c r="H47" s="6446" t="e">
        <f>IF(C44=0,"",VLOOKUP(C44,'Tablas Magia'!$D$6:$Z$680,20,FALSE))</f>
        <v>#N/A</v>
      </c>
      <c r="I47" s="6484"/>
      <c r="J47" s="6484"/>
      <c r="K47" s="6484"/>
      <c r="L47" s="6484"/>
      <c r="M47" s="6484"/>
      <c r="N47" s="6484"/>
      <c r="O47" s="6484"/>
      <c r="P47" s="6484"/>
      <c r="Q47" s="6448"/>
      <c r="R47" s="402"/>
      <c r="S47" s="396"/>
      <c r="T47" s="396"/>
      <c r="U47" s="804"/>
      <c r="V47" s="6444" t="s">
        <v>3197</v>
      </c>
      <c r="W47" s="6445"/>
      <c r="X47" s="413" t="e">
        <f>IF(V44=0,"",VLOOKUP(V44,'Tablas Magia'!$D$6:$Z$680,8,FALSE))</f>
        <v>#N/A</v>
      </c>
      <c r="Y47" s="413" t="e">
        <f>IF(V44=0,"",VLOOKUP(V44,'Tablas Magia'!$D$6:$Z$680,12,FALSE))</f>
        <v>#N/A</v>
      </c>
      <c r="Z47" s="414" t="e">
        <f>IF(V44=0,"",VLOOKUP(V44,'Tablas Magia'!$D$6:$Z$680,16,FALSE))</f>
        <v>#N/A</v>
      </c>
      <c r="AA47" s="6446" t="e">
        <f>IF(V44=0,"",VLOOKUP(V44,'Tablas Magia'!$D$6:$Z$680,20,FALSE))</f>
        <v>#N/A</v>
      </c>
      <c r="AB47" s="6447"/>
      <c r="AC47" s="6447"/>
      <c r="AD47" s="6447"/>
      <c r="AE47" s="6447"/>
      <c r="AF47" s="6447"/>
      <c r="AG47" s="6447"/>
      <c r="AH47" s="6447"/>
      <c r="AI47" s="6447"/>
      <c r="AJ47" s="6448"/>
      <c r="AK47" s="402"/>
      <c r="AL47" s="396"/>
    </row>
    <row r="48" spans="1:38" ht="12" customHeight="1" x14ac:dyDescent="0.2">
      <c r="A48" s="2520"/>
      <c r="B48" s="804"/>
      <c r="C48" s="6449" t="s">
        <v>3198</v>
      </c>
      <c r="D48" s="6450"/>
      <c r="E48" s="2505" t="e">
        <f>IF(C44=0,"",VLOOKUP(C44,'Tablas Magia'!$D$6:$Z$680,9,FALSE))</f>
        <v>#N/A</v>
      </c>
      <c r="F48" s="2505" t="e">
        <f>IF(C44=0,"",VLOOKUP(C44,'Tablas Magia'!$D$6:$Z$680,13,FALSE))</f>
        <v>#N/A</v>
      </c>
      <c r="G48" s="412" t="e">
        <f>IF(C44=0,"",VLOOKUP(C44,'Tablas Magia'!$D$6:$Z$680,17,FALSE))</f>
        <v>#N/A</v>
      </c>
      <c r="H48" s="6451" t="e">
        <f>IF(C44=0,"",VLOOKUP(C44,'Tablas Magia'!$D$6:$Z$680,21,FALSE))</f>
        <v>#N/A</v>
      </c>
      <c r="I48" s="6494"/>
      <c r="J48" s="6494"/>
      <c r="K48" s="6494"/>
      <c r="L48" s="6494"/>
      <c r="M48" s="6494"/>
      <c r="N48" s="6494"/>
      <c r="O48" s="6494"/>
      <c r="P48" s="6494"/>
      <c r="Q48" s="6453"/>
      <c r="R48" s="402"/>
      <c r="S48" s="396"/>
      <c r="T48" s="396"/>
      <c r="U48" s="804"/>
      <c r="V48" s="6449" t="s">
        <v>3198</v>
      </c>
      <c r="W48" s="6450"/>
      <c r="X48" s="411" t="e">
        <f>IF(V44=0,"",VLOOKUP(V44,'Tablas Magia'!$D$6:$Z$680,9,FALSE))</f>
        <v>#N/A</v>
      </c>
      <c r="Y48" s="411" t="e">
        <f>IF(V44=0,"",VLOOKUP(V44,'Tablas Magia'!$D$6:$Z$680,13,FALSE))</f>
        <v>#N/A</v>
      </c>
      <c r="Z48" s="412" t="e">
        <f>IF(V44=0,"",VLOOKUP(V44,'Tablas Magia'!$D$6:$Z$680,17,FALSE))</f>
        <v>#N/A</v>
      </c>
      <c r="AA48" s="6451" t="e">
        <f>IF(V44=0,"",VLOOKUP(V44,'Tablas Magia'!$D$6:$Z$680,21,FALSE))</f>
        <v>#N/A</v>
      </c>
      <c r="AB48" s="6452"/>
      <c r="AC48" s="6452"/>
      <c r="AD48" s="6452"/>
      <c r="AE48" s="6452"/>
      <c r="AF48" s="6452"/>
      <c r="AG48" s="6452"/>
      <c r="AH48" s="6452"/>
      <c r="AI48" s="6452"/>
      <c r="AJ48" s="6453"/>
      <c r="AK48" s="402"/>
      <c r="AL48" s="396"/>
    </row>
    <row r="49" spans="1:38" ht="12" customHeight="1" thickBot="1" x14ac:dyDescent="0.25">
      <c r="A49" s="2520"/>
      <c r="B49" s="804"/>
      <c r="C49" s="6454" t="s">
        <v>3199</v>
      </c>
      <c r="D49" s="6455"/>
      <c r="E49" s="415" t="e">
        <f>IF(C44=0,"",VLOOKUP(C44,'Tablas Magia'!$D$6:$Z$680,10,FALSE))</f>
        <v>#N/A</v>
      </c>
      <c r="F49" s="415" t="e">
        <f>IF(C44=0,"",VLOOKUP(C44,'Tablas Magia'!$D$6:$Z$680,14,FALSE))</f>
        <v>#N/A</v>
      </c>
      <c r="G49" s="416" t="e">
        <f>IF(C44=0,"",VLOOKUP(C44,'Tablas Magia'!$D$6:$Z$680,18,FALSE))</f>
        <v>#N/A</v>
      </c>
      <c r="H49" s="6456" t="e">
        <f>IF(C44=0,"",VLOOKUP(C44,'Tablas Magia'!$D$6:$Z$680,22,FALSE))</f>
        <v>#N/A</v>
      </c>
      <c r="I49" s="6457"/>
      <c r="J49" s="6457"/>
      <c r="K49" s="6457"/>
      <c r="L49" s="6457"/>
      <c r="M49" s="6457"/>
      <c r="N49" s="6457"/>
      <c r="O49" s="6457"/>
      <c r="P49" s="6457"/>
      <c r="Q49" s="6458"/>
      <c r="R49" s="402"/>
      <c r="S49" s="396"/>
      <c r="T49" s="396"/>
      <c r="U49" s="804"/>
      <c r="V49" s="6454" t="s">
        <v>3199</v>
      </c>
      <c r="W49" s="6455"/>
      <c r="X49" s="415" t="e">
        <f>IF(V44=0,"",VLOOKUP(V44,'Tablas Magia'!$D$6:$Z$680,10,FALSE))</f>
        <v>#N/A</v>
      </c>
      <c r="Y49" s="415" t="e">
        <f>IF(V44=0,"",VLOOKUP(V44,'Tablas Magia'!$D$6:$Z$680,14,FALSE))</f>
        <v>#N/A</v>
      </c>
      <c r="Z49" s="416" t="e">
        <f>IF(V44=0,"",VLOOKUP(V44,'Tablas Magia'!$D$6:$Z$680,18,FALSE))</f>
        <v>#N/A</v>
      </c>
      <c r="AA49" s="6456" t="e">
        <f>IF(V44=0,"",VLOOKUP(V44,'Tablas Magia'!$D$6:$Z$680,22,FALSE))</f>
        <v>#N/A</v>
      </c>
      <c r="AB49" s="6457"/>
      <c r="AC49" s="6457"/>
      <c r="AD49" s="6457"/>
      <c r="AE49" s="6457"/>
      <c r="AF49" s="6457"/>
      <c r="AG49" s="6457"/>
      <c r="AH49" s="6457"/>
      <c r="AI49" s="6457"/>
      <c r="AJ49" s="6458"/>
      <c r="AK49" s="402"/>
      <c r="AL49" s="396"/>
    </row>
    <row r="50" spans="1:38" ht="12" customHeight="1" x14ac:dyDescent="0.2">
      <c r="A50" s="2520"/>
      <c r="B50" s="804"/>
      <c r="C50" s="6459" t="e">
        <f>IF(C44=0,"",VLOOKUP(C44,'Tablas Magia'!$D$6:$Z$680,23,FALSE))</f>
        <v>#N/A</v>
      </c>
      <c r="D50" s="6460"/>
      <c r="E50" s="6460"/>
      <c r="F50" s="6460"/>
      <c r="G50" s="6460"/>
      <c r="H50" s="6460"/>
      <c r="I50" s="6460"/>
      <c r="J50" s="6460"/>
      <c r="K50" s="6460"/>
      <c r="L50" s="6460"/>
      <c r="M50" s="6460"/>
      <c r="N50" s="6460"/>
      <c r="O50" s="6460"/>
      <c r="P50" s="6460"/>
      <c r="Q50" s="6461"/>
      <c r="R50" s="402"/>
      <c r="S50" s="396"/>
      <c r="T50" s="396"/>
      <c r="U50" s="804"/>
      <c r="V50" s="6459" t="e">
        <f>IF(V44=0,"",VLOOKUP(V44,'Tablas Magia'!$D$6:$Z$680,23,FALSE))</f>
        <v>#N/A</v>
      </c>
      <c r="W50" s="6460"/>
      <c r="X50" s="6460"/>
      <c r="Y50" s="6460"/>
      <c r="Z50" s="6460"/>
      <c r="AA50" s="6460"/>
      <c r="AB50" s="6460"/>
      <c r="AC50" s="6460"/>
      <c r="AD50" s="6460"/>
      <c r="AE50" s="6460"/>
      <c r="AF50" s="6460"/>
      <c r="AG50" s="6460"/>
      <c r="AH50" s="6460"/>
      <c r="AI50" s="6460"/>
      <c r="AJ50" s="6461"/>
      <c r="AK50" s="402"/>
      <c r="AL50" s="396"/>
    </row>
    <row r="51" spans="1:38" ht="12" customHeight="1" x14ac:dyDescent="0.2">
      <c r="A51" s="2520"/>
      <c r="B51" s="804"/>
      <c r="C51" s="6462"/>
      <c r="D51" s="6485"/>
      <c r="E51" s="6485"/>
      <c r="F51" s="6485"/>
      <c r="G51" s="6485"/>
      <c r="H51" s="6485"/>
      <c r="I51" s="6485"/>
      <c r="J51" s="6485"/>
      <c r="K51" s="6485"/>
      <c r="L51" s="6485"/>
      <c r="M51" s="6485"/>
      <c r="N51" s="6485"/>
      <c r="O51" s="6485"/>
      <c r="P51" s="6485"/>
      <c r="Q51" s="6464"/>
      <c r="R51" s="402"/>
      <c r="S51" s="396"/>
      <c r="T51" s="396"/>
      <c r="U51" s="804"/>
      <c r="V51" s="6462"/>
      <c r="W51" s="6463"/>
      <c r="X51" s="6463"/>
      <c r="Y51" s="6463"/>
      <c r="Z51" s="6463"/>
      <c r="AA51" s="6463"/>
      <c r="AB51" s="6463"/>
      <c r="AC51" s="6463"/>
      <c r="AD51" s="6463"/>
      <c r="AE51" s="6463"/>
      <c r="AF51" s="6463"/>
      <c r="AG51" s="6463"/>
      <c r="AH51" s="6463"/>
      <c r="AI51" s="6463"/>
      <c r="AJ51" s="6464"/>
      <c r="AK51" s="402"/>
      <c r="AL51" s="396"/>
    </row>
    <row r="52" spans="1:38" ht="12" customHeight="1" x14ac:dyDescent="0.2">
      <c r="A52" s="2520"/>
      <c r="B52" s="804"/>
      <c r="C52" s="6462"/>
      <c r="D52" s="6485"/>
      <c r="E52" s="6485"/>
      <c r="F52" s="6485"/>
      <c r="G52" s="6485"/>
      <c r="H52" s="6485"/>
      <c r="I52" s="6485"/>
      <c r="J52" s="6485"/>
      <c r="K52" s="6485"/>
      <c r="L52" s="6485"/>
      <c r="M52" s="6485"/>
      <c r="N52" s="6485"/>
      <c r="O52" s="6485"/>
      <c r="P52" s="6485"/>
      <c r="Q52" s="6464"/>
      <c r="R52" s="402"/>
      <c r="S52" s="396"/>
      <c r="T52" s="396"/>
      <c r="U52" s="804"/>
      <c r="V52" s="6462"/>
      <c r="W52" s="6463"/>
      <c r="X52" s="6463"/>
      <c r="Y52" s="6463"/>
      <c r="Z52" s="6463"/>
      <c r="AA52" s="6463"/>
      <c r="AB52" s="6463"/>
      <c r="AC52" s="6463"/>
      <c r="AD52" s="6463"/>
      <c r="AE52" s="6463"/>
      <c r="AF52" s="6463"/>
      <c r="AG52" s="6463"/>
      <c r="AH52" s="6463"/>
      <c r="AI52" s="6463"/>
      <c r="AJ52" s="6464"/>
      <c r="AK52" s="402"/>
      <c r="AL52" s="396"/>
    </row>
    <row r="53" spans="1:38" ht="12" customHeight="1" thickBot="1" x14ac:dyDescent="0.25">
      <c r="A53" s="2520"/>
      <c r="B53" s="804"/>
      <c r="C53" s="6465"/>
      <c r="D53" s="6466"/>
      <c r="E53" s="6466"/>
      <c r="F53" s="6466"/>
      <c r="G53" s="6466"/>
      <c r="H53" s="6466"/>
      <c r="I53" s="6466"/>
      <c r="J53" s="6466"/>
      <c r="K53" s="6466"/>
      <c r="L53" s="6466"/>
      <c r="M53" s="6466"/>
      <c r="N53" s="6466"/>
      <c r="O53" s="6466"/>
      <c r="P53" s="6466"/>
      <c r="Q53" s="6467"/>
      <c r="R53" s="402"/>
      <c r="S53" s="396"/>
      <c r="T53" s="396"/>
      <c r="U53" s="804"/>
      <c r="V53" s="6465"/>
      <c r="W53" s="6466"/>
      <c r="X53" s="6466"/>
      <c r="Y53" s="6466"/>
      <c r="Z53" s="6466"/>
      <c r="AA53" s="6466"/>
      <c r="AB53" s="6466"/>
      <c r="AC53" s="6466"/>
      <c r="AD53" s="6466"/>
      <c r="AE53" s="6466"/>
      <c r="AF53" s="6466"/>
      <c r="AG53" s="6466"/>
      <c r="AH53" s="6466"/>
      <c r="AI53" s="6466"/>
      <c r="AJ53" s="6467"/>
      <c r="AK53" s="402"/>
      <c r="AL53" s="396"/>
    </row>
    <row r="54" spans="1:38" ht="12" customHeight="1" thickBot="1" x14ac:dyDescent="0.25">
      <c r="A54" s="2520"/>
      <c r="B54" s="804"/>
      <c r="C54" s="2514"/>
      <c r="D54" s="2514"/>
      <c r="E54" s="2506"/>
      <c r="F54" s="2506"/>
      <c r="G54" s="2506"/>
      <c r="H54" s="2515"/>
      <c r="I54" s="2515"/>
      <c r="J54" s="2515"/>
      <c r="K54" s="2515"/>
      <c r="L54" s="2515"/>
      <c r="M54" s="2515"/>
      <c r="N54" s="2515"/>
      <c r="O54" s="2515"/>
      <c r="P54" s="2515"/>
      <c r="Q54" s="2515"/>
      <c r="R54" s="402"/>
      <c r="S54" s="396"/>
      <c r="T54" s="396"/>
      <c r="U54" s="804"/>
      <c r="V54" s="422"/>
      <c r="W54" s="422"/>
      <c r="X54" s="413"/>
      <c r="Y54" s="413"/>
      <c r="Z54" s="413"/>
      <c r="AA54" s="423"/>
      <c r="AB54" s="423"/>
      <c r="AC54" s="423"/>
      <c r="AD54" s="423"/>
      <c r="AE54" s="423"/>
      <c r="AF54" s="423"/>
      <c r="AG54" s="423"/>
      <c r="AH54" s="423"/>
      <c r="AI54" s="423"/>
      <c r="AJ54" s="423"/>
      <c r="AK54" s="402"/>
      <c r="AL54" s="396"/>
    </row>
    <row r="55" spans="1:38" ht="12" customHeight="1" x14ac:dyDescent="0.2">
      <c r="A55" s="2520"/>
      <c r="B55" s="804">
        <f>B44+2</f>
        <v>10</v>
      </c>
      <c r="C55" s="6501"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502"/>
      <c r="E55" s="6502"/>
      <c r="F55" s="6502"/>
      <c r="G55" s="6503"/>
      <c r="H55" s="406" t="s">
        <v>1325</v>
      </c>
      <c r="I55" s="407">
        <f>B55</f>
        <v>10</v>
      </c>
      <c r="J55" s="6486" t="s">
        <v>6236</v>
      </c>
      <c r="K55" s="6486"/>
      <c r="L55" s="6486"/>
      <c r="M55" s="6471" t="e">
        <f>IF(C55=0,"",VLOOKUP(C55,'Tablas Magia'!$D$6:$Z$680,2,FALSE))</f>
        <v>#N/A</v>
      </c>
      <c r="N55" s="6471"/>
      <c r="O55" s="1718"/>
      <c r="P55" s="6492" t="str">
        <f>IFERROR(IF(M55="Libre Acceso","Aprendido",IF(IFERROR(VLOOKUP(M55,Místicos!$C$15:$H$25,6,0)&gt;=I55,FALSE),"Aprendido",IF(IFERROR(VLOOKUP(M55,Místicos!$E$15:$H$25,4,0)&gt;=I55,FALSE),"Aprendido",""))),"")</f>
        <v/>
      </c>
      <c r="Q55" s="6493"/>
      <c r="R55" s="402"/>
      <c r="S55" s="396"/>
      <c r="T55" s="396"/>
      <c r="U55" s="804">
        <f>U44+2</f>
        <v>20</v>
      </c>
      <c r="V55" s="6501"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507"/>
      <c r="X55" s="6507"/>
      <c r="Y55" s="6507"/>
      <c r="Z55" s="6507"/>
      <c r="AA55" s="406" t="s">
        <v>1325</v>
      </c>
      <c r="AB55" s="407">
        <f>U55</f>
        <v>20</v>
      </c>
      <c r="AC55" s="6486" t="s">
        <v>6236</v>
      </c>
      <c r="AD55" s="6486"/>
      <c r="AE55" s="6486"/>
      <c r="AF55" s="6471" t="e">
        <f>IF(V55=0,"",VLOOKUP(V55,'Tablas Magia'!$D$6:$Z$680,2,FALSE))</f>
        <v>#N/A</v>
      </c>
      <c r="AG55" s="6471"/>
      <c r="AH55" s="1718"/>
      <c r="AI55" s="6492" t="str">
        <f>IFERROR(IF(AF55="Libre Acceso","Aprendido",IF(IFERROR(VLOOKUP(AF55,Místicos!$C$15:$H$25,6,0)&gt;=AB55,FALSE),"Aprendido",IF(IFERROR(VLOOKUP(AF55,Místicos!$E$15:$H$25,4,0)&gt;=AB55,FALSE),"Aprendido",""))),"")</f>
        <v/>
      </c>
      <c r="AJ55" s="6493"/>
      <c r="AK55" s="402"/>
      <c r="AL55" s="396"/>
    </row>
    <row r="56" spans="1:38" ht="12" customHeight="1" x14ac:dyDescent="0.2">
      <c r="A56" s="2520"/>
      <c r="B56" s="804"/>
      <c r="C56" s="6473" t="s">
        <v>6237</v>
      </c>
      <c r="D56" s="6487"/>
      <c r="E56" s="2502" t="s">
        <v>6238</v>
      </c>
      <c r="F56" s="2502" t="s">
        <v>1509</v>
      </c>
      <c r="G56" s="2502" t="s">
        <v>2828</v>
      </c>
      <c r="H56" s="2503" t="s">
        <v>1836</v>
      </c>
      <c r="I56" s="6495" t="e">
        <f>IF(C55=0,"",VLOOKUP(C55,'Tablas Magia'!$D$6:$Z$680,5,FALSE))</f>
        <v>#N/A</v>
      </c>
      <c r="J56" s="6495"/>
      <c r="K56" s="6498" t="s">
        <v>6239</v>
      </c>
      <c r="L56" s="6498"/>
      <c r="M56" s="6495" t="e">
        <f>IF(C55=0,"",VLOOKUP(C55,'Tablas Magia'!$D$6:$Z$680,6,FALSE))</f>
        <v>#N/A</v>
      </c>
      <c r="N56" s="6495"/>
      <c r="O56" s="6496" t="s">
        <v>6240</v>
      </c>
      <c r="P56" s="6496"/>
      <c r="Q56" s="2504" t="e">
        <f>IF(C55=0,"",VLOOKUP(C55,'Tablas Magia'!$D$6:$Z$680,4,FALSE))</f>
        <v>#N/A</v>
      </c>
      <c r="R56" s="402"/>
      <c r="S56" s="396"/>
      <c r="T56" s="396"/>
      <c r="U56" s="804"/>
      <c r="V56" s="6473" t="s">
        <v>6237</v>
      </c>
      <c r="W56" s="6504"/>
      <c r="X56" s="1727" t="s">
        <v>6238</v>
      </c>
      <c r="Y56" s="1727" t="s">
        <v>1509</v>
      </c>
      <c r="Z56" s="1727" t="s">
        <v>2828</v>
      </c>
      <c r="AA56" s="1728" t="s">
        <v>1836</v>
      </c>
      <c r="AB56" s="6491" t="e">
        <f>IF(V55=0,"",VLOOKUP(V55,'Tablas Magia'!$D$6:$Z$680,5,FALSE))</f>
        <v>#N/A</v>
      </c>
      <c r="AC56" s="6491"/>
      <c r="AD56" s="6505" t="s">
        <v>6239</v>
      </c>
      <c r="AE56" s="6505"/>
      <c r="AF56" s="6491" t="e">
        <f>IF(V55=0,"",VLOOKUP(V55,'Tablas Magia'!$D$6:$Z$680,6,FALSE))</f>
        <v>#N/A</v>
      </c>
      <c r="AG56" s="6491"/>
      <c r="AH56" s="6506" t="s">
        <v>6240</v>
      </c>
      <c r="AI56" s="6506"/>
      <c r="AJ56" s="1729" t="e">
        <f>IF(V55=0,"",VLOOKUP(V55,'Tablas Magia'!$D$6:$Z$680,4,FALSE))</f>
        <v>#N/A</v>
      </c>
      <c r="AK56" s="402"/>
      <c r="AL56" s="396"/>
    </row>
    <row r="57" spans="1:38" ht="12" customHeight="1" x14ac:dyDescent="0.2">
      <c r="A57" s="2520"/>
      <c r="B57" s="804"/>
      <c r="C57" s="6499" t="s">
        <v>1365</v>
      </c>
      <c r="D57" s="6500"/>
      <c r="E57" s="2505" t="e">
        <f>IF(C55=0,"",VLOOKUP(C55,'Tablas Magia'!$D$6:$Z$680,7,FALSE))</f>
        <v>#N/A</v>
      </c>
      <c r="F57" s="2505" t="e">
        <f>IF(C55=0,"",VLOOKUP(C55,'Tablas Magia'!$D$6:$Z$680,11,FALSE))</f>
        <v>#N/A</v>
      </c>
      <c r="G57" s="412" t="e">
        <f>IF(C55=0,"",VLOOKUP(C55,'Tablas Magia'!$D$6:$Z$680,15,FALSE))</f>
        <v>#N/A</v>
      </c>
      <c r="H57" s="6481" t="e">
        <f>IF(C55=0,"",VLOOKUP(C55,'Tablas Magia'!$D$6:$Z$680,19,FALSE))</f>
        <v>#N/A</v>
      </c>
      <c r="I57" s="6482"/>
      <c r="J57" s="6482"/>
      <c r="K57" s="6482"/>
      <c r="L57" s="6482"/>
      <c r="M57" s="6482"/>
      <c r="N57" s="6482"/>
      <c r="O57" s="6482"/>
      <c r="P57" s="6482"/>
      <c r="Q57" s="6483"/>
      <c r="R57" s="402"/>
      <c r="S57" s="396"/>
      <c r="T57" s="396"/>
      <c r="U57" s="804"/>
      <c r="V57" s="6449" t="s">
        <v>1365</v>
      </c>
      <c r="W57" s="6450"/>
      <c r="X57" s="411" t="e">
        <f>IF(V55=0,"",VLOOKUP(V55,'Tablas Magia'!$D$6:$Z$680,7,FALSE))</f>
        <v>#N/A</v>
      </c>
      <c r="Y57" s="411" t="e">
        <f>IF(V55=0,"",VLOOKUP(V55,'Tablas Magia'!$D$6:$Z$680,11,FALSE))</f>
        <v>#N/A</v>
      </c>
      <c r="Z57" s="412" t="e">
        <f>IF(V55=0,"",VLOOKUP(V55,'Tablas Magia'!$D$6:$Z$680,15,FALSE))</f>
        <v>#N/A</v>
      </c>
      <c r="AA57" s="6451" t="e">
        <f>IF(V55=0,"",VLOOKUP(V55,'Tablas Magia'!$D$6:$Z$680,19,FALSE))</f>
        <v>#N/A</v>
      </c>
      <c r="AB57" s="6452"/>
      <c r="AC57" s="6452"/>
      <c r="AD57" s="6452"/>
      <c r="AE57" s="6452"/>
      <c r="AF57" s="6452"/>
      <c r="AG57" s="6452"/>
      <c r="AH57" s="6452"/>
      <c r="AI57" s="6452"/>
      <c r="AJ57" s="6453"/>
      <c r="AK57" s="402"/>
      <c r="AL57" s="396"/>
    </row>
    <row r="58" spans="1:38" ht="12" customHeight="1" x14ac:dyDescent="0.2">
      <c r="A58" s="2520"/>
      <c r="B58" s="804"/>
      <c r="C58" s="6444" t="s">
        <v>3197</v>
      </c>
      <c r="D58" s="6445"/>
      <c r="E58" s="2506" t="e">
        <f>IF(C55=0,"",VLOOKUP(C55,'Tablas Magia'!$D$6:$Z$680,8,FALSE))</f>
        <v>#N/A</v>
      </c>
      <c r="F58" s="2506" t="e">
        <f>IF(C55=0,"",VLOOKUP(C55,'Tablas Magia'!$D$6:$Z$680,12,FALSE))</f>
        <v>#N/A</v>
      </c>
      <c r="G58" s="414" t="e">
        <f>IF(C55=0,"",VLOOKUP(C55,'Tablas Magia'!$D$6:$Z$680,16,FALSE))</f>
        <v>#N/A</v>
      </c>
      <c r="H58" s="6446" t="e">
        <f>IF(C55=0,"",VLOOKUP(C55,'Tablas Magia'!$D$6:$Z$680,20,FALSE))</f>
        <v>#N/A</v>
      </c>
      <c r="I58" s="6484"/>
      <c r="J58" s="6484"/>
      <c r="K58" s="6484"/>
      <c r="L58" s="6484"/>
      <c r="M58" s="6484"/>
      <c r="N58" s="6484"/>
      <c r="O58" s="6484"/>
      <c r="P58" s="6484"/>
      <c r="Q58" s="6448"/>
      <c r="R58" s="402"/>
      <c r="S58" s="396"/>
      <c r="T58" s="396"/>
      <c r="U58" s="804"/>
      <c r="V58" s="6444" t="s">
        <v>3197</v>
      </c>
      <c r="W58" s="6445"/>
      <c r="X58" s="413" t="e">
        <f>IF(V55=0,"",VLOOKUP(V55,'Tablas Magia'!$D$6:$Z$680,8,FALSE))</f>
        <v>#N/A</v>
      </c>
      <c r="Y58" s="413" t="e">
        <f>IF(V55=0,"",VLOOKUP(V55,'Tablas Magia'!$D$6:$Z$680,12,FALSE))</f>
        <v>#N/A</v>
      </c>
      <c r="Z58" s="414" t="e">
        <f>IF(V55=0,"",VLOOKUP(V55,'Tablas Magia'!$D$6:$Z$680,16,FALSE))</f>
        <v>#N/A</v>
      </c>
      <c r="AA58" s="6446" t="e">
        <f>IF(V55=0,"",VLOOKUP(V55,'Tablas Magia'!$D$6:$Z$680,20,FALSE))</f>
        <v>#N/A</v>
      </c>
      <c r="AB58" s="6447"/>
      <c r="AC58" s="6447"/>
      <c r="AD58" s="6447"/>
      <c r="AE58" s="6447"/>
      <c r="AF58" s="6447"/>
      <c r="AG58" s="6447"/>
      <c r="AH58" s="6447"/>
      <c r="AI58" s="6447"/>
      <c r="AJ58" s="6448"/>
      <c r="AK58" s="402"/>
      <c r="AL58" s="396"/>
    </row>
    <row r="59" spans="1:38" ht="12" customHeight="1" x14ac:dyDescent="0.2">
      <c r="A59" s="2520"/>
      <c r="B59" s="804"/>
      <c r="C59" s="6449" t="s">
        <v>3198</v>
      </c>
      <c r="D59" s="6450"/>
      <c r="E59" s="2505" t="e">
        <f>IF(C55=0,"",VLOOKUP(C55,'Tablas Magia'!$D$6:$Z$680,9,FALSE))</f>
        <v>#N/A</v>
      </c>
      <c r="F59" s="2505" t="e">
        <f>IF(C55=0,"",VLOOKUP(C55,'Tablas Magia'!$D$6:$Z$680,13,FALSE))</f>
        <v>#N/A</v>
      </c>
      <c r="G59" s="412" t="e">
        <f>IF(C55=0,"",VLOOKUP(C55,'Tablas Magia'!$D$6:$Z$680,17,FALSE))</f>
        <v>#N/A</v>
      </c>
      <c r="H59" s="6451" t="e">
        <f>IF(C55=0,"",VLOOKUP(C55,'Tablas Magia'!$D$6:$Z$680,21,FALSE))</f>
        <v>#N/A</v>
      </c>
      <c r="I59" s="6494"/>
      <c r="J59" s="6494"/>
      <c r="K59" s="6494"/>
      <c r="L59" s="6494"/>
      <c r="M59" s="6494"/>
      <c r="N59" s="6494"/>
      <c r="O59" s="6494"/>
      <c r="P59" s="6494"/>
      <c r="Q59" s="6453"/>
      <c r="R59" s="402"/>
      <c r="S59" s="396"/>
      <c r="T59" s="396"/>
      <c r="U59" s="804"/>
      <c r="V59" s="6449" t="s">
        <v>3198</v>
      </c>
      <c r="W59" s="6450"/>
      <c r="X59" s="411" t="e">
        <f>IF(V55=0,"",VLOOKUP(V55,'Tablas Magia'!$D$6:$Z$680,9,FALSE))</f>
        <v>#N/A</v>
      </c>
      <c r="Y59" s="411" t="e">
        <f>IF(V55=0,"",VLOOKUP(V55,'Tablas Magia'!$D$6:$Z$680,13,FALSE))</f>
        <v>#N/A</v>
      </c>
      <c r="Z59" s="412" t="e">
        <f>IF(V55=0,"",VLOOKUP(V55,'Tablas Magia'!$D$6:$Z$680,17,FALSE))</f>
        <v>#N/A</v>
      </c>
      <c r="AA59" s="6451" t="e">
        <f>IF(V55=0,"",VLOOKUP(V55,'Tablas Magia'!$D$6:$Z$680,21,FALSE))</f>
        <v>#N/A</v>
      </c>
      <c r="AB59" s="6452"/>
      <c r="AC59" s="6452"/>
      <c r="AD59" s="6452"/>
      <c r="AE59" s="6452"/>
      <c r="AF59" s="6452"/>
      <c r="AG59" s="6452"/>
      <c r="AH59" s="6452"/>
      <c r="AI59" s="6452"/>
      <c r="AJ59" s="6453"/>
      <c r="AK59" s="402"/>
      <c r="AL59" s="396"/>
    </row>
    <row r="60" spans="1:38" ht="12" customHeight="1" thickBot="1" x14ac:dyDescent="0.25">
      <c r="A60" s="2520"/>
      <c r="B60" s="804"/>
      <c r="C60" s="6454" t="s">
        <v>3199</v>
      </c>
      <c r="D60" s="6455"/>
      <c r="E60" s="415" t="e">
        <f>IF(C55=0,"",VLOOKUP(C55,'Tablas Magia'!$D$6:$Z$680,10,FALSE))</f>
        <v>#N/A</v>
      </c>
      <c r="F60" s="415" t="e">
        <f>IF(C55=0,"",VLOOKUP(C55,'Tablas Magia'!$D$6:$Z$680,14,FALSE))</f>
        <v>#N/A</v>
      </c>
      <c r="G60" s="416" t="e">
        <f>IF(C55=0,"",VLOOKUP(C55,'Tablas Magia'!$D$6:$Z$680,18,FALSE))</f>
        <v>#N/A</v>
      </c>
      <c r="H60" s="6456" t="e">
        <f>IF(C55=0,"",VLOOKUP(C55,'Tablas Magia'!$D$6:$Z$680,22,FALSE))</f>
        <v>#N/A</v>
      </c>
      <c r="I60" s="6457"/>
      <c r="J60" s="6457"/>
      <c r="K60" s="6457"/>
      <c r="L60" s="6457"/>
      <c r="M60" s="6457"/>
      <c r="N60" s="6457"/>
      <c r="O60" s="6457"/>
      <c r="P60" s="6457"/>
      <c r="Q60" s="6458"/>
      <c r="R60" s="402"/>
      <c r="S60" s="396"/>
      <c r="T60" s="396"/>
      <c r="U60" s="804"/>
      <c r="V60" s="6454" t="s">
        <v>3199</v>
      </c>
      <c r="W60" s="6455"/>
      <c r="X60" s="415" t="e">
        <f>IF(V55=0,"",VLOOKUP(V55,'Tablas Magia'!$D$6:$Z$680,10,FALSE))</f>
        <v>#N/A</v>
      </c>
      <c r="Y60" s="415" t="e">
        <f>IF(V55=0,"",VLOOKUP(V55,'Tablas Magia'!$D$6:$Z$680,14,FALSE))</f>
        <v>#N/A</v>
      </c>
      <c r="Z60" s="416" t="e">
        <f>IF(V55=0,"",VLOOKUP(V55,'Tablas Magia'!$D$6:$Z$680,18,FALSE))</f>
        <v>#N/A</v>
      </c>
      <c r="AA60" s="6456" t="e">
        <f>IF(V55=0,"",VLOOKUP(V55,'Tablas Magia'!$D$6:$Z$680,22,FALSE))</f>
        <v>#N/A</v>
      </c>
      <c r="AB60" s="6457"/>
      <c r="AC60" s="6457"/>
      <c r="AD60" s="6457"/>
      <c r="AE60" s="6457"/>
      <c r="AF60" s="6457"/>
      <c r="AG60" s="6457"/>
      <c r="AH60" s="6457"/>
      <c r="AI60" s="6457"/>
      <c r="AJ60" s="6458"/>
      <c r="AK60" s="402"/>
      <c r="AL60" s="396"/>
    </row>
    <row r="61" spans="1:38" ht="12" customHeight="1" x14ac:dyDescent="0.2">
      <c r="A61" s="2520"/>
      <c r="B61" s="804"/>
      <c r="C61" s="6459" t="e">
        <f>IF(C55=0,"",VLOOKUP(C55,'Tablas Magia'!$D$6:$Z$680,23,FALSE))</f>
        <v>#N/A</v>
      </c>
      <c r="D61" s="6460"/>
      <c r="E61" s="6460"/>
      <c r="F61" s="6460"/>
      <c r="G61" s="6460"/>
      <c r="H61" s="6460"/>
      <c r="I61" s="6460"/>
      <c r="J61" s="6460"/>
      <c r="K61" s="6460"/>
      <c r="L61" s="6460"/>
      <c r="M61" s="6460"/>
      <c r="N61" s="6460"/>
      <c r="O61" s="6460"/>
      <c r="P61" s="6460"/>
      <c r="Q61" s="6461"/>
      <c r="R61" s="402"/>
      <c r="S61" s="396"/>
      <c r="T61" s="396"/>
      <c r="U61" s="804"/>
      <c r="V61" s="6459" t="e">
        <f>IF(V55=0,"",VLOOKUP(V55,'Tablas Magia'!$D$6:$Z$680,23,FALSE))</f>
        <v>#N/A</v>
      </c>
      <c r="W61" s="6460"/>
      <c r="X61" s="6460"/>
      <c r="Y61" s="6460"/>
      <c r="Z61" s="6460"/>
      <c r="AA61" s="6460"/>
      <c r="AB61" s="6460"/>
      <c r="AC61" s="6460"/>
      <c r="AD61" s="6460"/>
      <c r="AE61" s="6460"/>
      <c r="AF61" s="6460"/>
      <c r="AG61" s="6460"/>
      <c r="AH61" s="6460"/>
      <c r="AI61" s="6460"/>
      <c r="AJ61" s="6461"/>
      <c r="AK61" s="402"/>
      <c r="AL61" s="396"/>
    </row>
    <row r="62" spans="1:38" ht="12" customHeight="1" x14ac:dyDescent="0.2">
      <c r="A62" s="2520"/>
      <c r="B62" s="804"/>
      <c r="C62" s="6462"/>
      <c r="D62" s="6485"/>
      <c r="E62" s="6485"/>
      <c r="F62" s="6485"/>
      <c r="G62" s="6485"/>
      <c r="H62" s="6485"/>
      <c r="I62" s="6485"/>
      <c r="J62" s="6485"/>
      <c r="K62" s="6485"/>
      <c r="L62" s="6485"/>
      <c r="M62" s="6485"/>
      <c r="N62" s="6485"/>
      <c r="O62" s="6485"/>
      <c r="P62" s="6485"/>
      <c r="Q62" s="6464"/>
      <c r="R62" s="402"/>
      <c r="S62" s="396"/>
      <c r="T62" s="396"/>
      <c r="U62" s="804"/>
      <c r="V62" s="6462"/>
      <c r="W62" s="6463"/>
      <c r="X62" s="6463"/>
      <c r="Y62" s="6463"/>
      <c r="Z62" s="6463"/>
      <c r="AA62" s="6463"/>
      <c r="AB62" s="6463"/>
      <c r="AC62" s="6463"/>
      <c r="AD62" s="6463"/>
      <c r="AE62" s="6463"/>
      <c r="AF62" s="6463"/>
      <c r="AG62" s="6463"/>
      <c r="AH62" s="6463"/>
      <c r="AI62" s="6463"/>
      <c r="AJ62" s="6464"/>
      <c r="AK62" s="402"/>
      <c r="AL62" s="396"/>
    </row>
    <row r="63" spans="1:38" ht="12" customHeight="1" x14ac:dyDescent="0.2">
      <c r="A63" s="2520"/>
      <c r="B63" s="804"/>
      <c r="C63" s="6462"/>
      <c r="D63" s="6485"/>
      <c r="E63" s="6485"/>
      <c r="F63" s="6485"/>
      <c r="G63" s="6485"/>
      <c r="H63" s="6485"/>
      <c r="I63" s="6485"/>
      <c r="J63" s="6485"/>
      <c r="K63" s="6485"/>
      <c r="L63" s="6485"/>
      <c r="M63" s="6485"/>
      <c r="N63" s="6485"/>
      <c r="O63" s="6485"/>
      <c r="P63" s="6485"/>
      <c r="Q63" s="6464"/>
      <c r="R63" s="402"/>
      <c r="S63" s="396"/>
      <c r="T63" s="396"/>
      <c r="U63" s="804"/>
      <c r="V63" s="6462"/>
      <c r="W63" s="6463"/>
      <c r="X63" s="6463"/>
      <c r="Y63" s="6463"/>
      <c r="Z63" s="6463"/>
      <c r="AA63" s="6463"/>
      <c r="AB63" s="6463"/>
      <c r="AC63" s="6463"/>
      <c r="AD63" s="6463"/>
      <c r="AE63" s="6463"/>
      <c r="AF63" s="6463"/>
      <c r="AG63" s="6463"/>
      <c r="AH63" s="6463"/>
      <c r="AI63" s="6463"/>
      <c r="AJ63" s="6464"/>
      <c r="AK63" s="402"/>
      <c r="AL63" s="396"/>
    </row>
    <row r="64" spans="1:38" ht="12" customHeight="1" thickBot="1" x14ac:dyDescent="0.25">
      <c r="A64" s="2520"/>
      <c r="B64" s="804"/>
      <c r="C64" s="6465"/>
      <c r="D64" s="6466"/>
      <c r="E64" s="6466"/>
      <c r="F64" s="6466"/>
      <c r="G64" s="6466"/>
      <c r="H64" s="6466"/>
      <c r="I64" s="6466"/>
      <c r="J64" s="6466"/>
      <c r="K64" s="6466"/>
      <c r="L64" s="6466"/>
      <c r="M64" s="6466"/>
      <c r="N64" s="6466"/>
      <c r="O64" s="6466"/>
      <c r="P64" s="6466"/>
      <c r="Q64" s="6467"/>
      <c r="R64" s="402"/>
      <c r="S64" s="396"/>
      <c r="T64" s="1433"/>
      <c r="U64" s="804"/>
      <c r="V64" s="6465"/>
      <c r="W64" s="6466"/>
      <c r="X64" s="6466"/>
      <c r="Y64" s="6466"/>
      <c r="Z64" s="6466"/>
      <c r="AA64" s="6466"/>
      <c r="AB64" s="6466"/>
      <c r="AC64" s="6466"/>
      <c r="AD64" s="6466"/>
      <c r="AE64" s="6466"/>
      <c r="AF64" s="6466"/>
      <c r="AG64" s="6466"/>
      <c r="AH64" s="6466"/>
      <c r="AI64" s="6466"/>
      <c r="AJ64" s="6467"/>
      <c r="AK64" s="402"/>
      <c r="AL64" s="396"/>
    </row>
    <row r="65" spans="1:38" ht="12" customHeight="1" x14ac:dyDescent="0.2">
      <c r="A65" s="2520"/>
      <c r="B65" s="804"/>
      <c r="C65" s="2526"/>
      <c r="D65" s="2526"/>
      <c r="E65" s="2526"/>
      <c r="F65" s="2526"/>
      <c r="G65" s="2526"/>
      <c r="H65" s="2526"/>
      <c r="I65" s="2526"/>
      <c r="J65" s="2526"/>
      <c r="K65" s="2526"/>
      <c r="L65" s="2526"/>
      <c r="M65" s="2526"/>
      <c r="N65" s="2526"/>
      <c r="O65" s="2526"/>
      <c r="P65" s="2526"/>
      <c r="Q65" s="2526"/>
      <c r="R65" s="402"/>
      <c r="S65" s="2520"/>
      <c r="T65" s="1433"/>
      <c r="U65" s="804"/>
      <c r="V65" s="2526"/>
      <c r="W65" s="2526"/>
      <c r="X65" s="2526"/>
      <c r="Y65" s="2526"/>
      <c r="Z65" s="2526"/>
      <c r="AA65" s="2526"/>
      <c r="AB65" s="2526"/>
      <c r="AC65" s="2526"/>
      <c r="AD65" s="2526"/>
      <c r="AE65" s="2526"/>
      <c r="AF65" s="2526"/>
      <c r="AG65" s="2526"/>
      <c r="AH65" s="2526"/>
      <c r="AI65" s="2526"/>
      <c r="AJ65" s="2526"/>
      <c r="AK65" s="402"/>
      <c r="AL65" s="2520"/>
    </row>
    <row r="66" spans="1:38" ht="12" customHeight="1" thickBot="1" x14ac:dyDescent="0.25">
      <c r="A66" s="2520"/>
      <c r="B66" s="805"/>
      <c r="C66" s="424"/>
      <c r="D66" s="424"/>
      <c r="E66" s="424"/>
      <c r="F66" s="424"/>
      <c r="G66" s="424"/>
      <c r="H66" s="424"/>
      <c r="I66" s="424"/>
      <c r="J66" s="424"/>
      <c r="K66" s="424"/>
      <c r="L66" s="424"/>
      <c r="M66" s="424"/>
      <c r="N66" s="424"/>
      <c r="O66" s="424"/>
      <c r="P66" s="424"/>
      <c r="Q66" s="424"/>
      <c r="R66" s="425"/>
      <c r="S66" s="396"/>
      <c r="T66" s="1433"/>
      <c r="U66" s="805"/>
      <c r="V66" s="424"/>
      <c r="W66" s="424"/>
      <c r="X66" s="424"/>
      <c r="Y66" s="424"/>
      <c r="Z66" s="424"/>
      <c r="AA66" s="424"/>
      <c r="AB66" s="424"/>
      <c r="AC66" s="424"/>
      <c r="AD66" s="424"/>
      <c r="AE66" s="424"/>
      <c r="AF66" s="424"/>
      <c r="AG66" s="424"/>
      <c r="AH66" s="424"/>
      <c r="AI66" s="424"/>
      <c r="AJ66" s="424"/>
      <c r="AK66" s="425"/>
      <c r="AL66" s="396"/>
    </row>
    <row r="67" spans="1:38" ht="12" customHeight="1" x14ac:dyDescent="0.2">
      <c r="A67" s="1715"/>
      <c r="B67" s="2517"/>
      <c r="C67" s="2518"/>
      <c r="D67" s="2518"/>
      <c r="E67" s="2518"/>
      <c r="F67" s="2518"/>
      <c r="G67" s="2518"/>
      <c r="H67" s="2518"/>
      <c r="I67" s="2518"/>
      <c r="J67" s="2518"/>
      <c r="K67" s="2518"/>
      <c r="L67" s="2518"/>
      <c r="M67" s="2518"/>
      <c r="N67" s="2518"/>
      <c r="O67" s="2518"/>
      <c r="P67" s="2518"/>
      <c r="Q67" s="2518"/>
      <c r="R67" s="2518"/>
      <c r="S67" s="1433"/>
      <c r="T67" s="1433"/>
      <c r="U67" s="1434"/>
      <c r="V67" s="1433"/>
      <c r="W67" s="1433"/>
      <c r="X67" s="1433"/>
      <c r="Y67" s="1433"/>
      <c r="Z67" s="1433"/>
      <c r="AA67" s="1433"/>
      <c r="AB67" s="1433"/>
      <c r="AC67" s="1433"/>
      <c r="AD67" s="1433"/>
      <c r="AE67" s="1433"/>
      <c r="AF67" s="1433"/>
      <c r="AG67" s="1433"/>
      <c r="AH67" s="1433"/>
      <c r="AI67" s="1433"/>
      <c r="AJ67" s="1433"/>
      <c r="AK67" s="1433"/>
      <c r="AL67" s="1433"/>
    </row>
    <row r="68" spans="1:38" ht="12" customHeight="1" thickBot="1" x14ac:dyDescent="0.25">
      <c r="A68" s="2520"/>
      <c r="B68" s="2520"/>
      <c r="C68" s="2520"/>
      <c r="D68" s="2520"/>
      <c r="E68" s="2520"/>
      <c r="F68" s="2520"/>
      <c r="G68" s="2520"/>
      <c r="H68" s="2520"/>
      <c r="I68" s="2520"/>
      <c r="J68" s="2520"/>
      <c r="K68" s="2520"/>
      <c r="L68" s="2520"/>
      <c r="M68" s="2520"/>
      <c r="N68" s="2520"/>
      <c r="O68" s="2520"/>
      <c r="P68" s="2520"/>
      <c r="Q68" s="2520"/>
      <c r="R68" s="2520"/>
      <c r="S68" s="2520"/>
      <c r="T68" s="1433"/>
      <c r="U68" s="802"/>
      <c r="V68" s="2481"/>
      <c r="W68" s="2481"/>
      <c r="X68" s="2481"/>
      <c r="Y68" s="2481"/>
      <c r="Z68" s="2481"/>
      <c r="AA68" s="2481"/>
      <c r="AB68" s="2481"/>
      <c r="AC68" s="2481"/>
      <c r="AD68" s="2481"/>
      <c r="AE68" s="2481"/>
      <c r="AF68" s="2481"/>
      <c r="AG68" s="2481"/>
      <c r="AH68" s="2481"/>
      <c r="AI68" s="2481"/>
      <c r="AJ68" s="2481"/>
      <c r="AK68" s="2481"/>
      <c r="AL68" s="2481"/>
    </row>
    <row r="69" spans="1:38" ht="17.25" customHeight="1" thickBot="1" x14ac:dyDescent="0.25">
      <c r="A69" s="1433"/>
      <c r="B69" s="1086"/>
      <c r="C69" s="398"/>
      <c r="D69" s="398"/>
      <c r="E69" s="398"/>
      <c r="F69" s="398"/>
      <c r="G69" s="398"/>
      <c r="H69" s="398"/>
      <c r="I69" s="398"/>
      <c r="J69" s="398"/>
      <c r="K69" s="398"/>
      <c r="L69" s="398"/>
      <c r="M69" s="398"/>
      <c r="N69" s="398"/>
      <c r="O69" s="398"/>
      <c r="P69" s="398"/>
      <c r="Q69" s="398"/>
      <c r="R69" s="399"/>
      <c r="S69" s="1433"/>
      <c r="T69" s="1433"/>
      <c r="U69" s="1086"/>
      <c r="V69" s="398"/>
      <c r="W69" s="398"/>
      <c r="X69" s="398"/>
      <c r="Y69" s="398"/>
      <c r="Z69" s="398"/>
      <c r="AA69" s="398"/>
      <c r="AB69" s="398"/>
      <c r="AC69" s="398"/>
      <c r="AD69" s="398"/>
      <c r="AE69" s="398"/>
      <c r="AF69" s="398"/>
      <c r="AG69" s="398"/>
      <c r="AH69" s="398"/>
      <c r="AI69" s="398"/>
      <c r="AJ69" s="398"/>
      <c r="AK69" s="399"/>
      <c r="AL69" s="1433"/>
    </row>
    <row r="70" spans="1:38" ht="12" customHeight="1" x14ac:dyDescent="0.2">
      <c r="A70" s="1433"/>
      <c r="B70" s="1087"/>
      <c r="C70" s="6438"/>
      <c r="D70" s="6439"/>
      <c r="E70" s="6439"/>
      <c r="F70" s="6439"/>
      <c r="G70" s="6439"/>
      <c r="H70" s="6439"/>
      <c r="I70" s="2482"/>
      <c r="J70" s="2482"/>
      <c r="K70" s="2482"/>
      <c r="L70" s="2482"/>
      <c r="M70" s="2482"/>
      <c r="N70" s="2482"/>
      <c r="O70" s="2482"/>
      <c r="P70" s="2482"/>
      <c r="Q70" s="401"/>
      <c r="R70" s="402"/>
      <c r="S70" s="1433"/>
      <c r="T70" s="1433"/>
      <c r="U70" s="1087"/>
      <c r="V70" s="6438"/>
      <c r="W70" s="6439"/>
      <c r="X70" s="6439"/>
      <c r="Y70" s="6439"/>
      <c r="Z70" s="6439"/>
      <c r="AA70" s="6439"/>
      <c r="AB70" s="2482"/>
      <c r="AC70" s="2482"/>
      <c r="AD70" s="2482"/>
      <c r="AE70" s="2482"/>
      <c r="AF70" s="2482"/>
      <c r="AG70" s="2482"/>
      <c r="AH70" s="2482"/>
      <c r="AI70" s="2482"/>
      <c r="AJ70" s="401"/>
      <c r="AK70" s="402"/>
      <c r="AL70" s="1433"/>
    </row>
    <row r="71" spans="1:38" s="809" customFormat="1" ht="12" customHeight="1" x14ac:dyDescent="0.2">
      <c r="A71" s="1731"/>
      <c r="B71" s="1730"/>
      <c r="C71" s="6440"/>
      <c r="D71" s="6441"/>
      <c r="E71" s="6441"/>
      <c r="F71" s="6441"/>
      <c r="G71" s="6441"/>
      <c r="H71" s="6441"/>
      <c r="I71" s="2495"/>
      <c r="J71" s="6478" t="s">
        <v>10048</v>
      </c>
      <c r="K71" s="6479"/>
      <c r="L71" s="6479"/>
      <c r="M71" s="6479"/>
      <c r="N71" s="6479"/>
      <c r="O71" s="6479"/>
      <c r="P71" s="6479"/>
      <c r="Q71" s="356"/>
      <c r="R71" s="808"/>
      <c r="S71" s="1731"/>
      <c r="T71" s="1731"/>
      <c r="U71" s="1730"/>
      <c r="V71" s="6440"/>
      <c r="W71" s="6441"/>
      <c r="X71" s="6441"/>
      <c r="Y71" s="6441"/>
      <c r="Z71" s="6441"/>
      <c r="AA71" s="6441"/>
      <c r="AB71" s="2483"/>
      <c r="AC71" s="6489" t="s">
        <v>10048</v>
      </c>
      <c r="AD71" s="6490"/>
      <c r="AE71" s="6490"/>
      <c r="AF71" s="6490"/>
      <c r="AG71" s="6490"/>
      <c r="AH71" s="6490"/>
      <c r="AI71" s="6490"/>
      <c r="AJ71" s="356"/>
      <c r="AK71" s="808"/>
      <c r="AL71" s="1731"/>
    </row>
    <row r="72" spans="1:38" ht="12" customHeight="1" x14ac:dyDescent="0.2">
      <c r="A72" s="1433"/>
      <c r="B72" s="1087"/>
      <c r="C72" s="6440"/>
      <c r="D72" s="6441"/>
      <c r="E72" s="6441"/>
      <c r="F72" s="6441"/>
      <c r="G72" s="6441"/>
      <c r="H72" s="6441"/>
      <c r="I72" s="2495"/>
      <c r="J72" s="6479"/>
      <c r="K72" s="6479"/>
      <c r="L72" s="6479"/>
      <c r="M72" s="6479"/>
      <c r="N72" s="6479"/>
      <c r="O72" s="6479"/>
      <c r="P72" s="6479"/>
      <c r="Q72" s="403"/>
      <c r="R72" s="402"/>
      <c r="S72" s="1433"/>
      <c r="T72" s="1433"/>
      <c r="U72" s="1087"/>
      <c r="V72" s="6440"/>
      <c r="W72" s="6441"/>
      <c r="X72" s="6441"/>
      <c r="Y72" s="6441"/>
      <c r="Z72" s="6441"/>
      <c r="AA72" s="6441"/>
      <c r="AB72" s="2483"/>
      <c r="AC72" s="6490"/>
      <c r="AD72" s="6490"/>
      <c r="AE72" s="6490"/>
      <c r="AF72" s="6490"/>
      <c r="AG72" s="6490"/>
      <c r="AH72" s="6490"/>
      <c r="AI72" s="6490"/>
      <c r="AJ72" s="403"/>
      <c r="AK72" s="402"/>
      <c r="AL72" s="1433"/>
    </row>
    <row r="73" spans="1:38" ht="12" customHeight="1" x14ac:dyDescent="0.2">
      <c r="A73" s="1433"/>
      <c r="B73" s="1087"/>
      <c r="C73" s="6440"/>
      <c r="D73" s="6441"/>
      <c r="E73" s="6441"/>
      <c r="F73" s="6441"/>
      <c r="G73" s="6441"/>
      <c r="H73" s="6441"/>
      <c r="I73" s="2496" t="s">
        <v>7044</v>
      </c>
      <c r="J73" s="6480" t="str">
        <f>IF($J$6="","",$J$6)</f>
        <v/>
      </c>
      <c r="K73" s="6480"/>
      <c r="L73" s="6480"/>
      <c r="M73" s="2497"/>
      <c r="N73" s="2497"/>
      <c r="O73" s="2498" t="str">
        <f>$O$6</f>
        <v>Nivel de vía aprendido</v>
      </c>
      <c r="P73" s="2499">
        <f>$P$6</f>
        <v>0</v>
      </c>
      <c r="Q73" s="403"/>
      <c r="R73" s="402"/>
      <c r="S73" s="1433"/>
      <c r="T73" s="1433"/>
      <c r="U73" s="1087"/>
      <c r="V73" s="6440"/>
      <c r="W73" s="6441"/>
      <c r="X73" s="6441"/>
      <c r="Y73" s="6441"/>
      <c r="Z73" s="6441"/>
      <c r="AA73" s="6441"/>
      <c r="AB73" s="2273" t="s">
        <v>7044</v>
      </c>
      <c r="AC73" s="6488" t="str">
        <f>IF($J$6="","",$J$6)</f>
        <v/>
      </c>
      <c r="AD73" s="6488"/>
      <c r="AE73" s="6488"/>
      <c r="AF73" s="2269"/>
      <c r="AG73" s="2269"/>
      <c r="AH73" s="2270" t="str">
        <f>$O$6</f>
        <v>Nivel de vía aprendido</v>
      </c>
      <c r="AI73" s="2271">
        <f>$P$6</f>
        <v>0</v>
      </c>
      <c r="AJ73" s="403"/>
      <c r="AK73" s="402"/>
      <c r="AL73" s="1433"/>
    </row>
    <row r="74" spans="1:38" ht="12" customHeight="1" x14ac:dyDescent="0.2">
      <c r="A74" s="1433"/>
      <c r="B74" s="1087"/>
      <c r="C74" s="6440"/>
      <c r="D74" s="6441"/>
      <c r="E74" s="6441"/>
      <c r="F74" s="6441"/>
      <c r="G74" s="6441"/>
      <c r="H74" s="6441"/>
      <c r="I74" s="2500" t="s">
        <v>7045</v>
      </c>
      <c r="J74" s="6480" t="str">
        <f>IF($J$8="","",$J$8)</f>
        <v/>
      </c>
      <c r="K74" s="6480"/>
      <c r="L74" s="6480"/>
      <c r="M74" s="2497"/>
      <c r="N74" s="2497"/>
      <c r="O74" s="2497"/>
      <c r="P74" s="2497"/>
      <c r="Q74" s="403"/>
      <c r="R74" s="402"/>
      <c r="S74" s="1433"/>
      <c r="T74" s="1433"/>
      <c r="U74" s="1087"/>
      <c r="V74" s="6440"/>
      <c r="W74" s="6441"/>
      <c r="X74" s="6441"/>
      <c r="Y74" s="6441"/>
      <c r="Z74" s="6441"/>
      <c r="AA74" s="6441"/>
      <c r="AB74" s="2274" t="s">
        <v>7045</v>
      </c>
      <c r="AC74" s="6488" t="str">
        <f>IF($J$8="","",$J$8)</f>
        <v/>
      </c>
      <c r="AD74" s="6488"/>
      <c r="AE74" s="6488"/>
      <c r="AF74" s="2269"/>
      <c r="AG74" s="2269"/>
      <c r="AH74" s="2269"/>
      <c r="AI74" s="2269"/>
      <c r="AJ74" s="403"/>
      <c r="AK74" s="402"/>
      <c r="AL74" s="1433"/>
    </row>
    <row r="75" spans="1:38" ht="12" customHeight="1" thickBot="1" x14ac:dyDescent="0.25">
      <c r="A75" s="1433"/>
      <c r="B75" s="1087"/>
      <c r="C75" s="6442"/>
      <c r="D75" s="6443"/>
      <c r="E75" s="6443"/>
      <c r="F75" s="6443"/>
      <c r="G75" s="6443"/>
      <c r="H75" s="6443"/>
      <c r="I75" s="2484"/>
      <c r="J75" s="2484"/>
      <c r="K75" s="2484"/>
      <c r="L75" s="2484"/>
      <c r="M75" s="2484"/>
      <c r="N75" s="2484"/>
      <c r="O75" s="2484"/>
      <c r="P75" s="2484"/>
      <c r="Q75" s="405"/>
      <c r="R75" s="402"/>
      <c r="S75" s="1433"/>
      <c r="T75" s="1433"/>
      <c r="U75" s="1087"/>
      <c r="V75" s="6442"/>
      <c r="W75" s="6443"/>
      <c r="X75" s="6443"/>
      <c r="Y75" s="6443"/>
      <c r="Z75" s="6443"/>
      <c r="AA75" s="6443"/>
      <c r="AB75" s="2484"/>
      <c r="AC75" s="2484"/>
      <c r="AD75" s="2484"/>
      <c r="AE75" s="2484"/>
      <c r="AF75" s="2484"/>
      <c r="AG75" s="2484"/>
      <c r="AH75" s="2484"/>
      <c r="AI75" s="2484"/>
      <c r="AJ75" s="405"/>
      <c r="AK75" s="402"/>
      <c r="AL75" s="1433"/>
    </row>
    <row r="76" spans="1:38" ht="12" customHeight="1" x14ac:dyDescent="0.2">
      <c r="A76" s="1433"/>
      <c r="B76" s="1087"/>
      <c r="C76" s="2501"/>
      <c r="D76" s="2501"/>
      <c r="E76" s="2501"/>
      <c r="F76" s="2501"/>
      <c r="G76" s="2501"/>
      <c r="H76" s="2501"/>
      <c r="I76" s="2501"/>
      <c r="J76" s="2501"/>
      <c r="K76" s="2501"/>
      <c r="L76" s="2501"/>
      <c r="M76" s="2501"/>
      <c r="N76" s="2501"/>
      <c r="O76" s="2501"/>
      <c r="P76" s="2501"/>
      <c r="Q76" s="2501"/>
      <c r="R76" s="402"/>
      <c r="S76" s="1433"/>
      <c r="T76" s="1433"/>
      <c r="U76" s="1087"/>
      <c r="AK76" s="402"/>
      <c r="AL76" s="1433"/>
    </row>
    <row r="77" spans="1:38" ht="12" customHeight="1" thickBot="1" x14ac:dyDescent="0.25">
      <c r="A77" s="1433"/>
      <c r="B77" s="812"/>
      <c r="C77" s="6497" t="str">
        <f>"Conjuros de nivel "&amp;B78&amp;"-"&amp;B122</f>
        <v>Conjuros de nivel 22-30</v>
      </c>
      <c r="D77" s="6497"/>
      <c r="E77" s="6497"/>
      <c r="F77" s="6497"/>
      <c r="G77" s="6497"/>
      <c r="H77" s="6497"/>
      <c r="I77" s="6497"/>
      <c r="J77" s="6497"/>
      <c r="K77" s="6497"/>
      <c r="L77" s="6497"/>
      <c r="M77" s="6497"/>
      <c r="N77" s="6497"/>
      <c r="O77" s="6497"/>
      <c r="P77" s="6497"/>
      <c r="Q77" s="6497"/>
      <c r="R77" s="810"/>
      <c r="S77" s="1433"/>
      <c r="T77" s="396"/>
      <c r="U77" s="812"/>
      <c r="V77" s="6497" t="str">
        <f>"Conjuros de nivel "&amp;U78&amp;"-"&amp;U122</f>
        <v>Conjuros de nivel 32-40</v>
      </c>
      <c r="W77" s="6497"/>
      <c r="X77" s="6497"/>
      <c r="Y77" s="6497"/>
      <c r="Z77" s="6497"/>
      <c r="AA77" s="6497"/>
      <c r="AB77" s="6497"/>
      <c r="AC77" s="6497"/>
      <c r="AD77" s="6497"/>
      <c r="AE77" s="6497"/>
      <c r="AF77" s="6497"/>
      <c r="AG77" s="6497"/>
      <c r="AH77" s="6497"/>
      <c r="AI77" s="6497"/>
      <c r="AJ77" s="6497"/>
      <c r="AK77" s="811"/>
      <c r="AL77" s="396"/>
    </row>
    <row r="78" spans="1:38" ht="12" customHeight="1" x14ac:dyDescent="0.2">
      <c r="A78" s="1433"/>
      <c r="B78" s="804">
        <f>B11+20</f>
        <v>22</v>
      </c>
      <c r="C78" s="6501"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502"/>
      <c r="E78" s="6502"/>
      <c r="F78" s="6502"/>
      <c r="G78" s="6503"/>
      <c r="H78" s="406" t="s">
        <v>1325</v>
      </c>
      <c r="I78" s="407">
        <f>B78</f>
        <v>22</v>
      </c>
      <c r="J78" s="6486" t="s">
        <v>6236</v>
      </c>
      <c r="K78" s="6486"/>
      <c r="L78" s="6486"/>
      <c r="M78" s="6471" t="e">
        <f>IF(C78=0,"",VLOOKUP(C78,'Tablas Magia'!$D$6:$Z$680,2,FALSE))</f>
        <v>#N/A</v>
      </c>
      <c r="N78" s="6471"/>
      <c r="O78" s="1718"/>
      <c r="P78" s="6492" t="str">
        <f>IFERROR(IF(M78="Libre Acceso","Aprendido",IF(IFERROR(VLOOKUP(M78,Místicos!$C$15:$H$25,6,0)&gt;=I78,FALSE),"Aprendido",IF(IFERROR(VLOOKUP(M78,Místicos!$E$15:$H$25,4,0)&gt;=I78,FALSE),"Aprendido",""))),"")</f>
        <v/>
      </c>
      <c r="Q78" s="6493"/>
      <c r="R78" s="402"/>
      <c r="S78" s="396"/>
      <c r="T78" s="396"/>
      <c r="U78" s="804">
        <f>B122+2</f>
        <v>32</v>
      </c>
      <c r="V78" s="6501"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507"/>
      <c r="X78" s="6507"/>
      <c r="Y78" s="6507"/>
      <c r="Z78" s="6508"/>
      <c r="AA78" s="406" t="s">
        <v>1325</v>
      </c>
      <c r="AB78" s="407">
        <f>U78</f>
        <v>32</v>
      </c>
      <c r="AC78" s="6486" t="s">
        <v>6236</v>
      </c>
      <c r="AD78" s="6486"/>
      <c r="AE78" s="6486"/>
      <c r="AF78" s="6471" t="e">
        <f>IF(V78=0,"",VLOOKUP(V78,'Tablas Magia'!$D$6:$Z$680,2,FALSE))</f>
        <v>#N/A</v>
      </c>
      <c r="AG78" s="6471"/>
      <c r="AH78" s="1718"/>
      <c r="AI78" s="6492" t="str">
        <f>IFERROR(IF(AF78="Libre Acceso","Aprendido",IF(IFERROR(VLOOKUP(AF78,Místicos!$C$15:$H$25,6,0)&gt;=AB78,FALSE),"Aprendido",IF(IFERROR(VLOOKUP(AF78,Místicos!$E$15:$H$25,4,0)&gt;=AB78,FALSE),"Aprendido",""))),"")</f>
        <v/>
      </c>
      <c r="AJ78" s="6493"/>
      <c r="AK78" s="402"/>
      <c r="AL78" s="396"/>
    </row>
    <row r="79" spans="1:38" ht="12" customHeight="1" x14ac:dyDescent="0.2">
      <c r="A79" s="396"/>
      <c r="B79" s="804"/>
      <c r="C79" s="6473" t="s">
        <v>6237</v>
      </c>
      <c r="D79" s="6487"/>
      <c r="E79" s="2502" t="s">
        <v>6238</v>
      </c>
      <c r="F79" s="2502" t="s">
        <v>1509</v>
      </c>
      <c r="G79" s="2502" t="s">
        <v>2828</v>
      </c>
      <c r="H79" s="2503" t="s">
        <v>1836</v>
      </c>
      <c r="I79" s="6495" t="e">
        <f>IF(C78=0,"",VLOOKUP(C78,'Tablas Magia'!$D$6:$Z$680,5,FALSE))</f>
        <v>#N/A</v>
      </c>
      <c r="J79" s="6495"/>
      <c r="K79" s="6498" t="s">
        <v>6239</v>
      </c>
      <c r="L79" s="6498"/>
      <c r="M79" s="6495" t="e">
        <f>IF(C78=0,"",VLOOKUP(C78,'Tablas Magia'!$D$6:$Z$680,6,FALSE))</f>
        <v>#N/A</v>
      </c>
      <c r="N79" s="6495"/>
      <c r="O79" s="6496" t="s">
        <v>6240</v>
      </c>
      <c r="P79" s="6496"/>
      <c r="Q79" s="2504" t="e">
        <f>IF(C78=0,"",VLOOKUP(C78,'Tablas Magia'!$D$6:$Z$680,4,FALSE))</f>
        <v>#N/A</v>
      </c>
      <c r="R79" s="402"/>
      <c r="S79" s="396"/>
      <c r="T79" s="396"/>
      <c r="U79" s="804"/>
      <c r="V79" s="6473" t="s">
        <v>6237</v>
      </c>
      <c r="W79" s="6504"/>
      <c r="X79" s="1727" t="s">
        <v>6238</v>
      </c>
      <c r="Y79" s="1727" t="s">
        <v>1509</v>
      </c>
      <c r="Z79" s="1727" t="s">
        <v>2828</v>
      </c>
      <c r="AA79" s="1728" t="s">
        <v>1836</v>
      </c>
      <c r="AB79" s="6491" t="e">
        <f>IF(V78=0,"",VLOOKUP(V78,'Tablas Magia'!$D$6:$Z$680,5,FALSE))</f>
        <v>#N/A</v>
      </c>
      <c r="AC79" s="6491"/>
      <c r="AD79" s="6505" t="s">
        <v>6239</v>
      </c>
      <c r="AE79" s="6505"/>
      <c r="AF79" s="6491" t="e">
        <f>IF(V78=0,"",VLOOKUP(V78,'Tablas Magia'!$D$6:$Z$680,6,FALSE))</f>
        <v>#N/A</v>
      </c>
      <c r="AG79" s="6491"/>
      <c r="AH79" s="6506" t="s">
        <v>6240</v>
      </c>
      <c r="AI79" s="6506"/>
      <c r="AJ79" s="1729" t="e">
        <f>IF(V78=0,"",VLOOKUP(V78,'Tablas Magia'!$D$6:$Z$680,4,FALSE))</f>
        <v>#N/A</v>
      </c>
      <c r="AK79" s="402"/>
      <c r="AL79" s="396"/>
    </row>
    <row r="80" spans="1:38" ht="12" customHeight="1" x14ac:dyDescent="0.2">
      <c r="A80" s="396"/>
      <c r="B80" s="804"/>
      <c r="C80" s="6449" t="s">
        <v>1365</v>
      </c>
      <c r="D80" s="6450"/>
      <c r="E80" s="2505" t="e">
        <f>IF(C78=0,"",VLOOKUP(C78,'Tablas Magia'!$D$6:$Z$680,7,FALSE))</f>
        <v>#N/A</v>
      </c>
      <c r="F80" s="2505" t="e">
        <f>IF(C78=0,"",VLOOKUP(C78,'Tablas Magia'!$D$6:$Z$680,11,FALSE))</f>
        <v>#N/A</v>
      </c>
      <c r="G80" s="412" t="e">
        <f>IF(C78=0,"",VLOOKUP(C78,'Tablas Magia'!$D$6:$Z$680,15,FALSE))</f>
        <v>#N/A</v>
      </c>
      <c r="H80" s="6451" t="e">
        <f>IF(C78=0,"",VLOOKUP(C78,'Tablas Magia'!$D$6:$Z$680,19,FALSE))</f>
        <v>#N/A</v>
      </c>
      <c r="I80" s="6494"/>
      <c r="J80" s="6494"/>
      <c r="K80" s="6494"/>
      <c r="L80" s="6494"/>
      <c r="M80" s="6494"/>
      <c r="N80" s="6494"/>
      <c r="O80" s="6494"/>
      <c r="P80" s="6494"/>
      <c r="Q80" s="6453"/>
      <c r="R80" s="402"/>
      <c r="S80" s="396"/>
      <c r="T80" s="396"/>
      <c r="U80" s="804"/>
      <c r="V80" s="6499" t="s">
        <v>1365</v>
      </c>
      <c r="W80" s="6500"/>
      <c r="X80" s="411" t="e">
        <f>IF(V78=0,"",VLOOKUP(V78,'Tablas Magia'!$D$6:$Z$680,7,FALSE))</f>
        <v>#N/A</v>
      </c>
      <c r="Y80" s="411" t="e">
        <f>IF(V78=0,"",VLOOKUP(V78,'Tablas Magia'!$D$6:$Z$680,11,FALSE))</f>
        <v>#N/A</v>
      </c>
      <c r="Z80" s="412" t="e">
        <f>IF(V78=0,"",VLOOKUP(V78,'Tablas Magia'!$D$6:$Z$680,15,FALSE))</f>
        <v>#N/A</v>
      </c>
      <c r="AA80" s="6481" t="e">
        <f>IF(V78=0,"",VLOOKUP(V78,'Tablas Magia'!$D$6:$Z$680,19,FALSE))</f>
        <v>#N/A</v>
      </c>
      <c r="AB80" s="6482"/>
      <c r="AC80" s="6482"/>
      <c r="AD80" s="6482"/>
      <c r="AE80" s="6482"/>
      <c r="AF80" s="6482"/>
      <c r="AG80" s="6482"/>
      <c r="AH80" s="6482"/>
      <c r="AI80" s="6482"/>
      <c r="AJ80" s="6483"/>
      <c r="AK80" s="402"/>
      <c r="AL80" s="396"/>
    </row>
    <row r="81" spans="1:38" ht="12" customHeight="1" x14ac:dyDescent="0.2">
      <c r="A81" s="396"/>
      <c r="B81" s="804"/>
      <c r="C81" s="6444" t="s">
        <v>3197</v>
      </c>
      <c r="D81" s="6445"/>
      <c r="E81" s="2506" t="e">
        <f>IF(C78=0,"",VLOOKUP(C78,'Tablas Magia'!$D$6:$Z$680,8,FALSE))</f>
        <v>#N/A</v>
      </c>
      <c r="F81" s="2506" t="e">
        <f>IF(C78=0,"",VLOOKUP(C78,'Tablas Magia'!$D$6:$Z$680,12,FALSE))</f>
        <v>#N/A</v>
      </c>
      <c r="G81" s="414" t="e">
        <f>IF(C78=0,"",VLOOKUP(C78,'Tablas Magia'!$D$6:$Z$680,16,FALSE))</f>
        <v>#N/A</v>
      </c>
      <c r="H81" s="6446" t="e">
        <f>IF(C78=0,"",VLOOKUP(C78,'Tablas Magia'!$D$6:$Z$680,20,FALSE))</f>
        <v>#N/A</v>
      </c>
      <c r="I81" s="6484"/>
      <c r="J81" s="6484"/>
      <c r="K81" s="6484"/>
      <c r="L81" s="6484"/>
      <c r="M81" s="6484"/>
      <c r="N81" s="6484"/>
      <c r="O81" s="6484"/>
      <c r="P81" s="6484"/>
      <c r="Q81" s="6448"/>
      <c r="R81" s="402"/>
      <c r="S81" s="396"/>
      <c r="T81" s="396"/>
      <c r="U81" s="804"/>
      <c r="V81" s="6444" t="s">
        <v>3197</v>
      </c>
      <c r="W81" s="6445"/>
      <c r="X81" s="413" t="e">
        <f>IF(V78=0,"",VLOOKUP(V78,'Tablas Magia'!$D$6:$Z$680,8,FALSE))</f>
        <v>#N/A</v>
      </c>
      <c r="Y81" s="413" t="e">
        <f>IF(V78=0,"",VLOOKUP(V78,'Tablas Magia'!$D$6:$Z$680,12,FALSE))</f>
        <v>#N/A</v>
      </c>
      <c r="Z81" s="414" t="e">
        <f>IF(V78=0,"",VLOOKUP(V78,'Tablas Magia'!$D$6:$Z$680,16,FALSE))</f>
        <v>#N/A</v>
      </c>
      <c r="AA81" s="6446" t="e">
        <f>IF(V78=0,"",VLOOKUP(V78,'Tablas Magia'!$D$6:$Z$680,20,FALSE))</f>
        <v>#N/A</v>
      </c>
      <c r="AB81" s="6447"/>
      <c r="AC81" s="6447"/>
      <c r="AD81" s="6447"/>
      <c r="AE81" s="6447"/>
      <c r="AF81" s="6447"/>
      <c r="AG81" s="6447"/>
      <c r="AH81" s="6447"/>
      <c r="AI81" s="6447"/>
      <c r="AJ81" s="6448"/>
      <c r="AK81" s="402"/>
      <c r="AL81" s="396"/>
    </row>
    <row r="82" spans="1:38" ht="12" customHeight="1" x14ac:dyDescent="0.2">
      <c r="A82" s="396"/>
      <c r="B82" s="804"/>
      <c r="C82" s="6449" t="s">
        <v>3198</v>
      </c>
      <c r="D82" s="6450"/>
      <c r="E82" s="2505" t="e">
        <f>IF(C78=0,"",VLOOKUP(C78,'Tablas Magia'!$D$6:$Z$680,9,FALSE))</f>
        <v>#N/A</v>
      </c>
      <c r="F82" s="2505" t="e">
        <f>IF(C78=0,"",VLOOKUP(C78,'Tablas Magia'!$D$6:$Z$680,13,FALSE))</f>
        <v>#N/A</v>
      </c>
      <c r="G82" s="412" t="e">
        <f>IF(C78=0,"",VLOOKUP(C78,'Tablas Magia'!$D$6:$Z$680,17,FALSE))</f>
        <v>#N/A</v>
      </c>
      <c r="H82" s="6451" t="e">
        <f>IF(C78=0,"",VLOOKUP(C78,'Tablas Magia'!$D$6:$Z$680,21,FALSE))</f>
        <v>#N/A</v>
      </c>
      <c r="I82" s="6494"/>
      <c r="J82" s="6494"/>
      <c r="K82" s="6494"/>
      <c r="L82" s="6494"/>
      <c r="M82" s="6494"/>
      <c r="N82" s="6494"/>
      <c r="O82" s="6494"/>
      <c r="P82" s="6494"/>
      <c r="Q82" s="6453"/>
      <c r="R82" s="402"/>
      <c r="S82" s="396"/>
      <c r="T82" s="396"/>
      <c r="U82" s="804"/>
      <c r="V82" s="6449" t="s">
        <v>3198</v>
      </c>
      <c r="W82" s="6450"/>
      <c r="X82" s="411" t="e">
        <f>IF(V78=0,"",VLOOKUP(V78,'Tablas Magia'!$D$6:$Z$680,9,FALSE))</f>
        <v>#N/A</v>
      </c>
      <c r="Y82" s="411" t="e">
        <f>IF(V78=0,"",VLOOKUP(V78,'Tablas Magia'!$D$6:$Z$680,13,FALSE))</f>
        <v>#N/A</v>
      </c>
      <c r="Z82" s="412" t="e">
        <f>IF(V78=0,"",VLOOKUP(V78,'Tablas Magia'!$D$6:$Z$680,17,FALSE))</f>
        <v>#N/A</v>
      </c>
      <c r="AA82" s="6451" t="e">
        <f>IF(V78=0,"",VLOOKUP(V78,'Tablas Magia'!$D$6:$Z$680,21,FALSE))</f>
        <v>#N/A</v>
      </c>
      <c r="AB82" s="6452"/>
      <c r="AC82" s="6452"/>
      <c r="AD82" s="6452"/>
      <c r="AE82" s="6452"/>
      <c r="AF82" s="6452"/>
      <c r="AG82" s="6452"/>
      <c r="AH82" s="6452"/>
      <c r="AI82" s="6452"/>
      <c r="AJ82" s="6453"/>
      <c r="AK82" s="402"/>
      <c r="AL82" s="396"/>
    </row>
    <row r="83" spans="1:38" ht="12" customHeight="1" thickBot="1" x14ac:dyDescent="0.25">
      <c r="A83" s="396"/>
      <c r="B83" s="804"/>
      <c r="C83" s="6454" t="s">
        <v>3199</v>
      </c>
      <c r="D83" s="6455"/>
      <c r="E83" s="415" t="e">
        <f>IF(C78=0,"",VLOOKUP(C78,'Tablas Magia'!$D$6:$Z$680,10,FALSE))</f>
        <v>#N/A</v>
      </c>
      <c r="F83" s="415" t="e">
        <f>IF(C78=0,"",VLOOKUP(C78,'Tablas Magia'!$D$6:$Z$680,14,FALSE))</f>
        <v>#N/A</v>
      </c>
      <c r="G83" s="416" t="e">
        <f>IF(C78=0,"",VLOOKUP(C78,'Tablas Magia'!$D$6:$Z$680,18,FALSE))</f>
        <v>#N/A</v>
      </c>
      <c r="H83" s="6456" t="e">
        <f>IF(C78=0,"",VLOOKUP(C78,'Tablas Magia'!$D$6:$Z$680,22,FALSE))</f>
        <v>#N/A</v>
      </c>
      <c r="I83" s="6457"/>
      <c r="J83" s="6457"/>
      <c r="K83" s="6457"/>
      <c r="L83" s="6457"/>
      <c r="M83" s="6457"/>
      <c r="N83" s="6457"/>
      <c r="O83" s="6457"/>
      <c r="P83" s="6457"/>
      <c r="Q83" s="6458"/>
      <c r="R83" s="402"/>
      <c r="S83" s="396"/>
      <c r="T83" s="396"/>
      <c r="U83" s="804"/>
      <c r="V83" s="6454" t="s">
        <v>3199</v>
      </c>
      <c r="W83" s="6455"/>
      <c r="X83" s="415" t="e">
        <f>IF(V78=0,"",VLOOKUP(V78,'Tablas Magia'!$D$6:$Z$680,10,FALSE))</f>
        <v>#N/A</v>
      </c>
      <c r="Y83" s="415" t="e">
        <f>IF(V78=0,"",VLOOKUP(V78,'Tablas Magia'!$D$6:$Z$680,14,FALSE))</f>
        <v>#N/A</v>
      </c>
      <c r="Z83" s="416" t="e">
        <f>IF(V78=0,"",VLOOKUP(V78,'Tablas Magia'!$D$6:$Z$680,18,FALSE))</f>
        <v>#N/A</v>
      </c>
      <c r="AA83" s="6456" t="e">
        <f>IF(V78=0,"",VLOOKUP(V78,'Tablas Magia'!$D$6:$Z$680,22,FALSE))</f>
        <v>#N/A</v>
      </c>
      <c r="AB83" s="6457"/>
      <c r="AC83" s="6457"/>
      <c r="AD83" s="6457"/>
      <c r="AE83" s="6457"/>
      <c r="AF83" s="6457"/>
      <c r="AG83" s="6457"/>
      <c r="AH83" s="6457"/>
      <c r="AI83" s="6457"/>
      <c r="AJ83" s="6458"/>
      <c r="AK83" s="402"/>
      <c r="AL83" s="396"/>
    </row>
    <row r="84" spans="1:38" ht="12" customHeight="1" x14ac:dyDescent="0.2">
      <c r="A84" s="396"/>
      <c r="B84" s="804"/>
      <c r="C84" s="6459" t="e">
        <f>IF(C78=0,"",VLOOKUP(C78,'Tablas Magia'!$D$6:$Z$680,23,FALSE))</f>
        <v>#N/A</v>
      </c>
      <c r="D84" s="6460"/>
      <c r="E84" s="6460"/>
      <c r="F84" s="6460"/>
      <c r="G84" s="6460"/>
      <c r="H84" s="6460"/>
      <c r="I84" s="6460"/>
      <c r="J84" s="6460"/>
      <c r="K84" s="6460"/>
      <c r="L84" s="6460"/>
      <c r="M84" s="6460"/>
      <c r="N84" s="6460"/>
      <c r="O84" s="6460"/>
      <c r="P84" s="6460"/>
      <c r="Q84" s="6461"/>
      <c r="R84" s="402"/>
      <c r="S84" s="396"/>
      <c r="T84" s="396"/>
      <c r="U84" s="804"/>
      <c r="V84" s="6459" t="e">
        <f>IF(V78=0,"",VLOOKUP(V78,'Tablas Magia'!$D$6:$Z$680,23,FALSE))</f>
        <v>#N/A</v>
      </c>
      <c r="W84" s="6460"/>
      <c r="X84" s="6460"/>
      <c r="Y84" s="6460"/>
      <c r="Z84" s="6460"/>
      <c r="AA84" s="6460"/>
      <c r="AB84" s="6460"/>
      <c r="AC84" s="6460"/>
      <c r="AD84" s="6460"/>
      <c r="AE84" s="6460"/>
      <c r="AF84" s="6460"/>
      <c r="AG84" s="6460"/>
      <c r="AH84" s="6460"/>
      <c r="AI84" s="6460"/>
      <c r="AJ84" s="6461"/>
      <c r="AK84" s="402"/>
      <c r="AL84" s="396"/>
    </row>
    <row r="85" spans="1:38" ht="12" customHeight="1" x14ac:dyDescent="0.2">
      <c r="A85" s="396"/>
      <c r="B85" s="804"/>
      <c r="C85" s="6462"/>
      <c r="D85" s="6485"/>
      <c r="E85" s="6485"/>
      <c r="F85" s="6485"/>
      <c r="G85" s="6485"/>
      <c r="H85" s="6485"/>
      <c r="I85" s="6485"/>
      <c r="J85" s="6485"/>
      <c r="K85" s="6485"/>
      <c r="L85" s="6485"/>
      <c r="M85" s="6485"/>
      <c r="N85" s="6485"/>
      <c r="O85" s="6485"/>
      <c r="P85" s="6485"/>
      <c r="Q85" s="6464"/>
      <c r="R85" s="402"/>
      <c r="S85" s="396"/>
      <c r="T85" s="396"/>
      <c r="U85" s="804"/>
      <c r="V85" s="6462"/>
      <c r="W85" s="6463"/>
      <c r="X85" s="6463"/>
      <c r="Y85" s="6463"/>
      <c r="Z85" s="6463"/>
      <c r="AA85" s="6463"/>
      <c r="AB85" s="6463"/>
      <c r="AC85" s="6463"/>
      <c r="AD85" s="6463"/>
      <c r="AE85" s="6463"/>
      <c r="AF85" s="6463"/>
      <c r="AG85" s="6463"/>
      <c r="AH85" s="6463"/>
      <c r="AI85" s="6463"/>
      <c r="AJ85" s="6464"/>
      <c r="AK85" s="402"/>
      <c r="AL85" s="396"/>
    </row>
    <row r="86" spans="1:38" ht="12" customHeight="1" x14ac:dyDescent="0.2">
      <c r="A86" s="396"/>
      <c r="B86" s="804"/>
      <c r="C86" s="6462"/>
      <c r="D86" s="6485"/>
      <c r="E86" s="6485"/>
      <c r="F86" s="6485"/>
      <c r="G86" s="6485"/>
      <c r="H86" s="6485"/>
      <c r="I86" s="6485"/>
      <c r="J86" s="6485"/>
      <c r="K86" s="6485"/>
      <c r="L86" s="6485"/>
      <c r="M86" s="6485"/>
      <c r="N86" s="6485"/>
      <c r="O86" s="6485"/>
      <c r="P86" s="6485"/>
      <c r="Q86" s="6464"/>
      <c r="R86" s="402"/>
      <c r="S86" s="396"/>
      <c r="T86" s="396"/>
      <c r="U86" s="804"/>
      <c r="V86" s="6462"/>
      <c r="W86" s="6463"/>
      <c r="X86" s="6463"/>
      <c r="Y86" s="6463"/>
      <c r="Z86" s="6463"/>
      <c r="AA86" s="6463"/>
      <c r="AB86" s="6463"/>
      <c r="AC86" s="6463"/>
      <c r="AD86" s="6463"/>
      <c r="AE86" s="6463"/>
      <c r="AF86" s="6463"/>
      <c r="AG86" s="6463"/>
      <c r="AH86" s="6463"/>
      <c r="AI86" s="6463"/>
      <c r="AJ86" s="6464"/>
      <c r="AK86" s="402"/>
      <c r="AL86" s="396"/>
    </row>
    <row r="87" spans="1:38" ht="12" customHeight="1" thickBot="1" x14ac:dyDescent="0.25">
      <c r="A87" s="396"/>
      <c r="B87" s="804"/>
      <c r="C87" s="6465"/>
      <c r="D87" s="6466"/>
      <c r="E87" s="6466"/>
      <c r="F87" s="6466"/>
      <c r="G87" s="6466"/>
      <c r="H87" s="6466"/>
      <c r="I87" s="6466"/>
      <c r="J87" s="6466"/>
      <c r="K87" s="6466"/>
      <c r="L87" s="6466"/>
      <c r="M87" s="6466"/>
      <c r="N87" s="6466"/>
      <c r="O87" s="6466"/>
      <c r="P87" s="6466"/>
      <c r="Q87" s="6467"/>
      <c r="R87" s="402"/>
      <c r="S87" s="396"/>
      <c r="T87" s="396"/>
      <c r="U87" s="804"/>
      <c r="V87" s="6465"/>
      <c r="W87" s="6466"/>
      <c r="X87" s="6466"/>
      <c r="Y87" s="6466"/>
      <c r="Z87" s="6466"/>
      <c r="AA87" s="6466"/>
      <c r="AB87" s="6466"/>
      <c r="AC87" s="6466"/>
      <c r="AD87" s="6466"/>
      <c r="AE87" s="6466"/>
      <c r="AF87" s="6466"/>
      <c r="AG87" s="6466"/>
      <c r="AH87" s="6466"/>
      <c r="AI87" s="6466"/>
      <c r="AJ87" s="6467"/>
      <c r="AK87" s="402"/>
      <c r="AL87" s="396"/>
    </row>
    <row r="88" spans="1:38" ht="12" customHeight="1" thickBot="1" x14ac:dyDescent="0.25">
      <c r="A88" s="396"/>
      <c r="B88" s="804"/>
      <c r="C88" s="2507"/>
      <c r="D88" s="2507"/>
      <c r="E88" s="2507"/>
      <c r="F88" s="2507"/>
      <c r="G88" s="2507"/>
      <c r="H88" s="2508"/>
      <c r="I88" s="2509"/>
      <c r="J88" s="2510"/>
      <c r="K88" s="2510"/>
      <c r="L88" s="2510"/>
      <c r="M88" s="2511"/>
      <c r="N88" s="2511"/>
      <c r="O88" s="2511"/>
      <c r="P88" s="2511"/>
      <c r="Q88" s="2511"/>
      <c r="R88" s="402"/>
      <c r="S88" s="396"/>
      <c r="T88" s="396"/>
      <c r="U88" s="804"/>
      <c r="V88" s="419"/>
      <c r="W88" s="419"/>
      <c r="X88" s="420"/>
      <c r="Y88" s="420"/>
      <c r="Z88" s="420"/>
      <c r="AA88" s="419"/>
      <c r="AB88" s="354"/>
      <c r="AC88" s="354"/>
      <c r="AD88" s="419"/>
      <c r="AE88" s="419"/>
      <c r="AF88" s="354"/>
      <c r="AG88" s="354"/>
      <c r="AH88" s="421"/>
      <c r="AI88" s="421"/>
      <c r="AJ88" s="354"/>
      <c r="AK88" s="402"/>
      <c r="AL88" s="396"/>
    </row>
    <row r="89" spans="1:38" ht="12" customHeight="1" x14ac:dyDescent="0.2">
      <c r="A89" s="396"/>
      <c r="B89" s="804">
        <f>B78+2</f>
        <v>24</v>
      </c>
      <c r="C89" s="6501"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502"/>
      <c r="E89" s="6502"/>
      <c r="F89" s="6502"/>
      <c r="G89" s="6503"/>
      <c r="H89" s="406" t="s">
        <v>1325</v>
      </c>
      <c r="I89" s="407">
        <f>B89</f>
        <v>24</v>
      </c>
      <c r="J89" s="6486" t="s">
        <v>6236</v>
      </c>
      <c r="K89" s="6486"/>
      <c r="L89" s="6486"/>
      <c r="M89" s="6471" t="e">
        <f>IF(C89=0,"",VLOOKUP(C89,'Tablas Magia'!$D$6:$Z$680,2,FALSE))</f>
        <v>#N/A</v>
      </c>
      <c r="N89" s="6471"/>
      <c r="O89" s="1718"/>
      <c r="P89" s="6492" t="str">
        <f>IFERROR(IF(M89="Libre Acceso","Aprendido",IF(IFERROR(VLOOKUP(M89,Místicos!$C$15:$H$25,6,0)&gt;=I89,FALSE),"Aprendido",IF(IFERROR(VLOOKUP(M89,Místicos!$E$15:$H$25,4,0)&gt;=I89,FALSE),"Aprendido",""))),"")</f>
        <v/>
      </c>
      <c r="Q89" s="6493"/>
      <c r="R89" s="402"/>
      <c r="S89" s="396"/>
      <c r="T89" s="396"/>
      <c r="U89" s="804">
        <f>U78+2</f>
        <v>34</v>
      </c>
      <c r="V89" s="6501"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507"/>
      <c r="X89" s="6507"/>
      <c r="Y89" s="6507"/>
      <c r="Z89" s="6507"/>
      <c r="AA89" s="406" t="s">
        <v>1325</v>
      </c>
      <c r="AB89" s="407">
        <f>U89</f>
        <v>34</v>
      </c>
      <c r="AC89" s="6486" t="s">
        <v>6236</v>
      </c>
      <c r="AD89" s="6486"/>
      <c r="AE89" s="6486"/>
      <c r="AF89" s="6471" t="e">
        <f>IF(V89=0,"",VLOOKUP(V89,'Tablas Magia'!$D$6:$Z$680,2,FALSE))</f>
        <v>#N/A</v>
      </c>
      <c r="AG89" s="6471"/>
      <c r="AH89" s="1718"/>
      <c r="AI89" s="6492" t="str">
        <f>IFERROR(IF(AF89="Libre Acceso","Aprendido",IF(IFERROR(VLOOKUP(AF89,Místicos!$C$15:$H$25,6,0)&gt;=AB89,FALSE),"Aprendido",IF(IFERROR(VLOOKUP(AF89,Místicos!$E$15:$H$25,4,0)&gt;=AB89,FALSE),"Aprendido",""))),"")</f>
        <v/>
      </c>
      <c r="AJ89" s="6493"/>
      <c r="AK89" s="402"/>
      <c r="AL89" s="396"/>
    </row>
    <row r="90" spans="1:38" ht="12" customHeight="1" x14ac:dyDescent="0.2">
      <c r="A90" s="396"/>
      <c r="B90" s="804"/>
      <c r="C90" s="6473" t="s">
        <v>6237</v>
      </c>
      <c r="D90" s="6487"/>
      <c r="E90" s="2502" t="s">
        <v>6238</v>
      </c>
      <c r="F90" s="2502" t="s">
        <v>1509</v>
      </c>
      <c r="G90" s="2502" t="s">
        <v>2828</v>
      </c>
      <c r="H90" s="2503" t="s">
        <v>1836</v>
      </c>
      <c r="I90" s="6495" t="e">
        <f>IF(C89=0,"",VLOOKUP(C89,'Tablas Magia'!$D$6:$Z$680,5,FALSE))</f>
        <v>#N/A</v>
      </c>
      <c r="J90" s="6495"/>
      <c r="K90" s="6498" t="s">
        <v>6239</v>
      </c>
      <c r="L90" s="6498"/>
      <c r="M90" s="6495" t="e">
        <f>IF(C89=0,"",VLOOKUP(C89,'Tablas Magia'!$D$6:$Z$680,6,FALSE))</f>
        <v>#N/A</v>
      </c>
      <c r="N90" s="6495"/>
      <c r="O90" s="6496" t="s">
        <v>6240</v>
      </c>
      <c r="P90" s="6496"/>
      <c r="Q90" s="2504" t="e">
        <f>IF(C89=0,"",VLOOKUP(C89,'Tablas Magia'!$D$6:$Z$680,4,FALSE))</f>
        <v>#N/A</v>
      </c>
      <c r="R90" s="402"/>
      <c r="S90" s="396"/>
      <c r="T90" s="396"/>
      <c r="U90" s="804"/>
      <c r="V90" s="6473" t="s">
        <v>6237</v>
      </c>
      <c r="W90" s="6504"/>
      <c r="X90" s="1727" t="s">
        <v>6238</v>
      </c>
      <c r="Y90" s="1727" t="s">
        <v>1509</v>
      </c>
      <c r="Z90" s="1727" t="s">
        <v>2828</v>
      </c>
      <c r="AA90" s="1728" t="s">
        <v>1836</v>
      </c>
      <c r="AB90" s="6491" t="e">
        <f>IF(V89=0,"",VLOOKUP(V89,'Tablas Magia'!$D$6:$Z$680,5,FALSE))</f>
        <v>#N/A</v>
      </c>
      <c r="AC90" s="6491"/>
      <c r="AD90" s="6505" t="s">
        <v>6239</v>
      </c>
      <c r="AE90" s="6505"/>
      <c r="AF90" s="6491" t="e">
        <f>IF(V89=0,"",VLOOKUP(V89,'Tablas Magia'!$D$6:$Z$680,6,FALSE))</f>
        <v>#N/A</v>
      </c>
      <c r="AG90" s="6491"/>
      <c r="AH90" s="6506" t="s">
        <v>6240</v>
      </c>
      <c r="AI90" s="6506"/>
      <c r="AJ90" s="1729" t="e">
        <f>IF(V89=0,"",VLOOKUP(V89,'Tablas Magia'!$D$6:$Z$680,4,FALSE))</f>
        <v>#N/A</v>
      </c>
      <c r="AK90" s="402"/>
      <c r="AL90" s="396"/>
    </row>
    <row r="91" spans="1:38" ht="12" customHeight="1" x14ac:dyDescent="0.2">
      <c r="A91" s="396"/>
      <c r="B91" s="804"/>
      <c r="C91" s="6499" t="s">
        <v>1365</v>
      </c>
      <c r="D91" s="6500"/>
      <c r="E91" s="2505" t="e">
        <f>IF(C89=0,"",VLOOKUP(C89,'Tablas Magia'!$D$6:$Z$680,7,FALSE))</f>
        <v>#N/A</v>
      </c>
      <c r="F91" s="2505" t="e">
        <f>IF(C89=0,"",VLOOKUP(C89,'Tablas Magia'!$D$6:$Z$680,11,FALSE))</f>
        <v>#N/A</v>
      </c>
      <c r="G91" s="412" t="e">
        <f>IF(C89=0,"",VLOOKUP(C89,'Tablas Magia'!$D$6:$Z$680,15,FALSE))</f>
        <v>#N/A</v>
      </c>
      <c r="H91" s="6481" t="e">
        <f>IF(C89=0,"",VLOOKUP(C89,'Tablas Magia'!$D$6:$Z$680,19,FALSE))</f>
        <v>#N/A</v>
      </c>
      <c r="I91" s="6482"/>
      <c r="J91" s="6482"/>
      <c r="K91" s="6482"/>
      <c r="L91" s="6482"/>
      <c r="M91" s="6482"/>
      <c r="N91" s="6482"/>
      <c r="O91" s="6482"/>
      <c r="P91" s="6482"/>
      <c r="Q91" s="6483"/>
      <c r="R91" s="402"/>
      <c r="S91" s="396"/>
      <c r="T91" s="396"/>
      <c r="U91" s="804"/>
      <c r="V91" s="6449" t="s">
        <v>1365</v>
      </c>
      <c r="W91" s="6450"/>
      <c r="X91" s="411" t="e">
        <f>IF(V89=0,"",VLOOKUP(V89,'Tablas Magia'!$D$6:$Z$680,7,FALSE))</f>
        <v>#N/A</v>
      </c>
      <c r="Y91" s="411" t="e">
        <f>IF(V89=0,"",VLOOKUP(V89,'Tablas Magia'!$D$6:$Z$680,11,FALSE))</f>
        <v>#N/A</v>
      </c>
      <c r="Z91" s="412" t="e">
        <f>IF(V89=0,"",VLOOKUP(V89,'Tablas Magia'!$D$6:$Z$680,15,FALSE))</f>
        <v>#N/A</v>
      </c>
      <c r="AA91" s="6451" t="e">
        <f>IF(V89=0,"",VLOOKUP(V89,'Tablas Magia'!$D$6:$Z$680,19,FALSE))</f>
        <v>#N/A</v>
      </c>
      <c r="AB91" s="6452"/>
      <c r="AC91" s="6452"/>
      <c r="AD91" s="6452"/>
      <c r="AE91" s="6452"/>
      <c r="AF91" s="6452"/>
      <c r="AG91" s="6452"/>
      <c r="AH91" s="6452"/>
      <c r="AI91" s="6452"/>
      <c r="AJ91" s="6453"/>
      <c r="AK91" s="402"/>
      <c r="AL91" s="396"/>
    </row>
    <row r="92" spans="1:38" ht="12" customHeight="1" x14ac:dyDescent="0.2">
      <c r="A92" s="396"/>
      <c r="B92" s="804"/>
      <c r="C92" s="6444" t="s">
        <v>3197</v>
      </c>
      <c r="D92" s="6445"/>
      <c r="E92" s="2506" t="e">
        <f>IF(C89=0,"",VLOOKUP(C89,'Tablas Magia'!$D$6:$Z$680,8,FALSE))</f>
        <v>#N/A</v>
      </c>
      <c r="F92" s="2506" t="e">
        <f>IF(C89=0,"",VLOOKUP(C89,'Tablas Magia'!$D$6:$Z$680,12,FALSE))</f>
        <v>#N/A</v>
      </c>
      <c r="G92" s="414" t="e">
        <f>IF(C89=0,"",VLOOKUP(C89,'Tablas Magia'!$D$6:$Z$680,16,FALSE))</f>
        <v>#N/A</v>
      </c>
      <c r="H92" s="6446" t="e">
        <f>IF(C89=0,"",VLOOKUP(C89,'Tablas Magia'!$D$6:$Z$680,20,FALSE))</f>
        <v>#N/A</v>
      </c>
      <c r="I92" s="6484"/>
      <c r="J92" s="6484"/>
      <c r="K92" s="6484"/>
      <c r="L92" s="6484"/>
      <c r="M92" s="6484"/>
      <c r="N92" s="6484"/>
      <c r="O92" s="6484"/>
      <c r="P92" s="6484"/>
      <c r="Q92" s="6448"/>
      <c r="R92" s="402"/>
      <c r="S92" s="396"/>
      <c r="T92" s="396"/>
      <c r="U92" s="804"/>
      <c r="V92" s="6444" t="s">
        <v>3197</v>
      </c>
      <c r="W92" s="6445"/>
      <c r="X92" s="413" t="e">
        <f>IF(V89=0,"",VLOOKUP(V89,'Tablas Magia'!$D$6:$Z$680,8,FALSE))</f>
        <v>#N/A</v>
      </c>
      <c r="Y92" s="413" t="e">
        <f>IF(V89=0,"",VLOOKUP(V89,'Tablas Magia'!$D$6:$Z$680,12,FALSE))</f>
        <v>#N/A</v>
      </c>
      <c r="Z92" s="414" t="e">
        <f>IF(V89=0,"",VLOOKUP(V89,'Tablas Magia'!$D$6:$Z$680,16,FALSE))</f>
        <v>#N/A</v>
      </c>
      <c r="AA92" s="6446" t="e">
        <f>IF(V89=0,"",VLOOKUP(V89,'Tablas Magia'!$D$6:$Z$680,20,FALSE))</f>
        <v>#N/A</v>
      </c>
      <c r="AB92" s="6447"/>
      <c r="AC92" s="6447"/>
      <c r="AD92" s="6447"/>
      <c r="AE92" s="6447"/>
      <c r="AF92" s="6447"/>
      <c r="AG92" s="6447"/>
      <c r="AH92" s="6447"/>
      <c r="AI92" s="6447"/>
      <c r="AJ92" s="6448"/>
      <c r="AK92" s="402"/>
      <c r="AL92" s="396"/>
    </row>
    <row r="93" spans="1:38" ht="12" customHeight="1" x14ac:dyDescent="0.2">
      <c r="A93" s="396"/>
      <c r="B93" s="804"/>
      <c r="C93" s="6449" t="s">
        <v>3198</v>
      </c>
      <c r="D93" s="6450"/>
      <c r="E93" s="2505" t="e">
        <f>IF(C89=0,"",VLOOKUP(C89,'Tablas Magia'!$D$6:$Z$680,9,FALSE))</f>
        <v>#N/A</v>
      </c>
      <c r="F93" s="2505" t="e">
        <f>IF(C89=0,"",VLOOKUP(C89,'Tablas Magia'!$D$6:$Z$680,13,FALSE))</f>
        <v>#N/A</v>
      </c>
      <c r="G93" s="412" t="e">
        <f>IF(C89=0,"",VLOOKUP(C89,'Tablas Magia'!$D$6:$Z$680,17,FALSE))</f>
        <v>#N/A</v>
      </c>
      <c r="H93" s="6451" t="e">
        <f>IF(C89=0,"",VLOOKUP(C89,'Tablas Magia'!$D$6:$Z$680,21,FALSE))</f>
        <v>#N/A</v>
      </c>
      <c r="I93" s="6494"/>
      <c r="J93" s="6494"/>
      <c r="K93" s="6494"/>
      <c r="L93" s="6494"/>
      <c r="M93" s="6494"/>
      <c r="N93" s="6494"/>
      <c r="O93" s="6494"/>
      <c r="P93" s="6494"/>
      <c r="Q93" s="6453"/>
      <c r="R93" s="402"/>
      <c r="S93" s="396"/>
      <c r="T93" s="396"/>
      <c r="U93" s="804"/>
      <c r="V93" s="6449" t="s">
        <v>3198</v>
      </c>
      <c r="W93" s="6450"/>
      <c r="X93" s="411" t="e">
        <f>IF(V89=0,"",VLOOKUP(V89,'Tablas Magia'!$D$6:$Z$680,9,FALSE))</f>
        <v>#N/A</v>
      </c>
      <c r="Y93" s="411" t="e">
        <f>IF(V89=0,"",VLOOKUP(V89,'Tablas Magia'!$D$6:$Z$680,13,FALSE))</f>
        <v>#N/A</v>
      </c>
      <c r="Z93" s="412" t="e">
        <f>IF(V89=0,"",VLOOKUP(V89,'Tablas Magia'!$D$6:$Z$680,17,FALSE))</f>
        <v>#N/A</v>
      </c>
      <c r="AA93" s="6451" t="e">
        <f>IF(V89=0,"",VLOOKUP(V89,'Tablas Magia'!$D$6:$Z$680,21,FALSE))</f>
        <v>#N/A</v>
      </c>
      <c r="AB93" s="6452"/>
      <c r="AC93" s="6452"/>
      <c r="AD93" s="6452"/>
      <c r="AE93" s="6452"/>
      <c r="AF93" s="6452"/>
      <c r="AG93" s="6452"/>
      <c r="AH93" s="6452"/>
      <c r="AI93" s="6452"/>
      <c r="AJ93" s="6453"/>
      <c r="AK93" s="402"/>
      <c r="AL93" s="396"/>
    </row>
    <row r="94" spans="1:38" ht="12" customHeight="1" thickBot="1" x14ac:dyDescent="0.25">
      <c r="A94" s="396"/>
      <c r="B94" s="804"/>
      <c r="C94" s="6454" t="s">
        <v>3199</v>
      </c>
      <c r="D94" s="6455"/>
      <c r="E94" s="415" t="e">
        <f>IF(C89=0,"",VLOOKUP(C89,'Tablas Magia'!$D$6:$Z$680,10,FALSE))</f>
        <v>#N/A</v>
      </c>
      <c r="F94" s="415" t="e">
        <f>IF(C89=0,"",VLOOKUP(C89,'Tablas Magia'!$D$6:$Z$680,14,FALSE))</f>
        <v>#N/A</v>
      </c>
      <c r="G94" s="416" t="e">
        <f>IF(C89=0,"",VLOOKUP(C89,'Tablas Magia'!$D$6:$Z$680,18,FALSE))</f>
        <v>#N/A</v>
      </c>
      <c r="H94" s="6456" t="e">
        <f>IF(C89=0,"",VLOOKUP(C89,'Tablas Magia'!$D$6:$Z$680,22,FALSE))</f>
        <v>#N/A</v>
      </c>
      <c r="I94" s="6457"/>
      <c r="J94" s="6457"/>
      <c r="K94" s="6457"/>
      <c r="L94" s="6457"/>
      <c r="M94" s="6457"/>
      <c r="N94" s="6457"/>
      <c r="O94" s="6457"/>
      <c r="P94" s="6457"/>
      <c r="Q94" s="6458"/>
      <c r="R94" s="402"/>
      <c r="S94" s="396"/>
      <c r="T94" s="396"/>
      <c r="U94" s="804"/>
      <c r="V94" s="6454" t="s">
        <v>3199</v>
      </c>
      <c r="W94" s="6455"/>
      <c r="X94" s="415" t="e">
        <f>IF(V89=0,"",VLOOKUP(V89,'Tablas Magia'!$D$6:$Z$680,10,FALSE))</f>
        <v>#N/A</v>
      </c>
      <c r="Y94" s="415" t="e">
        <f>IF(V89=0,"",VLOOKUP(V89,'Tablas Magia'!$D$6:$Z$680,14,FALSE))</f>
        <v>#N/A</v>
      </c>
      <c r="Z94" s="416" t="e">
        <f>IF(V89=0,"",VLOOKUP(V89,'Tablas Magia'!$D$6:$Z$680,18,FALSE))</f>
        <v>#N/A</v>
      </c>
      <c r="AA94" s="6456" t="e">
        <f>IF(V89=0,"",VLOOKUP(V89,'Tablas Magia'!$D$6:$Z$680,22,FALSE))</f>
        <v>#N/A</v>
      </c>
      <c r="AB94" s="6457"/>
      <c r="AC94" s="6457"/>
      <c r="AD94" s="6457"/>
      <c r="AE94" s="6457"/>
      <c r="AF94" s="6457"/>
      <c r="AG94" s="6457"/>
      <c r="AH94" s="6457"/>
      <c r="AI94" s="6457"/>
      <c r="AJ94" s="6458"/>
      <c r="AK94" s="402"/>
      <c r="AL94" s="396"/>
    </row>
    <row r="95" spans="1:38" ht="12" customHeight="1" x14ac:dyDescent="0.2">
      <c r="A95" s="396"/>
      <c r="B95" s="804"/>
      <c r="C95" s="6459" t="e">
        <f>IF(C89=0,"",VLOOKUP(C89,'Tablas Magia'!$D$6:$Z$680,23,FALSE))</f>
        <v>#N/A</v>
      </c>
      <c r="D95" s="6460"/>
      <c r="E95" s="6460"/>
      <c r="F95" s="6460"/>
      <c r="G95" s="6460"/>
      <c r="H95" s="6460"/>
      <c r="I95" s="6460"/>
      <c r="J95" s="6460"/>
      <c r="K95" s="6460"/>
      <c r="L95" s="6460"/>
      <c r="M95" s="6460"/>
      <c r="N95" s="6460"/>
      <c r="O95" s="6460"/>
      <c r="P95" s="6460"/>
      <c r="Q95" s="6461"/>
      <c r="R95" s="402"/>
      <c r="S95" s="396"/>
      <c r="T95" s="396"/>
      <c r="U95" s="804"/>
      <c r="V95" s="6459" t="e">
        <f>IF(V89=0,"",VLOOKUP(V89,'Tablas Magia'!$D$6:$Z$680,23,FALSE))</f>
        <v>#N/A</v>
      </c>
      <c r="W95" s="6460"/>
      <c r="X95" s="6460"/>
      <c r="Y95" s="6460"/>
      <c r="Z95" s="6460"/>
      <c r="AA95" s="6460"/>
      <c r="AB95" s="6460"/>
      <c r="AC95" s="6460"/>
      <c r="AD95" s="6460"/>
      <c r="AE95" s="6460"/>
      <c r="AF95" s="6460"/>
      <c r="AG95" s="6460"/>
      <c r="AH95" s="6460"/>
      <c r="AI95" s="6460"/>
      <c r="AJ95" s="6461"/>
      <c r="AK95" s="402"/>
      <c r="AL95" s="396"/>
    </row>
    <row r="96" spans="1:38" ht="12" customHeight="1" x14ac:dyDescent="0.2">
      <c r="A96" s="396"/>
      <c r="B96" s="804"/>
      <c r="C96" s="6462"/>
      <c r="D96" s="6485"/>
      <c r="E96" s="6485"/>
      <c r="F96" s="6485"/>
      <c r="G96" s="6485"/>
      <c r="H96" s="6485"/>
      <c r="I96" s="6485"/>
      <c r="J96" s="6485"/>
      <c r="K96" s="6485"/>
      <c r="L96" s="6485"/>
      <c r="M96" s="6485"/>
      <c r="N96" s="6485"/>
      <c r="O96" s="6485"/>
      <c r="P96" s="6485"/>
      <c r="Q96" s="6464"/>
      <c r="R96" s="402"/>
      <c r="S96" s="396"/>
      <c r="T96" s="396"/>
      <c r="U96" s="804"/>
      <c r="V96" s="6462"/>
      <c r="W96" s="6463"/>
      <c r="X96" s="6463"/>
      <c r="Y96" s="6463"/>
      <c r="Z96" s="6463"/>
      <c r="AA96" s="6463"/>
      <c r="AB96" s="6463"/>
      <c r="AC96" s="6463"/>
      <c r="AD96" s="6463"/>
      <c r="AE96" s="6463"/>
      <c r="AF96" s="6463"/>
      <c r="AG96" s="6463"/>
      <c r="AH96" s="6463"/>
      <c r="AI96" s="6463"/>
      <c r="AJ96" s="6464"/>
      <c r="AK96" s="402"/>
      <c r="AL96" s="396"/>
    </row>
    <row r="97" spans="1:38" ht="12" customHeight="1" x14ac:dyDescent="0.2">
      <c r="A97" s="396"/>
      <c r="B97" s="804"/>
      <c r="C97" s="6462"/>
      <c r="D97" s="6485"/>
      <c r="E97" s="6485"/>
      <c r="F97" s="6485"/>
      <c r="G97" s="6485"/>
      <c r="H97" s="6485"/>
      <c r="I97" s="6485"/>
      <c r="J97" s="6485"/>
      <c r="K97" s="6485"/>
      <c r="L97" s="6485"/>
      <c r="M97" s="6485"/>
      <c r="N97" s="6485"/>
      <c r="O97" s="6485"/>
      <c r="P97" s="6485"/>
      <c r="Q97" s="6464"/>
      <c r="R97" s="402"/>
      <c r="S97" s="396"/>
      <c r="T97" s="396"/>
      <c r="U97" s="804"/>
      <c r="V97" s="6462"/>
      <c r="W97" s="6463"/>
      <c r="X97" s="6463"/>
      <c r="Y97" s="6463"/>
      <c r="Z97" s="6463"/>
      <c r="AA97" s="6463"/>
      <c r="AB97" s="6463"/>
      <c r="AC97" s="6463"/>
      <c r="AD97" s="6463"/>
      <c r="AE97" s="6463"/>
      <c r="AF97" s="6463"/>
      <c r="AG97" s="6463"/>
      <c r="AH97" s="6463"/>
      <c r="AI97" s="6463"/>
      <c r="AJ97" s="6464"/>
      <c r="AK97" s="402"/>
      <c r="AL97" s="396"/>
    </row>
    <row r="98" spans="1:38" ht="12" customHeight="1" thickBot="1" x14ac:dyDescent="0.25">
      <c r="A98" s="396"/>
      <c r="B98" s="804"/>
      <c r="C98" s="6465"/>
      <c r="D98" s="6466"/>
      <c r="E98" s="6466"/>
      <c r="F98" s="6466"/>
      <c r="G98" s="6466"/>
      <c r="H98" s="6466"/>
      <c r="I98" s="6466"/>
      <c r="J98" s="6466"/>
      <c r="K98" s="6466"/>
      <c r="L98" s="6466"/>
      <c r="M98" s="6466"/>
      <c r="N98" s="6466"/>
      <c r="O98" s="6466"/>
      <c r="P98" s="6466"/>
      <c r="Q98" s="6467"/>
      <c r="R98" s="402"/>
      <c r="S98" s="396"/>
      <c r="T98" s="396"/>
      <c r="U98" s="804"/>
      <c r="V98" s="6465"/>
      <c r="W98" s="6466"/>
      <c r="X98" s="6466"/>
      <c r="Y98" s="6466"/>
      <c r="Z98" s="6466"/>
      <c r="AA98" s="6466"/>
      <c r="AB98" s="6466"/>
      <c r="AC98" s="6466"/>
      <c r="AD98" s="6466"/>
      <c r="AE98" s="6466"/>
      <c r="AF98" s="6466"/>
      <c r="AG98" s="6466"/>
      <c r="AH98" s="6466"/>
      <c r="AI98" s="6466"/>
      <c r="AJ98" s="6467"/>
      <c r="AK98" s="402"/>
      <c r="AL98" s="396"/>
    </row>
    <row r="99" spans="1:38" ht="12" customHeight="1" thickBot="1" x14ac:dyDescent="0.25">
      <c r="A99" s="396"/>
      <c r="B99" s="804"/>
      <c r="C99" s="2510"/>
      <c r="D99" s="2510"/>
      <c r="E99" s="2512"/>
      <c r="F99" s="2512"/>
      <c r="G99" s="2512"/>
      <c r="H99" s="2510"/>
      <c r="I99" s="2511"/>
      <c r="J99" s="2511"/>
      <c r="K99" s="2510"/>
      <c r="L99" s="2510"/>
      <c r="M99" s="2511"/>
      <c r="N99" s="2511"/>
      <c r="O99" s="2513"/>
      <c r="P99" s="2513"/>
      <c r="Q99" s="2511"/>
      <c r="R99" s="402"/>
      <c r="S99" s="396"/>
      <c r="T99" s="396"/>
      <c r="U99" s="804"/>
      <c r="V99" s="422"/>
      <c r="W99" s="422"/>
      <c r="X99" s="423"/>
      <c r="Y99" s="423"/>
      <c r="Z99" s="423"/>
      <c r="AA99" s="423"/>
      <c r="AB99" s="423"/>
      <c r="AC99" s="423"/>
      <c r="AD99" s="423"/>
      <c r="AE99" s="423"/>
      <c r="AF99" s="423"/>
      <c r="AG99" s="423"/>
      <c r="AH99" s="423"/>
      <c r="AI99" s="423"/>
      <c r="AJ99" s="423"/>
      <c r="AK99" s="402"/>
      <c r="AL99" s="396"/>
    </row>
    <row r="100" spans="1:38" ht="12" customHeight="1" x14ac:dyDescent="0.2">
      <c r="A100" s="396"/>
      <c r="B100" s="804">
        <f>B89+2</f>
        <v>26</v>
      </c>
      <c r="C100" s="6501"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502"/>
      <c r="E100" s="6502"/>
      <c r="F100" s="6502"/>
      <c r="G100" s="6503"/>
      <c r="H100" s="406" t="s">
        <v>1325</v>
      </c>
      <c r="I100" s="407">
        <f>B100</f>
        <v>26</v>
      </c>
      <c r="J100" s="6486" t="s">
        <v>6236</v>
      </c>
      <c r="K100" s="6486"/>
      <c r="L100" s="6486"/>
      <c r="M100" s="6471" t="e">
        <f>IF(C100=0,"",VLOOKUP(C100,'Tablas Magia'!$D$6:$Z$680,2,FALSE))</f>
        <v>#N/A</v>
      </c>
      <c r="N100" s="6471"/>
      <c r="O100" s="1718"/>
      <c r="P100" s="6492" t="str">
        <f>IFERROR(IF(M100="Libre Acceso","Aprendido",IF(IFERROR(VLOOKUP(M100,Místicos!$C$15:$H$25,6,0)&gt;=I100,FALSE),"Aprendido",IF(IFERROR(VLOOKUP(M100,Místicos!$E$15:$H$25,4,0)&gt;=I100,FALSE),"Aprendido",""))),"")</f>
        <v/>
      </c>
      <c r="Q100" s="6493"/>
      <c r="R100" s="402"/>
      <c r="S100" s="396"/>
      <c r="T100" s="396"/>
      <c r="U100" s="804">
        <f>U89+2</f>
        <v>36</v>
      </c>
      <c r="V100" s="6501"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507"/>
      <c r="X100" s="6507"/>
      <c r="Y100" s="6507"/>
      <c r="Z100" s="6507"/>
      <c r="AA100" s="406" t="s">
        <v>1325</v>
      </c>
      <c r="AB100" s="407">
        <f>U100</f>
        <v>36</v>
      </c>
      <c r="AC100" s="6486" t="s">
        <v>6236</v>
      </c>
      <c r="AD100" s="6486"/>
      <c r="AE100" s="6486"/>
      <c r="AF100" s="6471" t="e">
        <f>IF(V100=0,"",VLOOKUP(V100,'Tablas Magia'!$D$6:$Z$680,2,FALSE))</f>
        <v>#N/A</v>
      </c>
      <c r="AG100" s="6471"/>
      <c r="AH100" s="1718"/>
      <c r="AI100" s="6492" t="str">
        <f>IFERROR(IF(AF100="Libre Acceso","Aprendido",IF(IFERROR(VLOOKUP(AF100,Místicos!$C$15:$H$25,6,0)&gt;=AB100,FALSE),"Aprendido",IF(IFERROR(VLOOKUP(AF100,Místicos!$E$15:$H$25,4,0)&gt;=AB100,FALSE),"Aprendido",""))),"")</f>
        <v/>
      </c>
      <c r="AJ100" s="6493"/>
      <c r="AK100" s="402"/>
      <c r="AL100" s="396"/>
    </row>
    <row r="101" spans="1:38" ht="12" customHeight="1" x14ac:dyDescent="0.2">
      <c r="A101" s="396"/>
      <c r="B101" s="804"/>
      <c r="C101" s="6473" t="s">
        <v>6237</v>
      </c>
      <c r="D101" s="6487"/>
      <c r="E101" s="2502" t="s">
        <v>6238</v>
      </c>
      <c r="F101" s="2502" t="s">
        <v>1509</v>
      </c>
      <c r="G101" s="2502" t="s">
        <v>2828</v>
      </c>
      <c r="H101" s="2503" t="s">
        <v>1836</v>
      </c>
      <c r="I101" s="6495" t="e">
        <f>IF(C100=0,"",VLOOKUP(C100,'Tablas Magia'!$D$6:$Z$680,5,FALSE))</f>
        <v>#N/A</v>
      </c>
      <c r="J101" s="6495"/>
      <c r="K101" s="6498" t="s">
        <v>6239</v>
      </c>
      <c r="L101" s="6498"/>
      <c r="M101" s="6495" t="e">
        <f>IF(C100=0,"",VLOOKUP(C100,'Tablas Magia'!$D$6:$Z$680,6,FALSE))</f>
        <v>#N/A</v>
      </c>
      <c r="N101" s="6495"/>
      <c r="O101" s="6496" t="s">
        <v>6240</v>
      </c>
      <c r="P101" s="6496"/>
      <c r="Q101" s="2504" t="e">
        <f>IF(C100=0,"",VLOOKUP(C100,'Tablas Magia'!$D$6:$Z$680,4,FALSE))</f>
        <v>#N/A</v>
      </c>
      <c r="R101" s="402"/>
      <c r="S101" s="396"/>
      <c r="T101" s="396"/>
      <c r="U101" s="804"/>
      <c r="V101" s="6473" t="s">
        <v>6237</v>
      </c>
      <c r="W101" s="6504"/>
      <c r="X101" s="1727" t="s">
        <v>6238</v>
      </c>
      <c r="Y101" s="1727" t="s">
        <v>1509</v>
      </c>
      <c r="Z101" s="1727" t="s">
        <v>2828</v>
      </c>
      <c r="AA101" s="1728" t="s">
        <v>1836</v>
      </c>
      <c r="AB101" s="6491" t="e">
        <f>IF(V100=0,"",VLOOKUP(V100,'Tablas Magia'!$D$6:$Z$680,5,FALSE))</f>
        <v>#N/A</v>
      </c>
      <c r="AC101" s="6491"/>
      <c r="AD101" s="6505" t="s">
        <v>6239</v>
      </c>
      <c r="AE101" s="6505"/>
      <c r="AF101" s="6491" t="e">
        <f>IF(V100=0,"",VLOOKUP(V100,'Tablas Magia'!$D$6:$Z$680,6,FALSE))</f>
        <v>#N/A</v>
      </c>
      <c r="AG101" s="6491"/>
      <c r="AH101" s="6506" t="s">
        <v>6240</v>
      </c>
      <c r="AI101" s="6506"/>
      <c r="AJ101" s="1729" t="e">
        <f>IF(V100=0,"",VLOOKUP(V100,'Tablas Magia'!$D$6:$Z$680,4,FALSE))</f>
        <v>#N/A</v>
      </c>
      <c r="AK101" s="402"/>
      <c r="AL101" s="396"/>
    </row>
    <row r="102" spans="1:38" ht="12" customHeight="1" x14ac:dyDescent="0.2">
      <c r="A102" s="396"/>
      <c r="B102" s="804"/>
      <c r="C102" s="6499" t="s">
        <v>1365</v>
      </c>
      <c r="D102" s="6500"/>
      <c r="E102" s="2505" t="e">
        <f>IF(C100=0,"",VLOOKUP(C100,'Tablas Magia'!$D$6:$Z$680,7,FALSE))</f>
        <v>#N/A</v>
      </c>
      <c r="F102" s="2505" t="e">
        <f>IF(C100=0,"",VLOOKUP(C100,'Tablas Magia'!$D$6:$Z$680,11,FALSE))</f>
        <v>#N/A</v>
      </c>
      <c r="G102" s="412" t="e">
        <f>IF(C100=0,"",VLOOKUP(C100,'Tablas Magia'!$D$6:$Z$680,15,FALSE))</f>
        <v>#N/A</v>
      </c>
      <c r="H102" s="6481" t="e">
        <f>IF(C100=0,"",VLOOKUP(C100,'Tablas Magia'!$D$6:$Z$680,19,FALSE))</f>
        <v>#N/A</v>
      </c>
      <c r="I102" s="6482"/>
      <c r="J102" s="6482"/>
      <c r="K102" s="6482"/>
      <c r="L102" s="6482"/>
      <c r="M102" s="6482"/>
      <c r="N102" s="6482"/>
      <c r="O102" s="6482"/>
      <c r="P102" s="6482"/>
      <c r="Q102" s="6483"/>
      <c r="R102" s="402"/>
      <c r="S102" s="396"/>
      <c r="T102" s="396"/>
      <c r="U102" s="804"/>
      <c r="V102" s="6449" t="s">
        <v>1365</v>
      </c>
      <c r="W102" s="6450"/>
      <c r="X102" s="411" t="e">
        <f>IF(V100=0,"",VLOOKUP(V100,'Tablas Magia'!$D$6:$Z$680,7,FALSE))</f>
        <v>#N/A</v>
      </c>
      <c r="Y102" s="411" t="e">
        <f>IF(V100=0,"",VLOOKUP(V100,'Tablas Magia'!$D$6:$Z$680,11,FALSE))</f>
        <v>#N/A</v>
      </c>
      <c r="Z102" s="412" t="e">
        <f>IF(V100=0,"",VLOOKUP(V100,'Tablas Magia'!$D$6:$Z$680,15,FALSE))</f>
        <v>#N/A</v>
      </c>
      <c r="AA102" s="6451" t="e">
        <f>IF(V100=0,"",VLOOKUP(V100,'Tablas Magia'!$D$6:$Z$680,19,FALSE))</f>
        <v>#N/A</v>
      </c>
      <c r="AB102" s="6452"/>
      <c r="AC102" s="6452"/>
      <c r="AD102" s="6452"/>
      <c r="AE102" s="6452"/>
      <c r="AF102" s="6452"/>
      <c r="AG102" s="6452"/>
      <c r="AH102" s="6452"/>
      <c r="AI102" s="6452"/>
      <c r="AJ102" s="6453"/>
      <c r="AK102" s="402"/>
      <c r="AL102" s="396"/>
    </row>
    <row r="103" spans="1:38" ht="12" customHeight="1" x14ac:dyDescent="0.2">
      <c r="A103" s="396"/>
      <c r="B103" s="804"/>
      <c r="C103" s="6444" t="s">
        <v>3197</v>
      </c>
      <c r="D103" s="6445"/>
      <c r="E103" s="2506" t="e">
        <f>IF(C100=0,"",VLOOKUP(C100,'Tablas Magia'!$D$6:$Z$680,8,FALSE))</f>
        <v>#N/A</v>
      </c>
      <c r="F103" s="2506" t="e">
        <f>IF(C100=0,"",VLOOKUP(C100,'Tablas Magia'!$D$6:$Z$680,12,FALSE))</f>
        <v>#N/A</v>
      </c>
      <c r="G103" s="414" t="e">
        <f>IF(C100=0,"",VLOOKUP(C100,'Tablas Magia'!$D$6:$Z$680,16,FALSE))</f>
        <v>#N/A</v>
      </c>
      <c r="H103" s="6446" t="e">
        <f>IF(C100=0,"",VLOOKUP(C100,'Tablas Magia'!$D$6:$Z$680,20,FALSE))</f>
        <v>#N/A</v>
      </c>
      <c r="I103" s="6484"/>
      <c r="J103" s="6484"/>
      <c r="K103" s="6484"/>
      <c r="L103" s="6484"/>
      <c r="M103" s="6484"/>
      <c r="N103" s="6484"/>
      <c r="O103" s="6484"/>
      <c r="P103" s="6484"/>
      <c r="Q103" s="6448"/>
      <c r="R103" s="402"/>
      <c r="S103" s="396"/>
      <c r="T103" s="396"/>
      <c r="U103" s="804"/>
      <c r="V103" s="6444" t="s">
        <v>3197</v>
      </c>
      <c r="W103" s="6445"/>
      <c r="X103" s="413" t="e">
        <f>IF(V100=0,"",VLOOKUP(V100,'Tablas Magia'!$D$6:$Z$680,8,FALSE))</f>
        <v>#N/A</v>
      </c>
      <c r="Y103" s="413" t="e">
        <f>IF(V100=0,"",VLOOKUP(V100,'Tablas Magia'!$D$6:$Z$680,12,FALSE))</f>
        <v>#N/A</v>
      </c>
      <c r="Z103" s="414" t="e">
        <f>IF(V100=0,"",VLOOKUP(V100,'Tablas Magia'!$D$6:$Z$680,16,FALSE))</f>
        <v>#N/A</v>
      </c>
      <c r="AA103" s="6446" t="e">
        <f>IF(V100=0,"",VLOOKUP(V100,'Tablas Magia'!$D$6:$Z$680,20,FALSE))</f>
        <v>#N/A</v>
      </c>
      <c r="AB103" s="6447"/>
      <c r="AC103" s="6447"/>
      <c r="AD103" s="6447"/>
      <c r="AE103" s="6447"/>
      <c r="AF103" s="6447"/>
      <c r="AG103" s="6447"/>
      <c r="AH103" s="6447"/>
      <c r="AI103" s="6447"/>
      <c r="AJ103" s="6448"/>
      <c r="AK103" s="402"/>
      <c r="AL103" s="396"/>
    </row>
    <row r="104" spans="1:38" ht="12" customHeight="1" x14ac:dyDescent="0.2">
      <c r="A104" s="396"/>
      <c r="B104" s="804"/>
      <c r="C104" s="6449" t="s">
        <v>3198</v>
      </c>
      <c r="D104" s="6450"/>
      <c r="E104" s="2505" t="e">
        <f>IF(C100=0,"",VLOOKUP(C100,'Tablas Magia'!$D$6:$Z$680,9,FALSE))</f>
        <v>#N/A</v>
      </c>
      <c r="F104" s="2505" t="e">
        <f>IF(C100=0,"",VLOOKUP(C100,'Tablas Magia'!$D$6:$Z$680,13,FALSE))</f>
        <v>#N/A</v>
      </c>
      <c r="G104" s="412" t="e">
        <f>IF(C100=0,"",VLOOKUP(C100,'Tablas Magia'!$D$6:$Z$680,17,FALSE))</f>
        <v>#N/A</v>
      </c>
      <c r="H104" s="6451" t="e">
        <f>IF(C100=0,"",VLOOKUP(C100,'Tablas Magia'!$D$6:$Z$680,21,FALSE))</f>
        <v>#N/A</v>
      </c>
      <c r="I104" s="6494"/>
      <c r="J104" s="6494"/>
      <c r="K104" s="6494"/>
      <c r="L104" s="6494"/>
      <c r="M104" s="6494"/>
      <c r="N104" s="6494"/>
      <c r="O104" s="6494"/>
      <c r="P104" s="6494"/>
      <c r="Q104" s="6453"/>
      <c r="R104" s="402"/>
      <c r="S104" s="396"/>
      <c r="T104" s="396"/>
      <c r="U104" s="804"/>
      <c r="V104" s="6449" t="s">
        <v>3198</v>
      </c>
      <c r="W104" s="6450"/>
      <c r="X104" s="411" t="e">
        <f>IF(V100=0,"",VLOOKUP(V100,'Tablas Magia'!$D$6:$Z$680,9,FALSE))</f>
        <v>#N/A</v>
      </c>
      <c r="Y104" s="411" t="e">
        <f>IF(V100=0,"",VLOOKUP(V100,'Tablas Magia'!$D$6:$Z$680,13,FALSE))</f>
        <v>#N/A</v>
      </c>
      <c r="Z104" s="412" t="e">
        <f>IF(V100=0,"",VLOOKUP(V100,'Tablas Magia'!$D$6:$Z$680,17,FALSE))</f>
        <v>#N/A</v>
      </c>
      <c r="AA104" s="6451" t="e">
        <f>IF(V100=0,"",VLOOKUP(V100,'Tablas Magia'!$D$6:$Z$680,21,FALSE))</f>
        <v>#N/A</v>
      </c>
      <c r="AB104" s="6452"/>
      <c r="AC104" s="6452"/>
      <c r="AD104" s="6452"/>
      <c r="AE104" s="6452"/>
      <c r="AF104" s="6452"/>
      <c r="AG104" s="6452"/>
      <c r="AH104" s="6452"/>
      <c r="AI104" s="6452"/>
      <c r="AJ104" s="6453"/>
      <c r="AK104" s="402"/>
      <c r="AL104" s="396"/>
    </row>
    <row r="105" spans="1:38" ht="12" customHeight="1" thickBot="1" x14ac:dyDescent="0.25">
      <c r="A105" s="396"/>
      <c r="B105" s="804"/>
      <c r="C105" s="6454" t="s">
        <v>3199</v>
      </c>
      <c r="D105" s="6455"/>
      <c r="E105" s="415" t="e">
        <f>IF(C100=0,"",VLOOKUP(C100,'Tablas Magia'!$D$6:$Z$680,10,FALSE))</f>
        <v>#N/A</v>
      </c>
      <c r="F105" s="415" t="e">
        <f>IF(C100=0,"",VLOOKUP(C100,'Tablas Magia'!$D$6:$Z$680,14,FALSE))</f>
        <v>#N/A</v>
      </c>
      <c r="G105" s="416" t="e">
        <f>IF(C100=0,"",VLOOKUP(C100,'Tablas Magia'!$D$6:$Z$680,18,FALSE))</f>
        <v>#N/A</v>
      </c>
      <c r="H105" s="6456" t="e">
        <f>IF(C100=0,"",VLOOKUP(C100,'Tablas Magia'!$D$6:$Z$680,22,FALSE))</f>
        <v>#N/A</v>
      </c>
      <c r="I105" s="6457"/>
      <c r="J105" s="6457"/>
      <c r="K105" s="6457"/>
      <c r="L105" s="6457"/>
      <c r="M105" s="6457"/>
      <c r="N105" s="6457"/>
      <c r="O105" s="6457"/>
      <c r="P105" s="6457"/>
      <c r="Q105" s="6458"/>
      <c r="R105" s="402"/>
      <c r="S105" s="396"/>
      <c r="T105" s="396"/>
      <c r="U105" s="804"/>
      <c r="V105" s="6454" t="s">
        <v>3199</v>
      </c>
      <c r="W105" s="6455"/>
      <c r="X105" s="415" t="e">
        <f>IF(V100=0,"",VLOOKUP(V100,'Tablas Magia'!$D$6:$Z$680,10,FALSE))</f>
        <v>#N/A</v>
      </c>
      <c r="Y105" s="415" t="e">
        <f>IF(V100=0,"",VLOOKUP(V100,'Tablas Magia'!$D$6:$Z$680,14,FALSE))</f>
        <v>#N/A</v>
      </c>
      <c r="Z105" s="416" t="e">
        <f>IF(V100=0,"",VLOOKUP(V100,'Tablas Magia'!$D$6:$Z$680,18,FALSE))</f>
        <v>#N/A</v>
      </c>
      <c r="AA105" s="6456" t="e">
        <f>IF(V100=0,"",VLOOKUP(V100,'Tablas Magia'!$D$6:$Z$680,22,FALSE))</f>
        <v>#N/A</v>
      </c>
      <c r="AB105" s="6457"/>
      <c r="AC105" s="6457"/>
      <c r="AD105" s="6457"/>
      <c r="AE105" s="6457"/>
      <c r="AF105" s="6457"/>
      <c r="AG105" s="6457"/>
      <c r="AH105" s="6457"/>
      <c r="AI105" s="6457"/>
      <c r="AJ105" s="6458"/>
      <c r="AK105" s="402"/>
      <c r="AL105" s="396"/>
    </row>
    <row r="106" spans="1:38" ht="12" customHeight="1" x14ac:dyDescent="0.2">
      <c r="A106" s="396"/>
      <c r="B106" s="804"/>
      <c r="C106" s="6459" t="e">
        <f>IF(C100=0,"",VLOOKUP(C100,'Tablas Magia'!$D$6:$Z$680,23,FALSE))</f>
        <v>#N/A</v>
      </c>
      <c r="D106" s="6460"/>
      <c r="E106" s="6460"/>
      <c r="F106" s="6460"/>
      <c r="G106" s="6460"/>
      <c r="H106" s="6460"/>
      <c r="I106" s="6460"/>
      <c r="J106" s="6460"/>
      <c r="K106" s="6460"/>
      <c r="L106" s="6460"/>
      <c r="M106" s="6460"/>
      <c r="N106" s="6460"/>
      <c r="O106" s="6460"/>
      <c r="P106" s="6460"/>
      <c r="Q106" s="6461"/>
      <c r="R106" s="402"/>
      <c r="S106" s="396"/>
      <c r="T106" s="396"/>
      <c r="U106" s="804"/>
      <c r="V106" s="6459" t="e">
        <f>IF(V100=0,"",VLOOKUP(V100,'Tablas Magia'!$D$6:$Z$680,23,FALSE))</f>
        <v>#N/A</v>
      </c>
      <c r="W106" s="6460"/>
      <c r="X106" s="6460"/>
      <c r="Y106" s="6460"/>
      <c r="Z106" s="6460"/>
      <c r="AA106" s="6460"/>
      <c r="AB106" s="6460"/>
      <c r="AC106" s="6460"/>
      <c r="AD106" s="6460"/>
      <c r="AE106" s="6460"/>
      <c r="AF106" s="6460"/>
      <c r="AG106" s="6460"/>
      <c r="AH106" s="6460"/>
      <c r="AI106" s="6460"/>
      <c r="AJ106" s="6461"/>
      <c r="AK106" s="402"/>
      <c r="AL106" s="396"/>
    </row>
    <row r="107" spans="1:38" ht="12" customHeight="1" x14ac:dyDescent="0.2">
      <c r="A107" s="396"/>
      <c r="B107" s="804"/>
      <c r="C107" s="6462"/>
      <c r="D107" s="6485"/>
      <c r="E107" s="6485"/>
      <c r="F107" s="6485"/>
      <c r="G107" s="6485"/>
      <c r="H107" s="6485"/>
      <c r="I107" s="6485"/>
      <c r="J107" s="6485"/>
      <c r="K107" s="6485"/>
      <c r="L107" s="6485"/>
      <c r="M107" s="6485"/>
      <c r="N107" s="6485"/>
      <c r="O107" s="6485"/>
      <c r="P107" s="6485"/>
      <c r="Q107" s="6464"/>
      <c r="R107" s="402"/>
      <c r="S107" s="396"/>
      <c r="T107" s="396"/>
      <c r="U107" s="804"/>
      <c r="V107" s="6462"/>
      <c r="W107" s="6463"/>
      <c r="X107" s="6463"/>
      <c r="Y107" s="6463"/>
      <c r="Z107" s="6463"/>
      <c r="AA107" s="6463"/>
      <c r="AB107" s="6463"/>
      <c r="AC107" s="6463"/>
      <c r="AD107" s="6463"/>
      <c r="AE107" s="6463"/>
      <c r="AF107" s="6463"/>
      <c r="AG107" s="6463"/>
      <c r="AH107" s="6463"/>
      <c r="AI107" s="6463"/>
      <c r="AJ107" s="6464"/>
      <c r="AK107" s="402"/>
      <c r="AL107" s="396"/>
    </row>
    <row r="108" spans="1:38" ht="12" customHeight="1" x14ac:dyDescent="0.2">
      <c r="A108" s="396"/>
      <c r="B108" s="804"/>
      <c r="C108" s="6462"/>
      <c r="D108" s="6485"/>
      <c r="E108" s="6485"/>
      <c r="F108" s="6485"/>
      <c r="G108" s="6485"/>
      <c r="H108" s="6485"/>
      <c r="I108" s="6485"/>
      <c r="J108" s="6485"/>
      <c r="K108" s="6485"/>
      <c r="L108" s="6485"/>
      <c r="M108" s="6485"/>
      <c r="N108" s="6485"/>
      <c r="O108" s="6485"/>
      <c r="P108" s="6485"/>
      <c r="Q108" s="6464"/>
      <c r="R108" s="402"/>
      <c r="S108" s="396"/>
      <c r="T108" s="396"/>
      <c r="U108" s="804"/>
      <c r="V108" s="6462"/>
      <c r="W108" s="6463"/>
      <c r="X108" s="6463"/>
      <c r="Y108" s="6463"/>
      <c r="Z108" s="6463"/>
      <c r="AA108" s="6463"/>
      <c r="AB108" s="6463"/>
      <c r="AC108" s="6463"/>
      <c r="AD108" s="6463"/>
      <c r="AE108" s="6463"/>
      <c r="AF108" s="6463"/>
      <c r="AG108" s="6463"/>
      <c r="AH108" s="6463"/>
      <c r="AI108" s="6463"/>
      <c r="AJ108" s="6464"/>
      <c r="AK108" s="402"/>
      <c r="AL108" s="396"/>
    </row>
    <row r="109" spans="1:38" ht="12" customHeight="1" thickBot="1" x14ac:dyDescent="0.25">
      <c r="A109" s="396"/>
      <c r="B109" s="804"/>
      <c r="C109" s="6465"/>
      <c r="D109" s="6466"/>
      <c r="E109" s="6466"/>
      <c r="F109" s="6466"/>
      <c r="G109" s="6466"/>
      <c r="H109" s="6466"/>
      <c r="I109" s="6466"/>
      <c r="J109" s="6466"/>
      <c r="K109" s="6466"/>
      <c r="L109" s="6466"/>
      <c r="M109" s="6466"/>
      <c r="N109" s="6466"/>
      <c r="O109" s="6466"/>
      <c r="P109" s="6466"/>
      <c r="Q109" s="6467"/>
      <c r="R109" s="402"/>
      <c r="S109" s="396"/>
      <c r="T109" s="396"/>
      <c r="U109" s="804"/>
      <c r="V109" s="6465"/>
      <c r="W109" s="6466"/>
      <c r="X109" s="6466"/>
      <c r="Y109" s="6466"/>
      <c r="Z109" s="6466"/>
      <c r="AA109" s="6466"/>
      <c r="AB109" s="6466"/>
      <c r="AC109" s="6466"/>
      <c r="AD109" s="6466"/>
      <c r="AE109" s="6466"/>
      <c r="AF109" s="6466"/>
      <c r="AG109" s="6466"/>
      <c r="AH109" s="6466"/>
      <c r="AI109" s="6466"/>
      <c r="AJ109" s="6467"/>
      <c r="AK109" s="402"/>
      <c r="AL109" s="396"/>
    </row>
    <row r="110" spans="1:38" ht="12" customHeight="1" thickBot="1" x14ac:dyDescent="0.25">
      <c r="A110" s="396"/>
      <c r="B110" s="804"/>
      <c r="C110" s="2514"/>
      <c r="D110" s="2514"/>
      <c r="E110" s="2515"/>
      <c r="F110" s="2515"/>
      <c r="G110" s="2515"/>
      <c r="H110" s="2515"/>
      <c r="I110" s="2515"/>
      <c r="J110" s="2515"/>
      <c r="K110" s="2515"/>
      <c r="L110" s="2515"/>
      <c r="M110" s="2515"/>
      <c r="N110" s="2515"/>
      <c r="O110" s="2515"/>
      <c r="P110" s="2515"/>
      <c r="Q110" s="2515"/>
      <c r="R110" s="402"/>
      <c r="S110" s="396"/>
      <c r="T110" s="396"/>
      <c r="U110" s="804"/>
      <c r="V110" s="422"/>
      <c r="W110" s="422"/>
      <c r="X110" s="413"/>
      <c r="Y110" s="413"/>
      <c r="Z110" s="413"/>
      <c r="AA110" s="423"/>
      <c r="AB110" s="423"/>
      <c r="AC110" s="423"/>
      <c r="AD110" s="423"/>
      <c r="AE110" s="423"/>
      <c r="AF110" s="423"/>
      <c r="AG110" s="423"/>
      <c r="AH110" s="423"/>
      <c r="AI110" s="423"/>
      <c r="AJ110" s="423"/>
      <c r="AK110" s="402"/>
      <c r="AL110" s="396"/>
    </row>
    <row r="111" spans="1:38" ht="12" customHeight="1" x14ac:dyDescent="0.2">
      <c r="A111" s="396"/>
      <c r="B111" s="804">
        <f>B100+2</f>
        <v>28</v>
      </c>
      <c r="C111" s="6501"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502"/>
      <c r="E111" s="6502"/>
      <c r="F111" s="6502"/>
      <c r="G111" s="6503"/>
      <c r="H111" s="406" t="s">
        <v>1325</v>
      </c>
      <c r="I111" s="407">
        <f>B111</f>
        <v>28</v>
      </c>
      <c r="J111" s="6486" t="s">
        <v>6236</v>
      </c>
      <c r="K111" s="6486"/>
      <c r="L111" s="6486"/>
      <c r="M111" s="6471" t="e">
        <f>IF(C111=0,"",VLOOKUP(C111,'Tablas Magia'!$D$6:$Z$680,2,FALSE))</f>
        <v>#N/A</v>
      </c>
      <c r="N111" s="6471"/>
      <c r="O111" s="1718"/>
      <c r="P111" s="6492" t="str">
        <f>IFERROR(IF(M111="Libre Acceso","Aprendido",IF(IFERROR(VLOOKUP(M111,Místicos!$C$15:$H$25,6,0)&gt;=I111,FALSE),"Aprendido",IF(IFERROR(VLOOKUP(M111,Místicos!$E$15:$H$25,4,0)&gt;=I111,FALSE),"Aprendido",""))),"")</f>
        <v/>
      </c>
      <c r="Q111" s="6493"/>
      <c r="R111" s="402"/>
      <c r="S111" s="396"/>
      <c r="T111" s="396"/>
      <c r="U111" s="804">
        <f>U100+2</f>
        <v>38</v>
      </c>
      <c r="V111" s="6501"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507"/>
      <c r="X111" s="6507"/>
      <c r="Y111" s="6507"/>
      <c r="Z111" s="6507"/>
      <c r="AA111" s="406" t="s">
        <v>1325</v>
      </c>
      <c r="AB111" s="407">
        <f>U111</f>
        <v>38</v>
      </c>
      <c r="AC111" s="6486" t="s">
        <v>6236</v>
      </c>
      <c r="AD111" s="6486"/>
      <c r="AE111" s="6486"/>
      <c r="AF111" s="6471" t="e">
        <f>IF(V111=0,"",VLOOKUP(V111,'Tablas Magia'!$D$6:$Z$680,2,FALSE))</f>
        <v>#N/A</v>
      </c>
      <c r="AG111" s="6471"/>
      <c r="AH111" s="1718"/>
      <c r="AI111" s="6492" t="str">
        <f>IFERROR(IF(AF111="Libre Acceso","Aprendido",IF(IFERROR(VLOOKUP(AF111,Místicos!$C$15:$H$25,6,0)&gt;=AB111,FALSE),"Aprendido",IF(IFERROR(VLOOKUP(AF111,Místicos!$E$15:$H$25,4,0)&gt;=AB111,FALSE),"Aprendido",""))),"")</f>
        <v/>
      </c>
      <c r="AJ111" s="6493"/>
      <c r="AK111" s="402"/>
      <c r="AL111" s="396"/>
    </row>
    <row r="112" spans="1:38" ht="12" customHeight="1" x14ac:dyDescent="0.2">
      <c r="A112" s="396"/>
      <c r="B112" s="804"/>
      <c r="C112" s="6473" t="s">
        <v>6237</v>
      </c>
      <c r="D112" s="6487"/>
      <c r="E112" s="2502" t="s">
        <v>6238</v>
      </c>
      <c r="F112" s="2502" t="s">
        <v>1509</v>
      </c>
      <c r="G112" s="2502" t="s">
        <v>2828</v>
      </c>
      <c r="H112" s="2503" t="s">
        <v>1836</v>
      </c>
      <c r="I112" s="6495" t="e">
        <f>IF(C111=0,"",VLOOKUP(C111,'Tablas Magia'!$D$6:$Z$680,5,FALSE))</f>
        <v>#N/A</v>
      </c>
      <c r="J112" s="6495"/>
      <c r="K112" s="6498" t="s">
        <v>6239</v>
      </c>
      <c r="L112" s="6498"/>
      <c r="M112" s="6495" t="e">
        <f>IF(C111=0,"",VLOOKUP(C111,'Tablas Magia'!$D$6:$Z$680,6,FALSE))</f>
        <v>#N/A</v>
      </c>
      <c r="N112" s="6495"/>
      <c r="O112" s="6496" t="s">
        <v>6240</v>
      </c>
      <c r="P112" s="6496"/>
      <c r="Q112" s="2504" t="e">
        <f>IF(C111=0,"",VLOOKUP(C111,'Tablas Magia'!$D$6:$Z$680,4,FALSE))</f>
        <v>#N/A</v>
      </c>
      <c r="R112" s="402"/>
      <c r="S112" s="396"/>
      <c r="T112" s="396"/>
      <c r="U112" s="804"/>
      <c r="V112" s="6473" t="s">
        <v>6237</v>
      </c>
      <c r="W112" s="6504"/>
      <c r="X112" s="1727" t="s">
        <v>6238</v>
      </c>
      <c r="Y112" s="1727" t="s">
        <v>1509</v>
      </c>
      <c r="Z112" s="1727" t="s">
        <v>2828</v>
      </c>
      <c r="AA112" s="1728" t="s">
        <v>1836</v>
      </c>
      <c r="AB112" s="6491" t="e">
        <f>IF(V111=0,"",VLOOKUP(V111,'Tablas Magia'!$D$6:$Z$680,5,FALSE))</f>
        <v>#N/A</v>
      </c>
      <c r="AC112" s="6491"/>
      <c r="AD112" s="6505" t="s">
        <v>6239</v>
      </c>
      <c r="AE112" s="6505"/>
      <c r="AF112" s="6491" t="e">
        <f>IF(V111=0,"",VLOOKUP(V111,'Tablas Magia'!$D$6:$Z$680,6,FALSE))</f>
        <v>#N/A</v>
      </c>
      <c r="AG112" s="6491"/>
      <c r="AH112" s="6506" t="s">
        <v>6240</v>
      </c>
      <c r="AI112" s="6506"/>
      <c r="AJ112" s="1729" t="e">
        <f>IF(V111=0,"",VLOOKUP(V111,'Tablas Magia'!$D$6:$Z$680,4,FALSE))</f>
        <v>#N/A</v>
      </c>
      <c r="AK112" s="402"/>
      <c r="AL112" s="396"/>
    </row>
    <row r="113" spans="1:38" ht="12" customHeight="1" x14ac:dyDescent="0.2">
      <c r="A113" s="396"/>
      <c r="B113" s="804"/>
      <c r="C113" s="6499" t="s">
        <v>1365</v>
      </c>
      <c r="D113" s="6500"/>
      <c r="E113" s="2505" t="e">
        <f>IF(C111=0,"",VLOOKUP(C111,'Tablas Magia'!$D$6:$Z$680,7,FALSE))</f>
        <v>#N/A</v>
      </c>
      <c r="F113" s="2505" t="e">
        <f>IF(C111=0,"",VLOOKUP(C111,'Tablas Magia'!$D$6:$Z$680,11,FALSE))</f>
        <v>#N/A</v>
      </c>
      <c r="G113" s="412" t="e">
        <f>IF(C111=0,"",VLOOKUP(C111,'Tablas Magia'!$D$6:$Z$680,15,FALSE))</f>
        <v>#N/A</v>
      </c>
      <c r="H113" s="6481" t="e">
        <f>IF(C111=0,"",VLOOKUP(C111,'Tablas Magia'!$D$6:$Z$680,19,FALSE))</f>
        <v>#N/A</v>
      </c>
      <c r="I113" s="6482"/>
      <c r="J113" s="6482"/>
      <c r="K113" s="6482"/>
      <c r="L113" s="6482"/>
      <c r="M113" s="6482"/>
      <c r="N113" s="6482"/>
      <c r="O113" s="6482"/>
      <c r="P113" s="6482"/>
      <c r="Q113" s="6483"/>
      <c r="R113" s="402"/>
      <c r="S113" s="396"/>
      <c r="T113" s="396"/>
      <c r="U113" s="804"/>
      <c r="V113" s="6449" t="s">
        <v>1365</v>
      </c>
      <c r="W113" s="6450"/>
      <c r="X113" s="411" t="e">
        <f>IF(V111=0,"",VLOOKUP(V111,'Tablas Magia'!$D$6:$Z$680,7,FALSE))</f>
        <v>#N/A</v>
      </c>
      <c r="Y113" s="411" t="e">
        <f>IF(V111=0,"",VLOOKUP(V111,'Tablas Magia'!$D$6:$Z$680,11,FALSE))</f>
        <v>#N/A</v>
      </c>
      <c r="Z113" s="412" t="e">
        <f>IF(V111=0,"",VLOOKUP(V111,'Tablas Magia'!$D$6:$Z$680,15,FALSE))</f>
        <v>#N/A</v>
      </c>
      <c r="AA113" s="6451" t="e">
        <f>IF(V111=0,"",VLOOKUP(V111,'Tablas Magia'!$D$6:$Z$680,19,FALSE))</f>
        <v>#N/A</v>
      </c>
      <c r="AB113" s="6452"/>
      <c r="AC113" s="6452"/>
      <c r="AD113" s="6452"/>
      <c r="AE113" s="6452"/>
      <c r="AF113" s="6452"/>
      <c r="AG113" s="6452"/>
      <c r="AH113" s="6452"/>
      <c r="AI113" s="6452"/>
      <c r="AJ113" s="6453"/>
      <c r="AK113" s="402"/>
      <c r="AL113" s="396"/>
    </row>
    <row r="114" spans="1:38" ht="12" customHeight="1" x14ac:dyDescent="0.2">
      <c r="A114" s="396"/>
      <c r="B114" s="804"/>
      <c r="C114" s="6444" t="s">
        <v>3197</v>
      </c>
      <c r="D114" s="6445"/>
      <c r="E114" s="2506" t="e">
        <f>IF(C111=0,"",VLOOKUP(C111,'Tablas Magia'!$D$6:$Z$680,8,FALSE))</f>
        <v>#N/A</v>
      </c>
      <c r="F114" s="2506" t="e">
        <f>IF(C111=0,"",VLOOKUP(C111,'Tablas Magia'!$D$6:$Z$680,12,FALSE))</f>
        <v>#N/A</v>
      </c>
      <c r="G114" s="414" t="e">
        <f>IF(C111=0,"",VLOOKUP(C111,'Tablas Magia'!$D$6:$Z$680,16,FALSE))</f>
        <v>#N/A</v>
      </c>
      <c r="H114" s="6446" t="e">
        <f>IF(C111=0,"",VLOOKUP(C111,'Tablas Magia'!$D$6:$Z$680,20,FALSE))</f>
        <v>#N/A</v>
      </c>
      <c r="I114" s="6484"/>
      <c r="J114" s="6484"/>
      <c r="K114" s="6484"/>
      <c r="L114" s="6484"/>
      <c r="M114" s="6484"/>
      <c r="N114" s="6484"/>
      <c r="O114" s="6484"/>
      <c r="P114" s="6484"/>
      <c r="Q114" s="6448"/>
      <c r="R114" s="402"/>
      <c r="S114" s="396"/>
      <c r="T114" s="396"/>
      <c r="U114" s="804"/>
      <c r="V114" s="6444" t="s">
        <v>3197</v>
      </c>
      <c r="W114" s="6445"/>
      <c r="X114" s="413" t="e">
        <f>IF(V111=0,"",VLOOKUP(V111,'Tablas Magia'!$D$6:$Z$680,8,FALSE))</f>
        <v>#N/A</v>
      </c>
      <c r="Y114" s="413" t="e">
        <f>IF(V111=0,"",VLOOKUP(V111,'Tablas Magia'!$D$6:$Z$680,12,FALSE))</f>
        <v>#N/A</v>
      </c>
      <c r="Z114" s="414" t="e">
        <f>IF(V111=0,"",VLOOKUP(V111,'Tablas Magia'!$D$6:$Z$680,16,FALSE))</f>
        <v>#N/A</v>
      </c>
      <c r="AA114" s="6446" t="e">
        <f>IF(V111=0,"",VLOOKUP(V111,'Tablas Magia'!$D$6:$Z$680,20,FALSE))</f>
        <v>#N/A</v>
      </c>
      <c r="AB114" s="6447"/>
      <c r="AC114" s="6447"/>
      <c r="AD114" s="6447"/>
      <c r="AE114" s="6447"/>
      <c r="AF114" s="6447"/>
      <c r="AG114" s="6447"/>
      <c r="AH114" s="6447"/>
      <c r="AI114" s="6447"/>
      <c r="AJ114" s="6448"/>
      <c r="AK114" s="402"/>
      <c r="AL114" s="396"/>
    </row>
    <row r="115" spans="1:38" ht="12" customHeight="1" x14ac:dyDescent="0.2">
      <c r="A115" s="396"/>
      <c r="B115" s="804"/>
      <c r="C115" s="6449" t="s">
        <v>3198</v>
      </c>
      <c r="D115" s="6450"/>
      <c r="E115" s="2505" t="e">
        <f>IF(C111=0,"",VLOOKUP(C111,'Tablas Magia'!$D$6:$Z$680,9,FALSE))</f>
        <v>#N/A</v>
      </c>
      <c r="F115" s="2505" t="e">
        <f>IF(C111=0,"",VLOOKUP(C111,'Tablas Magia'!$D$6:$Z$680,13,FALSE))</f>
        <v>#N/A</v>
      </c>
      <c r="G115" s="412" t="e">
        <f>IF(C111=0,"",VLOOKUP(C111,'Tablas Magia'!$D$6:$Z$680,17,FALSE))</f>
        <v>#N/A</v>
      </c>
      <c r="H115" s="6451" t="e">
        <f>IF(C111=0,"",VLOOKUP(C111,'Tablas Magia'!$D$6:$Z$680,21,FALSE))</f>
        <v>#N/A</v>
      </c>
      <c r="I115" s="6494"/>
      <c r="J115" s="6494"/>
      <c r="K115" s="6494"/>
      <c r="L115" s="6494"/>
      <c r="M115" s="6494"/>
      <c r="N115" s="6494"/>
      <c r="O115" s="6494"/>
      <c r="P115" s="6494"/>
      <c r="Q115" s="6453"/>
      <c r="R115" s="402"/>
      <c r="S115" s="396"/>
      <c r="T115" s="396"/>
      <c r="U115" s="804"/>
      <c r="V115" s="6449" t="s">
        <v>3198</v>
      </c>
      <c r="W115" s="6450"/>
      <c r="X115" s="411" t="e">
        <f>IF(V111=0,"",VLOOKUP(V111,'Tablas Magia'!$D$6:$Z$680,9,FALSE))</f>
        <v>#N/A</v>
      </c>
      <c r="Y115" s="411" t="e">
        <f>IF(V111=0,"",VLOOKUP(V111,'Tablas Magia'!$D$6:$Z$680,13,FALSE))</f>
        <v>#N/A</v>
      </c>
      <c r="Z115" s="412" t="e">
        <f>IF(V111=0,"",VLOOKUP(V111,'Tablas Magia'!$D$6:$Z$680,17,FALSE))</f>
        <v>#N/A</v>
      </c>
      <c r="AA115" s="6451" t="e">
        <f>IF(V111=0,"",VLOOKUP(V111,'Tablas Magia'!$D$6:$Z$680,21,FALSE))</f>
        <v>#N/A</v>
      </c>
      <c r="AB115" s="6452"/>
      <c r="AC115" s="6452"/>
      <c r="AD115" s="6452"/>
      <c r="AE115" s="6452"/>
      <c r="AF115" s="6452"/>
      <c r="AG115" s="6452"/>
      <c r="AH115" s="6452"/>
      <c r="AI115" s="6452"/>
      <c r="AJ115" s="6453"/>
      <c r="AK115" s="402"/>
      <c r="AL115" s="396"/>
    </row>
    <row r="116" spans="1:38" ht="12" customHeight="1" thickBot="1" x14ac:dyDescent="0.25">
      <c r="A116" s="396"/>
      <c r="B116" s="804"/>
      <c r="C116" s="6454" t="s">
        <v>3199</v>
      </c>
      <c r="D116" s="6455"/>
      <c r="E116" s="415" t="e">
        <f>IF(C111=0,"",VLOOKUP(C111,'Tablas Magia'!$D$6:$Z$680,10,FALSE))</f>
        <v>#N/A</v>
      </c>
      <c r="F116" s="415" t="e">
        <f>IF(C111=0,"",VLOOKUP(C111,'Tablas Magia'!$D$6:$Z$680,14,FALSE))</f>
        <v>#N/A</v>
      </c>
      <c r="G116" s="416" t="e">
        <f>IF(C111=0,"",VLOOKUP(C111,'Tablas Magia'!$D$6:$Z$680,18,FALSE))</f>
        <v>#N/A</v>
      </c>
      <c r="H116" s="6456" t="e">
        <f>IF(C111=0,"",VLOOKUP(C111,'Tablas Magia'!$D$6:$Z$680,22,FALSE))</f>
        <v>#N/A</v>
      </c>
      <c r="I116" s="6457"/>
      <c r="J116" s="6457"/>
      <c r="K116" s="6457"/>
      <c r="L116" s="6457"/>
      <c r="M116" s="6457"/>
      <c r="N116" s="6457"/>
      <c r="O116" s="6457"/>
      <c r="P116" s="6457"/>
      <c r="Q116" s="6458"/>
      <c r="R116" s="402"/>
      <c r="S116" s="396"/>
      <c r="T116" s="396"/>
      <c r="U116" s="804"/>
      <c r="V116" s="6454" t="s">
        <v>3199</v>
      </c>
      <c r="W116" s="6455"/>
      <c r="X116" s="415" t="e">
        <f>IF(V111=0,"",VLOOKUP(V111,'Tablas Magia'!$D$6:$Z$680,10,FALSE))</f>
        <v>#N/A</v>
      </c>
      <c r="Y116" s="415" t="e">
        <f>IF(V111=0,"",VLOOKUP(V111,'Tablas Magia'!$D$6:$Z$680,14,FALSE))</f>
        <v>#N/A</v>
      </c>
      <c r="Z116" s="416" t="e">
        <f>IF(V111=0,"",VLOOKUP(V111,'Tablas Magia'!$D$6:$Z$680,18,FALSE))</f>
        <v>#N/A</v>
      </c>
      <c r="AA116" s="6456" t="e">
        <f>IF(V111=0,"",VLOOKUP(V111,'Tablas Magia'!$D$6:$Z$680,22,FALSE))</f>
        <v>#N/A</v>
      </c>
      <c r="AB116" s="6457"/>
      <c r="AC116" s="6457"/>
      <c r="AD116" s="6457"/>
      <c r="AE116" s="6457"/>
      <c r="AF116" s="6457"/>
      <c r="AG116" s="6457"/>
      <c r="AH116" s="6457"/>
      <c r="AI116" s="6457"/>
      <c r="AJ116" s="6458"/>
      <c r="AK116" s="402"/>
      <c r="AL116" s="396"/>
    </row>
    <row r="117" spans="1:38" ht="12" customHeight="1" x14ac:dyDescent="0.2">
      <c r="A117" s="396"/>
      <c r="B117" s="804"/>
      <c r="C117" s="6459" t="e">
        <f>IF(C111=0,"",VLOOKUP(C111,'Tablas Magia'!$D$6:$Z$680,23,FALSE))</f>
        <v>#N/A</v>
      </c>
      <c r="D117" s="6460"/>
      <c r="E117" s="6460"/>
      <c r="F117" s="6460"/>
      <c r="G117" s="6460"/>
      <c r="H117" s="6460"/>
      <c r="I117" s="6460"/>
      <c r="J117" s="6460"/>
      <c r="K117" s="6460"/>
      <c r="L117" s="6460"/>
      <c r="M117" s="6460"/>
      <c r="N117" s="6460"/>
      <c r="O117" s="6460"/>
      <c r="P117" s="6460"/>
      <c r="Q117" s="6461"/>
      <c r="R117" s="402"/>
      <c r="S117" s="396"/>
      <c r="T117" s="396"/>
      <c r="U117" s="804"/>
      <c r="V117" s="6459" t="e">
        <f>IF(V111=0,"",VLOOKUP(V111,'Tablas Magia'!$D$6:$Z$680,23,FALSE))</f>
        <v>#N/A</v>
      </c>
      <c r="W117" s="6460"/>
      <c r="X117" s="6460"/>
      <c r="Y117" s="6460"/>
      <c r="Z117" s="6460"/>
      <c r="AA117" s="6460"/>
      <c r="AB117" s="6460"/>
      <c r="AC117" s="6460"/>
      <c r="AD117" s="6460"/>
      <c r="AE117" s="6460"/>
      <c r="AF117" s="6460"/>
      <c r="AG117" s="6460"/>
      <c r="AH117" s="6460"/>
      <c r="AI117" s="6460"/>
      <c r="AJ117" s="6461"/>
      <c r="AK117" s="402"/>
      <c r="AL117" s="396"/>
    </row>
    <row r="118" spans="1:38" ht="12" customHeight="1" x14ac:dyDescent="0.2">
      <c r="A118" s="396"/>
      <c r="B118" s="804"/>
      <c r="C118" s="6462"/>
      <c r="D118" s="6485"/>
      <c r="E118" s="6485"/>
      <c r="F118" s="6485"/>
      <c r="G118" s="6485"/>
      <c r="H118" s="6485"/>
      <c r="I118" s="6485"/>
      <c r="J118" s="6485"/>
      <c r="K118" s="6485"/>
      <c r="L118" s="6485"/>
      <c r="M118" s="6485"/>
      <c r="N118" s="6485"/>
      <c r="O118" s="6485"/>
      <c r="P118" s="6485"/>
      <c r="Q118" s="6464"/>
      <c r="R118" s="402"/>
      <c r="S118" s="396"/>
      <c r="T118" s="396"/>
      <c r="U118" s="804"/>
      <c r="V118" s="6462"/>
      <c r="W118" s="6463"/>
      <c r="X118" s="6463"/>
      <c r="Y118" s="6463"/>
      <c r="Z118" s="6463"/>
      <c r="AA118" s="6463"/>
      <c r="AB118" s="6463"/>
      <c r="AC118" s="6463"/>
      <c r="AD118" s="6463"/>
      <c r="AE118" s="6463"/>
      <c r="AF118" s="6463"/>
      <c r="AG118" s="6463"/>
      <c r="AH118" s="6463"/>
      <c r="AI118" s="6463"/>
      <c r="AJ118" s="6464"/>
      <c r="AK118" s="402"/>
      <c r="AL118" s="396"/>
    </row>
    <row r="119" spans="1:38" ht="12" customHeight="1" x14ac:dyDescent="0.2">
      <c r="A119" s="396"/>
      <c r="B119" s="804"/>
      <c r="C119" s="6462"/>
      <c r="D119" s="6485"/>
      <c r="E119" s="6485"/>
      <c r="F119" s="6485"/>
      <c r="G119" s="6485"/>
      <c r="H119" s="6485"/>
      <c r="I119" s="6485"/>
      <c r="J119" s="6485"/>
      <c r="K119" s="6485"/>
      <c r="L119" s="6485"/>
      <c r="M119" s="6485"/>
      <c r="N119" s="6485"/>
      <c r="O119" s="6485"/>
      <c r="P119" s="6485"/>
      <c r="Q119" s="6464"/>
      <c r="R119" s="402"/>
      <c r="S119" s="396"/>
      <c r="T119" s="396"/>
      <c r="U119" s="804"/>
      <c r="V119" s="6462"/>
      <c r="W119" s="6463"/>
      <c r="X119" s="6463"/>
      <c r="Y119" s="6463"/>
      <c r="Z119" s="6463"/>
      <c r="AA119" s="6463"/>
      <c r="AB119" s="6463"/>
      <c r="AC119" s="6463"/>
      <c r="AD119" s="6463"/>
      <c r="AE119" s="6463"/>
      <c r="AF119" s="6463"/>
      <c r="AG119" s="6463"/>
      <c r="AH119" s="6463"/>
      <c r="AI119" s="6463"/>
      <c r="AJ119" s="6464"/>
      <c r="AK119" s="402"/>
      <c r="AL119" s="396"/>
    </row>
    <row r="120" spans="1:38" ht="12" customHeight="1" thickBot="1" x14ac:dyDescent="0.25">
      <c r="A120" s="396"/>
      <c r="B120" s="804"/>
      <c r="C120" s="6465"/>
      <c r="D120" s="6466"/>
      <c r="E120" s="6466"/>
      <c r="F120" s="6466"/>
      <c r="G120" s="6466"/>
      <c r="H120" s="6466"/>
      <c r="I120" s="6466"/>
      <c r="J120" s="6466"/>
      <c r="K120" s="6466"/>
      <c r="L120" s="6466"/>
      <c r="M120" s="6466"/>
      <c r="N120" s="6466"/>
      <c r="O120" s="6466"/>
      <c r="P120" s="6466"/>
      <c r="Q120" s="6467"/>
      <c r="R120" s="402"/>
      <c r="S120" s="396"/>
      <c r="T120" s="396"/>
      <c r="U120" s="804"/>
      <c r="V120" s="6465"/>
      <c r="W120" s="6466"/>
      <c r="X120" s="6466"/>
      <c r="Y120" s="6466"/>
      <c r="Z120" s="6466"/>
      <c r="AA120" s="6466"/>
      <c r="AB120" s="6466"/>
      <c r="AC120" s="6466"/>
      <c r="AD120" s="6466"/>
      <c r="AE120" s="6466"/>
      <c r="AF120" s="6466"/>
      <c r="AG120" s="6466"/>
      <c r="AH120" s="6466"/>
      <c r="AI120" s="6466"/>
      <c r="AJ120" s="6467"/>
      <c r="AK120" s="402"/>
      <c r="AL120" s="396"/>
    </row>
    <row r="121" spans="1:38" ht="12" customHeight="1" thickBot="1" x14ac:dyDescent="0.25">
      <c r="A121" s="396"/>
      <c r="B121" s="804"/>
      <c r="C121" s="2514"/>
      <c r="D121" s="2514"/>
      <c r="E121" s="2506"/>
      <c r="F121" s="2506"/>
      <c r="G121" s="2506"/>
      <c r="H121" s="2515"/>
      <c r="I121" s="2515"/>
      <c r="J121" s="2515"/>
      <c r="K121" s="2515"/>
      <c r="L121" s="2515"/>
      <c r="M121" s="2515"/>
      <c r="N121" s="2515"/>
      <c r="O121" s="2515"/>
      <c r="P121" s="2515"/>
      <c r="Q121" s="2515"/>
      <c r="R121" s="402"/>
      <c r="S121" s="396"/>
      <c r="T121" s="396"/>
      <c r="U121" s="804"/>
      <c r="V121" s="422"/>
      <c r="W121" s="422"/>
      <c r="X121" s="413"/>
      <c r="Y121" s="413"/>
      <c r="Z121" s="413"/>
      <c r="AA121" s="423"/>
      <c r="AB121" s="423"/>
      <c r="AC121" s="423"/>
      <c r="AD121" s="423"/>
      <c r="AE121" s="423"/>
      <c r="AF121" s="423"/>
      <c r="AG121" s="423"/>
      <c r="AH121" s="423"/>
      <c r="AI121" s="423"/>
      <c r="AJ121" s="423"/>
      <c r="AK121" s="402"/>
      <c r="AL121" s="396"/>
    </row>
    <row r="122" spans="1:38" ht="12" customHeight="1" x14ac:dyDescent="0.2">
      <c r="A122" s="396"/>
      <c r="B122" s="804">
        <f>B111+2</f>
        <v>30</v>
      </c>
      <c r="C122" s="6501"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502"/>
      <c r="E122" s="6502"/>
      <c r="F122" s="6502"/>
      <c r="G122" s="6503"/>
      <c r="H122" s="406" t="s">
        <v>1325</v>
      </c>
      <c r="I122" s="407">
        <f>B122</f>
        <v>30</v>
      </c>
      <c r="J122" s="6486" t="s">
        <v>6236</v>
      </c>
      <c r="K122" s="6486"/>
      <c r="L122" s="6486"/>
      <c r="M122" s="6471" t="e">
        <f>IF(C122=0,"",VLOOKUP(C122,'Tablas Magia'!$D$6:$Z$680,2,FALSE))</f>
        <v>#N/A</v>
      </c>
      <c r="N122" s="6471"/>
      <c r="O122" s="1718"/>
      <c r="P122" s="6492" t="str">
        <f>IFERROR(IF(M122="Libre Acceso","Aprendido",IF(IFERROR(VLOOKUP(M122,Místicos!$C$15:$H$25,6,0)&gt;=I122,FALSE),"Aprendido",IF(IFERROR(VLOOKUP(M122,Místicos!$E$15:$H$25,4,0)&gt;=I122,FALSE),"Aprendido",""))),"")</f>
        <v/>
      </c>
      <c r="Q122" s="6493"/>
      <c r="R122" s="402"/>
      <c r="S122" s="396"/>
      <c r="T122" s="396"/>
      <c r="U122" s="804">
        <f>U111+2</f>
        <v>40</v>
      </c>
      <c r="V122" s="6501"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507"/>
      <c r="X122" s="6507"/>
      <c r="Y122" s="6507"/>
      <c r="Z122" s="6507"/>
      <c r="AA122" s="406" t="s">
        <v>1325</v>
      </c>
      <c r="AB122" s="407">
        <f>U122</f>
        <v>40</v>
      </c>
      <c r="AC122" s="6486" t="s">
        <v>6236</v>
      </c>
      <c r="AD122" s="6486"/>
      <c r="AE122" s="6486"/>
      <c r="AF122" s="6471" t="e">
        <f>IF(V122=0,"",VLOOKUP(V122,'Tablas Magia'!$D$6:$Z$680,2,FALSE))</f>
        <v>#N/A</v>
      </c>
      <c r="AG122" s="6471"/>
      <c r="AH122" s="1718"/>
      <c r="AI122" s="6492" t="str">
        <f>IFERROR(IF(AF122="Libre Acceso","Aprendido",IF(IFERROR(VLOOKUP(AF122,Místicos!$C$15:$H$25,6,0)&gt;=AB122,FALSE),"Aprendido",IF(IFERROR(VLOOKUP(AF122,Místicos!$E$15:$H$25,4,0)&gt;=AB122,FALSE),"Aprendido",""))),"")</f>
        <v/>
      </c>
      <c r="AJ122" s="6493"/>
      <c r="AK122" s="402"/>
      <c r="AL122" s="396"/>
    </row>
    <row r="123" spans="1:38" ht="12" customHeight="1" x14ac:dyDescent="0.2">
      <c r="A123" s="396"/>
      <c r="B123" s="804"/>
      <c r="C123" s="6473" t="s">
        <v>6237</v>
      </c>
      <c r="D123" s="6487"/>
      <c r="E123" s="2502" t="s">
        <v>6238</v>
      </c>
      <c r="F123" s="2502" t="s">
        <v>1509</v>
      </c>
      <c r="G123" s="2502" t="s">
        <v>2828</v>
      </c>
      <c r="H123" s="2503" t="s">
        <v>1836</v>
      </c>
      <c r="I123" s="6495" t="e">
        <f>IF(C122=0,"",VLOOKUP(C122,'Tablas Magia'!$D$6:$Z$680,5,FALSE))</f>
        <v>#N/A</v>
      </c>
      <c r="J123" s="6495"/>
      <c r="K123" s="6498" t="s">
        <v>6239</v>
      </c>
      <c r="L123" s="6498"/>
      <c r="M123" s="6495" t="e">
        <f>IF(C122=0,"",VLOOKUP(C122,'Tablas Magia'!$D$6:$Z$680,6,FALSE))</f>
        <v>#N/A</v>
      </c>
      <c r="N123" s="6495"/>
      <c r="O123" s="6496" t="s">
        <v>6240</v>
      </c>
      <c r="P123" s="6496"/>
      <c r="Q123" s="2504" t="e">
        <f>IF(C122=0,"",VLOOKUP(C122,'Tablas Magia'!$D$6:$Z$680,4,FALSE))</f>
        <v>#N/A</v>
      </c>
      <c r="R123" s="402"/>
      <c r="S123" s="396"/>
      <c r="T123" s="396"/>
      <c r="U123" s="804"/>
      <c r="V123" s="6473" t="s">
        <v>6237</v>
      </c>
      <c r="W123" s="6504"/>
      <c r="X123" s="1727" t="s">
        <v>6238</v>
      </c>
      <c r="Y123" s="1727" t="s">
        <v>1509</v>
      </c>
      <c r="Z123" s="1727" t="s">
        <v>2828</v>
      </c>
      <c r="AA123" s="1728" t="s">
        <v>1836</v>
      </c>
      <c r="AB123" s="6491" t="e">
        <f>IF(V122=0,"",VLOOKUP(V122,'Tablas Magia'!$D$6:$Z$680,5,FALSE))</f>
        <v>#N/A</v>
      </c>
      <c r="AC123" s="6491"/>
      <c r="AD123" s="6505" t="s">
        <v>6239</v>
      </c>
      <c r="AE123" s="6505"/>
      <c r="AF123" s="6491" t="e">
        <f>IF(V122=0,"",VLOOKUP(V122,'Tablas Magia'!$D$6:$Z$680,6,FALSE))</f>
        <v>#N/A</v>
      </c>
      <c r="AG123" s="6491"/>
      <c r="AH123" s="6506" t="s">
        <v>6240</v>
      </c>
      <c r="AI123" s="6506"/>
      <c r="AJ123" s="1729" t="e">
        <f>IF(V122=0,"",VLOOKUP(V122,'Tablas Magia'!$D$6:$Z$680,4,FALSE))</f>
        <v>#N/A</v>
      </c>
      <c r="AK123" s="402"/>
      <c r="AL123" s="396"/>
    </row>
    <row r="124" spans="1:38" ht="12" customHeight="1" x14ac:dyDescent="0.2">
      <c r="A124" s="396"/>
      <c r="B124" s="804"/>
      <c r="C124" s="6499" t="s">
        <v>1365</v>
      </c>
      <c r="D124" s="6500"/>
      <c r="E124" s="2505" t="e">
        <f>IF(C122=0,"",VLOOKUP(C122,'Tablas Magia'!$D$6:$Z$680,7,FALSE))</f>
        <v>#N/A</v>
      </c>
      <c r="F124" s="2505" t="e">
        <f>IF(C122=0,"",VLOOKUP(C122,'Tablas Magia'!$D$6:$Z$680,11,FALSE))</f>
        <v>#N/A</v>
      </c>
      <c r="G124" s="412" t="e">
        <f>IF(C122=0,"",VLOOKUP(C122,'Tablas Magia'!$D$6:$Z$680,15,FALSE))</f>
        <v>#N/A</v>
      </c>
      <c r="H124" s="6481" t="e">
        <f>IF(C122=0,"",VLOOKUP(C122,'Tablas Magia'!$D$6:$Z$680,19,FALSE))</f>
        <v>#N/A</v>
      </c>
      <c r="I124" s="6482"/>
      <c r="J124" s="6482"/>
      <c r="K124" s="6482"/>
      <c r="L124" s="6482"/>
      <c r="M124" s="6482"/>
      <c r="N124" s="6482"/>
      <c r="O124" s="6482"/>
      <c r="P124" s="6482"/>
      <c r="Q124" s="6483"/>
      <c r="R124" s="402"/>
      <c r="S124" s="396"/>
      <c r="T124" s="396"/>
      <c r="U124" s="804"/>
      <c r="V124" s="6449" t="s">
        <v>1365</v>
      </c>
      <c r="W124" s="6450"/>
      <c r="X124" s="411" t="e">
        <f>IF(V122=0,"",VLOOKUP(V122,'Tablas Magia'!$D$6:$Z$680,7,FALSE))</f>
        <v>#N/A</v>
      </c>
      <c r="Y124" s="411" t="e">
        <f>IF(V122=0,"",VLOOKUP(V122,'Tablas Magia'!$D$6:$Z$680,11,FALSE))</f>
        <v>#N/A</v>
      </c>
      <c r="Z124" s="412" t="e">
        <f>IF(V122=0,"",VLOOKUP(V122,'Tablas Magia'!$D$6:$Z$680,15,FALSE))</f>
        <v>#N/A</v>
      </c>
      <c r="AA124" s="6451" t="e">
        <f>IF(V122=0,"",VLOOKUP(V122,'Tablas Magia'!$D$6:$Z$680,19,FALSE))</f>
        <v>#N/A</v>
      </c>
      <c r="AB124" s="6452"/>
      <c r="AC124" s="6452"/>
      <c r="AD124" s="6452"/>
      <c r="AE124" s="6452"/>
      <c r="AF124" s="6452"/>
      <c r="AG124" s="6452"/>
      <c r="AH124" s="6452"/>
      <c r="AI124" s="6452"/>
      <c r="AJ124" s="6453"/>
      <c r="AK124" s="402"/>
      <c r="AL124" s="396"/>
    </row>
    <row r="125" spans="1:38" ht="12" customHeight="1" x14ac:dyDescent="0.2">
      <c r="A125" s="396"/>
      <c r="B125" s="804"/>
      <c r="C125" s="6444" t="s">
        <v>3197</v>
      </c>
      <c r="D125" s="6445"/>
      <c r="E125" s="2506" t="e">
        <f>IF(C122=0,"",VLOOKUP(C122,'Tablas Magia'!$D$6:$Z$680,8,FALSE))</f>
        <v>#N/A</v>
      </c>
      <c r="F125" s="2506" t="e">
        <f>IF(C122=0,"",VLOOKUP(C122,'Tablas Magia'!$D$6:$Z$680,12,FALSE))</f>
        <v>#N/A</v>
      </c>
      <c r="G125" s="414" t="e">
        <f>IF(C122=0,"",VLOOKUP(C122,'Tablas Magia'!$D$6:$Z$680,16,FALSE))</f>
        <v>#N/A</v>
      </c>
      <c r="H125" s="6446" t="e">
        <f>IF(C122=0,"",VLOOKUP(C122,'Tablas Magia'!$D$6:$Z$680,20,FALSE))</f>
        <v>#N/A</v>
      </c>
      <c r="I125" s="6484"/>
      <c r="J125" s="6484"/>
      <c r="K125" s="6484"/>
      <c r="L125" s="6484"/>
      <c r="M125" s="6484"/>
      <c r="N125" s="6484"/>
      <c r="O125" s="6484"/>
      <c r="P125" s="6484"/>
      <c r="Q125" s="6448"/>
      <c r="R125" s="402"/>
      <c r="S125" s="396"/>
      <c r="T125" s="396"/>
      <c r="U125" s="804"/>
      <c r="V125" s="6444" t="s">
        <v>3197</v>
      </c>
      <c r="W125" s="6445"/>
      <c r="X125" s="413" t="e">
        <f>IF(V122=0,"",VLOOKUP(V122,'Tablas Magia'!$D$6:$Z$680,8,FALSE))</f>
        <v>#N/A</v>
      </c>
      <c r="Y125" s="413" t="e">
        <f>IF(V122=0,"",VLOOKUP(V122,'Tablas Magia'!$D$6:$Z$680,12,FALSE))</f>
        <v>#N/A</v>
      </c>
      <c r="Z125" s="414" t="e">
        <f>IF(V122=0,"",VLOOKUP(V122,'Tablas Magia'!$D$6:$Z$680,16,FALSE))</f>
        <v>#N/A</v>
      </c>
      <c r="AA125" s="6446" t="e">
        <f>IF(V122=0,"",VLOOKUP(V122,'Tablas Magia'!$D$6:$Z$680,20,FALSE))</f>
        <v>#N/A</v>
      </c>
      <c r="AB125" s="6447"/>
      <c r="AC125" s="6447"/>
      <c r="AD125" s="6447"/>
      <c r="AE125" s="6447"/>
      <c r="AF125" s="6447"/>
      <c r="AG125" s="6447"/>
      <c r="AH125" s="6447"/>
      <c r="AI125" s="6447"/>
      <c r="AJ125" s="6448"/>
      <c r="AK125" s="402"/>
      <c r="AL125" s="396"/>
    </row>
    <row r="126" spans="1:38" ht="12" customHeight="1" x14ac:dyDescent="0.2">
      <c r="A126" s="396"/>
      <c r="B126" s="804"/>
      <c r="C126" s="6449" t="s">
        <v>3198</v>
      </c>
      <c r="D126" s="6450"/>
      <c r="E126" s="2505" t="e">
        <f>IF(C122=0,"",VLOOKUP(C122,'Tablas Magia'!$D$6:$Z$680,9,FALSE))</f>
        <v>#N/A</v>
      </c>
      <c r="F126" s="2505" t="e">
        <f>IF(C122=0,"",VLOOKUP(C122,'Tablas Magia'!$D$6:$Z$680,13,FALSE))</f>
        <v>#N/A</v>
      </c>
      <c r="G126" s="412" t="e">
        <f>IF(C122=0,"",VLOOKUP(C122,'Tablas Magia'!$D$6:$Z$680,17,FALSE))</f>
        <v>#N/A</v>
      </c>
      <c r="H126" s="6451" t="e">
        <f>IF(C122=0,"",VLOOKUP(C122,'Tablas Magia'!$D$6:$Z$680,21,FALSE))</f>
        <v>#N/A</v>
      </c>
      <c r="I126" s="6494"/>
      <c r="J126" s="6494"/>
      <c r="K126" s="6494"/>
      <c r="L126" s="6494"/>
      <c r="M126" s="6494"/>
      <c r="N126" s="6494"/>
      <c r="O126" s="6494"/>
      <c r="P126" s="6494"/>
      <c r="Q126" s="6453"/>
      <c r="R126" s="402"/>
      <c r="S126" s="396"/>
      <c r="T126" s="396"/>
      <c r="U126" s="804"/>
      <c r="V126" s="6449" t="s">
        <v>3198</v>
      </c>
      <c r="W126" s="6450"/>
      <c r="X126" s="411" t="e">
        <f>IF(V122=0,"",VLOOKUP(V122,'Tablas Magia'!$D$6:$Z$680,9,FALSE))</f>
        <v>#N/A</v>
      </c>
      <c r="Y126" s="411" t="e">
        <f>IF(V122=0,"",VLOOKUP(V122,'Tablas Magia'!$D$6:$Z$680,13,FALSE))</f>
        <v>#N/A</v>
      </c>
      <c r="Z126" s="412" t="e">
        <f>IF(V122=0,"",VLOOKUP(V122,'Tablas Magia'!$D$6:$Z$680,17,FALSE))</f>
        <v>#N/A</v>
      </c>
      <c r="AA126" s="6451" t="e">
        <f>IF(V122=0,"",VLOOKUP(V122,'Tablas Magia'!$D$6:$Z$680,21,FALSE))</f>
        <v>#N/A</v>
      </c>
      <c r="AB126" s="6452"/>
      <c r="AC126" s="6452"/>
      <c r="AD126" s="6452"/>
      <c r="AE126" s="6452"/>
      <c r="AF126" s="6452"/>
      <c r="AG126" s="6452"/>
      <c r="AH126" s="6452"/>
      <c r="AI126" s="6452"/>
      <c r="AJ126" s="6453"/>
      <c r="AK126" s="402"/>
      <c r="AL126" s="396"/>
    </row>
    <row r="127" spans="1:38" ht="12" customHeight="1" thickBot="1" x14ac:dyDescent="0.25">
      <c r="A127" s="396"/>
      <c r="B127" s="804"/>
      <c r="C127" s="6454" t="s">
        <v>3199</v>
      </c>
      <c r="D127" s="6455"/>
      <c r="E127" s="415" t="e">
        <f>IF(C122=0,"",VLOOKUP(C122,'Tablas Magia'!$D$6:$Z$680,10,FALSE))</f>
        <v>#N/A</v>
      </c>
      <c r="F127" s="415" t="e">
        <f>IF(C122=0,"",VLOOKUP(C122,'Tablas Magia'!$D$6:$Z$680,14,FALSE))</f>
        <v>#N/A</v>
      </c>
      <c r="G127" s="416" t="e">
        <f>IF(C122=0,"",VLOOKUP(C122,'Tablas Magia'!$D$6:$Z$680,18,FALSE))</f>
        <v>#N/A</v>
      </c>
      <c r="H127" s="6456" t="e">
        <f>IF(C122=0,"",VLOOKUP(C122,'Tablas Magia'!$D$6:$Z$680,22,FALSE))</f>
        <v>#N/A</v>
      </c>
      <c r="I127" s="6457"/>
      <c r="J127" s="6457"/>
      <c r="K127" s="6457"/>
      <c r="L127" s="6457"/>
      <c r="M127" s="6457"/>
      <c r="N127" s="6457"/>
      <c r="O127" s="6457"/>
      <c r="P127" s="6457"/>
      <c r="Q127" s="6458"/>
      <c r="R127" s="402"/>
      <c r="S127" s="396"/>
      <c r="T127" s="396"/>
      <c r="U127" s="804"/>
      <c r="V127" s="6454" t="s">
        <v>3199</v>
      </c>
      <c r="W127" s="6455"/>
      <c r="X127" s="415" t="e">
        <f>IF(V122=0,"",VLOOKUP(V122,'Tablas Magia'!$D$6:$Z$680,10,FALSE))</f>
        <v>#N/A</v>
      </c>
      <c r="Y127" s="415" t="e">
        <f>IF(V122=0,"",VLOOKUP(V122,'Tablas Magia'!$D$6:$Z$680,14,FALSE))</f>
        <v>#N/A</v>
      </c>
      <c r="Z127" s="416" t="e">
        <f>IF(V122=0,"",VLOOKUP(V122,'Tablas Magia'!$D$6:$Z$680,18,FALSE))</f>
        <v>#N/A</v>
      </c>
      <c r="AA127" s="6456" t="e">
        <f>IF(V122=0,"",VLOOKUP(V122,'Tablas Magia'!$D$6:$Z$680,22,FALSE))</f>
        <v>#N/A</v>
      </c>
      <c r="AB127" s="6457"/>
      <c r="AC127" s="6457"/>
      <c r="AD127" s="6457"/>
      <c r="AE127" s="6457"/>
      <c r="AF127" s="6457"/>
      <c r="AG127" s="6457"/>
      <c r="AH127" s="6457"/>
      <c r="AI127" s="6457"/>
      <c r="AJ127" s="6458"/>
      <c r="AK127" s="402"/>
      <c r="AL127" s="396"/>
    </row>
    <row r="128" spans="1:38" ht="12" customHeight="1" x14ac:dyDescent="0.2">
      <c r="A128" s="396"/>
      <c r="B128" s="804"/>
      <c r="C128" s="6459" t="e">
        <f>IF(C122=0,"",VLOOKUP(C122,'Tablas Magia'!$D$6:$Z$680,23,FALSE))</f>
        <v>#N/A</v>
      </c>
      <c r="D128" s="6460"/>
      <c r="E128" s="6460"/>
      <c r="F128" s="6460"/>
      <c r="G128" s="6460"/>
      <c r="H128" s="6460"/>
      <c r="I128" s="6460"/>
      <c r="J128" s="6460"/>
      <c r="K128" s="6460"/>
      <c r="L128" s="6460"/>
      <c r="M128" s="6460"/>
      <c r="N128" s="6460"/>
      <c r="O128" s="6460"/>
      <c r="P128" s="6460"/>
      <c r="Q128" s="6461"/>
      <c r="R128" s="402"/>
      <c r="S128" s="396"/>
      <c r="T128" s="396"/>
      <c r="U128" s="804"/>
      <c r="V128" s="6459" t="e">
        <f>IF(V122=0,"",VLOOKUP(V122,'Tablas Magia'!$D$6:$Z$680,23,FALSE))</f>
        <v>#N/A</v>
      </c>
      <c r="W128" s="6460"/>
      <c r="X128" s="6460"/>
      <c r="Y128" s="6460"/>
      <c r="Z128" s="6460"/>
      <c r="AA128" s="6460"/>
      <c r="AB128" s="6460"/>
      <c r="AC128" s="6460"/>
      <c r="AD128" s="6460"/>
      <c r="AE128" s="6460"/>
      <c r="AF128" s="6460"/>
      <c r="AG128" s="6460"/>
      <c r="AH128" s="6460"/>
      <c r="AI128" s="6460"/>
      <c r="AJ128" s="6461"/>
      <c r="AK128" s="402"/>
      <c r="AL128" s="396"/>
    </row>
    <row r="129" spans="1:38" ht="12" customHeight="1" x14ac:dyDescent="0.2">
      <c r="A129" s="396"/>
      <c r="B129" s="804"/>
      <c r="C129" s="6462"/>
      <c r="D129" s="6485"/>
      <c r="E129" s="6485"/>
      <c r="F129" s="6485"/>
      <c r="G129" s="6485"/>
      <c r="H129" s="6485"/>
      <c r="I129" s="6485"/>
      <c r="J129" s="6485"/>
      <c r="K129" s="6485"/>
      <c r="L129" s="6485"/>
      <c r="M129" s="6485"/>
      <c r="N129" s="6485"/>
      <c r="O129" s="6485"/>
      <c r="P129" s="6485"/>
      <c r="Q129" s="6464"/>
      <c r="R129" s="402"/>
      <c r="S129" s="396"/>
      <c r="T129" s="396"/>
      <c r="U129" s="804"/>
      <c r="V129" s="6462"/>
      <c r="W129" s="6463"/>
      <c r="X129" s="6463"/>
      <c r="Y129" s="6463"/>
      <c r="Z129" s="6463"/>
      <c r="AA129" s="6463"/>
      <c r="AB129" s="6463"/>
      <c r="AC129" s="6463"/>
      <c r="AD129" s="6463"/>
      <c r="AE129" s="6463"/>
      <c r="AF129" s="6463"/>
      <c r="AG129" s="6463"/>
      <c r="AH129" s="6463"/>
      <c r="AI129" s="6463"/>
      <c r="AJ129" s="6464"/>
      <c r="AK129" s="402"/>
      <c r="AL129" s="396"/>
    </row>
    <row r="130" spans="1:38" ht="12" customHeight="1" x14ac:dyDescent="0.2">
      <c r="A130" s="396"/>
      <c r="B130" s="804"/>
      <c r="C130" s="6462"/>
      <c r="D130" s="6485"/>
      <c r="E130" s="6485"/>
      <c r="F130" s="6485"/>
      <c r="G130" s="6485"/>
      <c r="H130" s="6485"/>
      <c r="I130" s="6485"/>
      <c r="J130" s="6485"/>
      <c r="K130" s="6485"/>
      <c r="L130" s="6485"/>
      <c r="M130" s="6485"/>
      <c r="N130" s="6485"/>
      <c r="O130" s="6485"/>
      <c r="P130" s="6485"/>
      <c r="Q130" s="6464"/>
      <c r="R130" s="402"/>
      <c r="S130" s="396"/>
      <c r="T130" s="396"/>
      <c r="U130" s="804"/>
      <c r="V130" s="6462"/>
      <c r="W130" s="6463"/>
      <c r="X130" s="6463"/>
      <c r="Y130" s="6463"/>
      <c r="Z130" s="6463"/>
      <c r="AA130" s="6463"/>
      <c r="AB130" s="6463"/>
      <c r="AC130" s="6463"/>
      <c r="AD130" s="6463"/>
      <c r="AE130" s="6463"/>
      <c r="AF130" s="6463"/>
      <c r="AG130" s="6463"/>
      <c r="AH130" s="6463"/>
      <c r="AI130" s="6463"/>
      <c r="AJ130" s="6464"/>
      <c r="AK130" s="402"/>
      <c r="AL130" s="396"/>
    </row>
    <row r="131" spans="1:38" ht="12" customHeight="1" thickBot="1" x14ac:dyDescent="0.25">
      <c r="A131" s="396"/>
      <c r="B131" s="804"/>
      <c r="C131" s="6465"/>
      <c r="D131" s="6466"/>
      <c r="E131" s="6466"/>
      <c r="F131" s="6466"/>
      <c r="G131" s="6466"/>
      <c r="H131" s="6466"/>
      <c r="I131" s="6466"/>
      <c r="J131" s="6466"/>
      <c r="K131" s="6466"/>
      <c r="L131" s="6466"/>
      <c r="M131" s="6466"/>
      <c r="N131" s="6466"/>
      <c r="O131" s="6466"/>
      <c r="P131" s="6466"/>
      <c r="Q131" s="6467"/>
      <c r="R131" s="402"/>
      <c r="S131" s="396"/>
      <c r="T131" s="396"/>
      <c r="U131" s="804"/>
      <c r="V131" s="6465"/>
      <c r="W131" s="6466"/>
      <c r="X131" s="6466"/>
      <c r="Y131" s="6466"/>
      <c r="Z131" s="6466"/>
      <c r="AA131" s="6466"/>
      <c r="AB131" s="6466"/>
      <c r="AC131" s="6466"/>
      <c r="AD131" s="6466"/>
      <c r="AE131" s="6466"/>
      <c r="AF131" s="6466"/>
      <c r="AG131" s="6466"/>
      <c r="AH131" s="6466"/>
      <c r="AI131" s="6466"/>
      <c r="AJ131" s="6467"/>
      <c r="AK131" s="402"/>
      <c r="AL131" s="396"/>
    </row>
    <row r="132" spans="1:38" ht="12" customHeight="1" x14ac:dyDescent="0.2">
      <c r="A132" s="2520"/>
      <c r="B132" s="804"/>
      <c r="C132" s="2526"/>
      <c r="D132" s="2526"/>
      <c r="E132" s="2526"/>
      <c r="F132" s="2526"/>
      <c r="G132" s="2526"/>
      <c r="H132" s="2526"/>
      <c r="I132" s="2526"/>
      <c r="J132" s="2526"/>
      <c r="K132" s="2526"/>
      <c r="L132" s="2526"/>
      <c r="M132" s="2526"/>
      <c r="N132" s="2526"/>
      <c r="O132" s="2526"/>
      <c r="P132" s="2526"/>
      <c r="Q132" s="2526"/>
      <c r="R132" s="402"/>
      <c r="S132" s="2520"/>
      <c r="T132" s="2520"/>
      <c r="U132" s="804"/>
      <c r="V132" s="2526"/>
      <c r="W132" s="2526"/>
      <c r="X132" s="2526"/>
      <c r="Y132" s="2526"/>
      <c r="Z132" s="2526"/>
      <c r="AA132" s="2526"/>
      <c r="AB132" s="2526"/>
      <c r="AC132" s="2526"/>
      <c r="AD132" s="2526"/>
      <c r="AE132" s="2526"/>
      <c r="AF132" s="2526"/>
      <c r="AG132" s="2526"/>
      <c r="AH132" s="2526"/>
      <c r="AI132" s="2526"/>
      <c r="AJ132" s="2526"/>
      <c r="AK132" s="402"/>
      <c r="AL132" s="2520"/>
    </row>
    <row r="133" spans="1:38" ht="12" customHeight="1" thickBot="1" x14ac:dyDescent="0.25">
      <c r="A133" s="396"/>
      <c r="B133" s="805"/>
      <c r="C133" s="424"/>
      <c r="D133" s="424"/>
      <c r="E133" s="424"/>
      <c r="F133" s="424"/>
      <c r="G133" s="424"/>
      <c r="H133" s="424"/>
      <c r="I133" s="424"/>
      <c r="J133" s="424"/>
      <c r="K133" s="424"/>
      <c r="L133" s="424"/>
      <c r="M133" s="424"/>
      <c r="N133" s="424"/>
      <c r="O133" s="424"/>
      <c r="P133" s="424"/>
      <c r="Q133" s="424"/>
      <c r="R133" s="425"/>
      <c r="S133" s="396"/>
      <c r="T133" s="396"/>
      <c r="U133" s="805"/>
      <c r="V133" s="424"/>
      <c r="W133" s="424"/>
      <c r="X133" s="424"/>
      <c r="Y133" s="424"/>
      <c r="Z133" s="424"/>
      <c r="AA133" s="424"/>
      <c r="AB133" s="424"/>
      <c r="AC133" s="424"/>
      <c r="AD133" s="424"/>
      <c r="AE133" s="424"/>
      <c r="AF133" s="424"/>
      <c r="AG133" s="424"/>
      <c r="AH133" s="424"/>
      <c r="AI133" s="424"/>
      <c r="AJ133" s="424"/>
      <c r="AK133" s="425"/>
      <c r="AL133" s="396"/>
    </row>
    <row r="134" spans="1:38" ht="12" customHeight="1" x14ac:dyDescent="0.2">
      <c r="A134" s="1433"/>
      <c r="B134" s="2517"/>
      <c r="C134" s="2518"/>
      <c r="D134" s="2518"/>
      <c r="E134" s="2518"/>
      <c r="F134" s="2518"/>
      <c r="G134" s="2518"/>
      <c r="H134" s="2518"/>
      <c r="I134" s="2518"/>
      <c r="J134" s="2518"/>
      <c r="K134" s="2518"/>
      <c r="L134" s="2518"/>
      <c r="M134" s="2518"/>
      <c r="N134" s="2518"/>
      <c r="O134" s="2518"/>
      <c r="P134" s="2518"/>
      <c r="Q134" s="2518"/>
      <c r="R134" s="2518"/>
      <c r="S134" s="1433"/>
      <c r="T134" s="1433"/>
      <c r="U134" s="1434"/>
      <c r="V134" s="1433"/>
      <c r="W134" s="1433"/>
      <c r="X134" s="1433"/>
      <c r="Y134" s="1433"/>
      <c r="Z134" s="1433"/>
      <c r="AA134" s="1433"/>
      <c r="AB134" s="1433"/>
      <c r="AC134" s="1433"/>
      <c r="AD134" s="1433"/>
      <c r="AE134" s="1433"/>
      <c r="AF134" s="1433"/>
      <c r="AG134" s="1433"/>
      <c r="AH134" s="1433"/>
      <c r="AI134" s="1433"/>
      <c r="AJ134" s="1433"/>
      <c r="AK134" s="1433"/>
      <c r="AL134" s="1433"/>
    </row>
    <row r="135" spans="1:38" ht="12" customHeight="1" thickBot="1" x14ac:dyDescent="0.25">
      <c r="A135" s="2520"/>
      <c r="B135" s="2520"/>
      <c r="C135" s="2520"/>
      <c r="D135" s="2520"/>
      <c r="E135" s="2520"/>
      <c r="F135" s="2520"/>
      <c r="G135" s="2520"/>
      <c r="H135" s="2520"/>
      <c r="I135" s="2520"/>
      <c r="J135" s="2520"/>
      <c r="K135" s="2520"/>
      <c r="L135" s="2520"/>
      <c r="M135" s="2520"/>
      <c r="N135" s="2520"/>
      <c r="O135" s="2520"/>
      <c r="P135" s="2520"/>
      <c r="Q135" s="2520"/>
      <c r="R135" s="2520"/>
      <c r="S135" s="2520"/>
      <c r="T135" s="2516"/>
      <c r="U135" s="802"/>
      <c r="V135" s="2481"/>
      <c r="W135" s="2481"/>
      <c r="X135" s="2481"/>
      <c r="Y135" s="2481"/>
      <c r="Z135" s="2481"/>
      <c r="AA135" s="2481"/>
      <c r="AB135" s="2481"/>
      <c r="AC135" s="2481"/>
      <c r="AD135" s="2481"/>
      <c r="AE135" s="2481"/>
      <c r="AF135" s="2481"/>
      <c r="AG135" s="2481"/>
      <c r="AH135" s="2481"/>
      <c r="AI135" s="2481"/>
      <c r="AJ135" s="2481"/>
      <c r="AK135" s="2481"/>
      <c r="AL135" s="2481"/>
    </row>
    <row r="136" spans="1:38" ht="17.25" customHeight="1" thickBot="1" x14ac:dyDescent="0.25">
      <c r="A136" s="2518"/>
      <c r="B136" s="1086"/>
      <c r="C136" s="398"/>
      <c r="D136" s="398"/>
      <c r="E136" s="398"/>
      <c r="F136" s="398"/>
      <c r="G136" s="398"/>
      <c r="H136" s="398"/>
      <c r="I136" s="398"/>
      <c r="J136" s="398"/>
      <c r="K136" s="398"/>
      <c r="L136" s="398"/>
      <c r="M136" s="398"/>
      <c r="N136" s="398"/>
      <c r="O136" s="398"/>
      <c r="P136" s="398"/>
      <c r="Q136" s="398"/>
      <c r="R136" s="399"/>
      <c r="S136" s="1433"/>
      <c r="T136" s="2518"/>
      <c r="U136" s="1086"/>
      <c r="V136" s="398"/>
      <c r="W136" s="398"/>
      <c r="X136" s="398"/>
      <c r="Y136" s="398"/>
      <c r="Z136" s="398"/>
      <c r="AA136" s="398"/>
      <c r="AB136" s="398"/>
      <c r="AC136" s="398"/>
      <c r="AD136" s="398"/>
      <c r="AE136" s="398"/>
      <c r="AF136" s="398"/>
      <c r="AG136" s="398"/>
      <c r="AH136" s="398"/>
      <c r="AI136" s="398"/>
      <c r="AJ136" s="398"/>
      <c r="AK136" s="399"/>
      <c r="AL136" s="1433"/>
    </row>
    <row r="137" spans="1:38" ht="12" customHeight="1" x14ac:dyDescent="0.2">
      <c r="A137" s="2518"/>
      <c r="B137" s="1087"/>
      <c r="C137" s="6438"/>
      <c r="D137" s="6439"/>
      <c r="E137" s="6439"/>
      <c r="F137" s="6439"/>
      <c r="G137" s="6439"/>
      <c r="H137" s="6439"/>
      <c r="I137" s="2482"/>
      <c r="J137" s="2482"/>
      <c r="K137" s="2482"/>
      <c r="L137" s="2482"/>
      <c r="M137" s="2482"/>
      <c r="N137" s="2482"/>
      <c r="O137" s="2482"/>
      <c r="P137" s="2482"/>
      <c r="Q137" s="401"/>
      <c r="R137" s="402"/>
      <c r="S137" s="1433"/>
      <c r="T137" s="2518"/>
      <c r="U137" s="1087"/>
      <c r="V137" s="6438"/>
      <c r="W137" s="6439"/>
      <c r="X137" s="6439"/>
      <c r="Y137" s="6439"/>
      <c r="Z137" s="6439"/>
      <c r="AA137" s="6439"/>
      <c r="AB137" s="2482"/>
      <c r="AC137" s="2482"/>
      <c r="AD137" s="2482"/>
      <c r="AE137" s="2482"/>
      <c r="AF137" s="2482"/>
      <c r="AG137" s="2482"/>
      <c r="AH137" s="2482"/>
      <c r="AI137" s="2482"/>
      <c r="AJ137" s="401"/>
      <c r="AK137" s="402"/>
      <c r="AL137" s="1433"/>
    </row>
    <row r="138" spans="1:38" ht="12" customHeight="1" x14ac:dyDescent="0.2">
      <c r="A138" s="2519"/>
      <c r="B138" s="1730"/>
      <c r="C138" s="6440"/>
      <c r="D138" s="6441"/>
      <c r="E138" s="6441"/>
      <c r="F138" s="6441"/>
      <c r="G138" s="6441"/>
      <c r="H138" s="6441"/>
      <c r="I138" s="2495"/>
      <c r="J138" s="6478" t="s">
        <v>10048</v>
      </c>
      <c r="K138" s="6479"/>
      <c r="L138" s="6479"/>
      <c r="M138" s="6479"/>
      <c r="N138" s="6479"/>
      <c r="O138" s="6479"/>
      <c r="P138" s="6479"/>
      <c r="Q138" s="356"/>
      <c r="R138" s="808"/>
      <c r="S138" s="1731"/>
      <c r="T138" s="2519"/>
      <c r="U138" s="1730"/>
      <c r="V138" s="6440"/>
      <c r="W138" s="6441"/>
      <c r="X138" s="6441"/>
      <c r="Y138" s="6441"/>
      <c r="Z138" s="6441"/>
      <c r="AA138" s="6441"/>
      <c r="AB138" s="2495"/>
      <c r="AC138" s="6478" t="s">
        <v>10048</v>
      </c>
      <c r="AD138" s="6479"/>
      <c r="AE138" s="6479"/>
      <c r="AF138" s="6479"/>
      <c r="AG138" s="6479"/>
      <c r="AH138" s="6479"/>
      <c r="AI138" s="6479"/>
      <c r="AJ138" s="356"/>
      <c r="AK138" s="808"/>
      <c r="AL138" s="1731"/>
    </row>
    <row r="139" spans="1:38" ht="12" customHeight="1" x14ac:dyDescent="0.2">
      <c r="A139" s="2518"/>
      <c r="B139" s="1087"/>
      <c r="C139" s="6440"/>
      <c r="D139" s="6441"/>
      <c r="E139" s="6441"/>
      <c r="F139" s="6441"/>
      <c r="G139" s="6441"/>
      <c r="H139" s="6441"/>
      <c r="I139" s="2495"/>
      <c r="J139" s="6479"/>
      <c r="K139" s="6479"/>
      <c r="L139" s="6479"/>
      <c r="M139" s="6479"/>
      <c r="N139" s="6479"/>
      <c r="O139" s="6479"/>
      <c r="P139" s="6479"/>
      <c r="Q139" s="403"/>
      <c r="R139" s="402"/>
      <c r="S139" s="1433"/>
      <c r="T139" s="2518"/>
      <c r="U139" s="1087"/>
      <c r="V139" s="6440"/>
      <c r="W139" s="6441"/>
      <c r="X139" s="6441"/>
      <c r="Y139" s="6441"/>
      <c r="Z139" s="6441"/>
      <c r="AA139" s="6441"/>
      <c r="AB139" s="2495"/>
      <c r="AC139" s="6479"/>
      <c r="AD139" s="6479"/>
      <c r="AE139" s="6479"/>
      <c r="AF139" s="6479"/>
      <c r="AG139" s="6479"/>
      <c r="AH139" s="6479"/>
      <c r="AI139" s="6479"/>
      <c r="AJ139" s="403"/>
      <c r="AK139" s="402"/>
      <c r="AL139" s="1433"/>
    </row>
    <row r="140" spans="1:38" ht="12" customHeight="1" x14ac:dyDescent="0.2">
      <c r="A140" s="2518"/>
      <c r="B140" s="1087"/>
      <c r="C140" s="6440"/>
      <c r="D140" s="6441"/>
      <c r="E140" s="6441"/>
      <c r="F140" s="6441"/>
      <c r="G140" s="6441"/>
      <c r="H140" s="6441"/>
      <c r="I140" s="2496" t="s">
        <v>7044</v>
      </c>
      <c r="J140" s="6480" t="str">
        <f>IF($J$6="","",$J$6)</f>
        <v/>
      </c>
      <c r="K140" s="6480"/>
      <c r="L140" s="6480"/>
      <c r="M140" s="2497"/>
      <c r="N140" s="2497"/>
      <c r="O140" s="2498" t="str">
        <f>$O$6</f>
        <v>Nivel de vía aprendido</v>
      </c>
      <c r="P140" s="2499">
        <f>$P$6</f>
        <v>0</v>
      </c>
      <c r="Q140" s="403"/>
      <c r="R140" s="402"/>
      <c r="S140" s="1433"/>
      <c r="T140" s="2518"/>
      <c r="U140" s="1087"/>
      <c r="V140" s="6440"/>
      <c r="W140" s="6441"/>
      <c r="X140" s="6441"/>
      <c r="Y140" s="6441"/>
      <c r="Z140" s="6441"/>
      <c r="AA140" s="6441"/>
      <c r="AB140" s="2496" t="s">
        <v>7044</v>
      </c>
      <c r="AC140" s="6480" t="str">
        <f>IF($J$6="","",$J$6)</f>
        <v/>
      </c>
      <c r="AD140" s="6480"/>
      <c r="AE140" s="6480"/>
      <c r="AF140" s="2497"/>
      <c r="AG140" s="2497"/>
      <c r="AH140" s="2498" t="str">
        <f>$O$6</f>
        <v>Nivel de vía aprendido</v>
      </c>
      <c r="AI140" s="2499">
        <f>$P$6</f>
        <v>0</v>
      </c>
      <c r="AJ140" s="403"/>
      <c r="AK140" s="402"/>
      <c r="AL140" s="1433"/>
    </row>
    <row r="141" spans="1:38" ht="12" customHeight="1" x14ac:dyDescent="0.2">
      <c r="A141" s="2518"/>
      <c r="B141" s="1087"/>
      <c r="C141" s="6440"/>
      <c r="D141" s="6441"/>
      <c r="E141" s="6441"/>
      <c r="F141" s="6441"/>
      <c r="G141" s="6441"/>
      <c r="H141" s="6441"/>
      <c r="I141" s="2500" t="s">
        <v>7045</v>
      </c>
      <c r="J141" s="6480" t="str">
        <f>IF($J$8="","",$J$8)</f>
        <v/>
      </c>
      <c r="K141" s="6480"/>
      <c r="L141" s="6480"/>
      <c r="M141" s="2497"/>
      <c r="N141" s="2497"/>
      <c r="O141" s="2497"/>
      <c r="P141" s="2497"/>
      <c r="Q141" s="403"/>
      <c r="R141" s="402"/>
      <c r="S141" s="1433"/>
      <c r="T141" s="2518"/>
      <c r="U141" s="1087"/>
      <c r="V141" s="6440"/>
      <c r="W141" s="6441"/>
      <c r="X141" s="6441"/>
      <c r="Y141" s="6441"/>
      <c r="Z141" s="6441"/>
      <c r="AA141" s="6441"/>
      <c r="AB141" s="2500" t="s">
        <v>7045</v>
      </c>
      <c r="AC141" s="6480" t="str">
        <f>IF($J$8="","",$J$8)</f>
        <v/>
      </c>
      <c r="AD141" s="6480"/>
      <c r="AE141" s="6480"/>
      <c r="AF141" s="2497"/>
      <c r="AG141" s="2497"/>
      <c r="AH141" s="2497"/>
      <c r="AI141" s="2497"/>
      <c r="AJ141" s="403"/>
      <c r="AK141" s="402"/>
      <c r="AL141" s="1433"/>
    </row>
    <row r="142" spans="1:38" ht="12" customHeight="1" thickBot="1" x14ac:dyDescent="0.25">
      <c r="A142" s="2518"/>
      <c r="B142" s="1087"/>
      <c r="C142" s="6442"/>
      <c r="D142" s="6443"/>
      <c r="E142" s="6443"/>
      <c r="F142" s="6443"/>
      <c r="G142" s="6443"/>
      <c r="H142" s="6443"/>
      <c r="I142" s="2484"/>
      <c r="J142" s="2484"/>
      <c r="K142" s="2484"/>
      <c r="L142" s="2484"/>
      <c r="M142" s="2484"/>
      <c r="N142" s="2484"/>
      <c r="O142" s="2484"/>
      <c r="P142" s="2484"/>
      <c r="Q142" s="405"/>
      <c r="R142" s="402"/>
      <c r="S142" s="1433"/>
      <c r="T142" s="2518"/>
      <c r="U142" s="1087"/>
      <c r="V142" s="6442"/>
      <c r="W142" s="6443"/>
      <c r="X142" s="6443"/>
      <c r="Y142" s="6443"/>
      <c r="Z142" s="6443"/>
      <c r="AA142" s="6443"/>
      <c r="AB142" s="2484"/>
      <c r="AC142" s="2484"/>
      <c r="AD142" s="2484"/>
      <c r="AE142" s="2484"/>
      <c r="AF142" s="2484"/>
      <c r="AG142" s="2484"/>
      <c r="AH142" s="2484"/>
      <c r="AI142" s="2484"/>
      <c r="AJ142" s="405"/>
      <c r="AK142" s="402"/>
      <c r="AL142" s="1433"/>
    </row>
    <row r="143" spans="1:38" ht="12" customHeight="1" x14ac:dyDescent="0.2">
      <c r="A143" s="2518"/>
      <c r="B143" s="1087"/>
      <c r="C143" s="2501"/>
      <c r="D143" s="2501"/>
      <c r="E143" s="2501"/>
      <c r="F143" s="2501"/>
      <c r="G143" s="2501"/>
      <c r="H143" s="2501"/>
      <c r="I143" s="2501"/>
      <c r="J143" s="2501"/>
      <c r="K143" s="2501"/>
      <c r="L143" s="2501"/>
      <c r="M143" s="2501"/>
      <c r="N143" s="2501"/>
      <c r="O143" s="2501"/>
      <c r="P143" s="2501"/>
      <c r="Q143" s="2501"/>
      <c r="R143" s="402"/>
      <c r="S143" s="1433"/>
      <c r="T143" s="2518"/>
      <c r="U143" s="1087"/>
      <c r="V143" s="2501"/>
      <c r="W143" s="2501"/>
      <c r="X143" s="2501"/>
      <c r="Y143" s="2501"/>
      <c r="Z143" s="2501"/>
      <c r="AA143" s="2501"/>
      <c r="AB143" s="2501"/>
      <c r="AC143" s="2501"/>
      <c r="AD143" s="2501"/>
      <c r="AE143" s="2501"/>
      <c r="AF143" s="2501"/>
      <c r="AG143" s="2501"/>
      <c r="AH143" s="2501"/>
      <c r="AI143" s="2501"/>
      <c r="AJ143" s="2501"/>
      <c r="AK143" s="402"/>
      <c r="AL143" s="1433"/>
    </row>
    <row r="144" spans="1:38" ht="12" customHeight="1" thickBot="1" x14ac:dyDescent="0.25">
      <c r="A144" s="2518"/>
      <c r="B144" s="812"/>
      <c r="C144" s="6497" t="str">
        <f>"Conjuros de nivel "&amp;B145&amp;"-"&amp;B189</f>
        <v>Conjuros de nivel 42-50</v>
      </c>
      <c r="D144" s="6497"/>
      <c r="E144" s="6497"/>
      <c r="F144" s="6497"/>
      <c r="G144" s="6497"/>
      <c r="H144" s="6497"/>
      <c r="I144" s="6497"/>
      <c r="J144" s="6497"/>
      <c r="K144" s="6497"/>
      <c r="L144" s="6497"/>
      <c r="M144" s="6497"/>
      <c r="N144" s="6497"/>
      <c r="O144" s="6497"/>
      <c r="P144" s="6497"/>
      <c r="Q144" s="6497"/>
      <c r="R144" s="810"/>
      <c r="S144" s="1433"/>
      <c r="T144" s="2516"/>
      <c r="U144" s="812"/>
      <c r="V144" s="6497" t="str">
        <f>"Conjuros de nivel "&amp;U145&amp;"-"&amp;U189</f>
        <v>Conjuros de nivel 52-60</v>
      </c>
      <c r="W144" s="6497"/>
      <c r="X144" s="6497"/>
      <c r="Y144" s="6497"/>
      <c r="Z144" s="6497"/>
      <c r="AA144" s="6497"/>
      <c r="AB144" s="6497"/>
      <c r="AC144" s="6497"/>
      <c r="AD144" s="6497"/>
      <c r="AE144" s="6497"/>
      <c r="AF144" s="6497"/>
      <c r="AG144" s="6497"/>
      <c r="AH144" s="6497"/>
      <c r="AI144" s="6497"/>
      <c r="AJ144" s="6497"/>
      <c r="AK144" s="811"/>
      <c r="AL144" s="396"/>
    </row>
    <row r="145" spans="1:38" ht="12" customHeight="1" x14ac:dyDescent="0.2">
      <c r="A145" s="2516"/>
      <c r="B145" s="804">
        <f>B78+20</f>
        <v>42</v>
      </c>
      <c r="C145" s="6501"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502"/>
      <c r="E145" s="6502"/>
      <c r="F145" s="6502"/>
      <c r="G145" s="6503"/>
      <c r="H145" s="406" t="s">
        <v>1325</v>
      </c>
      <c r="I145" s="407">
        <f>B145</f>
        <v>42</v>
      </c>
      <c r="J145" s="6486" t="s">
        <v>6236</v>
      </c>
      <c r="K145" s="6486"/>
      <c r="L145" s="6486"/>
      <c r="M145" s="6471" t="e">
        <f>IF(C145=0,"",VLOOKUP(C145,'Tablas Magia'!$D$6:$Z$680,2,FALSE))</f>
        <v>#N/A</v>
      </c>
      <c r="N145" s="6471"/>
      <c r="O145" s="1718"/>
      <c r="P145" s="6492" t="str">
        <f>IFERROR(IF(M145="Libre Acceso","Aprendido",IF(IFERROR(VLOOKUP(M145,Místicos!$C$15:$H$25,6,0)&gt;=I145,FALSE),"Aprendido",IF(IFERROR(VLOOKUP(M145,Místicos!$E$15:$H$25,4,0)&gt;=I145,FALSE),"Aprendido",""))),"")</f>
        <v/>
      </c>
      <c r="Q145" s="6493"/>
      <c r="R145" s="402"/>
      <c r="S145" s="396"/>
      <c r="T145" s="2516"/>
      <c r="U145" s="804">
        <f>B189+2</f>
        <v>52</v>
      </c>
      <c r="V145" s="6501"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502"/>
      <c r="X145" s="6502"/>
      <c r="Y145" s="6502"/>
      <c r="Z145" s="6503"/>
      <c r="AA145" s="406" t="s">
        <v>1325</v>
      </c>
      <c r="AB145" s="407">
        <f>U145</f>
        <v>52</v>
      </c>
      <c r="AC145" s="6486" t="s">
        <v>6236</v>
      </c>
      <c r="AD145" s="6486"/>
      <c r="AE145" s="6486"/>
      <c r="AF145" s="6471" t="e">
        <f>IF(V145=0,"",VLOOKUP(V145,'Tablas Magia'!$D$6:$Z$680,2,FALSE))</f>
        <v>#N/A</v>
      </c>
      <c r="AG145" s="6471"/>
      <c r="AH145" s="1718"/>
      <c r="AI145" s="6492" t="str">
        <f>IFERROR(IF(AF145="Libre Acceso","Aprendido",IF(IFERROR(VLOOKUP(AF145,Místicos!$C$15:$H$25,6,0)&gt;=AB145,FALSE),"Aprendido",IF(IFERROR(VLOOKUP(AF145,Místicos!$E$15:$H$25,4,0)&gt;=AB145,FALSE),"Aprendido",""))),"")</f>
        <v/>
      </c>
      <c r="AJ145" s="6493"/>
      <c r="AK145" s="402"/>
      <c r="AL145" s="396"/>
    </row>
    <row r="146" spans="1:38" ht="12" customHeight="1" x14ac:dyDescent="0.2">
      <c r="A146" s="2516"/>
      <c r="B146" s="804"/>
      <c r="C146" s="6473" t="s">
        <v>6237</v>
      </c>
      <c r="D146" s="6487"/>
      <c r="E146" s="2502" t="s">
        <v>6238</v>
      </c>
      <c r="F146" s="2502" t="s">
        <v>1509</v>
      </c>
      <c r="G146" s="2502" t="s">
        <v>2828</v>
      </c>
      <c r="H146" s="2503" t="s">
        <v>1836</v>
      </c>
      <c r="I146" s="6495" t="e">
        <f>IF(C145=0,"",VLOOKUP(C145,'Tablas Magia'!$D$6:$Z$680,5,FALSE))</f>
        <v>#N/A</v>
      </c>
      <c r="J146" s="6495"/>
      <c r="K146" s="6498" t="s">
        <v>6239</v>
      </c>
      <c r="L146" s="6498"/>
      <c r="M146" s="6495" t="e">
        <f>IF(C145=0,"",VLOOKUP(C145,'Tablas Magia'!$D$6:$Z$680,6,FALSE))</f>
        <v>#N/A</v>
      </c>
      <c r="N146" s="6495"/>
      <c r="O146" s="6496" t="s">
        <v>6240</v>
      </c>
      <c r="P146" s="6496"/>
      <c r="Q146" s="2504" t="e">
        <f>IF(C145=0,"",VLOOKUP(C145,'Tablas Magia'!$D$6:$Z$680,4,FALSE))</f>
        <v>#N/A</v>
      </c>
      <c r="R146" s="402"/>
      <c r="S146" s="396"/>
      <c r="T146" s="2516"/>
      <c r="U146" s="804"/>
      <c r="V146" s="6473" t="s">
        <v>6237</v>
      </c>
      <c r="W146" s="6487"/>
      <c r="X146" s="2502" t="s">
        <v>6238</v>
      </c>
      <c r="Y146" s="2502" t="s">
        <v>1509</v>
      </c>
      <c r="Z146" s="2502" t="s">
        <v>2828</v>
      </c>
      <c r="AA146" s="2503" t="s">
        <v>1836</v>
      </c>
      <c r="AB146" s="6495" t="e">
        <f>IF(V145=0,"",VLOOKUP(V145,'Tablas Magia'!$D$6:$Z$680,5,FALSE))</f>
        <v>#N/A</v>
      </c>
      <c r="AC146" s="6495"/>
      <c r="AD146" s="6498" t="s">
        <v>6239</v>
      </c>
      <c r="AE146" s="6498"/>
      <c r="AF146" s="6495" t="e">
        <f>IF(V145=0,"",VLOOKUP(V145,'Tablas Magia'!$D$6:$Z$680,6,FALSE))</f>
        <v>#N/A</v>
      </c>
      <c r="AG146" s="6495"/>
      <c r="AH146" s="6496" t="s">
        <v>6240</v>
      </c>
      <c r="AI146" s="6496"/>
      <c r="AJ146" s="2504" t="e">
        <f>IF(V145=0,"",VLOOKUP(V145,'Tablas Magia'!$D$6:$Z$680,4,FALSE))</f>
        <v>#N/A</v>
      </c>
      <c r="AK146" s="402"/>
      <c r="AL146" s="396"/>
    </row>
    <row r="147" spans="1:38" ht="12" customHeight="1" x14ac:dyDescent="0.2">
      <c r="A147" s="2516"/>
      <c r="B147" s="804"/>
      <c r="C147" s="6449" t="s">
        <v>1365</v>
      </c>
      <c r="D147" s="6450"/>
      <c r="E147" s="2505" t="e">
        <f>IF(C145=0,"",VLOOKUP(C145,'Tablas Magia'!$D$6:$Z$680,7,FALSE))</f>
        <v>#N/A</v>
      </c>
      <c r="F147" s="2505" t="e">
        <f>IF(C145=0,"",VLOOKUP(C145,'Tablas Magia'!$D$6:$Z$680,11,FALSE))</f>
        <v>#N/A</v>
      </c>
      <c r="G147" s="412" t="e">
        <f>IF(C145=0,"",VLOOKUP(C145,'Tablas Magia'!$D$6:$Z$680,15,FALSE))</f>
        <v>#N/A</v>
      </c>
      <c r="H147" s="6451" t="e">
        <f>IF(C145=0,"",VLOOKUP(C145,'Tablas Magia'!$D$6:$Z$680,19,FALSE))</f>
        <v>#N/A</v>
      </c>
      <c r="I147" s="6494"/>
      <c r="J147" s="6494"/>
      <c r="K147" s="6494"/>
      <c r="L147" s="6494"/>
      <c r="M147" s="6494"/>
      <c r="N147" s="6494"/>
      <c r="O147" s="6494"/>
      <c r="P147" s="6494"/>
      <c r="Q147" s="6453"/>
      <c r="R147" s="402"/>
      <c r="S147" s="396"/>
      <c r="T147" s="2516"/>
      <c r="U147" s="804"/>
      <c r="V147" s="6499" t="s">
        <v>1365</v>
      </c>
      <c r="W147" s="6500"/>
      <c r="X147" s="2505" t="e">
        <f>IF(V145=0,"",VLOOKUP(V145,'Tablas Magia'!$D$6:$Z$680,7,FALSE))</f>
        <v>#N/A</v>
      </c>
      <c r="Y147" s="2505" t="e">
        <f>IF(V145=0,"",VLOOKUP(V145,'Tablas Magia'!$D$6:$Z$680,11,FALSE))</f>
        <v>#N/A</v>
      </c>
      <c r="Z147" s="412" t="e">
        <f>IF(V145=0,"",VLOOKUP(V145,'Tablas Magia'!$D$6:$Z$680,15,FALSE))</f>
        <v>#N/A</v>
      </c>
      <c r="AA147" s="6481" t="e">
        <f>IF(V145=0,"",VLOOKUP(V145,'Tablas Magia'!$D$6:$Z$680,19,FALSE))</f>
        <v>#N/A</v>
      </c>
      <c r="AB147" s="6482"/>
      <c r="AC147" s="6482"/>
      <c r="AD147" s="6482"/>
      <c r="AE147" s="6482"/>
      <c r="AF147" s="6482"/>
      <c r="AG147" s="6482"/>
      <c r="AH147" s="6482"/>
      <c r="AI147" s="6482"/>
      <c r="AJ147" s="6483"/>
      <c r="AK147" s="402"/>
      <c r="AL147" s="396"/>
    </row>
    <row r="148" spans="1:38" ht="12" customHeight="1" x14ac:dyDescent="0.2">
      <c r="A148" s="2516"/>
      <c r="B148" s="804"/>
      <c r="C148" s="6444" t="s">
        <v>3197</v>
      </c>
      <c r="D148" s="6445"/>
      <c r="E148" s="2506" t="e">
        <f>IF(C145=0,"",VLOOKUP(C145,'Tablas Magia'!$D$6:$Z$680,8,FALSE))</f>
        <v>#N/A</v>
      </c>
      <c r="F148" s="2506" t="e">
        <f>IF(C145=0,"",VLOOKUP(C145,'Tablas Magia'!$D$6:$Z$680,12,FALSE))</f>
        <v>#N/A</v>
      </c>
      <c r="G148" s="414" t="e">
        <f>IF(C145=0,"",VLOOKUP(C145,'Tablas Magia'!$D$6:$Z$680,16,FALSE))</f>
        <v>#N/A</v>
      </c>
      <c r="H148" s="6446" t="e">
        <f>IF(C145=0,"",VLOOKUP(C145,'Tablas Magia'!$D$6:$Z$680,20,FALSE))</f>
        <v>#N/A</v>
      </c>
      <c r="I148" s="6484"/>
      <c r="J148" s="6484"/>
      <c r="K148" s="6484"/>
      <c r="L148" s="6484"/>
      <c r="M148" s="6484"/>
      <c r="N148" s="6484"/>
      <c r="O148" s="6484"/>
      <c r="P148" s="6484"/>
      <c r="Q148" s="6448"/>
      <c r="R148" s="402"/>
      <c r="S148" s="396"/>
      <c r="T148" s="2516"/>
      <c r="U148" s="804"/>
      <c r="V148" s="6444" t="s">
        <v>3197</v>
      </c>
      <c r="W148" s="6445"/>
      <c r="X148" s="2506" t="e">
        <f>IF(V145=0,"",VLOOKUP(V145,'Tablas Magia'!$D$6:$Z$680,8,FALSE))</f>
        <v>#N/A</v>
      </c>
      <c r="Y148" s="2506" t="e">
        <f>IF(V145=0,"",VLOOKUP(V145,'Tablas Magia'!$D$6:$Z$680,12,FALSE))</f>
        <v>#N/A</v>
      </c>
      <c r="Z148" s="414" t="e">
        <f>IF(V145=0,"",VLOOKUP(V145,'Tablas Magia'!$D$6:$Z$680,16,FALSE))</f>
        <v>#N/A</v>
      </c>
      <c r="AA148" s="6446" t="e">
        <f>IF(V145=0,"",VLOOKUP(V145,'Tablas Magia'!$D$6:$Z$680,20,FALSE))</f>
        <v>#N/A</v>
      </c>
      <c r="AB148" s="6484"/>
      <c r="AC148" s="6484"/>
      <c r="AD148" s="6484"/>
      <c r="AE148" s="6484"/>
      <c r="AF148" s="6484"/>
      <c r="AG148" s="6484"/>
      <c r="AH148" s="6484"/>
      <c r="AI148" s="6484"/>
      <c r="AJ148" s="6448"/>
      <c r="AK148" s="402"/>
      <c r="AL148" s="396"/>
    </row>
    <row r="149" spans="1:38" ht="12" customHeight="1" x14ac:dyDescent="0.2">
      <c r="A149" s="2516"/>
      <c r="B149" s="804"/>
      <c r="C149" s="6449" t="s">
        <v>3198</v>
      </c>
      <c r="D149" s="6450"/>
      <c r="E149" s="2505" t="e">
        <f>IF(C145=0,"",VLOOKUP(C145,'Tablas Magia'!$D$6:$Z$680,9,FALSE))</f>
        <v>#N/A</v>
      </c>
      <c r="F149" s="2505" t="e">
        <f>IF(C145=0,"",VLOOKUP(C145,'Tablas Magia'!$D$6:$Z$680,13,FALSE))</f>
        <v>#N/A</v>
      </c>
      <c r="G149" s="412" t="e">
        <f>IF(C145=0,"",VLOOKUP(C145,'Tablas Magia'!$D$6:$Z$680,17,FALSE))</f>
        <v>#N/A</v>
      </c>
      <c r="H149" s="6451" t="e">
        <f>IF(C145=0,"",VLOOKUP(C145,'Tablas Magia'!$D$6:$Z$680,21,FALSE))</f>
        <v>#N/A</v>
      </c>
      <c r="I149" s="6494"/>
      <c r="J149" s="6494"/>
      <c r="K149" s="6494"/>
      <c r="L149" s="6494"/>
      <c r="M149" s="6494"/>
      <c r="N149" s="6494"/>
      <c r="O149" s="6494"/>
      <c r="P149" s="6494"/>
      <c r="Q149" s="6453"/>
      <c r="R149" s="402"/>
      <c r="S149" s="396"/>
      <c r="T149" s="2516"/>
      <c r="U149" s="804"/>
      <c r="V149" s="6449" t="s">
        <v>3198</v>
      </c>
      <c r="W149" s="6450"/>
      <c r="X149" s="2505" t="e">
        <f>IF(V145=0,"",VLOOKUP(V145,'Tablas Magia'!$D$6:$Z$680,9,FALSE))</f>
        <v>#N/A</v>
      </c>
      <c r="Y149" s="2505" t="e">
        <f>IF(V145=0,"",VLOOKUP(V145,'Tablas Magia'!$D$6:$Z$680,13,FALSE))</f>
        <v>#N/A</v>
      </c>
      <c r="Z149" s="412" t="e">
        <f>IF(V145=0,"",VLOOKUP(V145,'Tablas Magia'!$D$6:$Z$680,17,FALSE))</f>
        <v>#N/A</v>
      </c>
      <c r="AA149" s="6451" t="e">
        <f>IF(V145=0,"",VLOOKUP(V145,'Tablas Magia'!$D$6:$Z$680,21,FALSE))</f>
        <v>#N/A</v>
      </c>
      <c r="AB149" s="6494"/>
      <c r="AC149" s="6494"/>
      <c r="AD149" s="6494"/>
      <c r="AE149" s="6494"/>
      <c r="AF149" s="6494"/>
      <c r="AG149" s="6494"/>
      <c r="AH149" s="6494"/>
      <c r="AI149" s="6494"/>
      <c r="AJ149" s="6453"/>
      <c r="AK149" s="402"/>
      <c r="AL149" s="396"/>
    </row>
    <row r="150" spans="1:38" ht="12" customHeight="1" thickBot="1" x14ac:dyDescent="0.25">
      <c r="A150" s="2516"/>
      <c r="B150" s="804"/>
      <c r="C150" s="6454" t="s">
        <v>3199</v>
      </c>
      <c r="D150" s="6455"/>
      <c r="E150" s="415" t="e">
        <f>IF(C145=0,"",VLOOKUP(C145,'Tablas Magia'!$D$6:$Z$680,10,FALSE))</f>
        <v>#N/A</v>
      </c>
      <c r="F150" s="415" t="e">
        <f>IF(C145=0,"",VLOOKUP(C145,'Tablas Magia'!$D$6:$Z$680,14,FALSE))</f>
        <v>#N/A</v>
      </c>
      <c r="G150" s="416" t="e">
        <f>IF(C145=0,"",VLOOKUP(C145,'Tablas Magia'!$D$6:$Z$680,18,FALSE))</f>
        <v>#N/A</v>
      </c>
      <c r="H150" s="6456" t="e">
        <f>IF(C145=0,"",VLOOKUP(C145,'Tablas Magia'!$D$6:$Z$680,22,FALSE))</f>
        <v>#N/A</v>
      </c>
      <c r="I150" s="6457"/>
      <c r="J150" s="6457"/>
      <c r="K150" s="6457"/>
      <c r="L150" s="6457"/>
      <c r="M150" s="6457"/>
      <c r="N150" s="6457"/>
      <c r="O150" s="6457"/>
      <c r="P150" s="6457"/>
      <c r="Q150" s="6458"/>
      <c r="R150" s="402"/>
      <c r="S150" s="396"/>
      <c r="T150" s="2516"/>
      <c r="U150" s="804"/>
      <c r="V150" s="6454" t="s">
        <v>3199</v>
      </c>
      <c r="W150" s="6455"/>
      <c r="X150" s="415" t="e">
        <f>IF(V145=0,"",VLOOKUP(V145,'Tablas Magia'!$D$6:$Z$680,10,FALSE))</f>
        <v>#N/A</v>
      </c>
      <c r="Y150" s="415" t="e">
        <f>IF(V145=0,"",VLOOKUP(V145,'Tablas Magia'!$D$6:$Z$680,14,FALSE))</f>
        <v>#N/A</v>
      </c>
      <c r="Z150" s="416" t="e">
        <f>IF(V145=0,"",VLOOKUP(V145,'Tablas Magia'!$D$6:$Z$680,18,FALSE))</f>
        <v>#N/A</v>
      </c>
      <c r="AA150" s="6456" t="e">
        <f>IF(V145=0,"",VLOOKUP(V145,'Tablas Magia'!$D$6:$Z$680,22,FALSE))</f>
        <v>#N/A</v>
      </c>
      <c r="AB150" s="6457"/>
      <c r="AC150" s="6457"/>
      <c r="AD150" s="6457"/>
      <c r="AE150" s="6457"/>
      <c r="AF150" s="6457"/>
      <c r="AG150" s="6457"/>
      <c r="AH150" s="6457"/>
      <c r="AI150" s="6457"/>
      <c r="AJ150" s="6458"/>
      <c r="AK150" s="402"/>
      <c r="AL150" s="396"/>
    </row>
    <row r="151" spans="1:38" ht="12" customHeight="1" x14ac:dyDescent="0.2">
      <c r="A151" s="2516"/>
      <c r="B151" s="804"/>
      <c r="C151" s="6459" t="e">
        <f>IF(C145=0,"",VLOOKUP(C145,'Tablas Magia'!$D$6:$Z$680,23,FALSE))</f>
        <v>#N/A</v>
      </c>
      <c r="D151" s="6460"/>
      <c r="E151" s="6460"/>
      <c r="F151" s="6460"/>
      <c r="G151" s="6460"/>
      <c r="H151" s="6460"/>
      <c r="I151" s="6460"/>
      <c r="J151" s="6460"/>
      <c r="K151" s="6460"/>
      <c r="L151" s="6460"/>
      <c r="M151" s="6460"/>
      <c r="N151" s="6460"/>
      <c r="O151" s="6460"/>
      <c r="P151" s="6460"/>
      <c r="Q151" s="6461"/>
      <c r="R151" s="402"/>
      <c r="S151" s="396"/>
      <c r="T151" s="2516"/>
      <c r="U151" s="804"/>
      <c r="V151" s="6459" t="e">
        <f>IF(V145=0,"",VLOOKUP(V145,'Tablas Magia'!$D$6:$Z$680,23,FALSE))</f>
        <v>#N/A</v>
      </c>
      <c r="W151" s="6460"/>
      <c r="X151" s="6460"/>
      <c r="Y151" s="6460"/>
      <c r="Z151" s="6460"/>
      <c r="AA151" s="6460"/>
      <c r="AB151" s="6460"/>
      <c r="AC151" s="6460"/>
      <c r="AD151" s="6460"/>
      <c r="AE151" s="6460"/>
      <c r="AF151" s="6460"/>
      <c r="AG151" s="6460"/>
      <c r="AH151" s="6460"/>
      <c r="AI151" s="6460"/>
      <c r="AJ151" s="6461"/>
      <c r="AK151" s="402"/>
      <c r="AL151" s="396"/>
    </row>
    <row r="152" spans="1:38" ht="12" customHeight="1" x14ac:dyDescent="0.2">
      <c r="A152" s="2516"/>
      <c r="B152" s="804"/>
      <c r="C152" s="6462"/>
      <c r="D152" s="6485"/>
      <c r="E152" s="6485"/>
      <c r="F152" s="6485"/>
      <c r="G152" s="6485"/>
      <c r="H152" s="6485"/>
      <c r="I152" s="6485"/>
      <c r="J152" s="6485"/>
      <c r="K152" s="6485"/>
      <c r="L152" s="6485"/>
      <c r="M152" s="6485"/>
      <c r="N152" s="6485"/>
      <c r="O152" s="6485"/>
      <c r="P152" s="6485"/>
      <c r="Q152" s="6464"/>
      <c r="R152" s="402"/>
      <c r="S152" s="396"/>
      <c r="T152" s="2516"/>
      <c r="U152" s="804"/>
      <c r="V152" s="6462"/>
      <c r="W152" s="6485"/>
      <c r="X152" s="6485"/>
      <c r="Y152" s="6485"/>
      <c r="Z152" s="6485"/>
      <c r="AA152" s="6485"/>
      <c r="AB152" s="6485"/>
      <c r="AC152" s="6485"/>
      <c r="AD152" s="6485"/>
      <c r="AE152" s="6485"/>
      <c r="AF152" s="6485"/>
      <c r="AG152" s="6485"/>
      <c r="AH152" s="6485"/>
      <c r="AI152" s="6485"/>
      <c r="AJ152" s="6464"/>
      <c r="AK152" s="402"/>
      <c r="AL152" s="396"/>
    </row>
    <row r="153" spans="1:38" ht="12" customHeight="1" x14ac:dyDescent="0.2">
      <c r="A153" s="2516"/>
      <c r="B153" s="804"/>
      <c r="C153" s="6462"/>
      <c r="D153" s="6485"/>
      <c r="E153" s="6485"/>
      <c r="F153" s="6485"/>
      <c r="G153" s="6485"/>
      <c r="H153" s="6485"/>
      <c r="I153" s="6485"/>
      <c r="J153" s="6485"/>
      <c r="K153" s="6485"/>
      <c r="L153" s="6485"/>
      <c r="M153" s="6485"/>
      <c r="N153" s="6485"/>
      <c r="O153" s="6485"/>
      <c r="P153" s="6485"/>
      <c r="Q153" s="6464"/>
      <c r="R153" s="402"/>
      <c r="S153" s="396"/>
      <c r="T153" s="2516"/>
      <c r="U153" s="804"/>
      <c r="V153" s="6462"/>
      <c r="W153" s="6485"/>
      <c r="X153" s="6485"/>
      <c r="Y153" s="6485"/>
      <c r="Z153" s="6485"/>
      <c r="AA153" s="6485"/>
      <c r="AB153" s="6485"/>
      <c r="AC153" s="6485"/>
      <c r="AD153" s="6485"/>
      <c r="AE153" s="6485"/>
      <c r="AF153" s="6485"/>
      <c r="AG153" s="6485"/>
      <c r="AH153" s="6485"/>
      <c r="AI153" s="6485"/>
      <c r="AJ153" s="6464"/>
      <c r="AK153" s="402"/>
      <c r="AL153" s="396"/>
    </row>
    <row r="154" spans="1:38" ht="12" customHeight="1" thickBot="1" x14ac:dyDescent="0.25">
      <c r="A154" s="2516"/>
      <c r="B154" s="804"/>
      <c r="C154" s="6465"/>
      <c r="D154" s="6466"/>
      <c r="E154" s="6466"/>
      <c r="F154" s="6466"/>
      <c r="G154" s="6466"/>
      <c r="H154" s="6466"/>
      <c r="I154" s="6466"/>
      <c r="J154" s="6466"/>
      <c r="K154" s="6466"/>
      <c r="L154" s="6466"/>
      <c r="M154" s="6466"/>
      <c r="N154" s="6466"/>
      <c r="O154" s="6466"/>
      <c r="P154" s="6466"/>
      <c r="Q154" s="6467"/>
      <c r="R154" s="402"/>
      <c r="S154" s="396"/>
      <c r="T154" s="2516"/>
      <c r="U154" s="804"/>
      <c r="V154" s="6465"/>
      <c r="W154" s="6466"/>
      <c r="X154" s="6466"/>
      <c r="Y154" s="6466"/>
      <c r="Z154" s="6466"/>
      <c r="AA154" s="6466"/>
      <c r="AB154" s="6466"/>
      <c r="AC154" s="6466"/>
      <c r="AD154" s="6466"/>
      <c r="AE154" s="6466"/>
      <c r="AF154" s="6466"/>
      <c r="AG154" s="6466"/>
      <c r="AH154" s="6466"/>
      <c r="AI154" s="6466"/>
      <c r="AJ154" s="6467"/>
      <c r="AK154" s="402"/>
      <c r="AL154" s="396"/>
    </row>
    <row r="155" spans="1:38" ht="12" customHeight="1" thickBot="1" x14ac:dyDescent="0.25">
      <c r="A155" s="2516"/>
      <c r="B155" s="804"/>
      <c r="C155" s="2507"/>
      <c r="D155" s="2507"/>
      <c r="E155" s="2507"/>
      <c r="F155" s="2507"/>
      <c r="G155" s="2507"/>
      <c r="H155" s="2508"/>
      <c r="I155" s="2509"/>
      <c r="J155" s="2510"/>
      <c r="K155" s="2510"/>
      <c r="L155" s="2510"/>
      <c r="M155" s="2511"/>
      <c r="N155" s="2511"/>
      <c r="O155" s="2511"/>
      <c r="P155" s="2511"/>
      <c r="Q155" s="2511"/>
      <c r="R155" s="402"/>
      <c r="S155" s="396"/>
      <c r="T155" s="2516"/>
      <c r="U155" s="804"/>
      <c r="V155" s="2510"/>
      <c r="W155" s="2510"/>
      <c r="X155" s="2512"/>
      <c r="Y155" s="2512"/>
      <c r="Z155" s="2512"/>
      <c r="AA155" s="2510"/>
      <c r="AB155" s="2511"/>
      <c r="AC155" s="2511"/>
      <c r="AD155" s="2510"/>
      <c r="AE155" s="2510"/>
      <c r="AF155" s="2511"/>
      <c r="AG155" s="2511"/>
      <c r="AH155" s="2513"/>
      <c r="AI155" s="2513"/>
      <c r="AJ155" s="2511"/>
      <c r="AK155" s="402"/>
      <c r="AL155" s="396"/>
    </row>
    <row r="156" spans="1:38" ht="12" customHeight="1" x14ac:dyDescent="0.2">
      <c r="A156" s="2516"/>
      <c r="B156" s="804">
        <f>B145+2</f>
        <v>44</v>
      </c>
      <c r="C156" s="6501"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502"/>
      <c r="E156" s="6502"/>
      <c r="F156" s="6502"/>
      <c r="G156" s="6503"/>
      <c r="H156" s="406" t="s">
        <v>1325</v>
      </c>
      <c r="I156" s="407">
        <f>B156</f>
        <v>44</v>
      </c>
      <c r="J156" s="6486" t="s">
        <v>6236</v>
      </c>
      <c r="K156" s="6486"/>
      <c r="L156" s="6486"/>
      <c r="M156" s="6471" t="e">
        <f>IF(C156=0,"",VLOOKUP(C156,'Tablas Magia'!$D$6:$Z$680,2,FALSE))</f>
        <v>#N/A</v>
      </c>
      <c r="N156" s="6471"/>
      <c r="O156" s="1718"/>
      <c r="P156" s="6492" t="str">
        <f>IFERROR(IF(M156="Libre Acceso","Aprendido",IF(IFERROR(VLOOKUP(M156,Místicos!$C$15:$H$25,6,0)&gt;=I156,FALSE),"Aprendido",IF(IFERROR(VLOOKUP(M156,Místicos!$E$15:$H$25,4,0)&gt;=I156,FALSE),"Aprendido",""))),"")</f>
        <v/>
      </c>
      <c r="Q156" s="6493"/>
      <c r="R156" s="402"/>
      <c r="S156" s="396"/>
      <c r="T156" s="2516"/>
      <c r="U156" s="804">
        <f>U145+2</f>
        <v>54</v>
      </c>
      <c r="V156" s="6501"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502"/>
      <c r="X156" s="6502"/>
      <c r="Y156" s="6502"/>
      <c r="Z156" s="6502"/>
      <c r="AA156" s="406" t="s">
        <v>1325</v>
      </c>
      <c r="AB156" s="407">
        <f>U156</f>
        <v>54</v>
      </c>
      <c r="AC156" s="6486" t="s">
        <v>6236</v>
      </c>
      <c r="AD156" s="6486"/>
      <c r="AE156" s="6486"/>
      <c r="AF156" s="6471" t="e">
        <f>IF(V156=0,"",VLOOKUP(V156,'Tablas Magia'!$D$6:$Z$680,2,FALSE))</f>
        <v>#N/A</v>
      </c>
      <c r="AG156" s="6471"/>
      <c r="AH156" s="1718"/>
      <c r="AI156" s="6492" t="str">
        <f>IFERROR(IF(AF156="Libre Acceso","Aprendido",IF(IFERROR(VLOOKUP(AF156,Místicos!$C$15:$H$25,6,0)&gt;=AB156,FALSE),"Aprendido",IF(IFERROR(VLOOKUP(AF156,Místicos!$E$15:$H$25,4,0)&gt;=AB156,FALSE),"Aprendido",""))),"")</f>
        <v/>
      </c>
      <c r="AJ156" s="6493"/>
      <c r="AK156" s="402"/>
      <c r="AL156" s="396"/>
    </row>
    <row r="157" spans="1:38" ht="12" customHeight="1" x14ac:dyDescent="0.2">
      <c r="A157" s="2516"/>
      <c r="B157" s="804"/>
      <c r="C157" s="6473" t="s">
        <v>6237</v>
      </c>
      <c r="D157" s="6487"/>
      <c r="E157" s="2502" t="s">
        <v>6238</v>
      </c>
      <c r="F157" s="2502" t="s">
        <v>1509</v>
      </c>
      <c r="G157" s="2502" t="s">
        <v>2828</v>
      </c>
      <c r="H157" s="2503" t="s">
        <v>1836</v>
      </c>
      <c r="I157" s="6495" t="e">
        <f>IF(C156=0,"",VLOOKUP(C156,'Tablas Magia'!$D$6:$Z$680,5,FALSE))</f>
        <v>#N/A</v>
      </c>
      <c r="J157" s="6495"/>
      <c r="K157" s="6498" t="s">
        <v>6239</v>
      </c>
      <c r="L157" s="6498"/>
      <c r="M157" s="6495" t="e">
        <f>IF(C156=0,"",VLOOKUP(C156,'Tablas Magia'!$D$6:$Z$680,6,FALSE))</f>
        <v>#N/A</v>
      </c>
      <c r="N157" s="6495"/>
      <c r="O157" s="6496" t="s">
        <v>6240</v>
      </c>
      <c r="P157" s="6496"/>
      <c r="Q157" s="2504" t="e">
        <f>IF(C156=0,"",VLOOKUP(C156,'Tablas Magia'!$D$6:$Z$680,4,FALSE))</f>
        <v>#N/A</v>
      </c>
      <c r="R157" s="402"/>
      <c r="S157" s="396"/>
      <c r="T157" s="2516"/>
      <c r="U157" s="804"/>
      <c r="V157" s="6473" t="s">
        <v>6237</v>
      </c>
      <c r="W157" s="6487"/>
      <c r="X157" s="2502" t="s">
        <v>6238</v>
      </c>
      <c r="Y157" s="2502" t="s">
        <v>1509</v>
      </c>
      <c r="Z157" s="2502" t="s">
        <v>2828</v>
      </c>
      <c r="AA157" s="2503" t="s">
        <v>1836</v>
      </c>
      <c r="AB157" s="6495" t="e">
        <f>IF(V156=0,"",VLOOKUP(V156,'Tablas Magia'!$D$6:$Z$680,5,FALSE))</f>
        <v>#N/A</v>
      </c>
      <c r="AC157" s="6495"/>
      <c r="AD157" s="6498" t="s">
        <v>6239</v>
      </c>
      <c r="AE157" s="6498"/>
      <c r="AF157" s="6495" t="e">
        <f>IF(V156=0,"",VLOOKUP(V156,'Tablas Magia'!$D$6:$Z$680,6,FALSE))</f>
        <v>#N/A</v>
      </c>
      <c r="AG157" s="6495"/>
      <c r="AH157" s="6496" t="s">
        <v>6240</v>
      </c>
      <c r="AI157" s="6496"/>
      <c r="AJ157" s="2504" t="e">
        <f>IF(V156=0,"",VLOOKUP(V156,'Tablas Magia'!$D$6:$Z$680,4,FALSE))</f>
        <v>#N/A</v>
      </c>
      <c r="AK157" s="402"/>
      <c r="AL157" s="396"/>
    </row>
    <row r="158" spans="1:38" ht="12" customHeight="1" x14ac:dyDescent="0.2">
      <c r="A158" s="2516"/>
      <c r="B158" s="804"/>
      <c r="C158" s="6499" t="s">
        <v>1365</v>
      </c>
      <c r="D158" s="6500"/>
      <c r="E158" s="2505" t="e">
        <f>IF(C156=0,"",VLOOKUP(C156,'Tablas Magia'!$D$6:$Z$680,7,FALSE))</f>
        <v>#N/A</v>
      </c>
      <c r="F158" s="2505" t="e">
        <f>IF(C156=0,"",VLOOKUP(C156,'Tablas Magia'!$D$6:$Z$680,11,FALSE))</f>
        <v>#N/A</v>
      </c>
      <c r="G158" s="412" t="e">
        <f>IF(C156=0,"",VLOOKUP(C156,'Tablas Magia'!$D$6:$Z$680,15,FALSE))</f>
        <v>#N/A</v>
      </c>
      <c r="H158" s="6481" t="e">
        <f>IF(C156=0,"",VLOOKUP(C156,'Tablas Magia'!$D$6:$Z$680,19,FALSE))</f>
        <v>#N/A</v>
      </c>
      <c r="I158" s="6482"/>
      <c r="J158" s="6482"/>
      <c r="K158" s="6482"/>
      <c r="L158" s="6482"/>
      <c r="M158" s="6482"/>
      <c r="N158" s="6482"/>
      <c r="O158" s="6482"/>
      <c r="P158" s="6482"/>
      <c r="Q158" s="6483"/>
      <c r="R158" s="402"/>
      <c r="S158" s="396"/>
      <c r="T158" s="2516"/>
      <c r="U158" s="804"/>
      <c r="V158" s="6449" t="s">
        <v>1365</v>
      </c>
      <c r="W158" s="6450"/>
      <c r="X158" s="2505" t="e">
        <f>IF(V156=0,"",VLOOKUP(V156,'Tablas Magia'!$D$6:$Z$680,7,FALSE))</f>
        <v>#N/A</v>
      </c>
      <c r="Y158" s="2505" t="e">
        <f>IF(V156=0,"",VLOOKUP(V156,'Tablas Magia'!$D$6:$Z$680,11,FALSE))</f>
        <v>#N/A</v>
      </c>
      <c r="Z158" s="412" t="e">
        <f>IF(V156=0,"",VLOOKUP(V156,'Tablas Magia'!$D$6:$Z$680,15,FALSE))</f>
        <v>#N/A</v>
      </c>
      <c r="AA158" s="6451" t="e">
        <f>IF(V156=0,"",VLOOKUP(V156,'Tablas Magia'!$D$6:$Z$680,19,FALSE))</f>
        <v>#N/A</v>
      </c>
      <c r="AB158" s="6494"/>
      <c r="AC158" s="6494"/>
      <c r="AD158" s="6494"/>
      <c r="AE158" s="6494"/>
      <c r="AF158" s="6494"/>
      <c r="AG158" s="6494"/>
      <c r="AH158" s="6494"/>
      <c r="AI158" s="6494"/>
      <c r="AJ158" s="6453"/>
      <c r="AK158" s="402"/>
      <c r="AL158" s="396"/>
    </row>
    <row r="159" spans="1:38" ht="12" customHeight="1" x14ac:dyDescent="0.2">
      <c r="A159" s="2516"/>
      <c r="B159" s="804"/>
      <c r="C159" s="6444" t="s">
        <v>3197</v>
      </c>
      <c r="D159" s="6445"/>
      <c r="E159" s="2506" t="e">
        <f>IF(C156=0,"",VLOOKUP(C156,'Tablas Magia'!$D$6:$Z$680,8,FALSE))</f>
        <v>#N/A</v>
      </c>
      <c r="F159" s="2506" t="e">
        <f>IF(C156=0,"",VLOOKUP(C156,'Tablas Magia'!$D$6:$Z$680,12,FALSE))</f>
        <v>#N/A</v>
      </c>
      <c r="G159" s="414" t="e">
        <f>IF(C156=0,"",VLOOKUP(C156,'Tablas Magia'!$D$6:$Z$680,16,FALSE))</f>
        <v>#N/A</v>
      </c>
      <c r="H159" s="6446" t="e">
        <f>IF(C156=0,"",VLOOKUP(C156,'Tablas Magia'!$D$6:$Z$680,20,FALSE))</f>
        <v>#N/A</v>
      </c>
      <c r="I159" s="6484"/>
      <c r="J159" s="6484"/>
      <c r="K159" s="6484"/>
      <c r="L159" s="6484"/>
      <c r="M159" s="6484"/>
      <c r="N159" s="6484"/>
      <c r="O159" s="6484"/>
      <c r="P159" s="6484"/>
      <c r="Q159" s="6448"/>
      <c r="R159" s="402"/>
      <c r="S159" s="396"/>
      <c r="T159" s="2516"/>
      <c r="U159" s="804"/>
      <c r="V159" s="6444" t="s">
        <v>3197</v>
      </c>
      <c r="W159" s="6445"/>
      <c r="X159" s="2506" t="e">
        <f>IF(V156=0,"",VLOOKUP(V156,'Tablas Magia'!$D$6:$Z$680,8,FALSE))</f>
        <v>#N/A</v>
      </c>
      <c r="Y159" s="2506" t="e">
        <f>IF(V156=0,"",VLOOKUP(V156,'Tablas Magia'!$D$6:$Z$680,12,FALSE))</f>
        <v>#N/A</v>
      </c>
      <c r="Z159" s="414" t="e">
        <f>IF(V156=0,"",VLOOKUP(V156,'Tablas Magia'!$D$6:$Z$680,16,FALSE))</f>
        <v>#N/A</v>
      </c>
      <c r="AA159" s="6446" t="e">
        <f>IF(V156=0,"",VLOOKUP(V156,'Tablas Magia'!$D$6:$Z$680,20,FALSE))</f>
        <v>#N/A</v>
      </c>
      <c r="AB159" s="6484"/>
      <c r="AC159" s="6484"/>
      <c r="AD159" s="6484"/>
      <c r="AE159" s="6484"/>
      <c r="AF159" s="6484"/>
      <c r="AG159" s="6484"/>
      <c r="AH159" s="6484"/>
      <c r="AI159" s="6484"/>
      <c r="AJ159" s="6448"/>
      <c r="AK159" s="402"/>
      <c r="AL159" s="396"/>
    </row>
    <row r="160" spans="1:38" ht="12" customHeight="1" x14ac:dyDescent="0.2">
      <c r="A160" s="2516"/>
      <c r="B160" s="804"/>
      <c r="C160" s="6449" t="s">
        <v>3198</v>
      </c>
      <c r="D160" s="6450"/>
      <c r="E160" s="2505" t="e">
        <f>IF(C156=0,"",VLOOKUP(C156,'Tablas Magia'!$D$6:$Z$680,9,FALSE))</f>
        <v>#N/A</v>
      </c>
      <c r="F160" s="2505" t="e">
        <f>IF(C156=0,"",VLOOKUP(C156,'Tablas Magia'!$D$6:$Z$680,13,FALSE))</f>
        <v>#N/A</v>
      </c>
      <c r="G160" s="412" t="e">
        <f>IF(C156=0,"",VLOOKUP(C156,'Tablas Magia'!$D$6:$Z$680,17,FALSE))</f>
        <v>#N/A</v>
      </c>
      <c r="H160" s="6451" t="e">
        <f>IF(C156=0,"",VLOOKUP(C156,'Tablas Magia'!$D$6:$Z$680,21,FALSE))</f>
        <v>#N/A</v>
      </c>
      <c r="I160" s="6494"/>
      <c r="J160" s="6494"/>
      <c r="K160" s="6494"/>
      <c r="L160" s="6494"/>
      <c r="M160" s="6494"/>
      <c r="N160" s="6494"/>
      <c r="O160" s="6494"/>
      <c r="P160" s="6494"/>
      <c r="Q160" s="6453"/>
      <c r="R160" s="402"/>
      <c r="S160" s="396"/>
      <c r="T160" s="2516"/>
      <c r="U160" s="804"/>
      <c r="V160" s="6449" t="s">
        <v>3198</v>
      </c>
      <c r="W160" s="6450"/>
      <c r="X160" s="2505" t="e">
        <f>IF(V156=0,"",VLOOKUP(V156,'Tablas Magia'!$D$6:$Z$680,9,FALSE))</f>
        <v>#N/A</v>
      </c>
      <c r="Y160" s="2505" t="e">
        <f>IF(V156=0,"",VLOOKUP(V156,'Tablas Magia'!$D$6:$Z$680,13,FALSE))</f>
        <v>#N/A</v>
      </c>
      <c r="Z160" s="412" t="e">
        <f>IF(V156=0,"",VLOOKUP(V156,'Tablas Magia'!$D$6:$Z$680,17,FALSE))</f>
        <v>#N/A</v>
      </c>
      <c r="AA160" s="6451" t="e">
        <f>IF(V156=0,"",VLOOKUP(V156,'Tablas Magia'!$D$6:$Z$680,21,FALSE))</f>
        <v>#N/A</v>
      </c>
      <c r="AB160" s="6494"/>
      <c r="AC160" s="6494"/>
      <c r="AD160" s="6494"/>
      <c r="AE160" s="6494"/>
      <c r="AF160" s="6494"/>
      <c r="AG160" s="6494"/>
      <c r="AH160" s="6494"/>
      <c r="AI160" s="6494"/>
      <c r="AJ160" s="6453"/>
      <c r="AK160" s="402"/>
      <c r="AL160" s="396"/>
    </row>
    <row r="161" spans="1:38" ht="12" customHeight="1" thickBot="1" x14ac:dyDescent="0.25">
      <c r="A161" s="2516"/>
      <c r="B161" s="804"/>
      <c r="C161" s="6454" t="s">
        <v>3199</v>
      </c>
      <c r="D161" s="6455"/>
      <c r="E161" s="415" t="e">
        <f>IF(C156=0,"",VLOOKUP(C156,'Tablas Magia'!$D$6:$Z$680,10,FALSE))</f>
        <v>#N/A</v>
      </c>
      <c r="F161" s="415" t="e">
        <f>IF(C156=0,"",VLOOKUP(C156,'Tablas Magia'!$D$6:$Z$680,14,FALSE))</f>
        <v>#N/A</v>
      </c>
      <c r="G161" s="416" t="e">
        <f>IF(C156=0,"",VLOOKUP(C156,'Tablas Magia'!$D$6:$Z$680,18,FALSE))</f>
        <v>#N/A</v>
      </c>
      <c r="H161" s="6456" t="e">
        <f>IF(C156=0,"",VLOOKUP(C156,'Tablas Magia'!$D$6:$Z$680,22,FALSE))</f>
        <v>#N/A</v>
      </c>
      <c r="I161" s="6457"/>
      <c r="J161" s="6457"/>
      <c r="K161" s="6457"/>
      <c r="L161" s="6457"/>
      <c r="M161" s="6457"/>
      <c r="N161" s="6457"/>
      <c r="O161" s="6457"/>
      <c r="P161" s="6457"/>
      <c r="Q161" s="6458"/>
      <c r="R161" s="402"/>
      <c r="S161" s="396"/>
      <c r="T161" s="2516"/>
      <c r="U161" s="804"/>
      <c r="V161" s="6454" t="s">
        <v>3199</v>
      </c>
      <c r="W161" s="6455"/>
      <c r="X161" s="415" t="e">
        <f>IF(V156=0,"",VLOOKUP(V156,'Tablas Magia'!$D$6:$Z$680,10,FALSE))</f>
        <v>#N/A</v>
      </c>
      <c r="Y161" s="415" t="e">
        <f>IF(V156=0,"",VLOOKUP(V156,'Tablas Magia'!$D$6:$Z$680,14,FALSE))</f>
        <v>#N/A</v>
      </c>
      <c r="Z161" s="416" t="e">
        <f>IF(V156=0,"",VLOOKUP(V156,'Tablas Magia'!$D$6:$Z$680,18,FALSE))</f>
        <v>#N/A</v>
      </c>
      <c r="AA161" s="6456" t="e">
        <f>IF(V156=0,"",VLOOKUP(V156,'Tablas Magia'!$D$6:$Z$680,22,FALSE))</f>
        <v>#N/A</v>
      </c>
      <c r="AB161" s="6457"/>
      <c r="AC161" s="6457"/>
      <c r="AD161" s="6457"/>
      <c r="AE161" s="6457"/>
      <c r="AF161" s="6457"/>
      <c r="AG161" s="6457"/>
      <c r="AH161" s="6457"/>
      <c r="AI161" s="6457"/>
      <c r="AJ161" s="6458"/>
      <c r="AK161" s="402"/>
      <c r="AL161" s="396"/>
    </row>
    <row r="162" spans="1:38" ht="12" customHeight="1" x14ac:dyDescent="0.2">
      <c r="A162" s="2516"/>
      <c r="B162" s="804"/>
      <c r="C162" s="6459" t="e">
        <f>IF(C156=0,"",VLOOKUP(C156,'Tablas Magia'!$D$6:$Z$680,23,FALSE))</f>
        <v>#N/A</v>
      </c>
      <c r="D162" s="6460"/>
      <c r="E162" s="6460"/>
      <c r="F162" s="6460"/>
      <c r="G162" s="6460"/>
      <c r="H162" s="6460"/>
      <c r="I162" s="6460"/>
      <c r="J162" s="6460"/>
      <c r="K162" s="6460"/>
      <c r="L162" s="6460"/>
      <c r="M162" s="6460"/>
      <c r="N162" s="6460"/>
      <c r="O162" s="6460"/>
      <c r="P162" s="6460"/>
      <c r="Q162" s="6461"/>
      <c r="R162" s="402"/>
      <c r="S162" s="396"/>
      <c r="T162" s="2516"/>
      <c r="U162" s="804"/>
      <c r="V162" s="6459" t="e">
        <f>IF(V156=0,"",VLOOKUP(V156,'Tablas Magia'!$D$6:$Z$680,23,FALSE))</f>
        <v>#N/A</v>
      </c>
      <c r="W162" s="6460"/>
      <c r="X162" s="6460"/>
      <c r="Y162" s="6460"/>
      <c r="Z162" s="6460"/>
      <c r="AA162" s="6460"/>
      <c r="AB162" s="6460"/>
      <c r="AC162" s="6460"/>
      <c r="AD162" s="6460"/>
      <c r="AE162" s="6460"/>
      <c r="AF162" s="6460"/>
      <c r="AG162" s="6460"/>
      <c r="AH162" s="6460"/>
      <c r="AI162" s="6460"/>
      <c r="AJ162" s="6461"/>
      <c r="AK162" s="402"/>
      <c r="AL162" s="396"/>
    </row>
    <row r="163" spans="1:38" ht="12" customHeight="1" x14ac:dyDescent="0.2">
      <c r="A163" s="2516"/>
      <c r="B163" s="804"/>
      <c r="C163" s="6462"/>
      <c r="D163" s="6485"/>
      <c r="E163" s="6485"/>
      <c r="F163" s="6485"/>
      <c r="G163" s="6485"/>
      <c r="H163" s="6485"/>
      <c r="I163" s="6485"/>
      <c r="J163" s="6485"/>
      <c r="K163" s="6485"/>
      <c r="L163" s="6485"/>
      <c r="M163" s="6485"/>
      <c r="N163" s="6485"/>
      <c r="O163" s="6485"/>
      <c r="P163" s="6485"/>
      <c r="Q163" s="6464"/>
      <c r="R163" s="402"/>
      <c r="S163" s="396"/>
      <c r="T163" s="2516"/>
      <c r="U163" s="804"/>
      <c r="V163" s="6462"/>
      <c r="W163" s="6485"/>
      <c r="X163" s="6485"/>
      <c r="Y163" s="6485"/>
      <c r="Z163" s="6485"/>
      <c r="AA163" s="6485"/>
      <c r="AB163" s="6485"/>
      <c r="AC163" s="6485"/>
      <c r="AD163" s="6485"/>
      <c r="AE163" s="6485"/>
      <c r="AF163" s="6485"/>
      <c r="AG163" s="6485"/>
      <c r="AH163" s="6485"/>
      <c r="AI163" s="6485"/>
      <c r="AJ163" s="6464"/>
      <c r="AK163" s="402"/>
      <c r="AL163" s="396"/>
    </row>
    <row r="164" spans="1:38" ht="12" customHeight="1" x14ac:dyDescent="0.2">
      <c r="A164" s="2516"/>
      <c r="B164" s="804"/>
      <c r="C164" s="6462"/>
      <c r="D164" s="6485"/>
      <c r="E164" s="6485"/>
      <c r="F164" s="6485"/>
      <c r="G164" s="6485"/>
      <c r="H164" s="6485"/>
      <c r="I164" s="6485"/>
      <c r="J164" s="6485"/>
      <c r="K164" s="6485"/>
      <c r="L164" s="6485"/>
      <c r="M164" s="6485"/>
      <c r="N164" s="6485"/>
      <c r="O164" s="6485"/>
      <c r="P164" s="6485"/>
      <c r="Q164" s="6464"/>
      <c r="R164" s="402"/>
      <c r="S164" s="396"/>
      <c r="T164" s="2516"/>
      <c r="U164" s="804"/>
      <c r="V164" s="6462"/>
      <c r="W164" s="6485"/>
      <c r="X164" s="6485"/>
      <c r="Y164" s="6485"/>
      <c r="Z164" s="6485"/>
      <c r="AA164" s="6485"/>
      <c r="AB164" s="6485"/>
      <c r="AC164" s="6485"/>
      <c r="AD164" s="6485"/>
      <c r="AE164" s="6485"/>
      <c r="AF164" s="6485"/>
      <c r="AG164" s="6485"/>
      <c r="AH164" s="6485"/>
      <c r="AI164" s="6485"/>
      <c r="AJ164" s="6464"/>
      <c r="AK164" s="402"/>
      <c r="AL164" s="396"/>
    </row>
    <row r="165" spans="1:38" ht="12" customHeight="1" thickBot="1" x14ac:dyDescent="0.25">
      <c r="A165" s="2516"/>
      <c r="B165" s="804"/>
      <c r="C165" s="6465"/>
      <c r="D165" s="6466"/>
      <c r="E165" s="6466"/>
      <c r="F165" s="6466"/>
      <c r="G165" s="6466"/>
      <c r="H165" s="6466"/>
      <c r="I165" s="6466"/>
      <c r="J165" s="6466"/>
      <c r="K165" s="6466"/>
      <c r="L165" s="6466"/>
      <c r="M165" s="6466"/>
      <c r="N165" s="6466"/>
      <c r="O165" s="6466"/>
      <c r="P165" s="6466"/>
      <c r="Q165" s="6467"/>
      <c r="R165" s="402"/>
      <c r="S165" s="396"/>
      <c r="T165" s="2516"/>
      <c r="U165" s="804"/>
      <c r="V165" s="6465"/>
      <c r="W165" s="6466"/>
      <c r="X165" s="6466"/>
      <c r="Y165" s="6466"/>
      <c r="Z165" s="6466"/>
      <c r="AA165" s="6466"/>
      <c r="AB165" s="6466"/>
      <c r="AC165" s="6466"/>
      <c r="AD165" s="6466"/>
      <c r="AE165" s="6466"/>
      <c r="AF165" s="6466"/>
      <c r="AG165" s="6466"/>
      <c r="AH165" s="6466"/>
      <c r="AI165" s="6466"/>
      <c r="AJ165" s="6467"/>
      <c r="AK165" s="402"/>
      <c r="AL165" s="396"/>
    </row>
    <row r="166" spans="1:38" ht="12" customHeight="1" thickBot="1" x14ac:dyDescent="0.25">
      <c r="A166" s="2516"/>
      <c r="B166" s="804"/>
      <c r="C166" s="2510"/>
      <c r="D166" s="2510"/>
      <c r="E166" s="2512"/>
      <c r="F166" s="2512"/>
      <c r="G166" s="2512"/>
      <c r="H166" s="2510"/>
      <c r="I166" s="2511"/>
      <c r="J166" s="2511"/>
      <c r="K166" s="2510"/>
      <c r="L166" s="2510"/>
      <c r="M166" s="2511"/>
      <c r="N166" s="2511"/>
      <c r="O166" s="2513"/>
      <c r="P166" s="2513"/>
      <c r="Q166" s="2511"/>
      <c r="R166" s="402"/>
      <c r="S166" s="396"/>
      <c r="T166" s="2516"/>
      <c r="U166" s="804"/>
      <c r="V166" s="2514"/>
      <c r="W166" s="2514"/>
      <c r="X166" s="2515"/>
      <c r="Y166" s="2515"/>
      <c r="Z166" s="2515"/>
      <c r="AA166" s="2515"/>
      <c r="AB166" s="2515"/>
      <c r="AC166" s="2515"/>
      <c r="AD166" s="2515"/>
      <c r="AE166" s="2515"/>
      <c r="AF166" s="2515"/>
      <c r="AG166" s="2515"/>
      <c r="AH166" s="2515"/>
      <c r="AI166" s="2515"/>
      <c r="AJ166" s="2515"/>
      <c r="AK166" s="402"/>
      <c r="AL166" s="396"/>
    </row>
    <row r="167" spans="1:38" ht="12" customHeight="1" x14ac:dyDescent="0.2">
      <c r="A167" s="2516"/>
      <c r="B167" s="804">
        <f>B156+2</f>
        <v>46</v>
      </c>
      <c r="C167" s="6501"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502"/>
      <c r="E167" s="6502"/>
      <c r="F167" s="6502"/>
      <c r="G167" s="6503"/>
      <c r="H167" s="406" t="s">
        <v>1325</v>
      </c>
      <c r="I167" s="407">
        <f>B167</f>
        <v>46</v>
      </c>
      <c r="J167" s="6486" t="s">
        <v>6236</v>
      </c>
      <c r="K167" s="6486"/>
      <c r="L167" s="6486"/>
      <c r="M167" s="6471" t="e">
        <f>IF(C167=0,"",VLOOKUP(C167,'Tablas Magia'!$D$6:$Z$680,2,FALSE))</f>
        <v>#N/A</v>
      </c>
      <c r="N167" s="6471"/>
      <c r="O167" s="1718"/>
      <c r="P167" s="6492" t="str">
        <f>IFERROR(IF(M167="Libre Acceso","Aprendido",IF(IFERROR(VLOOKUP(M167,Místicos!$C$15:$H$25,6,0)&gt;=I167,FALSE),"Aprendido",IF(IFERROR(VLOOKUP(M167,Místicos!$E$15:$H$25,4,0)&gt;=I167,FALSE),"Aprendido",""))),"")</f>
        <v/>
      </c>
      <c r="Q167" s="6493"/>
      <c r="R167" s="402"/>
      <c r="S167" s="396"/>
      <c r="T167" s="2516"/>
      <c r="U167" s="804">
        <f>U156+2</f>
        <v>56</v>
      </c>
      <c r="V167" s="6501"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502"/>
      <c r="X167" s="6502"/>
      <c r="Y167" s="6502"/>
      <c r="Z167" s="6502"/>
      <c r="AA167" s="406" t="s">
        <v>1325</v>
      </c>
      <c r="AB167" s="407">
        <f>U167</f>
        <v>56</v>
      </c>
      <c r="AC167" s="6486" t="s">
        <v>6236</v>
      </c>
      <c r="AD167" s="6486"/>
      <c r="AE167" s="6486"/>
      <c r="AF167" s="6471" t="e">
        <f>IF(V167=0,"",VLOOKUP(V167,'Tablas Magia'!$D$6:$Z$680,2,FALSE))</f>
        <v>#N/A</v>
      </c>
      <c r="AG167" s="6471"/>
      <c r="AH167" s="1718"/>
      <c r="AI167" s="6492" t="str">
        <f>IFERROR(IF(AF167="Libre Acceso","Aprendido",IF(IFERROR(VLOOKUP(AF167,Místicos!$C$15:$H$25,6,0)&gt;=AB167,FALSE),"Aprendido",IF(IFERROR(VLOOKUP(AF167,Místicos!$E$15:$H$25,4,0)&gt;=AB167,FALSE),"Aprendido",""))),"")</f>
        <v/>
      </c>
      <c r="AJ167" s="6493"/>
      <c r="AK167" s="402"/>
      <c r="AL167" s="396"/>
    </row>
    <row r="168" spans="1:38" ht="12" customHeight="1" x14ac:dyDescent="0.2">
      <c r="A168" s="2516"/>
      <c r="B168" s="804"/>
      <c r="C168" s="6473" t="s">
        <v>6237</v>
      </c>
      <c r="D168" s="6487"/>
      <c r="E168" s="2502" t="s">
        <v>6238</v>
      </c>
      <c r="F168" s="2502" t="s">
        <v>1509</v>
      </c>
      <c r="G168" s="2502" t="s">
        <v>2828</v>
      </c>
      <c r="H168" s="2503" t="s">
        <v>1836</v>
      </c>
      <c r="I168" s="6495" t="e">
        <f>IF(C167=0,"",VLOOKUP(C167,'Tablas Magia'!$D$6:$Z$680,5,FALSE))</f>
        <v>#N/A</v>
      </c>
      <c r="J168" s="6495"/>
      <c r="K168" s="6498" t="s">
        <v>6239</v>
      </c>
      <c r="L168" s="6498"/>
      <c r="M168" s="6495" t="e">
        <f>IF(C167=0,"",VLOOKUP(C167,'Tablas Magia'!$D$6:$Z$680,6,FALSE))</f>
        <v>#N/A</v>
      </c>
      <c r="N168" s="6495"/>
      <c r="O168" s="6496" t="s">
        <v>6240</v>
      </c>
      <c r="P168" s="6496"/>
      <c r="Q168" s="2504" t="e">
        <f>IF(C167=0,"",VLOOKUP(C167,'Tablas Magia'!$D$6:$Z$680,4,FALSE))</f>
        <v>#N/A</v>
      </c>
      <c r="R168" s="402"/>
      <c r="S168" s="396"/>
      <c r="T168" s="2516"/>
      <c r="U168" s="804"/>
      <c r="V168" s="6473" t="s">
        <v>6237</v>
      </c>
      <c r="W168" s="6487"/>
      <c r="X168" s="2502" t="s">
        <v>6238</v>
      </c>
      <c r="Y168" s="2502" t="s">
        <v>1509</v>
      </c>
      <c r="Z168" s="2502" t="s">
        <v>2828</v>
      </c>
      <c r="AA168" s="2503" t="s">
        <v>1836</v>
      </c>
      <c r="AB168" s="6495" t="e">
        <f>IF(V167=0,"",VLOOKUP(V167,'Tablas Magia'!$D$6:$Z$680,5,FALSE))</f>
        <v>#N/A</v>
      </c>
      <c r="AC168" s="6495"/>
      <c r="AD168" s="6498" t="s">
        <v>6239</v>
      </c>
      <c r="AE168" s="6498"/>
      <c r="AF168" s="6495" t="e">
        <f>IF(V167=0,"",VLOOKUP(V167,'Tablas Magia'!$D$6:$Z$680,6,FALSE))</f>
        <v>#N/A</v>
      </c>
      <c r="AG168" s="6495"/>
      <c r="AH168" s="6496" t="s">
        <v>6240</v>
      </c>
      <c r="AI168" s="6496"/>
      <c r="AJ168" s="2504" t="e">
        <f>IF(V167=0,"",VLOOKUP(V167,'Tablas Magia'!$D$6:$Z$680,4,FALSE))</f>
        <v>#N/A</v>
      </c>
      <c r="AK168" s="402"/>
      <c r="AL168" s="396"/>
    </row>
    <row r="169" spans="1:38" ht="12" customHeight="1" x14ac:dyDescent="0.2">
      <c r="A169" s="2516"/>
      <c r="B169" s="804"/>
      <c r="C169" s="6499" t="s">
        <v>1365</v>
      </c>
      <c r="D169" s="6500"/>
      <c r="E169" s="2505" t="e">
        <f>IF(C167=0,"",VLOOKUP(C167,'Tablas Magia'!$D$6:$Z$680,7,FALSE))</f>
        <v>#N/A</v>
      </c>
      <c r="F169" s="2505" t="e">
        <f>IF(C167=0,"",VLOOKUP(C167,'Tablas Magia'!$D$6:$Z$680,11,FALSE))</f>
        <v>#N/A</v>
      </c>
      <c r="G169" s="412" t="e">
        <f>IF(C167=0,"",VLOOKUP(C167,'Tablas Magia'!$D$6:$Z$680,15,FALSE))</f>
        <v>#N/A</v>
      </c>
      <c r="H169" s="6481" t="e">
        <f>IF(C167=0,"",VLOOKUP(C167,'Tablas Magia'!$D$6:$Z$680,19,FALSE))</f>
        <v>#N/A</v>
      </c>
      <c r="I169" s="6482"/>
      <c r="J169" s="6482"/>
      <c r="K169" s="6482"/>
      <c r="L169" s="6482"/>
      <c r="M169" s="6482"/>
      <c r="N169" s="6482"/>
      <c r="O169" s="6482"/>
      <c r="P169" s="6482"/>
      <c r="Q169" s="6483"/>
      <c r="R169" s="402"/>
      <c r="S169" s="396"/>
      <c r="T169" s="2516"/>
      <c r="U169" s="804"/>
      <c r="V169" s="6449" t="s">
        <v>1365</v>
      </c>
      <c r="W169" s="6450"/>
      <c r="X169" s="2505" t="e">
        <f>IF(V167=0,"",VLOOKUP(V167,'Tablas Magia'!$D$6:$Z$680,7,FALSE))</f>
        <v>#N/A</v>
      </c>
      <c r="Y169" s="2505" t="e">
        <f>IF(V167=0,"",VLOOKUP(V167,'Tablas Magia'!$D$6:$Z$680,11,FALSE))</f>
        <v>#N/A</v>
      </c>
      <c r="Z169" s="412" t="e">
        <f>IF(V167=0,"",VLOOKUP(V167,'Tablas Magia'!$D$6:$Z$680,15,FALSE))</f>
        <v>#N/A</v>
      </c>
      <c r="AA169" s="6451" t="e">
        <f>IF(V167=0,"",VLOOKUP(V167,'Tablas Magia'!$D$6:$Z$680,19,FALSE))</f>
        <v>#N/A</v>
      </c>
      <c r="AB169" s="6494"/>
      <c r="AC169" s="6494"/>
      <c r="AD169" s="6494"/>
      <c r="AE169" s="6494"/>
      <c r="AF169" s="6494"/>
      <c r="AG169" s="6494"/>
      <c r="AH169" s="6494"/>
      <c r="AI169" s="6494"/>
      <c r="AJ169" s="6453"/>
      <c r="AK169" s="402"/>
      <c r="AL169" s="396"/>
    </row>
    <row r="170" spans="1:38" ht="12" customHeight="1" x14ac:dyDescent="0.2">
      <c r="A170" s="2516"/>
      <c r="B170" s="804"/>
      <c r="C170" s="6444" t="s">
        <v>3197</v>
      </c>
      <c r="D170" s="6445"/>
      <c r="E170" s="2506" t="e">
        <f>IF(C167=0,"",VLOOKUP(C167,'Tablas Magia'!$D$6:$Z$680,8,FALSE))</f>
        <v>#N/A</v>
      </c>
      <c r="F170" s="2506" t="e">
        <f>IF(C167=0,"",VLOOKUP(C167,'Tablas Magia'!$D$6:$Z$680,12,FALSE))</f>
        <v>#N/A</v>
      </c>
      <c r="G170" s="414" t="e">
        <f>IF(C167=0,"",VLOOKUP(C167,'Tablas Magia'!$D$6:$Z$680,16,FALSE))</f>
        <v>#N/A</v>
      </c>
      <c r="H170" s="6446" t="e">
        <f>IF(C167=0,"",VLOOKUP(C167,'Tablas Magia'!$D$6:$Z$680,20,FALSE))</f>
        <v>#N/A</v>
      </c>
      <c r="I170" s="6484"/>
      <c r="J170" s="6484"/>
      <c r="K170" s="6484"/>
      <c r="L170" s="6484"/>
      <c r="M170" s="6484"/>
      <c r="N170" s="6484"/>
      <c r="O170" s="6484"/>
      <c r="P170" s="6484"/>
      <c r="Q170" s="6448"/>
      <c r="R170" s="402"/>
      <c r="S170" s="396"/>
      <c r="T170" s="2516"/>
      <c r="U170" s="804"/>
      <c r="V170" s="6444" t="s">
        <v>3197</v>
      </c>
      <c r="W170" s="6445"/>
      <c r="X170" s="2506" t="e">
        <f>IF(V167=0,"",VLOOKUP(V167,'Tablas Magia'!$D$6:$Z$680,8,FALSE))</f>
        <v>#N/A</v>
      </c>
      <c r="Y170" s="2506" t="e">
        <f>IF(V167=0,"",VLOOKUP(V167,'Tablas Magia'!$D$6:$Z$680,12,FALSE))</f>
        <v>#N/A</v>
      </c>
      <c r="Z170" s="414" t="e">
        <f>IF(V167=0,"",VLOOKUP(V167,'Tablas Magia'!$D$6:$Z$680,16,FALSE))</f>
        <v>#N/A</v>
      </c>
      <c r="AA170" s="6446" t="e">
        <f>IF(V167=0,"",VLOOKUP(V167,'Tablas Magia'!$D$6:$Z$680,20,FALSE))</f>
        <v>#N/A</v>
      </c>
      <c r="AB170" s="6484"/>
      <c r="AC170" s="6484"/>
      <c r="AD170" s="6484"/>
      <c r="AE170" s="6484"/>
      <c r="AF170" s="6484"/>
      <c r="AG170" s="6484"/>
      <c r="AH170" s="6484"/>
      <c r="AI170" s="6484"/>
      <c r="AJ170" s="6448"/>
      <c r="AK170" s="402"/>
      <c r="AL170" s="396"/>
    </row>
    <row r="171" spans="1:38" ht="12" customHeight="1" x14ac:dyDescent="0.2">
      <c r="A171" s="2516"/>
      <c r="B171" s="804"/>
      <c r="C171" s="6449" t="s">
        <v>3198</v>
      </c>
      <c r="D171" s="6450"/>
      <c r="E171" s="2505" t="e">
        <f>IF(C167=0,"",VLOOKUP(C167,'Tablas Magia'!$D$6:$Z$680,9,FALSE))</f>
        <v>#N/A</v>
      </c>
      <c r="F171" s="2505" t="e">
        <f>IF(C167=0,"",VLOOKUP(C167,'Tablas Magia'!$D$6:$Z$680,13,FALSE))</f>
        <v>#N/A</v>
      </c>
      <c r="G171" s="412" t="e">
        <f>IF(C167=0,"",VLOOKUP(C167,'Tablas Magia'!$D$6:$Z$680,17,FALSE))</f>
        <v>#N/A</v>
      </c>
      <c r="H171" s="6451" t="e">
        <f>IF(C167=0,"",VLOOKUP(C167,'Tablas Magia'!$D$6:$Z$680,21,FALSE))</f>
        <v>#N/A</v>
      </c>
      <c r="I171" s="6494"/>
      <c r="J171" s="6494"/>
      <c r="K171" s="6494"/>
      <c r="L171" s="6494"/>
      <c r="M171" s="6494"/>
      <c r="N171" s="6494"/>
      <c r="O171" s="6494"/>
      <c r="P171" s="6494"/>
      <c r="Q171" s="6453"/>
      <c r="R171" s="402"/>
      <c r="S171" s="396"/>
      <c r="T171" s="2516"/>
      <c r="U171" s="804"/>
      <c r="V171" s="6449" t="s">
        <v>3198</v>
      </c>
      <c r="W171" s="6450"/>
      <c r="X171" s="2505" t="e">
        <f>IF(V167=0,"",VLOOKUP(V167,'Tablas Magia'!$D$6:$Z$680,9,FALSE))</f>
        <v>#N/A</v>
      </c>
      <c r="Y171" s="2505" t="e">
        <f>IF(V167=0,"",VLOOKUP(V167,'Tablas Magia'!$D$6:$Z$680,13,FALSE))</f>
        <v>#N/A</v>
      </c>
      <c r="Z171" s="412" t="e">
        <f>IF(V167=0,"",VLOOKUP(V167,'Tablas Magia'!$D$6:$Z$680,17,FALSE))</f>
        <v>#N/A</v>
      </c>
      <c r="AA171" s="6451" t="e">
        <f>IF(V167=0,"",VLOOKUP(V167,'Tablas Magia'!$D$6:$Z$680,21,FALSE))</f>
        <v>#N/A</v>
      </c>
      <c r="AB171" s="6494"/>
      <c r="AC171" s="6494"/>
      <c r="AD171" s="6494"/>
      <c r="AE171" s="6494"/>
      <c r="AF171" s="6494"/>
      <c r="AG171" s="6494"/>
      <c r="AH171" s="6494"/>
      <c r="AI171" s="6494"/>
      <c r="AJ171" s="6453"/>
      <c r="AK171" s="402"/>
      <c r="AL171" s="396"/>
    </row>
    <row r="172" spans="1:38" ht="12" customHeight="1" thickBot="1" x14ac:dyDescent="0.25">
      <c r="A172" s="2516"/>
      <c r="B172" s="804"/>
      <c r="C172" s="6454" t="s">
        <v>3199</v>
      </c>
      <c r="D172" s="6455"/>
      <c r="E172" s="415" t="e">
        <f>IF(C167=0,"",VLOOKUP(C167,'Tablas Magia'!$D$6:$Z$680,10,FALSE))</f>
        <v>#N/A</v>
      </c>
      <c r="F172" s="415" t="e">
        <f>IF(C167=0,"",VLOOKUP(C167,'Tablas Magia'!$D$6:$Z$680,14,FALSE))</f>
        <v>#N/A</v>
      </c>
      <c r="G172" s="416" t="e">
        <f>IF(C167=0,"",VLOOKUP(C167,'Tablas Magia'!$D$6:$Z$680,18,FALSE))</f>
        <v>#N/A</v>
      </c>
      <c r="H172" s="6456" t="e">
        <f>IF(C167=0,"",VLOOKUP(C167,'Tablas Magia'!$D$6:$Z$680,22,FALSE))</f>
        <v>#N/A</v>
      </c>
      <c r="I172" s="6457"/>
      <c r="J172" s="6457"/>
      <c r="K172" s="6457"/>
      <c r="L172" s="6457"/>
      <c r="M172" s="6457"/>
      <c r="N172" s="6457"/>
      <c r="O172" s="6457"/>
      <c r="P172" s="6457"/>
      <c r="Q172" s="6458"/>
      <c r="R172" s="402"/>
      <c r="S172" s="396"/>
      <c r="T172" s="2516"/>
      <c r="U172" s="804"/>
      <c r="V172" s="6454" t="s">
        <v>3199</v>
      </c>
      <c r="W172" s="6455"/>
      <c r="X172" s="415" t="e">
        <f>IF(V167=0,"",VLOOKUP(V167,'Tablas Magia'!$D$6:$Z$680,10,FALSE))</f>
        <v>#N/A</v>
      </c>
      <c r="Y172" s="415" t="e">
        <f>IF(V167=0,"",VLOOKUP(V167,'Tablas Magia'!$D$6:$Z$680,14,FALSE))</f>
        <v>#N/A</v>
      </c>
      <c r="Z172" s="416" t="e">
        <f>IF(V167=0,"",VLOOKUP(V167,'Tablas Magia'!$D$6:$Z$680,18,FALSE))</f>
        <v>#N/A</v>
      </c>
      <c r="AA172" s="6456" t="e">
        <f>IF(V167=0,"",VLOOKUP(V167,'Tablas Magia'!$D$6:$Z$680,22,FALSE))</f>
        <v>#N/A</v>
      </c>
      <c r="AB172" s="6457"/>
      <c r="AC172" s="6457"/>
      <c r="AD172" s="6457"/>
      <c r="AE172" s="6457"/>
      <c r="AF172" s="6457"/>
      <c r="AG172" s="6457"/>
      <c r="AH172" s="6457"/>
      <c r="AI172" s="6457"/>
      <c r="AJ172" s="6458"/>
      <c r="AK172" s="402"/>
      <c r="AL172" s="396"/>
    </row>
    <row r="173" spans="1:38" ht="12" customHeight="1" x14ac:dyDescent="0.2">
      <c r="A173" s="2516"/>
      <c r="B173" s="804"/>
      <c r="C173" s="6459" t="e">
        <f>IF(C167=0,"",VLOOKUP(C167,'Tablas Magia'!$D$6:$Z$680,23,FALSE))</f>
        <v>#N/A</v>
      </c>
      <c r="D173" s="6460"/>
      <c r="E173" s="6460"/>
      <c r="F173" s="6460"/>
      <c r="G173" s="6460"/>
      <c r="H173" s="6460"/>
      <c r="I173" s="6460"/>
      <c r="J173" s="6460"/>
      <c r="K173" s="6460"/>
      <c r="L173" s="6460"/>
      <c r="M173" s="6460"/>
      <c r="N173" s="6460"/>
      <c r="O173" s="6460"/>
      <c r="P173" s="6460"/>
      <c r="Q173" s="6461"/>
      <c r="R173" s="402"/>
      <c r="S173" s="396"/>
      <c r="T173" s="2516"/>
      <c r="U173" s="804"/>
      <c r="V173" s="6459" t="e">
        <f>IF(V167=0,"",VLOOKUP(V167,'Tablas Magia'!$D$6:$Z$680,23,FALSE))</f>
        <v>#N/A</v>
      </c>
      <c r="W173" s="6460"/>
      <c r="X173" s="6460"/>
      <c r="Y173" s="6460"/>
      <c r="Z173" s="6460"/>
      <c r="AA173" s="6460"/>
      <c r="AB173" s="6460"/>
      <c r="AC173" s="6460"/>
      <c r="AD173" s="6460"/>
      <c r="AE173" s="6460"/>
      <c r="AF173" s="6460"/>
      <c r="AG173" s="6460"/>
      <c r="AH173" s="6460"/>
      <c r="AI173" s="6460"/>
      <c r="AJ173" s="6461"/>
      <c r="AK173" s="402"/>
      <c r="AL173" s="396"/>
    </row>
    <row r="174" spans="1:38" ht="12" customHeight="1" x14ac:dyDescent="0.2">
      <c r="A174" s="2516"/>
      <c r="B174" s="804"/>
      <c r="C174" s="6462"/>
      <c r="D174" s="6485"/>
      <c r="E174" s="6485"/>
      <c r="F174" s="6485"/>
      <c r="G174" s="6485"/>
      <c r="H174" s="6485"/>
      <c r="I174" s="6485"/>
      <c r="J174" s="6485"/>
      <c r="K174" s="6485"/>
      <c r="L174" s="6485"/>
      <c r="M174" s="6485"/>
      <c r="N174" s="6485"/>
      <c r="O174" s="6485"/>
      <c r="P174" s="6485"/>
      <c r="Q174" s="6464"/>
      <c r="R174" s="402"/>
      <c r="S174" s="396"/>
      <c r="T174" s="2516"/>
      <c r="U174" s="804"/>
      <c r="V174" s="6462"/>
      <c r="W174" s="6485"/>
      <c r="X174" s="6485"/>
      <c r="Y174" s="6485"/>
      <c r="Z174" s="6485"/>
      <c r="AA174" s="6485"/>
      <c r="AB174" s="6485"/>
      <c r="AC174" s="6485"/>
      <c r="AD174" s="6485"/>
      <c r="AE174" s="6485"/>
      <c r="AF174" s="6485"/>
      <c r="AG174" s="6485"/>
      <c r="AH174" s="6485"/>
      <c r="AI174" s="6485"/>
      <c r="AJ174" s="6464"/>
      <c r="AK174" s="402"/>
      <c r="AL174" s="396"/>
    </row>
    <row r="175" spans="1:38" ht="12" customHeight="1" x14ac:dyDescent="0.2">
      <c r="A175" s="2516"/>
      <c r="B175" s="804"/>
      <c r="C175" s="6462"/>
      <c r="D175" s="6485"/>
      <c r="E175" s="6485"/>
      <c r="F175" s="6485"/>
      <c r="G175" s="6485"/>
      <c r="H175" s="6485"/>
      <c r="I175" s="6485"/>
      <c r="J175" s="6485"/>
      <c r="K175" s="6485"/>
      <c r="L175" s="6485"/>
      <c r="M175" s="6485"/>
      <c r="N175" s="6485"/>
      <c r="O175" s="6485"/>
      <c r="P175" s="6485"/>
      <c r="Q175" s="6464"/>
      <c r="R175" s="402"/>
      <c r="S175" s="396"/>
      <c r="T175" s="2516"/>
      <c r="U175" s="804"/>
      <c r="V175" s="6462"/>
      <c r="W175" s="6485"/>
      <c r="X175" s="6485"/>
      <c r="Y175" s="6485"/>
      <c r="Z175" s="6485"/>
      <c r="AA175" s="6485"/>
      <c r="AB175" s="6485"/>
      <c r="AC175" s="6485"/>
      <c r="AD175" s="6485"/>
      <c r="AE175" s="6485"/>
      <c r="AF175" s="6485"/>
      <c r="AG175" s="6485"/>
      <c r="AH175" s="6485"/>
      <c r="AI175" s="6485"/>
      <c r="AJ175" s="6464"/>
      <c r="AK175" s="402"/>
      <c r="AL175" s="396"/>
    </row>
    <row r="176" spans="1:38" ht="12" customHeight="1" thickBot="1" x14ac:dyDescent="0.25">
      <c r="A176" s="2516"/>
      <c r="B176" s="804"/>
      <c r="C176" s="6465"/>
      <c r="D176" s="6466"/>
      <c r="E176" s="6466"/>
      <c r="F176" s="6466"/>
      <c r="G176" s="6466"/>
      <c r="H176" s="6466"/>
      <c r="I176" s="6466"/>
      <c r="J176" s="6466"/>
      <c r="K176" s="6466"/>
      <c r="L176" s="6466"/>
      <c r="M176" s="6466"/>
      <c r="N176" s="6466"/>
      <c r="O176" s="6466"/>
      <c r="P176" s="6466"/>
      <c r="Q176" s="6467"/>
      <c r="R176" s="402"/>
      <c r="S176" s="396"/>
      <c r="T176" s="2516"/>
      <c r="U176" s="804"/>
      <c r="V176" s="6465"/>
      <c r="W176" s="6466"/>
      <c r="X176" s="6466"/>
      <c r="Y176" s="6466"/>
      <c r="Z176" s="6466"/>
      <c r="AA176" s="6466"/>
      <c r="AB176" s="6466"/>
      <c r="AC176" s="6466"/>
      <c r="AD176" s="6466"/>
      <c r="AE176" s="6466"/>
      <c r="AF176" s="6466"/>
      <c r="AG176" s="6466"/>
      <c r="AH176" s="6466"/>
      <c r="AI176" s="6466"/>
      <c r="AJ176" s="6467"/>
      <c r="AK176" s="402"/>
      <c r="AL176" s="396"/>
    </row>
    <row r="177" spans="1:38" ht="12" customHeight="1" thickBot="1" x14ac:dyDescent="0.25">
      <c r="A177" s="2516"/>
      <c r="B177" s="804"/>
      <c r="C177" s="2514"/>
      <c r="D177" s="2514"/>
      <c r="E177" s="2515"/>
      <c r="F177" s="2515"/>
      <c r="G177" s="2515"/>
      <c r="H177" s="2515"/>
      <c r="I177" s="2515"/>
      <c r="J177" s="2515"/>
      <c r="K177" s="2515"/>
      <c r="L177" s="2515"/>
      <c r="M177" s="2515"/>
      <c r="N177" s="2515"/>
      <c r="O177" s="2515"/>
      <c r="P177" s="2515"/>
      <c r="Q177" s="2515"/>
      <c r="R177" s="402"/>
      <c r="S177" s="396"/>
      <c r="T177" s="2516"/>
      <c r="U177" s="804"/>
      <c r="V177" s="2514"/>
      <c r="W177" s="2514"/>
      <c r="X177" s="2506"/>
      <c r="Y177" s="2506"/>
      <c r="Z177" s="2506"/>
      <c r="AA177" s="2515"/>
      <c r="AB177" s="2515"/>
      <c r="AC177" s="2515"/>
      <c r="AD177" s="2515"/>
      <c r="AE177" s="2515"/>
      <c r="AF177" s="2515"/>
      <c r="AG177" s="2515"/>
      <c r="AH177" s="2515"/>
      <c r="AI177" s="2515"/>
      <c r="AJ177" s="2515"/>
      <c r="AK177" s="402"/>
      <c r="AL177" s="396"/>
    </row>
    <row r="178" spans="1:38" ht="12" customHeight="1" x14ac:dyDescent="0.2">
      <c r="A178" s="2516"/>
      <c r="B178" s="804">
        <f>B167+2</f>
        <v>48</v>
      </c>
      <c r="C178" s="6501"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502"/>
      <c r="E178" s="6502"/>
      <c r="F178" s="6502"/>
      <c r="G178" s="6503"/>
      <c r="H178" s="406" t="s">
        <v>1325</v>
      </c>
      <c r="I178" s="407">
        <f>B178</f>
        <v>48</v>
      </c>
      <c r="J178" s="6486" t="s">
        <v>6236</v>
      </c>
      <c r="K178" s="6486"/>
      <c r="L178" s="6486"/>
      <c r="M178" s="6471" t="e">
        <f>IF(C178=0,"",VLOOKUP(C178,'Tablas Magia'!$D$6:$Z$680,2,FALSE))</f>
        <v>#N/A</v>
      </c>
      <c r="N178" s="6471"/>
      <c r="O178" s="1718"/>
      <c r="P178" s="6492" t="str">
        <f>IFERROR(IF(M178="Libre Acceso","Aprendido",IF(IFERROR(VLOOKUP(M178,Místicos!$C$15:$H$25,6,0)&gt;=I178,FALSE),"Aprendido",IF(IFERROR(VLOOKUP(M178,Místicos!$E$15:$H$25,4,0)&gt;=I178,FALSE),"Aprendido",""))),"")</f>
        <v/>
      </c>
      <c r="Q178" s="6493"/>
      <c r="R178" s="402"/>
      <c r="S178" s="396"/>
      <c r="T178" s="2516"/>
      <c r="U178" s="804">
        <f>U167+2</f>
        <v>58</v>
      </c>
      <c r="V178" s="6501"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502"/>
      <c r="X178" s="6502"/>
      <c r="Y178" s="6502"/>
      <c r="Z178" s="6502"/>
      <c r="AA178" s="406" t="s">
        <v>1325</v>
      </c>
      <c r="AB178" s="407">
        <f>U178</f>
        <v>58</v>
      </c>
      <c r="AC178" s="6486" t="s">
        <v>6236</v>
      </c>
      <c r="AD178" s="6486"/>
      <c r="AE178" s="6486"/>
      <c r="AF178" s="6471" t="e">
        <f>IF(V178=0,"",VLOOKUP(V178,'Tablas Magia'!$D$6:$Z$680,2,FALSE))</f>
        <v>#N/A</v>
      </c>
      <c r="AG178" s="6471"/>
      <c r="AH178" s="1718"/>
      <c r="AI178" s="6492" t="str">
        <f>IFERROR(IF(AF178="Libre Acceso","Aprendido",IF(IFERROR(VLOOKUP(AF178,Místicos!$C$15:$H$25,6,0)&gt;=AB178,FALSE),"Aprendido",IF(IFERROR(VLOOKUP(AF178,Místicos!$E$15:$H$25,4,0)&gt;=AB178,FALSE),"Aprendido",""))),"")</f>
        <v/>
      </c>
      <c r="AJ178" s="6493"/>
      <c r="AK178" s="402"/>
      <c r="AL178" s="396"/>
    </row>
    <row r="179" spans="1:38" ht="12" customHeight="1" x14ac:dyDescent="0.2">
      <c r="A179" s="2516"/>
      <c r="B179" s="804"/>
      <c r="C179" s="6473" t="s">
        <v>6237</v>
      </c>
      <c r="D179" s="6487"/>
      <c r="E179" s="2502" t="s">
        <v>6238</v>
      </c>
      <c r="F179" s="2502" t="s">
        <v>1509</v>
      </c>
      <c r="G179" s="2502" t="s">
        <v>2828</v>
      </c>
      <c r="H179" s="2503" t="s">
        <v>1836</v>
      </c>
      <c r="I179" s="6495" t="e">
        <f>IF(C178=0,"",VLOOKUP(C178,'Tablas Magia'!$D$6:$Z$680,5,FALSE))</f>
        <v>#N/A</v>
      </c>
      <c r="J179" s="6495"/>
      <c r="K179" s="6498" t="s">
        <v>6239</v>
      </c>
      <c r="L179" s="6498"/>
      <c r="M179" s="6495" t="e">
        <f>IF(C178=0,"",VLOOKUP(C178,'Tablas Magia'!$D$6:$Z$680,6,FALSE))</f>
        <v>#N/A</v>
      </c>
      <c r="N179" s="6495"/>
      <c r="O179" s="6496" t="s">
        <v>6240</v>
      </c>
      <c r="P179" s="6496"/>
      <c r="Q179" s="2504" t="e">
        <f>IF(C178=0,"",VLOOKUP(C178,'Tablas Magia'!$D$6:$Z$680,4,FALSE))</f>
        <v>#N/A</v>
      </c>
      <c r="R179" s="402"/>
      <c r="S179" s="396"/>
      <c r="T179" s="2516"/>
      <c r="U179" s="804"/>
      <c r="V179" s="6473" t="s">
        <v>6237</v>
      </c>
      <c r="W179" s="6487"/>
      <c r="X179" s="2502" t="s">
        <v>6238</v>
      </c>
      <c r="Y179" s="2502" t="s">
        <v>1509</v>
      </c>
      <c r="Z179" s="2502" t="s">
        <v>2828</v>
      </c>
      <c r="AA179" s="2503" t="s">
        <v>1836</v>
      </c>
      <c r="AB179" s="6495" t="e">
        <f>IF(V178=0,"",VLOOKUP(V178,'Tablas Magia'!$D$6:$Z$680,5,FALSE))</f>
        <v>#N/A</v>
      </c>
      <c r="AC179" s="6495"/>
      <c r="AD179" s="6498" t="s">
        <v>6239</v>
      </c>
      <c r="AE179" s="6498"/>
      <c r="AF179" s="6495" t="e">
        <f>IF(V178=0,"",VLOOKUP(V178,'Tablas Magia'!$D$6:$Z$680,6,FALSE))</f>
        <v>#N/A</v>
      </c>
      <c r="AG179" s="6495"/>
      <c r="AH179" s="6496" t="s">
        <v>6240</v>
      </c>
      <c r="AI179" s="6496"/>
      <c r="AJ179" s="2504" t="e">
        <f>IF(V178=0,"",VLOOKUP(V178,'Tablas Magia'!$D$6:$Z$680,4,FALSE))</f>
        <v>#N/A</v>
      </c>
      <c r="AK179" s="402"/>
      <c r="AL179" s="396"/>
    </row>
    <row r="180" spans="1:38" ht="12" customHeight="1" x14ac:dyDescent="0.2">
      <c r="A180" s="2516"/>
      <c r="B180" s="804"/>
      <c r="C180" s="6499" t="s">
        <v>1365</v>
      </c>
      <c r="D180" s="6500"/>
      <c r="E180" s="2505" t="e">
        <f>IF(C178=0,"",VLOOKUP(C178,'Tablas Magia'!$D$6:$Z$680,7,FALSE))</f>
        <v>#N/A</v>
      </c>
      <c r="F180" s="2505" t="e">
        <f>IF(C178=0,"",VLOOKUP(C178,'Tablas Magia'!$D$6:$Z$680,11,FALSE))</f>
        <v>#N/A</v>
      </c>
      <c r="G180" s="412" t="e">
        <f>IF(C178=0,"",VLOOKUP(C178,'Tablas Magia'!$D$6:$Z$680,15,FALSE))</f>
        <v>#N/A</v>
      </c>
      <c r="H180" s="6481" t="e">
        <f>IF(C178=0,"",VLOOKUP(C178,'Tablas Magia'!$D$6:$Z$680,19,FALSE))</f>
        <v>#N/A</v>
      </c>
      <c r="I180" s="6482"/>
      <c r="J180" s="6482"/>
      <c r="K180" s="6482"/>
      <c r="L180" s="6482"/>
      <c r="M180" s="6482"/>
      <c r="N180" s="6482"/>
      <c r="O180" s="6482"/>
      <c r="P180" s="6482"/>
      <c r="Q180" s="6483"/>
      <c r="R180" s="402"/>
      <c r="S180" s="396"/>
      <c r="T180" s="2516"/>
      <c r="U180" s="804"/>
      <c r="V180" s="6449" t="s">
        <v>1365</v>
      </c>
      <c r="W180" s="6450"/>
      <c r="X180" s="2505" t="e">
        <f>IF(V178=0,"",VLOOKUP(V178,'Tablas Magia'!$D$6:$Z$680,7,FALSE))</f>
        <v>#N/A</v>
      </c>
      <c r="Y180" s="2505" t="e">
        <f>IF(V178=0,"",VLOOKUP(V178,'Tablas Magia'!$D$6:$Z$680,11,FALSE))</f>
        <v>#N/A</v>
      </c>
      <c r="Z180" s="412" t="e">
        <f>IF(V178=0,"",VLOOKUP(V178,'Tablas Magia'!$D$6:$Z$680,15,FALSE))</f>
        <v>#N/A</v>
      </c>
      <c r="AA180" s="6451" t="e">
        <f>IF(V178=0,"",VLOOKUP(V178,'Tablas Magia'!$D$6:$Z$680,19,FALSE))</f>
        <v>#N/A</v>
      </c>
      <c r="AB180" s="6494"/>
      <c r="AC180" s="6494"/>
      <c r="AD180" s="6494"/>
      <c r="AE180" s="6494"/>
      <c r="AF180" s="6494"/>
      <c r="AG180" s="6494"/>
      <c r="AH180" s="6494"/>
      <c r="AI180" s="6494"/>
      <c r="AJ180" s="6453"/>
      <c r="AK180" s="402"/>
      <c r="AL180" s="396"/>
    </row>
    <row r="181" spans="1:38" ht="12" customHeight="1" x14ac:dyDescent="0.2">
      <c r="A181" s="2516"/>
      <c r="B181" s="804"/>
      <c r="C181" s="6444" t="s">
        <v>3197</v>
      </c>
      <c r="D181" s="6445"/>
      <c r="E181" s="2506" t="e">
        <f>IF(C178=0,"",VLOOKUP(C178,'Tablas Magia'!$D$6:$Z$680,8,FALSE))</f>
        <v>#N/A</v>
      </c>
      <c r="F181" s="2506" t="e">
        <f>IF(C178=0,"",VLOOKUP(C178,'Tablas Magia'!$D$6:$Z$680,12,FALSE))</f>
        <v>#N/A</v>
      </c>
      <c r="G181" s="414" t="e">
        <f>IF(C178=0,"",VLOOKUP(C178,'Tablas Magia'!$D$6:$Z$680,16,FALSE))</f>
        <v>#N/A</v>
      </c>
      <c r="H181" s="6446" t="e">
        <f>IF(C178=0,"",VLOOKUP(C178,'Tablas Magia'!$D$6:$Z$680,20,FALSE))</f>
        <v>#N/A</v>
      </c>
      <c r="I181" s="6484"/>
      <c r="J181" s="6484"/>
      <c r="K181" s="6484"/>
      <c r="L181" s="6484"/>
      <c r="M181" s="6484"/>
      <c r="N181" s="6484"/>
      <c r="O181" s="6484"/>
      <c r="P181" s="6484"/>
      <c r="Q181" s="6448"/>
      <c r="R181" s="402"/>
      <c r="S181" s="396"/>
      <c r="T181" s="2516"/>
      <c r="U181" s="804"/>
      <c r="V181" s="6444" t="s">
        <v>3197</v>
      </c>
      <c r="W181" s="6445"/>
      <c r="X181" s="2506" t="e">
        <f>IF(V178=0,"",VLOOKUP(V178,'Tablas Magia'!$D$6:$Z$680,8,FALSE))</f>
        <v>#N/A</v>
      </c>
      <c r="Y181" s="2506" t="e">
        <f>IF(V178=0,"",VLOOKUP(V178,'Tablas Magia'!$D$6:$Z$680,12,FALSE))</f>
        <v>#N/A</v>
      </c>
      <c r="Z181" s="414" t="e">
        <f>IF(V178=0,"",VLOOKUP(V178,'Tablas Magia'!$D$6:$Z$680,16,FALSE))</f>
        <v>#N/A</v>
      </c>
      <c r="AA181" s="6446" t="e">
        <f>IF(V178=0,"",VLOOKUP(V178,'Tablas Magia'!$D$6:$Z$680,20,FALSE))</f>
        <v>#N/A</v>
      </c>
      <c r="AB181" s="6484"/>
      <c r="AC181" s="6484"/>
      <c r="AD181" s="6484"/>
      <c r="AE181" s="6484"/>
      <c r="AF181" s="6484"/>
      <c r="AG181" s="6484"/>
      <c r="AH181" s="6484"/>
      <c r="AI181" s="6484"/>
      <c r="AJ181" s="6448"/>
      <c r="AK181" s="402"/>
      <c r="AL181" s="396"/>
    </row>
    <row r="182" spans="1:38" ht="12" customHeight="1" x14ac:dyDescent="0.2">
      <c r="A182" s="2516"/>
      <c r="B182" s="804"/>
      <c r="C182" s="6449" t="s">
        <v>3198</v>
      </c>
      <c r="D182" s="6450"/>
      <c r="E182" s="2505" t="e">
        <f>IF(C178=0,"",VLOOKUP(C178,'Tablas Magia'!$D$6:$Z$680,9,FALSE))</f>
        <v>#N/A</v>
      </c>
      <c r="F182" s="2505" t="e">
        <f>IF(C178=0,"",VLOOKUP(C178,'Tablas Magia'!$D$6:$Z$680,13,FALSE))</f>
        <v>#N/A</v>
      </c>
      <c r="G182" s="412" t="e">
        <f>IF(C178=0,"",VLOOKUP(C178,'Tablas Magia'!$D$6:$Z$680,17,FALSE))</f>
        <v>#N/A</v>
      </c>
      <c r="H182" s="6451" t="e">
        <f>IF(C178=0,"",VLOOKUP(C178,'Tablas Magia'!$D$6:$Z$680,21,FALSE))</f>
        <v>#N/A</v>
      </c>
      <c r="I182" s="6494"/>
      <c r="J182" s="6494"/>
      <c r="K182" s="6494"/>
      <c r="L182" s="6494"/>
      <c r="M182" s="6494"/>
      <c r="N182" s="6494"/>
      <c r="O182" s="6494"/>
      <c r="P182" s="6494"/>
      <c r="Q182" s="6453"/>
      <c r="R182" s="402"/>
      <c r="S182" s="396"/>
      <c r="T182" s="2516"/>
      <c r="U182" s="804"/>
      <c r="V182" s="6449" t="s">
        <v>3198</v>
      </c>
      <c r="W182" s="6450"/>
      <c r="X182" s="2505" t="e">
        <f>IF(V178=0,"",VLOOKUP(V178,'Tablas Magia'!$D$6:$Z$680,9,FALSE))</f>
        <v>#N/A</v>
      </c>
      <c r="Y182" s="2505" t="e">
        <f>IF(V178=0,"",VLOOKUP(V178,'Tablas Magia'!$D$6:$Z$680,13,FALSE))</f>
        <v>#N/A</v>
      </c>
      <c r="Z182" s="412" t="e">
        <f>IF(V178=0,"",VLOOKUP(V178,'Tablas Magia'!$D$6:$Z$680,17,FALSE))</f>
        <v>#N/A</v>
      </c>
      <c r="AA182" s="6451" t="e">
        <f>IF(V178=0,"",VLOOKUP(V178,'Tablas Magia'!$D$6:$Z$680,21,FALSE))</f>
        <v>#N/A</v>
      </c>
      <c r="AB182" s="6494"/>
      <c r="AC182" s="6494"/>
      <c r="AD182" s="6494"/>
      <c r="AE182" s="6494"/>
      <c r="AF182" s="6494"/>
      <c r="AG182" s="6494"/>
      <c r="AH182" s="6494"/>
      <c r="AI182" s="6494"/>
      <c r="AJ182" s="6453"/>
      <c r="AK182" s="402"/>
      <c r="AL182" s="396"/>
    </row>
    <row r="183" spans="1:38" ht="12" customHeight="1" thickBot="1" x14ac:dyDescent="0.25">
      <c r="A183" s="2516"/>
      <c r="B183" s="804"/>
      <c r="C183" s="6454" t="s">
        <v>3199</v>
      </c>
      <c r="D183" s="6455"/>
      <c r="E183" s="415" t="e">
        <f>IF(C178=0,"",VLOOKUP(C178,'Tablas Magia'!$D$6:$Z$680,10,FALSE))</f>
        <v>#N/A</v>
      </c>
      <c r="F183" s="415" t="e">
        <f>IF(C178=0,"",VLOOKUP(C178,'Tablas Magia'!$D$6:$Z$680,14,FALSE))</f>
        <v>#N/A</v>
      </c>
      <c r="G183" s="416" t="e">
        <f>IF(C178=0,"",VLOOKUP(C178,'Tablas Magia'!$D$6:$Z$680,18,FALSE))</f>
        <v>#N/A</v>
      </c>
      <c r="H183" s="6456" t="e">
        <f>IF(C178=0,"",VLOOKUP(C178,'Tablas Magia'!$D$6:$Z$680,22,FALSE))</f>
        <v>#N/A</v>
      </c>
      <c r="I183" s="6457"/>
      <c r="J183" s="6457"/>
      <c r="K183" s="6457"/>
      <c r="L183" s="6457"/>
      <c r="M183" s="6457"/>
      <c r="N183" s="6457"/>
      <c r="O183" s="6457"/>
      <c r="P183" s="6457"/>
      <c r="Q183" s="6458"/>
      <c r="R183" s="402"/>
      <c r="S183" s="396"/>
      <c r="T183" s="2516"/>
      <c r="U183" s="804"/>
      <c r="V183" s="6454" t="s">
        <v>3199</v>
      </c>
      <c r="W183" s="6455"/>
      <c r="X183" s="415" t="e">
        <f>IF(V178=0,"",VLOOKUP(V178,'Tablas Magia'!$D$6:$Z$680,10,FALSE))</f>
        <v>#N/A</v>
      </c>
      <c r="Y183" s="415" t="e">
        <f>IF(V178=0,"",VLOOKUP(V178,'Tablas Magia'!$D$6:$Z$680,14,FALSE))</f>
        <v>#N/A</v>
      </c>
      <c r="Z183" s="416" t="e">
        <f>IF(V178=0,"",VLOOKUP(V178,'Tablas Magia'!$D$6:$Z$680,18,FALSE))</f>
        <v>#N/A</v>
      </c>
      <c r="AA183" s="6456" t="e">
        <f>IF(V178=0,"",VLOOKUP(V178,'Tablas Magia'!$D$6:$Z$680,22,FALSE))</f>
        <v>#N/A</v>
      </c>
      <c r="AB183" s="6457"/>
      <c r="AC183" s="6457"/>
      <c r="AD183" s="6457"/>
      <c r="AE183" s="6457"/>
      <c r="AF183" s="6457"/>
      <c r="AG183" s="6457"/>
      <c r="AH183" s="6457"/>
      <c r="AI183" s="6457"/>
      <c r="AJ183" s="6458"/>
      <c r="AK183" s="402"/>
      <c r="AL183" s="396"/>
    </row>
    <row r="184" spans="1:38" ht="12" customHeight="1" x14ac:dyDescent="0.2">
      <c r="A184" s="2516"/>
      <c r="B184" s="804"/>
      <c r="C184" s="6459" t="e">
        <f>IF(C178=0,"",VLOOKUP(C178,'Tablas Magia'!$D$6:$Z$680,23,FALSE))</f>
        <v>#N/A</v>
      </c>
      <c r="D184" s="6460"/>
      <c r="E184" s="6460"/>
      <c r="F184" s="6460"/>
      <c r="G184" s="6460"/>
      <c r="H184" s="6460"/>
      <c r="I184" s="6460"/>
      <c r="J184" s="6460"/>
      <c r="K184" s="6460"/>
      <c r="L184" s="6460"/>
      <c r="M184" s="6460"/>
      <c r="N184" s="6460"/>
      <c r="O184" s="6460"/>
      <c r="P184" s="6460"/>
      <c r="Q184" s="6461"/>
      <c r="R184" s="402"/>
      <c r="S184" s="396"/>
      <c r="T184" s="2516"/>
      <c r="U184" s="804"/>
      <c r="V184" s="6459" t="e">
        <f>IF(V178=0,"",VLOOKUP(V178,'Tablas Magia'!$D$6:$Z$680,23,FALSE))</f>
        <v>#N/A</v>
      </c>
      <c r="W184" s="6460"/>
      <c r="X184" s="6460"/>
      <c r="Y184" s="6460"/>
      <c r="Z184" s="6460"/>
      <c r="AA184" s="6460"/>
      <c r="AB184" s="6460"/>
      <c r="AC184" s="6460"/>
      <c r="AD184" s="6460"/>
      <c r="AE184" s="6460"/>
      <c r="AF184" s="6460"/>
      <c r="AG184" s="6460"/>
      <c r="AH184" s="6460"/>
      <c r="AI184" s="6460"/>
      <c r="AJ184" s="6461"/>
      <c r="AK184" s="402"/>
      <c r="AL184" s="396"/>
    </row>
    <row r="185" spans="1:38" ht="12" customHeight="1" x14ac:dyDescent="0.2">
      <c r="A185" s="2516"/>
      <c r="B185" s="804"/>
      <c r="C185" s="6462"/>
      <c r="D185" s="6485"/>
      <c r="E185" s="6485"/>
      <c r="F185" s="6485"/>
      <c r="G185" s="6485"/>
      <c r="H185" s="6485"/>
      <c r="I185" s="6485"/>
      <c r="J185" s="6485"/>
      <c r="K185" s="6485"/>
      <c r="L185" s="6485"/>
      <c r="M185" s="6485"/>
      <c r="N185" s="6485"/>
      <c r="O185" s="6485"/>
      <c r="P185" s="6485"/>
      <c r="Q185" s="6464"/>
      <c r="R185" s="402"/>
      <c r="S185" s="396"/>
      <c r="T185" s="2516"/>
      <c r="U185" s="804"/>
      <c r="V185" s="6462"/>
      <c r="W185" s="6485"/>
      <c r="X185" s="6485"/>
      <c r="Y185" s="6485"/>
      <c r="Z185" s="6485"/>
      <c r="AA185" s="6485"/>
      <c r="AB185" s="6485"/>
      <c r="AC185" s="6485"/>
      <c r="AD185" s="6485"/>
      <c r="AE185" s="6485"/>
      <c r="AF185" s="6485"/>
      <c r="AG185" s="6485"/>
      <c r="AH185" s="6485"/>
      <c r="AI185" s="6485"/>
      <c r="AJ185" s="6464"/>
      <c r="AK185" s="402"/>
      <c r="AL185" s="396"/>
    </row>
    <row r="186" spans="1:38" ht="12" customHeight="1" x14ac:dyDescent="0.2">
      <c r="A186" s="2516"/>
      <c r="B186" s="804"/>
      <c r="C186" s="6462"/>
      <c r="D186" s="6485"/>
      <c r="E186" s="6485"/>
      <c r="F186" s="6485"/>
      <c r="G186" s="6485"/>
      <c r="H186" s="6485"/>
      <c r="I186" s="6485"/>
      <c r="J186" s="6485"/>
      <c r="K186" s="6485"/>
      <c r="L186" s="6485"/>
      <c r="M186" s="6485"/>
      <c r="N186" s="6485"/>
      <c r="O186" s="6485"/>
      <c r="P186" s="6485"/>
      <c r="Q186" s="6464"/>
      <c r="R186" s="402"/>
      <c r="S186" s="396"/>
      <c r="T186" s="2516"/>
      <c r="U186" s="804"/>
      <c r="V186" s="6462"/>
      <c r="W186" s="6485"/>
      <c r="X186" s="6485"/>
      <c r="Y186" s="6485"/>
      <c r="Z186" s="6485"/>
      <c r="AA186" s="6485"/>
      <c r="AB186" s="6485"/>
      <c r="AC186" s="6485"/>
      <c r="AD186" s="6485"/>
      <c r="AE186" s="6485"/>
      <c r="AF186" s="6485"/>
      <c r="AG186" s="6485"/>
      <c r="AH186" s="6485"/>
      <c r="AI186" s="6485"/>
      <c r="AJ186" s="6464"/>
      <c r="AK186" s="402"/>
      <c r="AL186" s="396"/>
    </row>
    <row r="187" spans="1:38" ht="12" customHeight="1" thickBot="1" x14ac:dyDescent="0.25">
      <c r="A187" s="2516"/>
      <c r="B187" s="804"/>
      <c r="C187" s="6465"/>
      <c r="D187" s="6466"/>
      <c r="E187" s="6466"/>
      <c r="F187" s="6466"/>
      <c r="G187" s="6466"/>
      <c r="H187" s="6466"/>
      <c r="I187" s="6466"/>
      <c r="J187" s="6466"/>
      <c r="K187" s="6466"/>
      <c r="L187" s="6466"/>
      <c r="M187" s="6466"/>
      <c r="N187" s="6466"/>
      <c r="O187" s="6466"/>
      <c r="P187" s="6466"/>
      <c r="Q187" s="6467"/>
      <c r="R187" s="402"/>
      <c r="S187" s="396"/>
      <c r="T187" s="2516"/>
      <c r="U187" s="804"/>
      <c r="V187" s="6465"/>
      <c r="W187" s="6466"/>
      <c r="X187" s="6466"/>
      <c r="Y187" s="6466"/>
      <c r="Z187" s="6466"/>
      <c r="AA187" s="6466"/>
      <c r="AB187" s="6466"/>
      <c r="AC187" s="6466"/>
      <c r="AD187" s="6466"/>
      <c r="AE187" s="6466"/>
      <c r="AF187" s="6466"/>
      <c r="AG187" s="6466"/>
      <c r="AH187" s="6466"/>
      <c r="AI187" s="6466"/>
      <c r="AJ187" s="6467"/>
      <c r="AK187" s="402"/>
      <c r="AL187" s="396"/>
    </row>
    <row r="188" spans="1:38" ht="12" customHeight="1" thickBot="1" x14ac:dyDescent="0.25">
      <c r="A188" s="2516"/>
      <c r="B188" s="804"/>
      <c r="C188" s="2514"/>
      <c r="D188" s="2514"/>
      <c r="E188" s="2506"/>
      <c r="F188" s="2506"/>
      <c r="G188" s="2506"/>
      <c r="H188" s="2515"/>
      <c r="I188" s="2515"/>
      <c r="J188" s="2515"/>
      <c r="K188" s="2515"/>
      <c r="L188" s="2515"/>
      <c r="M188" s="2515"/>
      <c r="N188" s="2515"/>
      <c r="O188" s="2515"/>
      <c r="P188" s="2515"/>
      <c r="Q188" s="2515"/>
      <c r="R188" s="402"/>
      <c r="S188" s="396"/>
      <c r="T188" s="2516"/>
      <c r="U188" s="804"/>
      <c r="V188" s="2514"/>
      <c r="W188" s="2514"/>
      <c r="X188" s="2506"/>
      <c r="Y188" s="2506"/>
      <c r="Z188" s="2506"/>
      <c r="AA188" s="2515"/>
      <c r="AB188" s="2515"/>
      <c r="AC188" s="2515"/>
      <c r="AD188" s="2515"/>
      <c r="AE188" s="2515"/>
      <c r="AF188" s="2515"/>
      <c r="AG188" s="2515"/>
      <c r="AH188" s="2515"/>
      <c r="AI188" s="2515"/>
      <c r="AJ188" s="2515"/>
      <c r="AK188" s="402"/>
      <c r="AL188" s="396"/>
    </row>
    <row r="189" spans="1:38" ht="12" customHeight="1" x14ac:dyDescent="0.2">
      <c r="A189" s="2516"/>
      <c r="B189" s="804">
        <f>B178+2</f>
        <v>50</v>
      </c>
      <c r="C189" s="6501"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502"/>
      <c r="E189" s="6502"/>
      <c r="F189" s="6502"/>
      <c r="G189" s="6503"/>
      <c r="H189" s="406" t="s">
        <v>1325</v>
      </c>
      <c r="I189" s="407">
        <f>B189</f>
        <v>50</v>
      </c>
      <c r="J189" s="6486" t="s">
        <v>6236</v>
      </c>
      <c r="K189" s="6486"/>
      <c r="L189" s="6486"/>
      <c r="M189" s="6471" t="e">
        <f>IF(C189=0,"",VLOOKUP(C189,'Tablas Magia'!$D$6:$Z$680,2,FALSE))</f>
        <v>#N/A</v>
      </c>
      <c r="N189" s="6471"/>
      <c r="O189" s="1718"/>
      <c r="P189" s="6492" t="str">
        <f>IFERROR(IF(M189="Libre Acceso","Aprendido",IF(IFERROR(VLOOKUP(M189,Místicos!$C$15:$H$25,6,0)&gt;=I189,FALSE),"Aprendido",IF(IFERROR(VLOOKUP(M189,Místicos!$E$15:$H$25,4,0)&gt;=I189,FALSE),"Aprendido",""))),"")</f>
        <v/>
      </c>
      <c r="Q189" s="6493"/>
      <c r="R189" s="402"/>
      <c r="S189" s="396"/>
      <c r="T189" s="2516"/>
      <c r="U189" s="804">
        <f>U178+2</f>
        <v>60</v>
      </c>
      <c r="V189" s="6501"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502"/>
      <c r="X189" s="6502"/>
      <c r="Y189" s="6502"/>
      <c r="Z189" s="6502"/>
      <c r="AA189" s="406" t="s">
        <v>1325</v>
      </c>
      <c r="AB189" s="407">
        <f>U189</f>
        <v>60</v>
      </c>
      <c r="AC189" s="6486" t="s">
        <v>6236</v>
      </c>
      <c r="AD189" s="6486"/>
      <c r="AE189" s="6486"/>
      <c r="AF189" s="6471" t="e">
        <f>IF(V189=0,"",VLOOKUP(V189,'Tablas Magia'!$D$6:$Z$680,2,FALSE))</f>
        <v>#N/A</v>
      </c>
      <c r="AG189" s="6471"/>
      <c r="AH189" s="1718"/>
      <c r="AI189" s="6492" t="str">
        <f>IFERROR(IF(AF189="Libre Acceso","Aprendido",IF(IFERROR(VLOOKUP(AF189,Místicos!$C$15:$H$25,6,0)&gt;=AB189,FALSE),"Aprendido",IF(IFERROR(VLOOKUP(AF189,Místicos!$E$15:$H$25,4,0)&gt;=AB189,FALSE),"Aprendido",""))),"")</f>
        <v/>
      </c>
      <c r="AJ189" s="6493"/>
      <c r="AK189" s="402"/>
      <c r="AL189" s="396"/>
    </row>
    <row r="190" spans="1:38" ht="12" customHeight="1" x14ac:dyDescent="0.2">
      <c r="A190" s="2516"/>
      <c r="B190" s="804"/>
      <c r="C190" s="6473" t="s">
        <v>6237</v>
      </c>
      <c r="D190" s="6487"/>
      <c r="E190" s="2502" t="s">
        <v>6238</v>
      </c>
      <c r="F190" s="2502" t="s">
        <v>1509</v>
      </c>
      <c r="G190" s="2502" t="s">
        <v>2828</v>
      </c>
      <c r="H190" s="2503" t="s">
        <v>1836</v>
      </c>
      <c r="I190" s="6495" t="e">
        <f>IF(C189=0,"",VLOOKUP(C189,'Tablas Magia'!$D$6:$Z$680,5,FALSE))</f>
        <v>#N/A</v>
      </c>
      <c r="J190" s="6495"/>
      <c r="K190" s="6498" t="s">
        <v>6239</v>
      </c>
      <c r="L190" s="6498"/>
      <c r="M190" s="6495" t="e">
        <f>IF(C189=0,"",VLOOKUP(C189,'Tablas Magia'!$D$6:$Z$680,6,FALSE))</f>
        <v>#N/A</v>
      </c>
      <c r="N190" s="6495"/>
      <c r="O190" s="6496" t="s">
        <v>6240</v>
      </c>
      <c r="P190" s="6496"/>
      <c r="Q190" s="2504" t="e">
        <f>IF(C189=0,"",VLOOKUP(C189,'Tablas Magia'!$D$6:$Z$680,4,FALSE))</f>
        <v>#N/A</v>
      </c>
      <c r="R190" s="402"/>
      <c r="S190" s="396"/>
      <c r="T190" s="2516"/>
      <c r="U190" s="804"/>
      <c r="V190" s="6473" t="s">
        <v>6237</v>
      </c>
      <c r="W190" s="6487"/>
      <c r="X190" s="2502" t="s">
        <v>6238</v>
      </c>
      <c r="Y190" s="2502" t="s">
        <v>1509</v>
      </c>
      <c r="Z190" s="2502" t="s">
        <v>2828</v>
      </c>
      <c r="AA190" s="2503" t="s">
        <v>1836</v>
      </c>
      <c r="AB190" s="6495" t="e">
        <f>IF(V189=0,"",VLOOKUP(V189,'Tablas Magia'!$D$6:$Z$680,5,FALSE))</f>
        <v>#N/A</v>
      </c>
      <c r="AC190" s="6495"/>
      <c r="AD190" s="6498" t="s">
        <v>6239</v>
      </c>
      <c r="AE190" s="6498"/>
      <c r="AF190" s="6495" t="e">
        <f>IF(V189=0,"",VLOOKUP(V189,'Tablas Magia'!$D$6:$Z$680,6,FALSE))</f>
        <v>#N/A</v>
      </c>
      <c r="AG190" s="6495"/>
      <c r="AH190" s="6496" t="s">
        <v>6240</v>
      </c>
      <c r="AI190" s="6496"/>
      <c r="AJ190" s="2504" t="e">
        <f>IF(V189=0,"",VLOOKUP(V189,'Tablas Magia'!$D$6:$Z$680,4,FALSE))</f>
        <v>#N/A</v>
      </c>
      <c r="AK190" s="402"/>
      <c r="AL190" s="396"/>
    </row>
    <row r="191" spans="1:38" ht="12" customHeight="1" x14ac:dyDescent="0.2">
      <c r="A191" s="2516"/>
      <c r="B191" s="804"/>
      <c r="C191" s="6499" t="s">
        <v>1365</v>
      </c>
      <c r="D191" s="6500"/>
      <c r="E191" s="2505" t="e">
        <f>IF(C189=0,"",VLOOKUP(C189,'Tablas Magia'!$D$6:$Z$680,7,FALSE))</f>
        <v>#N/A</v>
      </c>
      <c r="F191" s="2505" t="e">
        <f>IF(C189=0,"",VLOOKUP(C189,'Tablas Magia'!$D$6:$Z$680,11,FALSE))</f>
        <v>#N/A</v>
      </c>
      <c r="G191" s="412" t="e">
        <f>IF(C189=0,"",VLOOKUP(C189,'Tablas Magia'!$D$6:$Z$680,15,FALSE))</f>
        <v>#N/A</v>
      </c>
      <c r="H191" s="6481" t="e">
        <f>IF(C189=0,"",VLOOKUP(C189,'Tablas Magia'!$D$6:$Z$680,19,FALSE))</f>
        <v>#N/A</v>
      </c>
      <c r="I191" s="6482"/>
      <c r="J191" s="6482"/>
      <c r="K191" s="6482"/>
      <c r="L191" s="6482"/>
      <c r="M191" s="6482"/>
      <c r="N191" s="6482"/>
      <c r="O191" s="6482"/>
      <c r="P191" s="6482"/>
      <c r="Q191" s="6483"/>
      <c r="R191" s="402"/>
      <c r="S191" s="396"/>
      <c r="T191" s="2516"/>
      <c r="U191" s="804"/>
      <c r="V191" s="6449" t="s">
        <v>1365</v>
      </c>
      <c r="W191" s="6450"/>
      <c r="X191" s="2505" t="e">
        <f>IF(V189=0,"",VLOOKUP(V189,'Tablas Magia'!$D$6:$Z$680,7,FALSE))</f>
        <v>#N/A</v>
      </c>
      <c r="Y191" s="2505" t="e">
        <f>IF(V189=0,"",VLOOKUP(V189,'Tablas Magia'!$D$6:$Z$680,11,FALSE))</f>
        <v>#N/A</v>
      </c>
      <c r="Z191" s="412" t="e">
        <f>IF(V189=0,"",VLOOKUP(V189,'Tablas Magia'!$D$6:$Z$680,15,FALSE))</f>
        <v>#N/A</v>
      </c>
      <c r="AA191" s="6451" t="e">
        <f>IF(V189=0,"",VLOOKUP(V189,'Tablas Magia'!$D$6:$Z$680,19,FALSE))</f>
        <v>#N/A</v>
      </c>
      <c r="AB191" s="6494"/>
      <c r="AC191" s="6494"/>
      <c r="AD191" s="6494"/>
      <c r="AE191" s="6494"/>
      <c r="AF191" s="6494"/>
      <c r="AG191" s="6494"/>
      <c r="AH191" s="6494"/>
      <c r="AI191" s="6494"/>
      <c r="AJ191" s="6453"/>
      <c r="AK191" s="402"/>
      <c r="AL191" s="396"/>
    </row>
    <row r="192" spans="1:38" ht="12" customHeight="1" x14ac:dyDescent="0.2">
      <c r="A192" s="2516"/>
      <c r="B192" s="804"/>
      <c r="C192" s="6444" t="s">
        <v>3197</v>
      </c>
      <c r="D192" s="6445"/>
      <c r="E192" s="2506" t="e">
        <f>IF(C189=0,"",VLOOKUP(C189,'Tablas Magia'!$D$6:$Z$680,8,FALSE))</f>
        <v>#N/A</v>
      </c>
      <c r="F192" s="2506" t="e">
        <f>IF(C189=0,"",VLOOKUP(C189,'Tablas Magia'!$D$6:$Z$680,12,FALSE))</f>
        <v>#N/A</v>
      </c>
      <c r="G192" s="414" t="e">
        <f>IF(C189=0,"",VLOOKUP(C189,'Tablas Magia'!$D$6:$Z$680,16,FALSE))</f>
        <v>#N/A</v>
      </c>
      <c r="H192" s="6446" t="e">
        <f>IF(C189=0,"",VLOOKUP(C189,'Tablas Magia'!$D$6:$Z$680,20,FALSE))</f>
        <v>#N/A</v>
      </c>
      <c r="I192" s="6484"/>
      <c r="J192" s="6484"/>
      <c r="K192" s="6484"/>
      <c r="L192" s="6484"/>
      <c r="M192" s="6484"/>
      <c r="N192" s="6484"/>
      <c r="O192" s="6484"/>
      <c r="P192" s="6484"/>
      <c r="Q192" s="6448"/>
      <c r="R192" s="402"/>
      <c r="S192" s="396"/>
      <c r="T192" s="2516"/>
      <c r="U192" s="804"/>
      <c r="V192" s="6444" t="s">
        <v>3197</v>
      </c>
      <c r="W192" s="6445"/>
      <c r="X192" s="2506" t="e">
        <f>IF(V189=0,"",VLOOKUP(V189,'Tablas Magia'!$D$6:$Z$680,8,FALSE))</f>
        <v>#N/A</v>
      </c>
      <c r="Y192" s="2506" t="e">
        <f>IF(V189=0,"",VLOOKUP(V189,'Tablas Magia'!$D$6:$Z$680,12,FALSE))</f>
        <v>#N/A</v>
      </c>
      <c r="Z192" s="414" t="e">
        <f>IF(V189=0,"",VLOOKUP(V189,'Tablas Magia'!$D$6:$Z$680,16,FALSE))</f>
        <v>#N/A</v>
      </c>
      <c r="AA192" s="6446" t="e">
        <f>IF(V189=0,"",VLOOKUP(V189,'Tablas Magia'!$D$6:$Z$680,20,FALSE))</f>
        <v>#N/A</v>
      </c>
      <c r="AB192" s="6484"/>
      <c r="AC192" s="6484"/>
      <c r="AD192" s="6484"/>
      <c r="AE192" s="6484"/>
      <c r="AF192" s="6484"/>
      <c r="AG192" s="6484"/>
      <c r="AH192" s="6484"/>
      <c r="AI192" s="6484"/>
      <c r="AJ192" s="6448"/>
      <c r="AK192" s="402"/>
      <c r="AL192" s="396"/>
    </row>
    <row r="193" spans="1:38" ht="12" customHeight="1" x14ac:dyDescent="0.2">
      <c r="A193" s="2516"/>
      <c r="B193" s="804"/>
      <c r="C193" s="6449" t="s">
        <v>3198</v>
      </c>
      <c r="D193" s="6450"/>
      <c r="E193" s="2505" t="e">
        <f>IF(C189=0,"",VLOOKUP(C189,'Tablas Magia'!$D$6:$Z$680,9,FALSE))</f>
        <v>#N/A</v>
      </c>
      <c r="F193" s="2505" t="e">
        <f>IF(C189=0,"",VLOOKUP(C189,'Tablas Magia'!$D$6:$Z$680,13,FALSE))</f>
        <v>#N/A</v>
      </c>
      <c r="G193" s="412" t="e">
        <f>IF(C189=0,"",VLOOKUP(C189,'Tablas Magia'!$D$6:$Z$680,17,FALSE))</f>
        <v>#N/A</v>
      </c>
      <c r="H193" s="6451" t="e">
        <f>IF(C189=0,"",VLOOKUP(C189,'Tablas Magia'!$D$6:$Z$680,21,FALSE))</f>
        <v>#N/A</v>
      </c>
      <c r="I193" s="6494"/>
      <c r="J193" s="6494"/>
      <c r="K193" s="6494"/>
      <c r="L193" s="6494"/>
      <c r="M193" s="6494"/>
      <c r="N193" s="6494"/>
      <c r="O193" s="6494"/>
      <c r="P193" s="6494"/>
      <c r="Q193" s="6453"/>
      <c r="R193" s="402"/>
      <c r="S193" s="396"/>
      <c r="T193" s="2516"/>
      <c r="U193" s="804"/>
      <c r="V193" s="6449" t="s">
        <v>3198</v>
      </c>
      <c r="W193" s="6450"/>
      <c r="X193" s="2505" t="e">
        <f>IF(V189=0,"",VLOOKUP(V189,'Tablas Magia'!$D$6:$Z$680,9,FALSE))</f>
        <v>#N/A</v>
      </c>
      <c r="Y193" s="2505" t="e">
        <f>IF(V189=0,"",VLOOKUP(V189,'Tablas Magia'!$D$6:$Z$680,13,FALSE))</f>
        <v>#N/A</v>
      </c>
      <c r="Z193" s="412" t="e">
        <f>IF(V189=0,"",VLOOKUP(V189,'Tablas Magia'!$D$6:$Z$680,17,FALSE))</f>
        <v>#N/A</v>
      </c>
      <c r="AA193" s="6451" t="e">
        <f>IF(V189=0,"",VLOOKUP(V189,'Tablas Magia'!$D$6:$Z$680,21,FALSE))</f>
        <v>#N/A</v>
      </c>
      <c r="AB193" s="6494"/>
      <c r="AC193" s="6494"/>
      <c r="AD193" s="6494"/>
      <c r="AE193" s="6494"/>
      <c r="AF193" s="6494"/>
      <c r="AG193" s="6494"/>
      <c r="AH193" s="6494"/>
      <c r="AI193" s="6494"/>
      <c r="AJ193" s="6453"/>
      <c r="AK193" s="402"/>
      <c r="AL193" s="396"/>
    </row>
    <row r="194" spans="1:38" ht="12" customHeight="1" thickBot="1" x14ac:dyDescent="0.25">
      <c r="A194" s="2516"/>
      <c r="B194" s="804"/>
      <c r="C194" s="6454" t="s">
        <v>3199</v>
      </c>
      <c r="D194" s="6455"/>
      <c r="E194" s="415" t="e">
        <f>IF(C189=0,"",VLOOKUP(C189,'Tablas Magia'!$D$6:$Z$680,10,FALSE))</f>
        <v>#N/A</v>
      </c>
      <c r="F194" s="415" t="e">
        <f>IF(C189=0,"",VLOOKUP(C189,'Tablas Magia'!$D$6:$Z$680,14,FALSE))</f>
        <v>#N/A</v>
      </c>
      <c r="G194" s="416" t="e">
        <f>IF(C189=0,"",VLOOKUP(C189,'Tablas Magia'!$D$6:$Z$680,18,FALSE))</f>
        <v>#N/A</v>
      </c>
      <c r="H194" s="6456" t="e">
        <f>IF(C189=0,"",VLOOKUP(C189,'Tablas Magia'!$D$6:$Z$680,22,FALSE))</f>
        <v>#N/A</v>
      </c>
      <c r="I194" s="6457"/>
      <c r="J194" s="6457"/>
      <c r="K194" s="6457"/>
      <c r="L194" s="6457"/>
      <c r="M194" s="6457"/>
      <c r="N194" s="6457"/>
      <c r="O194" s="6457"/>
      <c r="P194" s="6457"/>
      <c r="Q194" s="6458"/>
      <c r="R194" s="402"/>
      <c r="S194" s="396"/>
      <c r="T194" s="2516"/>
      <c r="U194" s="804"/>
      <c r="V194" s="6454" t="s">
        <v>3199</v>
      </c>
      <c r="W194" s="6455"/>
      <c r="X194" s="415" t="e">
        <f>IF(V189=0,"",VLOOKUP(V189,'Tablas Magia'!$D$6:$Z$680,10,FALSE))</f>
        <v>#N/A</v>
      </c>
      <c r="Y194" s="415" t="e">
        <f>IF(V189=0,"",VLOOKUP(V189,'Tablas Magia'!$D$6:$Z$680,14,FALSE))</f>
        <v>#N/A</v>
      </c>
      <c r="Z194" s="416" t="e">
        <f>IF(V189=0,"",VLOOKUP(V189,'Tablas Magia'!$D$6:$Z$680,18,FALSE))</f>
        <v>#N/A</v>
      </c>
      <c r="AA194" s="6456" t="e">
        <f>IF(V189=0,"",VLOOKUP(V189,'Tablas Magia'!$D$6:$Z$680,22,FALSE))</f>
        <v>#N/A</v>
      </c>
      <c r="AB194" s="6457"/>
      <c r="AC194" s="6457"/>
      <c r="AD194" s="6457"/>
      <c r="AE194" s="6457"/>
      <c r="AF194" s="6457"/>
      <c r="AG194" s="6457"/>
      <c r="AH194" s="6457"/>
      <c r="AI194" s="6457"/>
      <c r="AJ194" s="6458"/>
      <c r="AK194" s="402"/>
      <c r="AL194" s="396"/>
    </row>
    <row r="195" spans="1:38" ht="12" customHeight="1" x14ac:dyDescent="0.2">
      <c r="A195" s="2516"/>
      <c r="B195" s="804"/>
      <c r="C195" s="6459" t="e">
        <f>IF(C189=0,"",VLOOKUP(C189,'Tablas Magia'!$D$6:$Z$680,23,FALSE))</f>
        <v>#N/A</v>
      </c>
      <c r="D195" s="6460"/>
      <c r="E195" s="6460"/>
      <c r="F195" s="6460"/>
      <c r="G195" s="6460"/>
      <c r="H195" s="6460"/>
      <c r="I195" s="6460"/>
      <c r="J195" s="6460"/>
      <c r="K195" s="6460"/>
      <c r="L195" s="6460"/>
      <c r="M195" s="6460"/>
      <c r="N195" s="6460"/>
      <c r="O195" s="6460"/>
      <c r="P195" s="6460"/>
      <c r="Q195" s="6461"/>
      <c r="R195" s="402"/>
      <c r="S195" s="396"/>
      <c r="T195" s="2516"/>
      <c r="U195" s="804"/>
      <c r="V195" s="6459" t="e">
        <f>IF(V189=0,"",VLOOKUP(V189,'Tablas Magia'!$D$6:$Z$680,23,FALSE))</f>
        <v>#N/A</v>
      </c>
      <c r="W195" s="6460"/>
      <c r="X195" s="6460"/>
      <c r="Y195" s="6460"/>
      <c r="Z195" s="6460"/>
      <c r="AA195" s="6460"/>
      <c r="AB195" s="6460"/>
      <c r="AC195" s="6460"/>
      <c r="AD195" s="6460"/>
      <c r="AE195" s="6460"/>
      <c r="AF195" s="6460"/>
      <c r="AG195" s="6460"/>
      <c r="AH195" s="6460"/>
      <c r="AI195" s="6460"/>
      <c r="AJ195" s="6461"/>
      <c r="AK195" s="402"/>
      <c r="AL195" s="396"/>
    </row>
    <row r="196" spans="1:38" ht="12" customHeight="1" x14ac:dyDescent="0.2">
      <c r="A196" s="2516"/>
      <c r="B196" s="804"/>
      <c r="C196" s="6462"/>
      <c r="D196" s="6485"/>
      <c r="E196" s="6485"/>
      <c r="F196" s="6485"/>
      <c r="G196" s="6485"/>
      <c r="H196" s="6485"/>
      <c r="I196" s="6485"/>
      <c r="J196" s="6485"/>
      <c r="K196" s="6485"/>
      <c r="L196" s="6485"/>
      <c r="M196" s="6485"/>
      <c r="N196" s="6485"/>
      <c r="O196" s="6485"/>
      <c r="P196" s="6485"/>
      <c r="Q196" s="6464"/>
      <c r="R196" s="402"/>
      <c r="S196" s="396"/>
      <c r="T196" s="2516"/>
      <c r="U196" s="804"/>
      <c r="V196" s="6462"/>
      <c r="W196" s="6485"/>
      <c r="X196" s="6485"/>
      <c r="Y196" s="6485"/>
      <c r="Z196" s="6485"/>
      <c r="AA196" s="6485"/>
      <c r="AB196" s="6485"/>
      <c r="AC196" s="6485"/>
      <c r="AD196" s="6485"/>
      <c r="AE196" s="6485"/>
      <c r="AF196" s="6485"/>
      <c r="AG196" s="6485"/>
      <c r="AH196" s="6485"/>
      <c r="AI196" s="6485"/>
      <c r="AJ196" s="6464"/>
      <c r="AK196" s="402"/>
      <c r="AL196" s="396"/>
    </row>
    <row r="197" spans="1:38" ht="12" customHeight="1" x14ac:dyDescent="0.2">
      <c r="A197" s="2516"/>
      <c r="B197" s="804"/>
      <c r="C197" s="6462"/>
      <c r="D197" s="6485"/>
      <c r="E197" s="6485"/>
      <c r="F197" s="6485"/>
      <c r="G197" s="6485"/>
      <c r="H197" s="6485"/>
      <c r="I197" s="6485"/>
      <c r="J197" s="6485"/>
      <c r="K197" s="6485"/>
      <c r="L197" s="6485"/>
      <c r="M197" s="6485"/>
      <c r="N197" s="6485"/>
      <c r="O197" s="6485"/>
      <c r="P197" s="6485"/>
      <c r="Q197" s="6464"/>
      <c r="R197" s="402"/>
      <c r="S197" s="396"/>
      <c r="T197" s="2516"/>
      <c r="U197" s="804"/>
      <c r="V197" s="6462"/>
      <c r="W197" s="6485"/>
      <c r="X197" s="6485"/>
      <c r="Y197" s="6485"/>
      <c r="Z197" s="6485"/>
      <c r="AA197" s="6485"/>
      <c r="AB197" s="6485"/>
      <c r="AC197" s="6485"/>
      <c r="AD197" s="6485"/>
      <c r="AE197" s="6485"/>
      <c r="AF197" s="6485"/>
      <c r="AG197" s="6485"/>
      <c r="AH197" s="6485"/>
      <c r="AI197" s="6485"/>
      <c r="AJ197" s="6464"/>
      <c r="AK197" s="402"/>
      <c r="AL197" s="396"/>
    </row>
    <row r="198" spans="1:38" ht="12" customHeight="1" thickBot="1" x14ac:dyDescent="0.25">
      <c r="A198" s="2516"/>
      <c r="B198" s="804"/>
      <c r="C198" s="6465"/>
      <c r="D198" s="6466"/>
      <c r="E198" s="6466"/>
      <c r="F198" s="6466"/>
      <c r="G198" s="6466"/>
      <c r="H198" s="6466"/>
      <c r="I198" s="6466"/>
      <c r="J198" s="6466"/>
      <c r="K198" s="6466"/>
      <c r="L198" s="6466"/>
      <c r="M198" s="6466"/>
      <c r="N198" s="6466"/>
      <c r="O198" s="6466"/>
      <c r="P198" s="6466"/>
      <c r="Q198" s="6467"/>
      <c r="R198" s="402"/>
      <c r="S198" s="396"/>
      <c r="T198" s="2516"/>
      <c r="U198" s="804"/>
      <c r="V198" s="6465"/>
      <c r="W198" s="6466"/>
      <c r="X198" s="6466"/>
      <c r="Y198" s="6466"/>
      <c r="Z198" s="6466"/>
      <c r="AA198" s="6466"/>
      <c r="AB198" s="6466"/>
      <c r="AC198" s="6466"/>
      <c r="AD198" s="6466"/>
      <c r="AE198" s="6466"/>
      <c r="AF198" s="6466"/>
      <c r="AG198" s="6466"/>
      <c r="AH198" s="6466"/>
      <c r="AI198" s="6466"/>
      <c r="AJ198" s="6467"/>
      <c r="AK198" s="402"/>
      <c r="AL198" s="396"/>
    </row>
    <row r="199" spans="1:38" ht="12" customHeight="1" x14ac:dyDescent="0.2">
      <c r="A199" s="2516"/>
      <c r="B199" s="804"/>
      <c r="C199" s="2526"/>
      <c r="D199" s="2526"/>
      <c r="E199" s="2526"/>
      <c r="F199" s="2526"/>
      <c r="G199" s="2526"/>
      <c r="H199" s="2526"/>
      <c r="I199" s="2526"/>
      <c r="J199" s="2526"/>
      <c r="K199" s="2526"/>
      <c r="L199" s="2526"/>
      <c r="M199" s="2526"/>
      <c r="N199" s="2526"/>
      <c r="O199" s="2526"/>
      <c r="P199" s="2526"/>
      <c r="Q199" s="2526"/>
      <c r="R199" s="402"/>
      <c r="S199" s="2520"/>
      <c r="T199" s="2516"/>
      <c r="U199" s="804"/>
      <c r="V199" s="2526"/>
      <c r="W199" s="2526"/>
      <c r="X199" s="2526"/>
      <c r="Y199" s="2526"/>
      <c r="Z199" s="2526"/>
      <c r="AA199" s="2526"/>
      <c r="AB199" s="2526"/>
      <c r="AC199" s="2526"/>
      <c r="AD199" s="2526"/>
      <c r="AE199" s="2526"/>
      <c r="AF199" s="2526"/>
      <c r="AG199" s="2526"/>
      <c r="AH199" s="2526"/>
      <c r="AI199" s="2526"/>
      <c r="AJ199" s="2526"/>
      <c r="AK199" s="402"/>
      <c r="AL199" s="2520"/>
    </row>
    <row r="200" spans="1:38" ht="12" customHeight="1" thickBot="1" x14ac:dyDescent="0.25">
      <c r="A200" s="2516"/>
      <c r="B200" s="805"/>
      <c r="C200" s="424"/>
      <c r="D200" s="424"/>
      <c r="E200" s="424"/>
      <c r="F200" s="424"/>
      <c r="G200" s="424"/>
      <c r="H200" s="424"/>
      <c r="I200" s="424"/>
      <c r="J200" s="424"/>
      <c r="K200" s="424"/>
      <c r="L200" s="424"/>
      <c r="M200" s="424"/>
      <c r="N200" s="424"/>
      <c r="O200" s="424"/>
      <c r="P200" s="424"/>
      <c r="Q200" s="424"/>
      <c r="R200" s="425"/>
      <c r="S200" s="396"/>
      <c r="T200" s="2516"/>
      <c r="U200" s="805"/>
      <c r="V200" s="424"/>
      <c r="W200" s="424"/>
      <c r="X200" s="424"/>
      <c r="Y200" s="424"/>
      <c r="Z200" s="424"/>
      <c r="AA200" s="424"/>
      <c r="AB200" s="424"/>
      <c r="AC200" s="424"/>
      <c r="AD200" s="424"/>
      <c r="AE200" s="424"/>
      <c r="AF200" s="424"/>
      <c r="AG200" s="424"/>
      <c r="AH200" s="424"/>
      <c r="AI200" s="424"/>
      <c r="AJ200" s="424"/>
      <c r="AK200" s="425"/>
      <c r="AL200" s="396"/>
    </row>
    <row r="201" spans="1:38" ht="12" customHeight="1" x14ac:dyDescent="0.2">
      <c r="A201" s="2518"/>
      <c r="B201" s="2517"/>
      <c r="C201" s="2518"/>
      <c r="D201" s="2518"/>
      <c r="E201" s="2518"/>
      <c r="F201" s="2518"/>
      <c r="G201" s="2518"/>
      <c r="H201" s="2518"/>
      <c r="I201" s="2518"/>
      <c r="J201" s="2518"/>
      <c r="K201" s="2518"/>
      <c r="L201" s="2518"/>
      <c r="M201" s="2518"/>
      <c r="N201" s="2518"/>
      <c r="O201" s="2518"/>
      <c r="P201" s="2518"/>
      <c r="Q201" s="2518"/>
      <c r="R201" s="2518"/>
      <c r="S201" s="1433"/>
      <c r="T201" s="2518"/>
      <c r="U201" s="1434"/>
      <c r="V201" s="1433"/>
      <c r="W201" s="1433"/>
      <c r="X201" s="1433"/>
      <c r="Y201" s="1433"/>
      <c r="Z201" s="1433"/>
      <c r="AA201" s="1433"/>
      <c r="AB201" s="1433"/>
      <c r="AC201" s="1433"/>
      <c r="AD201" s="1433"/>
      <c r="AE201" s="1433"/>
      <c r="AF201" s="1433"/>
      <c r="AG201" s="1433"/>
      <c r="AH201" s="1433"/>
      <c r="AI201" s="1433"/>
      <c r="AJ201" s="1433"/>
      <c r="AK201" s="1433"/>
      <c r="AL201" s="1433"/>
    </row>
    <row r="202" spans="1:38" ht="12" customHeight="1" thickBot="1" x14ac:dyDescent="0.25">
      <c r="A202" s="2520"/>
      <c r="B202" s="2520"/>
      <c r="C202" s="2520"/>
      <c r="D202" s="2520"/>
      <c r="E202" s="2520"/>
      <c r="F202" s="2520"/>
      <c r="G202" s="2520"/>
      <c r="H202" s="2520"/>
      <c r="I202" s="2520"/>
      <c r="J202" s="2520"/>
      <c r="K202" s="2520"/>
      <c r="L202" s="2520"/>
      <c r="M202" s="2520"/>
      <c r="N202" s="2520"/>
      <c r="O202" s="2520"/>
      <c r="P202" s="2520"/>
      <c r="Q202" s="2520"/>
      <c r="R202" s="2520"/>
      <c r="S202" s="2520"/>
      <c r="T202" s="2481"/>
      <c r="U202" s="802"/>
      <c r="V202" s="2481"/>
      <c r="W202" s="2481"/>
      <c r="X202" s="2481"/>
      <c r="Y202" s="2481"/>
      <c r="Z202" s="2481"/>
      <c r="AA202" s="2481"/>
      <c r="AB202" s="2481"/>
      <c r="AC202" s="2481"/>
      <c r="AD202" s="2481"/>
      <c r="AE202" s="2481"/>
      <c r="AF202" s="2481"/>
      <c r="AG202" s="2481"/>
      <c r="AH202" s="2481"/>
      <c r="AI202" s="2481"/>
      <c r="AJ202" s="2481"/>
      <c r="AK202" s="2481"/>
      <c r="AL202" s="2481"/>
    </row>
    <row r="203" spans="1:38" ht="17.25" customHeight="1" thickBot="1" x14ac:dyDescent="0.25">
      <c r="A203" s="1433"/>
      <c r="B203" s="1086"/>
      <c r="C203" s="398"/>
      <c r="D203" s="398"/>
      <c r="E203" s="398"/>
      <c r="F203" s="398"/>
      <c r="G203" s="398"/>
      <c r="H203" s="398"/>
      <c r="I203" s="398"/>
      <c r="J203" s="398"/>
      <c r="K203" s="398"/>
      <c r="L203" s="398"/>
      <c r="M203" s="398"/>
      <c r="N203" s="398"/>
      <c r="O203" s="398"/>
      <c r="P203" s="398"/>
      <c r="Q203" s="398"/>
      <c r="R203" s="399"/>
      <c r="S203" s="1433"/>
      <c r="T203" s="1433"/>
      <c r="U203" s="1086"/>
      <c r="V203" s="398"/>
      <c r="W203" s="398"/>
      <c r="X203" s="398"/>
      <c r="Y203" s="398"/>
      <c r="Z203" s="398"/>
      <c r="AA203" s="398"/>
      <c r="AB203" s="398"/>
      <c r="AC203" s="398"/>
      <c r="AD203" s="398"/>
      <c r="AE203" s="398"/>
      <c r="AF203" s="398"/>
      <c r="AG203" s="398"/>
      <c r="AH203" s="398"/>
      <c r="AI203" s="398"/>
      <c r="AJ203" s="398"/>
      <c r="AK203" s="399"/>
      <c r="AL203" s="1433"/>
    </row>
    <row r="204" spans="1:38" ht="12" customHeight="1" x14ac:dyDescent="0.2">
      <c r="A204" s="1433"/>
      <c r="B204" s="1087"/>
      <c r="C204" s="6438"/>
      <c r="D204" s="6439"/>
      <c r="E204" s="6439"/>
      <c r="F204" s="6439"/>
      <c r="G204" s="6439"/>
      <c r="H204" s="6439"/>
      <c r="I204" s="2482"/>
      <c r="J204" s="2482"/>
      <c r="K204" s="2482"/>
      <c r="L204" s="2482"/>
      <c r="M204" s="2482"/>
      <c r="N204" s="2482"/>
      <c r="O204" s="2482"/>
      <c r="P204" s="2482"/>
      <c r="Q204" s="401"/>
      <c r="R204" s="402"/>
      <c r="S204" s="1433"/>
      <c r="T204" s="1433"/>
      <c r="U204" s="1087"/>
      <c r="V204" s="6438"/>
      <c r="W204" s="6439"/>
      <c r="X204" s="6439"/>
      <c r="Y204" s="6439"/>
      <c r="Z204" s="6439"/>
      <c r="AA204" s="6439"/>
      <c r="AB204" s="2482"/>
      <c r="AC204" s="2482"/>
      <c r="AD204" s="2482"/>
      <c r="AE204" s="2482"/>
      <c r="AF204" s="2482"/>
      <c r="AG204" s="2482"/>
      <c r="AH204" s="2482"/>
      <c r="AI204" s="2482"/>
      <c r="AJ204" s="401"/>
      <c r="AK204" s="402"/>
      <c r="AL204" s="1433"/>
    </row>
    <row r="205" spans="1:38" ht="12" customHeight="1" x14ac:dyDescent="0.2">
      <c r="A205" s="1731"/>
      <c r="B205" s="1730"/>
      <c r="C205" s="6440"/>
      <c r="D205" s="6441"/>
      <c r="E205" s="6441"/>
      <c r="F205" s="6441"/>
      <c r="G205" s="6441"/>
      <c r="H205" s="6441"/>
      <c r="I205" s="2495"/>
      <c r="J205" s="6478" t="s">
        <v>10048</v>
      </c>
      <c r="K205" s="6479"/>
      <c r="L205" s="6479"/>
      <c r="M205" s="6479"/>
      <c r="N205" s="6479"/>
      <c r="O205" s="6479"/>
      <c r="P205" s="6479"/>
      <c r="Q205" s="356"/>
      <c r="R205" s="808"/>
      <c r="S205" s="1731"/>
      <c r="T205" s="1731"/>
      <c r="U205" s="1730"/>
      <c r="V205" s="6440"/>
      <c r="W205" s="6441"/>
      <c r="X205" s="6441"/>
      <c r="Y205" s="6441"/>
      <c r="Z205" s="6441"/>
      <c r="AA205" s="6441"/>
      <c r="AB205" s="2483"/>
      <c r="AC205" s="6489" t="s">
        <v>10048</v>
      </c>
      <c r="AD205" s="6490"/>
      <c r="AE205" s="6490"/>
      <c r="AF205" s="6490"/>
      <c r="AG205" s="6490"/>
      <c r="AH205" s="6490"/>
      <c r="AI205" s="6490"/>
      <c r="AJ205" s="356"/>
      <c r="AK205" s="808"/>
      <c r="AL205" s="1731"/>
    </row>
    <row r="206" spans="1:38" ht="12" customHeight="1" x14ac:dyDescent="0.2">
      <c r="A206" s="1433"/>
      <c r="B206" s="1087"/>
      <c r="C206" s="6440"/>
      <c r="D206" s="6441"/>
      <c r="E206" s="6441"/>
      <c r="F206" s="6441"/>
      <c r="G206" s="6441"/>
      <c r="H206" s="6441"/>
      <c r="I206" s="2495"/>
      <c r="J206" s="6479"/>
      <c r="K206" s="6479"/>
      <c r="L206" s="6479"/>
      <c r="M206" s="6479"/>
      <c r="N206" s="6479"/>
      <c r="O206" s="6479"/>
      <c r="P206" s="6479"/>
      <c r="Q206" s="403"/>
      <c r="R206" s="402"/>
      <c r="S206" s="1433"/>
      <c r="T206" s="1433"/>
      <c r="U206" s="1087"/>
      <c r="V206" s="6440"/>
      <c r="W206" s="6441"/>
      <c r="X206" s="6441"/>
      <c r="Y206" s="6441"/>
      <c r="Z206" s="6441"/>
      <c r="AA206" s="6441"/>
      <c r="AB206" s="2483"/>
      <c r="AC206" s="6490"/>
      <c r="AD206" s="6490"/>
      <c r="AE206" s="6490"/>
      <c r="AF206" s="6490"/>
      <c r="AG206" s="6490"/>
      <c r="AH206" s="6490"/>
      <c r="AI206" s="6490"/>
      <c r="AJ206" s="403"/>
      <c r="AK206" s="402"/>
      <c r="AL206" s="1433"/>
    </row>
    <row r="207" spans="1:38" ht="12" customHeight="1" x14ac:dyDescent="0.2">
      <c r="A207" s="1433"/>
      <c r="B207" s="1087"/>
      <c r="C207" s="6440"/>
      <c r="D207" s="6441"/>
      <c r="E207" s="6441"/>
      <c r="F207" s="6441"/>
      <c r="G207" s="6441"/>
      <c r="H207" s="6441"/>
      <c r="I207" s="2496" t="s">
        <v>7044</v>
      </c>
      <c r="J207" s="6480" t="str">
        <f>IF($J$6="","",$J$6)</f>
        <v/>
      </c>
      <c r="K207" s="6480"/>
      <c r="L207" s="6480"/>
      <c r="M207" s="2497"/>
      <c r="N207" s="2497"/>
      <c r="O207" s="2498" t="str">
        <f>$O$6</f>
        <v>Nivel de vía aprendido</v>
      </c>
      <c r="P207" s="2499">
        <f>$P$6</f>
        <v>0</v>
      </c>
      <c r="Q207" s="403"/>
      <c r="R207" s="402"/>
      <c r="S207" s="1433"/>
      <c r="T207" s="1433"/>
      <c r="U207" s="1087"/>
      <c r="V207" s="6440"/>
      <c r="W207" s="6441"/>
      <c r="X207" s="6441"/>
      <c r="Y207" s="6441"/>
      <c r="Z207" s="6441"/>
      <c r="AA207" s="6441"/>
      <c r="AB207" s="2273" t="s">
        <v>7044</v>
      </c>
      <c r="AC207" s="6488" t="str">
        <f>IF($J$6="","",$J$6)</f>
        <v/>
      </c>
      <c r="AD207" s="6488"/>
      <c r="AE207" s="6488"/>
      <c r="AF207" s="2269"/>
      <c r="AG207" s="2269"/>
      <c r="AH207" s="2270" t="str">
        <f>$O$6</f>
        <v>Nivel de vía aprendido</v>
      </c>
      <c r="AI207" s="2271">
        <f>$P$6</f>
        <v>0</v>
      </c>
      <c r="AJ207" s="403"/>
      <c r="AK207" s="402"/>
      <c r="AL207" s="1433"/>
    </row>
    <row r="208" spans="1:38" ht="12" customHeight="1" x14ac:dyDescent="0.2">
      <c r="A208" s="1433"/>
      <c r="B208" s="1087"/>
      <c r="C208" s="6440"/>
      <c r="D208" s="6441"/>
      <c r="E208" s="6441"/>
      <c r="F208" s="6441"/>
      <c r="G208" s="6441"/>
      <c r="H208" s="6441"/>
      <c r="I208" s="2500" t="s">
        <v>7045</v>
      </c>
      <c r="J208" s="6480" t="str">
        <f>IF($J$8="","",$J$8)</f>
        <v/>
      </c>
      <c r="K208" s="6480"/>
      <c r="L208" s="6480"/>
      <c r="M208" s="2497"/>
      <c r="N208" s="2497"/>
      <c r="O208" s="2497"/>
      <c r="P208" s="2497"/>
      <c r="Q208" s="403"/>
      <c r="R208" s="402"/>
      <c r="S208" s="1433"/>
      <c r="T208" s="1433"/>
      <c r="U208" s="1087"/>
      <c r="V208" s="6440"/>
      <c r="W208" s="6441"/>
      <c r="X208" s="6441"/>
      <c r="Y208" s="6441"/>
      <c r="Z208" s="6441"/>
      <c r="AA208" s="6441"/>
      <c r="AB208" s="2274" t="s">
        <v>7045</v>
      </c>
      <c r="AC208" s="6488" t="str">
        <f>IF($J$8="","",$J$8)</f>
        <v/>
      </c>
      <c r="AD208" s="6488"/>
      <c r="AE208" s="6488"/>
      <c r="AF208" s="2269"/>
      <c r="AG208" s="2269"/>
      <c r="AH208" s="2269"/>
      <c r="AI208" s="2269"/>
      <c r="AJ208" s="403"/>
      <c r="AK208" s="402"/>
      <c r="AL208" s="1433"/>
    </row>
    <row r="209" spans="1:38" ht="12" customHeight="1" thickBot="1" x14ac:dyDescent="0.25">
      <c r="A209" s="1433"/>
      <c r="B209" s="1087"/>
      <c r="C209" s="6442"/>
      <c r="D209" s="6443"/>
      <c r="E209" s="6443"/>
      <c r="F209" s="6443"/>
      <c r="G209" s="6443"/>
      <c r="H209" s="6443"/>
      <c r="I209" s="2484"/>
      <c r="J209" s="2484"/>
      <c r="K209" s="2484"/>
      <c r="L209" s="2484"/>
      <c r="M209" s="2484"/>
      <c r="N209" s="2484"/>
      <c r="O209" s="2484"/>
      <c r="P209" s="2484"/>
      <c r="Q209" s="405"/>
      <c r="R209" s="402"/>
      <c r="S209" s="1433"/>
      <c r="T209" s="1433"/>
      <c r="U209" s="1087"/>
      <c r="V209" s="6442"/>
      <c r="W209" s="6443"/>
      <c r="X209" s="6443"/>
      <c r="Y209" s="6443"/>
      <c r="Z209" s="6443"/>
      <c r="AA209" s="6443"/>
      <c r="AB209" s="2484"/>
      <c r="AC209" s="2484"/>
      <c r="AD209" s="2484"/>
      <c r="AE209" s="2484"/>
      <c r="AF209" s="2484"/>
      <c r="AG209" s="2484"/>
      <c r="AH209" s="2484"/>
      <c r="AI209" s="2484"/>
      <c r="AJ209" s="405"/>
      <c r="AK209" s="402"/>
      <c r="AL209" s="1433"/>
    </row>
    <row r="210" spans="1:38" ht="12" customHeight="1" x14ac:dyDescent="0.2">
      <c r="A210" s="1433"/>
      <c r="B210" s="1087"/>
      <c r="C210" s="2501"/>
      <c r="D210" s="2501"/>
      <c r="E210" s="2501"/>
      <c r="F210" s="2501"/>
      <c r="G210" s="2501"/>
      <c r="H210" s="2501"/>
      <c r="I210" s="2501"/>
      <c r="J210" s="2501"/>
      <c r="K210" s="2501"/>
      <c r="L210" s="2501"/>
      <c r="M210" s="2501"/>
      <c r="N210" s="2501"/>
      <c r="O210" s="2501"/>
      <c r="P210" s="2501"/>
      <c r="Q210" s="2501"/>
      <c r="R210" s="402"/>
      <c r="S210" s="1433"/>
      <c r="T210" s="1433"/>
      <c r="U210" s="1087"/>
      <c r="AK210" s="402"/>
      <c r="AL210" s="1433"/>
    </row>
    <row r="211" spans="1:38" ht="12" customHeight="1" thickBot="1" x14ac:dyDescent="0.25">
      <c r="A211" s="1433"/>
      <c r="B211" s="812"/>
      <c r="C211" s="6497" t="str">
        <f>"Conjuros de nivel "&amp;B212&amp;"-"&amp;B256</f>
        <v>Conjuros de nivel 62-70</v>
      </c>
      <c r="D211" s="6497"/>
      <c r="E211" s="6497"/>
      <c r="F211" s="6497"/>
      <c r="G211" s="6497"/>
      <c r="H211" s="6497"/>
      <c r="I211" s="6497"/>
      <c r="J211" s="6497"/>
      <c r="K211" s="6497"/>
      <c r="L211" s="6497"/>
      <c r="M211" s="6497"/>
      <c r="N211" s="6497"/>
      <c r="O211" s="6497"/>
      <c r="P211" s="6497"/>
      <c r="Q211" s="6497"/>
      <c r="R211" s="810"/>
      <c r="S211" s="1433"/>
      <c r="T211" s="396"/>
      <c r="U211" s="812"/>
      <c r="V211" s="6497" t="str">
        <f>"Conjuros de nivel "&amp;U212&amp;"-"&amp;U256</f>
        <v>Conjuros de nivel 72-80</v>
      </c>
      <c r="W211" s="6497"/>
      <c r="X211" s="6497"/>
      <c r="Y211" s="6497"/>
      <c r="Z211" s="6497"/>
      <c r="AA211" s="6497"/>
      <c r="AB211" s="6497"/>
      <c r="AC211" s="6497"/>
      <c r="AD211" s="6497"/>
      <c r="AE211" s="6497"/>
      <c r="AF211" s="6497"/>
      <c r="AG211" s="6497"/>
      <c r="AH211" s="6497"/>
      <c r="AI211" s="6497"/>
      <c r="AJ211" s="6497"/>
      <c r="AK211" s="811"/>
      <c r="AL211" s="396"/>
    </row>
    <row r="212" spans="1:38" ht="12" customHeight="1" x14ac:dyDescent="0.2">
      <c r="A212" s="396"/>
      <c r="B212" s="804">
        <f>B145+20</f>
        <v>62</v>
      </c>
      <c r="C212" s="6501"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502"/>
      <c r="E212" s="6502"/>
      <c r="F212" s="6502"/>
      <c r="G212" s="6503"/>
      <c r="H212" s="406" t="s">
        <v>1325</v>
      </c>
      <c r="I212" s="407">
        <f>B212</f>
        <v>62</v>
      </c>
      <c r="J212" s="6486" t="s">
        <v>6236</v>
      </c>
      <c r="K212" s="6486"/>
      <c r="L212" s="6486"/>
      <c r="M212" s="6471" t="e">
        <f>IF(C212=0,"",VLOOKUP(C212,'Tablas Magia'!$D$6:$Z$680,2,FALSE))</f>
        <v>#N/A</v>
      </c>
      <c r="N212" s="6471"/>
      <c r="O212" s="1718"/>
      <c r="P212" s="6492" t="str">
        <f>IFERROR(IF(M212="Libre Acceso","Aprendido",IF(IFERROR(VLOOKUP(M212,Místicos!$C$15:$H$25,6,0)&gt;=I212,FALSE),"Aprendido",IF(IFERROR(VLOOKUP(M212,Místicos!$E$15:$H$25,4,0)&gt;=I212,FALSE),"Aprendido",""))),"")</f>
        <v/>
      </c>
      <c r="Q212" s="6493"/>
      <c r="R212" s="402"/>
      <c r="S212" s="396"/>
      <c r="T212" s="396"/>
      <c r="U212" s="804">
        <f>B256+2</f>
        <v>72</v>
      </c>
      <c r="V212" s="6501"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507"/>
      <c r="X212" s="6507"/>
      <c r="Y212" s="6507"/>
      <c r="Z212" s="6508"/>
      <c r="AA212" s="406" t="s">
        <v>1325</v>
      </c>
      <c r="AB212" s="407">
        <f>U212</f>
        <v>72</v>
      </c>
      <c r="AC212" s="6486" t="s">
        <v>6236</v>
      </c>
      <c r="AD212" s="6486"/>
      <c r="AE212" s="6486"/>
      <c r="AF212" s="6471" t="e">
        <f>IF(V212=0,"",VLOOKUP(V212,'Tablas Magia'!$D$6:$Z$680,2,FALSE))</f>
        <v>#N/A</v>
      </c>
      <c r="AG212" s="6471"/>
      <c r="AH212" s="1718"/>
      <c r="AI212" s="6492" t="str">
        <f>IFERROR(IF(AF212="Libre Acceso","Aprendido",IF(IFERROR(VLOOKUP(AF212,Místicos!$C$15:$H$25,6,0)&gt;=AB212,FALSE),"Aprendido",IF(IFERROR(VLOOKUP(AF212,Místicos!$E$15:$H$25,4,0)&gt;=AB212,FALSE),"Aprendido",""))),"")</f>
        <v/>
      </c>
      <c r="AJ212" s="6493"/>
      <c r="AK212" s="402"/>
      <c r="AL212" s="396"/>
    </row>
    <row r="213" spans="1:38" ht="12" customHeight="1" x14ac:dyDescent="0.2">
      <c r="A213" s="396"/>
      <c r="B213" s="804"/>
      <c r="C213" s="6473" t="s">
        <v>6237</v>
      </c>
      <c r="D213" s="6487"/>
      <c r="E213" s="2502" t="s">
        <v>6238</v>
      </c>
      <c r="F213" s="2502" t="s">
        <v>1509</v>
      </c>
      <c r="G213" s="2502" t="s">
        <v>2828</v>
      </c>
      <c r="H213" s="2503" t="s">
        <v>1836</v>
      </c>
      <c r="I213" s="6495" t="e">
        <f>IF(C212=0,"",VLOOKUP(C212,'Tablas Magia'!$D$6:$Z$680,5,FALSE))</f>
        <v>#N/A</v>
      </c>
      <c r="J213" s="6495"/>
      <c r="K213" s="6498" t="s">
        <v>6239</v>
      </c>
      <c r="L213" s="6498"/>
      <c r="M213" s="6495" t="e">
        <f>IF(C212=0,"",VLOOKUP(C212,'Tablas Magia'!$D$6:$Z$680,6,FALSE))</f>
        <v>#N/A</v>
      </c>
      <c r="N213" s="6495"/>
      <c r="O213" s="6496" t="s">
        <v>6240</v>
      </c>
      <c r="P213" s="6496"/>
      <c r="Q213" s="2504" t="e">
        <f>IF(C212=0,"",VLOOKUP(C212,'Tablas Magia'!$D$6:$Z$680,4,FALSE))</f>
        <v>#N/A</v>
      </c>
      <c r="R213" s="402"/>
      <c r="S213" s="396"/>
      <c r="T213" s="396"/>
      <c r="U213" s="804"/>
      <c r="V213" s="6473" t="s">
        <v>6237</v>
      </c>
      <c r="W213" s="6504"/>
      <c r="X213" s="1727" t="s">
        <v>6238</v>
      </c>
      <c r="Y213" s="1727" t="s">
        <v>1509</v>
      </c>
      <c r="Z213" s="1727" t="s">
        <v>2828</v>
      </c>
      <c r="AA213" s="1728" t="s">
        <v>1836</v>
      </c>
      <c r="AB213" s="6491" t="e">
        <f>IF(V212=0,"",VLOOKUP(V212,'Tablas Magia'!$D$6:$Z$680,5,FALSE))</f>
        <v>#N/A</v>
      </c>
      <c r="AC213" s="6491"/>
      <c r="AD213" s="6505" t="s">
        <v>6239</v>
      </c>
      <c r="AE213" s="6505"/>
      <c r="AF213" s="6491" t="e">
        <f>IF(V212=0,"",VLOOKUP(V212,'Tablas Magia'!$D$6:$Z$680,6,FALSE))</f>
        <v>#N/A</v>
      </c>
      <c r="AG213" s="6491"/>
      <c r="AH213" s="6506" t="s">
        <v>6240</v>
      </c>
      <c r="AI213" s="6506"/>
      <c r="AJ213" s="1729" t="e">
        <f>IF(V212=0,"",VLOOKUP(V212,'Tablas Magia'!$D$6:$Z$680,4,FALSE))</f>
        <v>#N/A</v>
      </c>
      <c r="AK213" s="402"/>
      <c r="AL213" s="396"/>
    </row>
    <row r="214" spans="1:38" ht="12" customHeight="1" x14ac:dyDescent="0.2">
      <c r="A214" s="396"/>
      <c r="B214" s="804"/>
      <c r="C214" s="6449" t="s">
        <v>1365</v>
      </c>
      <c r="D214" s="6450"/>
      <c r="E214" s="2505" t="e">
        <f>IF(C212=0,"",VLOOKUP(C212,'Tablas Magia'!$D$6:$Z$680,7,FALSE))</f>
        <v>#N/A</v>
      </c>
      <c r="F214" s="2505" t="e">
        <f>IF(C212=0,"",VLOOKUP(C212,'Tablas Magia'!$D$6:$Z$680,11,FALSE))</f>
        <v>#N/A</v>
      </c>
      <c r="G214" s="412" t="e">
        <f>IF(C212=0,"",VLOOKUP(C212,'Tablas Magia'!$D$6:$Z$680,15,FALSE))</f>
        <v>#N/A</v>
      </c>
      <c r="H214" s="6451" t="e">
        <f>IF(C212=0,"",VLOOKUP(C212,'Tablas Magia'!$D$6:$Z$680,19,FALSE))</f>
        <v>#N/A</v>
      </c>
      <c r="I214" s="6494"/>
      <c r="J214" s="6494"/>
      <c r="K214" s="6494"/>
      <c r="L214" s="6494"/>
      <c r="M214" s="6494"/>
      <c r="N214" s="6494"/>
      <c r="O214" s="6494"/>
      <c r="P214" s="6494"/>
      <c r="Q214" s="6453"/>
      <c r="R214" s="402"/>
      <c r="S214" s="396"/>
      <c r="T214" s="396"/>
      <c r="U214" s="804"/>
      <c r="V214" s="6499" t="s">
        <v>1365</v>
      </c>
      <c r="W214" s="6500"/>
      <c r="X214" s="411" t="e">
        <f>IF(V212=0,"",VLOOKUP(V212,'Tablas Magia'!$D$6:$Z$680,7,FALSE))</f>
        <v>#N/A</v>
      </c>
      <c r="Y214" s="411" t="e">
        <f>IF(V212=0,"",VLOOKUP(V212,'Tablas Magia'!$D$6:$Z$680,11,FALSE))</f>
        <v>#N/A</v>
      </c>
      <c r="Z214" s="412" t="e">
        <f>IF(V212=0,"",VLOOKUP(V212,'Tablas Magia'!$D$6:$Z$680,15,FALSE))</f>
        <v>#N/A</v>
      </c>
      <c r="AA214" s="6481" t="e">
        <f>IF(V212=0,"",VLOOKUP(V212,'Tablas Magia'!$D$6:$Z$680,19,FALSE))</f>
        <v>#N/A</v>
      </c>
      <c r="AB214" s="6482"/>
      <c r="AC214" s="6482"/>
      <c r="AD214" s="6482"/>
      <c r="AE214" s="6482"/>
      <c r="AF214" s="6482"/>
      <c r="AG214" s="6482"/>
      <c r="AH214" s="6482"/>
      <c r="AI214" s="6482"/>
      <c r="AJ214" s="6483"/>
      <c r="AK214" s="402"/>
      <c r="AL214" s="396"/>
    </row>
    <row r="215" spans="1:38" ht="12" customHeight="1" x14ac:dyDescent="0.2">
      <c r="A215" s="396"/>
      <c r="B215" s="804"/>
      <c r="C215" s="6444" t="s">
        <v>3197</v>
      </c>
      <c r="D215" s="6445"/>
      <c r="E215" s="2506" t="e">
        <f>IF(C212=0,"",VLOOKUP(C212,'Tablas Magia'!$D$6:$Z$680,8,FALSE))</f>
        <v>#N/A</v>
      </c>
      <c r="F215" s="2506" t="e">
        <f>IF(C212=0,"",VLOOKUP(C212,'Tablas Magia'!$D$6:$Z$680,12,FALSE))</f>
        <v>#N/A</v>
      </c>
      <c r="G215" s="414" t="e">
        <f>IF(C212=0,"",VLOOKUP(C212,'Tablas Magia'!$D$6:$Z$680,16,FALSE))</f>
        <v>#N/A</v>
      </c>
      <c r="H215" s="6446" t="e">
        <f>IF(C212=0,"",VLOOKUP(C212,'Tablas Magia'!$D$6:$Z$680,20,FALSE))</f>
        <v>#N/A</v>
      </c>
      <c r="I215" s="6484"/>
      <c r="J215" s="6484"/>
      <c r="K215" s="6484"/>
      <c r="L215" s="6484"/>
      <c r="M215" s="6484"/>
      <c r="N215" s="6484"/>
      <c r="O215" s="6484"/>
      <c r="P215" s="6484"/>
      <c r="Q215" s="6448"/>
      <c r="R215" s="402"/>
      <c r="S215" s="396"/>
      <c r="T215" s="396"/>
      <c r="U215" s="804"/>
      <c r="V215" s="6444" t="s">
        <v>3197</v>
      </c>
      <c r="W215" s="6445"/>
      <c r="X215" s="413" t="e">
        <f>IF(V212=0,"",VLOOKUP(V212,'Tablas Magia'!$D$6:$Z$680,8,FALSE))</f>
        <v>#N/A</v>
      </c>
      <c r="Y215" s="413" t="e">
        <f>IF(V212=0,"",VLOOKUP(V212,'Tablas Magia'!$D$6:$Z$680,12,FALSE))</f>
        <v>#N/A</v>
      </c>
      <c r="Z215" s="414" t="e">
        <f>IF(V212=0,"",VLOOKUP(V212,'Tablas Magia'!$D$6:$Z$680,16,FALSE))</f>
        <v>#N/A</v>
      </c>
      <c r="AA215" s="6446" t="e">
        <f>IF(V212=0,"",VLOOKUP(V212,'Tablas Magia'!$D$6:$Z$680,20,FALSE))</f>
        <v>#N/A</v>
      </c>
      <c r="AB215" s="6447"/>
      <c r="AC215" s="6447"/>
      <c r="AD215" s="6447"/>
      <c r="AE215" s="6447"/>
      <c r="AF215" s="6447"/>
      <c r="AG215" s="6447"/>
      <c r="AH215" s="6447"/>
      <c r="AI215" s="6447"/>
      <c r="AJ215" s="6448"/>
      <c r="AK215" s="402"/>
      <c r="AL215" s="396"/>
    </row>
    <row r="216" spans="1:38" ht="12" customHeight="1" x14ac:dyDescent="0.2">
      <c r="A216" s="396"/>
      <c r="B216" s="804"/>
      <c r="C216" s="6449" t="s">
        <v>3198</v>
      </c>
      <c r="D216" s="6450"/>
      <c r="E216" s="2505" t="e">
        <f>IF(C212=0,"",VLOOKUP(C212,'Tablas Magia'!$D$6:$Z$680,9,FALSE))</f>
        <v>#N/A</v>
      </c>
      <c r="F216" s="2505" t="e">
        <f>IF(C212=0,"",VLOOKUP(C212,'Tablas Magia'!$D$6:$Z$680,13,FALSE))</f>
        <v>#N/A</v>
      </c>
      <c r="G216" s="412" t="e">
        <f>IF(C212=0,"",VLOOKUP(C212,'Tablas Magia'!$D$6:$Z$680,17,FALSE))</f>
        <v>#N/A</v>
      </c>
      <c r="H216" s="6451" t="e">
        <f>IF(C212=0,"",VLOOKUP(C212,'Tablas Magia'!$D$6:$Z$680,21,FALSE))</f>
        <v>#N/A</v>
      </c>
      <c r="I216" s="6494"/>
      <c r="J216" s="6494"/>
      <c r="K216" s="6494"/>
      <c r="L216" s="6494"/>
      <c r="M216" s="6494"/>
      <c r="N216" s="6494"/>
      <c r="O216" s="6494"/>
      <c r="P216" s="6494"/>
      <c r="Q216" s="6453"/>
      <c r="R216" s="402"/>
      <c r="S216" s="396"/>
      <c r="T216" s="396"/>
      <c r="U216" s="804"/>
      <c r="V216" s="6449" t="s">
        <v>3198</v>
      </c>
      <c r="W216" s="6450"/>
      <c r="X216" s="411" t="e">
        <f>IF(V212=0,"",VLOOKUP(V212,'Tablas Magia'!$D$6:$Z$680,9,FALSE))</f>
        <v>#N/A</v>
      </c>
      <c r="Y216" s="411" t="e">
        <f>IF(V212=0,"",VLOOKUP(V212,'Tablas Magia'!$D$6:$Z$680,13,FALSE))</f>
        <v>#N/A</v>
      </c>
      <c r="Z216" s="412" t="e">
        <f>IF(V212=0,"",VLOOKUP(V212,'Tablas Magia'!$D$6:$Z$680,17,FALSE))</f>
        <v>#N/A</v>
      </c>
      <c r="AA216" s="6451" t="e">
        <f>IF(V212=0,"",VLOOKUP(V212,'Tablas Magia'!$D$6:$Z$680,21,FALSE))</f>
        <v>#N/A</v>
      </c>
      <c r="AB216" s="6452"/>
      <c r="AC216" s="6452"/>
      <c r="AD216" s="6452"/>
      <c r="AE216" s="6452"/>
      <c r="AF216" s="6452"/>
      <c r="AG216" s="6452"/>
      <c r="AH216" s="6452"/>
      <c r="AI216" s="6452"/>
      <c r="AJ216" s="6453"/>
      <c r="AK216" s="402"/>
      <c r="AL216" s="396"/>
    </row>
    <row r="217" spans="1:38" ht="12" customHeight="1" thickBot="1" x14ac:dyDescent="0.25">
      <c r="A217" s="396"/>
      <c r="B217" s="804"/>
      <c r="C217" s="6454" t="s">
        <v>3199</v>
      </c>
      <c r="D217" s="6455"/>
      <c r="E217" s="415" t="e">
        <f>IF(C212=0,"",VLOOKUP(C212,'Tablas Magia'!$D$6:$Z$680,10,FALSE))</f>
        <v>#N/A</v>
      </c>
      <c r="F217" s="415" t="e">
        <f>IF(C212=0,"",VLOOKUP(C212,'Tablas Magia'!$D$6:$Z$680,14,FALSE))</f>
        <v>#N/A</v>
      </c>
      <c r="G217" s="416" t="e">
        <f>IF(C212=0,"",VLOOKUP(C212,'Tablas Magia'!$D$6:$Z$680,18,FALSE))</f>
        <v>#N/A</v>
      </c>
      <c r="H217" s="6456" t="e">
        <f>IF(C212=0,"",VLOOKUP(C212,'Tablas Magia'!$D$6:$Z$680,22,FALSE))</f>
        <v>#N/A</v>
      </c>
      <c r="I217" s="6457"/>
      <c r="J217" s="6457"/>
      <c r="K217" s="6457"/>
      <c r="L217" s="6457"/>
      <c r="M217" s="6457"/>
      <c r="N217" s="6457"/>
      <c r="O217" s="6457"/>
      <c r="P217" s="6457"/>
      <c r="Q217" s="6458"/>
      <c r="R217" s="402"/>
      <c r="S217" s="396"/>
      <c r="T217" s="396"/>
      <c r="U217" s="804"/>
      <c r="V217" s="6454" t="s">
        <v>3199</v>
      </c>
      <c r="W217" s="6455"/>
      <c r="X217" s="415" t="e">
        <f>IF(V212=0,"",VLOOKUP(V212,'Tablas Magia'!$D$6:$Z$680,10,FALSE))</f>
        <v>#N/A</v>
      </c>
      <c r="Y217" s="415" t="e">
        <f>IF(V212=0,"",VLOOKUP(V212,'Tablas Magia'!$D$6:$Z$680,14,FALSE))</f>
        <v>#N/A</v>
      </c>
      <c r="Z217" s="416" t="e">
        <f>IF(V212=0,"",VLOOKUP(V212,'Tablas Magia'!$D$6:$Z$680,18,FALSE))</f>
        <v>#N/A</v>
      </c>
      <c r="AA217" s="6456" t="e">
        <f>IF(V212=0,"",VLOOKUP(V212,'Tablas Magia'!$D$6:$Z$680,22,FALSE))</f>
        <v>#N/A</v>
      </c>
      <c r="AB217" s="6457"/>
      <c r="AC217" s="6457"/>
      <c r="AD217" s="6457"/>
      <c r="AE217" s="6457"/>
      <c r="AF217" s="6457"/>
      <c r="AG217" s="6457"/>
      <c r="AH217" s="6457"/>
      <c r="AI217" s="6457"/>
      <c r="AJ217" s="6458"/>
      <c r="AK217" s="402"/>
      <c r="AL217" s="396"/>
    </row>
    <row r="218" spans="1:38" ht="12" customHeight="1" x14ac:dyDescent="0.2">
      <c r="A218" s="396"/>
      <c r="B218" s="804"/>
      <c r="C218" s="6459" t="e">
        <f>IF(C212=0,"",VLOOKUP(C212,'Tablas Magia'!$D$6:$Z$680,23,FALSE))</f>
        <v>#N/A</v>
      </c>
      <c r="D218" s="6460"/>
      <c r="E218" s="6460"/>
      <c r="F218" s="6460"/>
      <c r="G218" s="6460"/>
      <c r="H218" s="6460"/>
      <c r="I218" s="6460"/>
      <c r="J218" s="6460"/>
      <c r="K218" s="6460"/>
      <c r="L218" s="6460"/>
      <c r="M218" s="6460"/>
      <c r="N218" s="6460"/>
      <c r="O218" s="6460"/>
      <c r="P218" s="6460"/>
      <c r="Q218" s="6461"/>
      <c r="R218" s="402"/>
      <c r="S218" s="396"/>
      <c r="T218" s="396"/>
      <c r="U218" s="804"/>
      <c r="V218" s="6459" t="e">
        <f>IF(V212=0,"",VLOOKUP(V212,'Tablas Magia'!$D$6:$Z$680,23,FALSE))</f>
        <v>#N/A</v>
      </c>
      <c r="W218" s="6460"/>
      <c r="X218" s="6460"/>
      <c r="Y218" s="6460"/>
      <c r="Z218" s="6460"/>
      <c r="AA218" s="6460"/>
      <c r="AB218" s="6460"/>
      <c r="AC218" s="6460"/>
      <c r="AD218" s="6460"/>
      <c r="AE218" s="6460"/>
      <c r="AF218" s="6460"/>
      <c r="AG218" s="6460"/>
      <c r="AH218" s="6460"/>
      <c r="AI218" s="6460"/>
      <c r="AJ218" s="6461"/>
      <c r="AK218" s="402"/>
      <c r="AL218" s="396"/>
    </row>
    <row r="219" spans="1:38" ht="12" customHeight="1" x14ac:dyDescent="0.2">
      <c r="A219" s="396"/>
      <c r="B219" s="804"/>
      <c r="C219" s="6462"/>
      <c r="D219" s="6485"/>
      <c r="E219" s="6485"/>
      <c r="F219" s="6485"/>
      <c r="G219" s="6485"/>
      <c r="H219" s="6485"/>
      <c r="I219" s="6485"/>
      <c r="J219" s="6485"/>
      <c r="K219" s="6485"/>
      <c r="L219" s="6485"/>
      <c r="M219" s="6485"/>
      <c r="N219" s="6485"/>
      <c r="O219" s="6485"/>
      <c r="P219" s="6485"/>
      <c r="Q219" s="6464"/>
      <c r="R219" s="402"/>
      <c r="S219" s="396"/>
      <c r="T219" s="396"/>
      <c r="U219" s="804"/>
      <c r="V219" s="6462"/>
      <c r="W219" s="6463"/>
      <c r="X219" s="6463"/>
      <c r="Y219" s="6463"/>
      <c r="Z219" s="6463"/>
      <c r="AA219" s="6463"/>
      <c r="AB219" s="6463"/>
      <c r="AC219" s="6463"/>
      <c r="AD219" s="6463"/>
      <c r="AE219" s="6463"/>
      <c r="AF219" s="6463"/>
      <c r="AG219" s="6463"/>
      <c r="AH219" s="6463"/>
      <c r="AI219" s="6463"/>
      <c r="AJ219" s="6464"/>
      <c r="AK219" s="402"/>
      <c r="AL219" s="396"/>
    </row>
    <row r="220" spans="1:38" ht="12" customHeight="1" x14ac:dyDescent="0.2">
      <c r="A220" s="396"/>
      <c r="B220" s="804"/>
      <c r="C220" s="6462"/>
      <c r="D220" s="6485"/>
      <c r="E220" s="6485"/>
      <c r="F220" s="6485"/>
      <c r="G220" s="6485"/>
      <c r="H220" s="6485"/>
      <c r="I220" s="6485"/>
      <c r="J220" s="6485"/>
      <c r="K220" s="6485"/>
      <c r="L220" s="6485"/>
      <c r="M220" s="6485"/>
      <c r="N220" s="6485"/>
      <c r="O220" s="6485"/>
      <c r="P220" s="6485"/>
      <c r="Q220" s="6464"/>
      <c r="R220" s="402"/>
      <c r="S220" s="396"/>
      <c r="T220" s="396"/>
      <c r="U220" s="804"/>
      <c r="V220" s="6462"/>
      <c r="W220" s="6463"/>
      <c r="X220" s="6463"/>
      <c r="Y220" s="6463"/>
      <c r="Z220" s="6463"/>
      <c r="AA220" s="6463"/>
      <c r="AB220" s="6463"/>
      <c r="AC220" s="6463"/>
      <c r="AD220" s="6463"/>
      <c r="AE220" s="6463"/>
      <c r="AF220" s="6463"/>
      <c r="AG220" s="6463"/>
      <c r="AH220" s="6463"/>
      <c r="AI220" s="6463"/>
      <c r="AJ220" s="6464"/>
      <c r="AK220" s="402"/>
      <c r="AL220" s="396"/>
    </row>
    <row r="221" spans="1:38" ht="12" customHeight="1" thickBot="1" x14ac:dyDescent="0.25">
      <c r="A221" s="396"/>
      <c r="B221" s="804"/>
      <c r="C221" s="6465"/>
      <c r="D221" s="6466"/>
      <c r="E221" s="6466"/>
      <c r="F221" s="6466"/>
      <c r="G221" s="6466"/>
      <c r="H221" s="6466"/>
      <c r="I221" s="6466"/>
      <c r="J221" s="6466"/>
      <c r="K221" s="6466"/>
      <c r="L221" s="6466"/>
      <c r="M221" s="6466"/>
      <c r="N221" s="6466"/>
      <c r="O221" s="6466"/>
      <c r="P221" s="6466"/>
      <c r="Q221" s="6467"/>
      <c r="R221" s="402"/>
      <c r="S221" s="396"/>
      <c r="T221" s="396"/>
      <c r="U221" s="804"/>
      <c r="V221" s="6465"/>
      <c r="W221" s="6466"/>
      <c r="X221" s="6466"/>
      <c r="Y221" s="6466"/>
      <c r="Z221" s="6466"/>
      <c r="AA221" s="6466"/>
      <c r="AB221" s="6466"/>
      <c r="AC221" s="6466"/>
      <c r="AD221" s="6466"/>
      <c r="AE221" s="6466"/>
      <c r="AF221" s="6466"/>
      <c r="AG221" s="6466"/>
      <c r="AH221" s="6466"/>
      <c r="AI221" s="6466"/>
      <c r="AJ221" s="6467"/>
      <c r="AK221" s="402"/>
      <c r="AL221" s="396"/>
    </row>
    <row r="222" spans="1:38" ht="12" customHeight="1" thickBot="1" x14ac:dyDescent="0.25">
      <c r="A222" s="396"/>
      <c r="B222" s="804"/>
      <c r="C222" s="2507"/>
      <c r="D222" s="2507"/>
      <c r="E222" s="2507"/>
      <c r="F222" s="2507"/>
      <c r="G222" s="2507"/>
      <c r="H222" s="2508"/>
      <c r="I222" s="2509"/>
      <c r="J222" s="2510"/>
      <c r="K222" s="2510"/>
      <c r="L222" s="2510"/>
      <c r="M222" s="2511"/>
      <c r="N222" s="2511"/>
      <c r="O222" s="2511"/>
      <c r="P222" s="2511"/>
      <c r="Q222" s="2511"/>
      <c r="R222" s="402"/>
      <c r="S222" s="396"/>
      <c r="T222" s="396"/>
      <c r="U222" s="804"/>
      <c r="V222" s="419"/>
      <c r="W222" s="419"/>
      <c r="X222" s="420"/>
      <c r="Y222" s="420"/>
      <c r="Z222" s="420"/>
      <c r="AA222" s="419"/>
      <c r="AB222" s="354"/>
      <c r="AC222" s="354"/>
      <c r="AD222" s="419"/>
      <c r="AE222" s="419"/>
      <c r="AF222" s="354"/>
      <c r="AG222" s="354"/>
      <c r="AH222" s="421"/>
      <c r="AI222" s="421"/>
      <c r="AJ222" s="354"/>
      <c r="AK222" s="402"/>
      <c r="AL222" s="396"/>
    </row>
    <row r="223" spans="1:38" ht="12" customHeight="1" x14ac:dyDescent="0.2">
      <c r="A223" s="396"/>
      <c r="B223" s="804">
        <f>B212+2</f>
        <v>64</v>
      </c>
      <c r="C223" s="6501"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502"/>
      <c r="E223" s="6502"/>
      <c r="F223" s="6502"/>
      <c r="G223" s="6503"/>
      <c r="H223" s="406" t="s">
        <v>1325</v>
      </c>
      <c r="I223" s="407">
        <f>B223</f>
        <v>64</v>
      </c>
      <c r="J223" s="6486" t="s">
        <v>6236</v>
      </c>
      <c r="K223" s="6486"/>
      <c r="L223" s="6486"/>
      <c r="M223" s="6471" t="e">
        <f>IF(C223=0,"",VLOOKUP(C223,'Tablas Magia'!$D$6:$Z$680,2,FALSE))</f>
        <v>#N/A</v>
      </c>
      <c r="N223" s="6471"/>
      <c r="O223" s="1718"/>
      <c r="P223" s="6492" t="str">
        <f>IFERROR(IF(M223="Libre Acceso","Aprendido",IF(IFERROR(VLOOKUP(M223,Místicos!$C$15:$H$25,6,0)&gt;=I223,FALSE),"Aprendido",IF(IFERROR(VLOOKUP(M223,Místicos!$E$15:$H$25,4,0)&gt;=I223,FALSE),"Aprendido",""))),"")</f>
        <v/>
      </c>
      <c r="Q223" s="6493"/>
      <c r="R223" s="402"/>
      <c r="S223" s="396"/>
      <c r="T223" s="396"/>
      <c r="U223" s="804">
        <f>U212+2</f>
        <v>74</v>
      </c>
      <c r="V223" s="6501"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507"/>
      <c r="X223" s="6507"/>
      <c r="Y223" s="6507"/>
      <c r="Z223" s="6507"/>
      <c r="AA223" s="406" t="s">
        <v>1325</v>
      </c>
      <c r="AB223" s="407">
        <f>U223</f>
        <v>74</v>
      </c>
      <c r="AC223" s="6486" t="s">
        <v>6236</v>
      </c>
      <c r="AD223" s="6486"/>
      <c r="AE223" s="6486"/>
      <c r="AF223" s="6471" t="e">
        <f>IF(V223=0,"",VLOOKUP(V223,'Tablas Magia'!$D$6:$Z$680,2,FALSE))</f>
        <v>#N/A</v>
      </c>
      <c r="AG223" s="6471"/>
      <c r="AH223" s="1718"/>
      <c r="AI223" s="6492" t="str">
        <f>IFERROR(IF(AF223="Libre Acceso","Aprendido",IF(IFERROR(VLOOKUP(AF223,Místicos!$C$15:$H$25,6,0)&gt;=AB223,FALSE),"Aprendido",IF(IFERROR(VLOOKUP(AF223,Místicos!$E$15:$H$25,4,0)&gt;=AB223,FALSE),"Aprendido",""))),"")</f>
        <v/>
      </c>
      <c r="AJ223" s="6493"/>
      <c r="AK223" s="402"/>
      <c r="AL223" s="396"/>
    </row>
    <row r="224" spans="1:38" ht="12" customHeight="1" x14ac:dyDescent="0.2">
      <c r="A224" s="396"/>
      <c r="B224" s="804"/>
      <c r="C224" s="6473" t="s">
        <v>6237</v>
      </c>
      <c r="D224" s="6487"/>
      <c r="E224" s="2502" t="s">
        <v>6238</v>
      </c>
      <c r="F224" s="2502" t="s">
        <v>1509</v>
      </c>
      <c r="G224" s="2502" t="s">
        <v>2828</v>
      </c>
      <c r="H224" s="2503" t="s">
        <v>1836</v>
      </c>
      <c r="I224" s="6495" t="e">
        <f>IF(C223=0,"",VLOOKUP(C223,'Tablas Magia'!$D$6:$Z$680,5,FALSE))</f>
        <v>#N/A</v>
      </c>
      <c r="J224" s="6495"/>
      <c r="K224" s="6498" t="s">
        <v>6239</v>
      </c>
      <c r="L224" s="6498"/>
      <c r="M224" s="6495" t="e">
        <f>IF(C223=0,"",VLOOKUP(C223,'Tablas Magia'!$D$6:$Z$680,6,FALSE))</f>
        <v>#N/A</v>
      </c>
      <c r="N224" s="6495"/>
      <c r="O224" s="6496" t="s">
        <v>6240</v>
      </c>
      <c r="P224" s="6496"/>
      <c r="Q224" s="2504" t="e">
        <f>IF(C223=0,"",VLOOKUP(C223,'Tablas Magia'!$D$6:$Z$680,4,FALSE))</f>
        <v>#N/A</v>
      </c>
      <c r="R224" s="402"/>
      <c r="S224" s="396"/>
      <c r="T224" s="396"/>
      <c r="U224" s="804"/>
      <c r="V224" s="6473" t="s">
        <v>6237</v>
      </c>
      <c r="W224" s="6504"/>
      <c r="X224" s="1727" t="s">
        <v>6238</v>
      </c>
      <c r="Y224" s="1727" t="s">
        <v>1509</v>
      </c>
      <c r="Z224" s="1727" t="s">
        <v>2828</v>
      </c>
      <c r="AA224" s="1728" t="s">
        <v>1836</v>
      </c>
      <c r="AB224" s="6491" t="e">
        <f>IF(V223=0,"",VLOOKUP(V223,'Tablas Magia'!$D$6:$Z$680,5,FALSE))</f>
        <v>#N/A</v>
      </c>
      <c r="AC224" s="6491"/>
      <c r="AD224" s="6505" t="s">
        <v>6239</v>
      </c>
      <c r="AE224" s="6505"/>
      <c r="AF224" s="6491" t="e">
        <f>IF(V223=0,"",VLOOKUP(V223,'Tablas Magia'!$D$6:$Z$680,6,FALSE))</f>
        <v>#N/A</v>
      </c>
      <c r="AG224" s="6491"/>
      <c r="AH224" s="6506" t="s">
        <v>6240</v>
      </c>
      <c r="AI224" s="6506"/>
      <c r="AJ224" s="1729" t="e">
        <f>IF(V223=0,"",VLOOKUP(V223,'Tablas Magia'!$D$6:$Z$680,4,FALSE))</f>
        <v>#N/A</v>
      </c>
      <c r="AK224" s="402"/>
      <c r="AL224" s="396"/>
    </row>
    <row r="225" spans="1:38" ht="12" customHeight="1" x14ac:dyDescent="0.2">
      <c r="A225" s="396"/>
      <c r="B225" s="804"/>
      <c r="C225" s="6499" t="s">
        <v>1365</v>
      </c>
      <c r="D225" s="6500"/>
      <c r="E225" s="2505" t="e">
        <f>IF(C223=0,"",VLOOKUP(C223,'Tablas Magia'!$D$6:$Z$680,7,FALSE))</f>
        <v>#N/A</v>
      </c>
      <c r="F225" s="2505" t="e">
        <f>IF(C223=0,"",VLOOKUP(C223,'Tablas Magia'!$D$6:$Z$680,11,FALSE))</f>
        <v>#N/A</v>
      </c>
      <c r="G225" s="412" t="e">
        <f>IF(C223=0,"",VLOOKUP(C223,'Tablas Magia'!$D$6:$Z$680,15,FALSE))</f>
        <v>#N/A</v>
      </c>
      <c r="H225" s="6481" t="e">
        <f>IF(C223=0,"",VLOOKUP(C223,'Tablas Magia'!$D$6:$Z$680,19,FALSE))</f>
        <v>#N/A</v>
      </c>
      <c r="I225" s="6482"/>
      <c r="J225" s="6482"/>
      <c r="K225" s="6482"/>
      <c r="L225" s="6482"/>
      <c r="M225" s="6482"/>
      <c r="N225" s="6482"/>
      <c r="O225" s="6482"/>
      <c r="P225" s="6482"/>
      <c r="Q225" s="6483"/>
      <c r="R225" s="402"/>
      <c r="S225" s="396"/>
      <c r="T225" s="396"/>
      <c r="U225" s="804"/>
      <c r="V225" s="6449" t="s">
        <v>1365</v>
      </c>
      <c r="W225" s="6450"/>
      <c r="X225" s="411" t="e">
        <f>IF(V223=0,"",VLOOKUP(V223,'Tablas Magia'!$D$6:$Z$680,7,FALSE))</f>
        <v>#N/A</v>
      </c>
      <c r="Y225" s="411" t="e">
        <f>IF(V223=0,"",VLOOKUP(V223,'Tablas Magia'!$D$6:$Z$680,11,FALSE))</f>
        <v>#N/A</v>
      </c>
      <c r="Z225" s="412" t="e">
        <f>IF(V223=0,"",VLOOKUP(V223,'Tablas Magia'!$D$6:$Z$680,15,FALSE))</f>
        <v>#N/A</v>
      </c>
      <c r="AA225" s="6451" t="e">
        <f>IF(V223=0,"",VLOOKUP(V223,'Tablas Magia'!$D$6:$Z$680,19,FALSE))</f>
        <v>#N/A</v>
      </c>
      <c r="AB225" s="6452"/>
      <c r="AC225" s="6452"/>
      <c r="AD225" s="6452"/>
      <c r="AE225" s="6452"/>
      <c r="AF225" s="6452"/>
      <c r="AG225" s="6452"/>
      <c r="AH225" s="6452"/>
      <c r="AI225" s="6452"/>
      <c r="AJ225" s="6453"/>
      <c r="AK225" s="402"/>
      <c r="AL225" s="396"/>
    </row>
    <row r="226" spans="1:38" ht="12" customHeight="1" x14ac:dyDescent="0.2">
      <c r="A226" s="396"/>
      <c r="B226" s="804"/>
      <c r="C226" s="6444" t="s">
        <v>3197</v>
      </c>
      <c r="D226" s="6445"/>
      <c r="E226" s="2506" t="e">
        <f>IF(C223=0,"",VLOOKUP(C223,'Tablas Magia'!$D$6:$Z$680,8,FALSE))</f>
        <v>#N/A</v>
      </c>
      <c r="F226" s="2506" t="e">
        <f>IF(C223=0,"",VLOOKUP(C223,'Tablas Magia'!$D$6:$Z$680,12,FALSE))</f>
        <v>#N/A</v>
      </c>
      <c r="G226" s="414" t="e">
        <f>IF(C223=0,"",VLOOKUP(C223,'Tablas Magia'!$D$6:$Z$680,16,FALSE))</f>
        <v>#N/A</v>
      </c>
      <c r="H226" s="6446" t="e">
        <f>IF(C223=0,"",VLOOKUP(C223,'Tablas Magia'!$D$6:$Z$680,20,FALSE))</f>
        <v>#N/A</v>
      </c>
      <c r="I226" s="6484"/>
      <c r="J226" s="6484"/>
      <c r="K226" s="6484"/>
      <c r="L226" s="6484"/>
      <c r="M226" s="6484"/>
      <c r="N226" s="6484"/>
      <c r="O226" s="6484"/>
      <c r="P226" s="6484"/>
      <c r="Q226" s="6448"/>
      <c r="R226" s="402"/>
      <c r="S226" s="396"/>
      <c r="T226" s="396"/>
      <c r="U226" s="804"/>
      <c r="V226" s="6444" t="s">
        <v>3197</v>
      </c>
      <c r="W226" s="6445"/>
      <c r="X226" s="413" t="e">
        <f>IF(V223=0,"",VLOOKUP(V223,'Tablas Magia'!$D$6:$Z$680,8,FALSE))</f>
        <v>#N/A</v>
      </c>
      <c r="Y226" s="413" t="e">
        <f>IF(V223=0,"",VLOOKUP(V223,'Tablas Magia'!$D$6:$Z$680,12,FALSE))</f>
        <v>#N/A</v>
      </c>
      <c r="Z226" s="414" t="e">
        <f>IF(V223=0,"",VLOOKUP(V223,'Tablas Magia'!$D$6:$Z$680,16,FALSE))</f>
        <v>#N/A</v>
      </c>
      <c r="AA226" s="6446" t="e">
        <f>IF(V223=0,"",VLOOKUP(V223,'Tablas Magia'!$D$6:$Z$680,20,FALSE))</f>
        <v>#N/A</v>
      </c>
      <c r="AB226" s="6447"/>
      <c r="AC226" s="6447"/>
      <c r="AD226" s="6447"/>
      <c r="AE226" s="6447"/>
      <c r="AF226" s="6447"/>
      <c r="AG226" s="6447"/>
      <c r="AH226" s="6447"/>
      <c r="AI226" s="6447"/>
      <c r="AJ226" s="6448"/>
      <c r="AK226" s="402"/>
      <c r="AL226" s="396"/>
    </row>
    <row r="227" spans="1:38" ht="12" customHeight="1" x14ac:dyDescent="0.2">
      <c r="A227" s="396"/>
      <c r="B227" s="804"/>
      <c r="C227" s="6449" t="s">
        <v>3198</v>
      </c>
      <c r="D227" s="6450"/>
      <c r="E227" s="2505" t="e">
        <f>IF(C223=0,"",VLOOKUP(C223,'Tablas Magia'!$D$6:$Z$680,9,FALSE))</f>
        <v>#N/A</v>
      </c>
      <c r="F227" s="2505" t="e">
        <f>IF(C223=0,"",VLOOKUP(C223,'Tablas Magia'!$D$6:$Z$680,13,FALSE))</f>
        <v>#N/A</v>
      </c>
      <c r="G227" s="412" t="e">
        <f>IF(C223=0,"",VLOOKUP(C223,'Tablas Magia'!$D$6:$Z$680,17,FALSE))</f>
        <v>#N/A</v>
      </c>
      <c r="H227" s="6451" t="e">
        <f>IF(C223=0,"",VLOOKUP(C223,'Tablas Magia'!$D$6:$Z$680,21,FALSE))</f>
        <v>#N/A</v>
      </c>
      <c r="I227" s="6494"/>
      <c r="J227" s="6494"/>
      <c r="K227" s="6494"/>
      <c r="L227" s="6494"/>
      <c r="M227" s="6494"/>
      <c r="N227" s="6494"/>
      <c r="O227" s="6494"/>
      <c r="P227" s="6494"/>
      <c r="Q227" s="6453"/>
      <c r="R227" s="402"/>
      <c r="S227" s="396"/>
      <c r="T227" s="396"/>
      <c r="U227" s="804"/>
      <c r="V227" s="6449" t="s">
        <v>3198</v>
      </c>
      <c r="W227" s="6450"/>
      <c r="X227" s="411" t="e">
        <f>IF(V223=0,"",VLOOKUP(V223,'Tablas Magia'!$D$6:$Z$680,9,FALSE))</f>
        <v>#N/A</v>
      </c>
      <c r="Y227" s="411" t="e">
        <f>IF(V223=0,"",VLOOKUP(V223,'Tablas Magia'!$D$6:$Z$680,13,FALSE))</f>
        <v>#N/A</v>
      </c>
      <c r="Z227" s="412" t="e">
        <f>IF(V223=0,"",VLOOKUP(V223,'Tablas Magia'!$D$6:$Z$680,17,FALSE))</f>
        <v>#N/A</v>
      </c>
      <c r="AA227" s="6451" t="e">
        <f>IF(V223=0,"",VLOOKUP(V223,'Tablas Magia'!$D$6:$Z$680,21,FALSE))</f>
        <v>#N/A</v>
      </c>
      <c r="AB227" s="6452"/>
      <c r="AC227" s="6452"/>
      <c r="AD227" s="6452"/>
      <c r="AE227" s="6452"/>
      <c r="AF227" s="6452"/>
      <c r="AG227" s="6452"/>
      <c r="AH227" s="6452"/>
      <c r="AI227" s="6452"/>
      <c r="AJ227" s="6453"/>
      <c r="AK227" s="402"/>
      <c r="AL227" s="396"/>
    </row>
    <row r="228" spans="1:38" ht="12" customHeight="1" thickBot="1" x14ac:dyDescent="0.25">
      <c r="A228" s="396"/>
      <c r="B228" s="804"/>
      <c r="C228" s="6454" t="s">
        <v>3199</v>
      </c>
      <c r="D228" s="6455"/>
      <c r="E228" s="415" t="e">
        <f>IF(C223=0,"",VLOOKUP(C223,'Tablas Magia'!$D$6:$Z$680,10,FALSE))</f>
        <v>#N/A</v>
      </c>
      <c r="F228" s="415" t="e">
        <f>IF(C223=0,"",VLOOKUP(C223,'Tablas Magia'!$D$6:$Z$680,14,FALSE))</f>
        <v>#N/A</v>
      </c>
      <c r="G228" s="416" t="e">
        <f>IF(C223=0,"",VLOOKUP(C223,'Tablas Magia'!$D$6:$Z$680,18,FALSE))</f>
        <v>#N/A</v>
      </c>
      <c r="H228" s="6456" t="e">
        <f>IF(C223=0,"",VLOOKUP(C223,'Tablas Magia'!$D$6:$Z$680,22,FALSE))</f>
        <v>#N/A</v>
      </c>
      <c r="I228" s="6457"/>
      <c r="J228" s="6457"/>
      <c r="K228" s="6457"/>
      <c r="L228" s="6457"/>
      <c r="M228" s="6457"/>
      <c r="N228" s="6457"/>
      <c r="O228" s="6457"/>
      <c r="P228" s="6457"/>
      <c r="Q228" s="6458"/>
      <c r="R228" s="402"/>
      <c r="S228" s="396"/>
      <c r="T228" s="396"/>
      <c r="U228" s="804"/>
      <c r="V228" s="6454" t="s">
        <v>3199</v>
      </c>
      <c r="W228" s="6455"/>
      <c r="X228" s="415" t="e">
        <f>IF(V223=0,"",VLOOKUP(V223,'Tablas Magia'!$D$6:$Z$680,10,FALSE))</f>
        <v>#N/A</v>
      </c>
      <c r="Y228" s="415" t="e">
        <f>IF(V223=0,"",VLOOKUP(V223,'Tablas Magia'!$D$6:$Z$680,14,FALSE))</f>
        <v>#N/A</v>
      </c>
      <c r="Z228" s="416" t="e">
        <f>IF(V223=0,"",VLOOKUP(V223,'Tablas Magia'!$D$6:$Z$680,18,FALSE))</f>
        <v>#N/A</v>
      </c>
      <c r="AA228" s="6456" t="e">
        <f>IF(V223=0,"",VLOOKUP(V223,'Tablas Magia'!$D$6:$Z$680,22,FALSE))</f>
        <v>#N/A</v>
      </c>
      <c r="AB228" s="6457"/>
      <c r="AC228" s="6457"/>
      <c r="AD228" s="6457"/>
      <c r="AE228" s="6457"/>
      <c r="AF228" s="6457"/>
      <c r="AG228" s="6457"/>
      <c r="AH228" s="6457"/>
      <c r="AI228" s="6457"/>
      <c r="AJ228" s="6458"/>
      <c r="AK228" s="402"/>
      <c r="AL228" s="396"/>
    </row>
    <row r="229" spans="1:38" ht="12" customHeight="1" x14ac:dyDescent="0.2">
      <c r="A229" s="396"/>
      <c r="B229" s="804"/>
      <c r="C229" s="6459" t="e">
        <f>IF(C223=0,"",VLOOKUP(C223,'Tablas Magia'!$D$6:$Z$680,23,FALSE))</f>
        <v>#N/A</v>
      </c>
      <c r="D229" s="6460"/>
      <c r="E229" s="6460"/>
      <c r="F229" s="6460"/>
      <c r="G229" s="6460"/>
      <c r="H229" s="6460"/>
      <c r="I229" s="6460"/>
      <c r="J229" s="6460"/>
      <c r="K229" s="6460"/>
      <c r="L229" s="6460"/>
      <c r="M229" s="6460"/>
      <c r="N229" s="6460"/>
      <c r="O229" s="6460"/>
      <c r="P229" s="6460"/>
      <c r="Q229" s="6461"/>
      <c r="R229" s="402"/>
      <c r="S229" s="396"/>
      <c r="T229" s="396"/>
      <c r="U229" s="804"/>
      <c r="V229" s="6459" t="e">
        <f>IF(V223=0,"",VLOOKUP(V223,'Tablas Magia'!$D$6:$Z$680,23,FALSE))</f>
        <v>#N/A</v>
      </c>
      <c r="W229" s="6460"/>
      <c r="X229" s="6460"/>
      <c r="Y229" s="6460"/>
      <c r="Z229" s="6460"/>
      <c r="AA229" s="6460"/>
      <c r="AB229" s="6460"/>
      <c r="AC229" s="6460"/>
      <c r="AD229" s="6460"/>
      <c r="AE229" s="6460"/>
      <c r="AF229" s="6460"/>
      <c r="AG229" s="6460"/>
      <c r="AH229" s="6460"/>
      <c r="AI229" s="6460"/>
      <c r="AJ229" s="6461"/>
      <c r="AK229" s="402"/>
      <c r="AL229" s="396"/>
    </row>
    <row r="230" spans="1:38" ht="12" customHeight="1" x14ac:dyDescent="0.2">
      <c r="A230" s="396"/>
      <c r="B230" s="804"/>
      <c r="C230" s="6462"/>
      <c r="D230" s="6485"/>
      <c r="E230" s="6485"/>
      <c r="F230" s="6485"/>
      <c r="G230" s="6485"/>
      <c r="H230" s="6485"/>
      <c r="I230" s="6485"/>
      <c r="J230" s="6485"/>
      <c r="K230" s="6485"/>
      <c r="L230" s="6485"/>
      <c r="M230" s="6485"/>
      <c r="N230" s="6485"/>
      <c r="O230" s="6485"/>
      <c r="P230" s="6485"/>
      <c r="Q230" s="6464"/>
      <c r="R230" s="402"/>
      <c r="S230" s="396"/>
      <c r="T230" s="396"/>
      <c r="U230" s="804"/>
      <c r="V230" s="6462"/>
      <c r="W230" s="6463"/>
      <c r="X230" s="6463"/>
      <c r="Y230" s="6463"/>
      <c r="Z230" s="6463"/>
      <c r="AA230" s="6463"/>
      <c r="AB230" s="6463"/>
      <c r="AC230" s="6463"/>
      <c r="AD230" s="6463"/>
      <c r="AE230" s="6463"/>
      <c r="AF230" s="6463"/>
      <c r="AG230" s="6463"/>
      <c r="AH230" s="6463"/>
      <c r="AI230" s="6463"/>
      <c r="AJ230" s="6464"/>
      <c r="AK230" s="402"/>
      <c r="AL230" s="396"/>
    </row>
    <row r="231" spans="1:38" ht="12" customHeight="1" x14ac:dyDescent="0.2">
      <c r="A231" s="396"/>
      <c r="B231" s="804"/>
      <c r="C231" s="6462"/>
      <c r="D231" s="6485"/>
      <c r="E231" s="6485"/>
      <c r="F231" s="6485"/>
      <c r="G231" s="6485"/>
      <c r="H231" s="6485"/>
      <c r="I231" s="6485"/>
      <c r="J231" s="6485"/>
      <c r="K231" s="6485"/>
      <c r="L231" s="6485"/>
      <c r="M231" s="6485"/>
      <c r="N231" s="6485"/>
      <c r="O231" s="6485"/>
      <c r="P231" s="6485"/>
      <c r="Q231" s="6464"/>
      <c r="R231" s="402"/>
      <c r="S231" s="396"/>
      <c r="T231" s="396"/>
      <c r="U231" s="804"/>
      <c r="V231" s="6462"/>
      <c r="W231" s="6463"/>
      <c r="X231" s="6463"/>
      <c r="Y231" s="6463"/>
      <c r="Z231" s="6463"/>
      <c r="AA231" s="6463"/>
      <c r="AB231" s="6463"/>
      <c r="AC231" s="6463"/>
      <c r="AD231" s="6463"/>
      <c r="AE231" s="6463"/>
      <c r="AF231" s="6463"/>
      <c r="AG231" s="6463"/>
      <c r="AH231" s="6463"/>
      <c r="AI231" s="6463"/>
      <c r="AJ231" s="6464"/>
      <c r="AK231" s="402"/>
      <c r="AL231" s="396"/>
    </row>
    <row r="232" spans="1:38" ht="12" customHeight="1" thickBot="1" x14ac:dyDescent="0.25">
      <c r="A232" s="396"/>
      <c r="B232" s="804"/>
      <c r="C232" s="6465"/>
      <c r="D232" s="6466"/>
      <c r="E232" s="6466"/>
      <c r="F232" s="6466"/>
      <c r="G232" s="6466"/>
      <c r="H232" s="6466"/>
      <c r="I232" s="6466"/>
      <c r="J232" s="6466"/>
      <c r="K232" s="6466"/>
      <c r="L232" s="6466"/>
      <c r="M232" s="6466"/>
      <c r="N232" s="6466"/>
      <c r="O232" s="6466"/>
      <c r="P232" s="6466"/>
      <c r="Q232" s="6467"/>
      <c r="R232" s="402"/>
      <c r="S232" s="396"/>
      <c r="T232" s="396"/>
      <c r="U232" s="804"/>
      <c r="V232" s="6465"/>
      <c r="W232" s="6466"/>
      <c r="X232" s="6466"/>
      <c r="Y232" s="6466"/>
      <c r="Z232" s="6466"/>
      <c r="AA232" s="6466"/>
      <c r="AB232" s="6466"/>
      <c r="AC232" s="6466"/>
      <c r="AD232" s="6466"/>
      <c r="AE232" s="6466"/>
      <c r="AF232" s="6466"/>
      <c r="AG232" s="6466"/>
      <c r="AH232" s="6466"/>
      <c r="AI232" s="6466"/>
      <c r="AJ232" s="6467"/>
      <c r="AK232" s="402"/>
      <c r="AL232" s="396"/>
    </row>
    <row r="233" spans="1:38" ht="12" customHeight="1" thickBot="1" x14ac:dyDescent="0.25">
      <c r="A233" s="396"/>
      <c r="B233" s="804"/>
      <c r="C233" s="2510"/>
      <c r="D233" s="2510"/>
      <c r="E233" s="2512"/>
      <c r="F233" s="2512"/>
      <c r="G233" s="2512"/>
      <c r="H233" s="2510"/>
      <c r="I233" s="2511"/>
      <c r="J233" s="2511"/>
      <c r="K233" s="2510"/>
      <c r="L233" s="2510"/>
      <c r="M233" s="2511"/>
      <c r="N233" s="2511"/>
      <c r="O233" s="2513"/>
      <c r="P233" s="2513"/>
      <c r="Q233" s="2511"/>
      <c r="R233" s="402"/>
      <c r="S233" s="396"/>
      <c r="T233" s="396"/>
      <c r="U233" s="804"/>
      <c r="V233" s="422"/>
      <c r="W233" s="422"/>
      <c r="X233" s="423"/>
      <c r="Y233" s="423"/>
      <c r="Z233" s="423"/>
      <c r="AA233" s="423"/>
      <c r="AB233" s="423"/>
      <c r="AC233" s="423"/>
      <c r="AD233" s="423"/>
      <c r="AE233" s="423"/>
      <c r="AF233" s="423"/>
      <c r="AG233" s="423"/>
      <c r="AH233" s="423"/>
      <c r="AI233" s="423"/>
      <c r="AJ233" s="423"/>
      <c r="AK233" s="402"/>
      <c r="AL233" s="396"/>
    </row>
    <row r="234" spans="1:38" ht="12" customHeight="1" x14ac:dyDescent="0.2">
      <c r="A234" s="396"/>
      <c r="B234" s="804">
        <f>B223+2</f>
        <v>66</v>
      </c>
      <c r="C234" s="6501"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502"/>
      <c r="E234" s="6502"/>
      <c r="F234" s="6502"/>
      <c r="G234" s="6503"/>
      <c r="H234" s="406" t="s">
        <v>1325</v>
      </c>
      <c r="I234" s="407">
        <f>B234</f>
        <v>66</v>
      </c>
      <c r="J234" s="6486" t="s">
        <v>6236</v>
      </c>
      <c r="K234" s="6486"/>
      <c r="L234" s="6486"/>
      <c r="M234" s="6471" t="e">
        <f>IF(C234=0,"",VLOOKUP(C234,'Tablas Magia'!$D$6:$Z$680,2,FALSE))</f>
        <v>#N/A</v>
      </c>
      <c r="N234" s="6471"/>
      <c r="O234" s="1718"/>
      <c r="P234" s="6492" t="str">
        <f>IFERROR(IF(M234="Libre Acceso","Aprendido",IF(IFERROR(VLOOKUP(M234,Místicos!$C$15:$H$25,6,0)&gt;=I234,FALSE),"Aprendido",IF(IFERROR(VLOOKUP(M234,Místicos!$E$15:$H$25,4,0)&gt;=I234,FALSE),"Aprendido",""))),"")</f>
        <v/>
      </c>
      <c r="Q234" s="6493"/>
      <c r="R234" s="402"/>
      <c r="S234" s="396"/>
      <c r="T234" s="396"/>
      <c r="U234" s="804">
        <f>U223+2</f>
        <v>76</v>
      </c>
      <c r="V234" s="6501"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507"/>
      <c r="X234" s="6507"/>
      <c r="Y234" s="6507"/>
      <c r="Z234" s="6507"/>
      <c r="AA234" s="406" t="s">
        <v>1325</v>
      </c>
      <c r="AB234" s="407">
        <f>U234</f>
        <v>76</v>
      </c>
      <c r="AC234" s="6486" t="s">
        <v>6236</v>
      </c>
      <c r="AD234" s="6486"/>
      <c r="AE234" s="6486"/>
      <c r="AF234" s="6471" t="e">
        <f>IF(V234=0,"",VLOOKUP(V234,'Tablas Magia'!$D$6:$Z$680,2,FALSE))</f>
        <v>#N/A</v>
      </c>
      <c r="AG234" s="6471"/>
      <c r="AH234" s="1718"/>
      <c r="AI234" s="6492" t="str">
        <f>IFERROR(IF(AF234="Libre Acceso","Aprendido",IF(IFERROR(VLOOKUP(AF234,Místicos!$C$15:$H$25,6,0)&gt;=AB234,FALSE),"Aprendido",IF(IFERROR(VLOOKUP(AF234,Místicos!$E$15:$H$25,4,0)&gt;=AB234,FALSE),"Aprendido",""))),"")</f>
        <v/>
      </c>
      <c r="AJ234" s="6493"/>
      <c r="AK234" s="402"/>
      <c r="AL234" s="396"/>
    </row>
    <row r="235" spans="1:38" ht="12" customHeight="1" x14ac:dyDescent="0.2">
      <c r="A235" s="396"/>
      <c r="B235" s="804"/>
      <c r="C235" s="6473" t="s">
        <v>6237</v>
      </c>
      <c r="D235" s="6487"/>
      <c r="E235" s="2502" t="s">
        <v>6238</v>
      </c>
      <c r="F235" s="2502" t="s">
        <v>1509</v>
      </c>
      <c r="G235" s="2502" t="s">
        <v>2828</v>
      </c>
      <c r="H235" s="2503" t="s">
        <v>1836</v>
      </c>
      <c r="I235" s="6495" t="e">
        <f>IF(C234=0,"",VLOOKUP(C234,'Tablas Magia'!$D$6:$Z$680,5,FALSE))</f>
        <v>#N/A</v>
      </c>
      <c r="J235" s="6495"/>
      <c r="K235" s="6498" t="s">
        <v>6239</v>
      </c>
      <c r="L235" s="6498"/>
      <c r="M235" s="6495" t="e">
        <f>IF(C234=0,"",VLOOKUP(C234,'Tablas Magia'!$D$6:$Z$680,6,FALSE))</f>
        <v>#N/A</v>
      </c>
      <c r="N235" s="6495"/>
      <c r="O235" s="6496" t="s">
        <v>6240</v>
      </c>
      <c r="P235" s="6496"/>
      <c r="Q235" s="2504" t="e">
        <f>IF(C234=0,"",VLOOKUP(C234,'Tablas Magia'!$D$6:$Z$680,4,FALSE))</f>
        <v>#N/A</v>
      </c>
      <c r="R235" s="402"/>
      <c r="S235" s="396"/>
      <c r="T235" s="396"/>
      <c r="U235" s="804"/>
      <c r="V235" s="6473" t="s">
        <v>6237</v>
      </c>
      <c r="W235" s="6504"/>
      <c r="X235" s="1727" t="s">
        <v>6238</v>
      </c>
      <c r="Y235" s="1727" t="s">
        <v>1509</v>
      </c>
      <c r="Z235" s="1727" t="s">
        <v>2828</v>
      </c>
      <c r="AA235" s="1728" t="s">
        <v>1836</v>
      </c>
      <c r="AB235" s="6491" t="e">
        <f>IF(V234=0,"",VLOOKUP(V234,'Tablas Magia'!$D$6:$Z$680,5,FALSE))</f>
        <v>#N/A</v>
      </c>
      <c r="AC235" s="6491"/>
      <c r="AD235" s="6505" t="s">
        <v>6239</v>
      </c>
      <c r="AE235" s="6505"/>
      <c r="AF235" s="6491" t="e">
        <f>IF(V234=0,"",VLOOKUP(V234,'Tablas Magia'!$D$6:$Z$680,6,FALSE))</f>
        <v>#N/A</v>
      </c>
      <c r="AG235" s="6491"/>
      <c r="AH235" s="6506" t="s">
        <v>6240</v>
      </c>
      <c r="AI235" s="6506"/>
      <c r="AJ235" s="1729" t="e">
        <f>IF(V234=0,"",VLOOKUP(V234,'Tablas Magia'!$D$6:$Z$680,4,FALSE))</f>
        <v>#N/A</v>
      </c>
      <c r="AK235" s="402"/>
      <c r="AL235" s="396"/>
    </row>
    <row r="236" spans="1:38" ht="12" customHeight="1" x14ac:dyDescent="0.2">
      <c r="A236" s="396"/>
      <c r="B236" s="804"/>
      <c r="C236" s="6499" t="s">
        <v>1365</v>
      </c>
      <c r="D236" s="6500"/>
      <c r="E236" s="2505" t="e">
        <f>IF(C234=0,"",VLOOKUP(C234,'Tablas Magia'!$D$6:$Z$680,7,FALSE))</f>
        <v>#N/A</v>
      </c>
      <c r="F236" s="2505" t="e">
        <f>IF(C234=0,"",VLOOKUP(C234,'Tablas Magia'!$D$6:$Z$680,11,FALSE))</f>
        <v>#N/A</v>
      </c>
      <c r="G236" s="412" t="e">
        <f>IF(C234=0,"",VLOOKUP(C234,'Tablas Magia'!$D$6:$Z$680,15,FALSE))</f>
        <v>#N/A</v>
      </c>
      <c r="H236" s="6481" t="e">
        <f>IF(C234=0,"",VLOOKUP(C234,'Tablas Magia'!$D$6:$Z$680,19,FALSE))</f>
        <v>#N/A</v>
      </c>
      <c r="I236" s="6482"/>
      <c r="J236" s="6482"/>
      <c r="K236" s="6482"/>
      <c r="L236" s="6482"/>
      <c r="M236" s="6482"/>
      <c r="N236" s="6482"/>
      <c r="O236" s="6482"/>
      <c r="P236" s="6482"/>
      <c r="Q236" s="6483"/>
      <c r="R236" s="402"/>
      <c r="S236" s="396"/>
      <c r="T236" s="396"/>
      <c r="U236" s="804"/>
      <c r="V236" s="6449" t="s">
        <v>1365</v>
      </c>
      <c r="W236" s="6450"/>
      <c r="X236" s="411" t="e">
        <f>IF(V234=0,"",VLOOKUP(V234,'Tablas Magia'!$D$6:$Z$680,7,FALSE))</f>
        <v>#N/A</v>
      </c>
      <c r="Y236" s="411" t="e">
        <f>IF(V234=0,"",VLOOKUP(V234,'Tablas Magia'!$D$6:$Z$680,11,FALSE))</f>
        <v>#N/A</v>
      </c>
      <c r="Z236" s="412" t="e">
        <f>IF(V234=0,"",VLOOKUP(V234,'Tablas Magia'!$D$6:$Z$680,15,FALSE))</f>
        <v>#N/A</v>
      </c>
      <c r="AA236" s="6451" t="e">
        <f>IF(V234=0,"",VLOOKUP(V234,'Tablas Magia'!$D$6:$Z$680,19,FALSE))</f>
        <v>#N/A</v>
      </c>
      <c r="AB236" s="6452"/>
      <c r="AC236" s="6452"/>
      <c r="AD236" s="6452"/>
      <c r="AE236" s="6452"/>
      <c r="AF236" s="6452"/>
      <c r="AG236" s="6452"/>
      <c r="AH236" s="6452"/>
      <c r="AI236" s="6452"/>
      <c r="AJ236" s="6453"/>
      <c r="AK236" s="402"/>
      <c r="AL236" s="396"/>
    </row>
    <row r="237" spans="1:38" ht="12" customHeight="1" x14ac:dyDescent="0.2">
      <c r="A237" s="396"/>
      <c r="B237" s="804"/>
      <c r="C237" s="6444" t="s">
        <v>3197</v>
      </c>
      <c r="D237" s="6445"/>
      <c r="E237" s="2506" t="e">
        <f>IF(C234=0,"",VLOOKUP(C234,'Tablas Magia'!$D$6:$Z$680,8,FALSE))</f>
        <v>#N/A</v>
      </c>
      <c r="F237" s="2506" t="e">
        <f>IF(C234=0,"",VLOOKUP(C234,'Tablas Magia'!$D$6:$Z$680,12,FALSE))</f>
        <v>#N/A</v>
      </c>
      <c r="G237" s="414" t="e">
        <f>IF(C234=0,"",VLOOKUP(C234,'Tablas Magia'!$D$6:$Z$680,16,FALSE))</f>
        <v>#N/A</v>
      </c>
      <c r="H237" s="6446" t="e">
        <f>IF(C234=0,"",VLOOKUP(C234,'Tablas Magia'!$D$6:$Z$680,20,FALSE))</f>
        <v>#N/A</v>
      </c>
      <c r="I237" s="6484"/>
      <c r="J237" s="6484"/>
      <c r="K237" s="6484"/>
      <c r="L237" s="6484"/>
      <c r="M237" s="6484"/>
      <c r="N237" s="6484"/>
      <c r="O237" s="6484"/>
      <c r="P237" s="6484"/>
      <c r="Q237" s="6448"/>
      <c r="R237" s="402"/>
      <c r="S237" s="396"/>
      <c r="T237" s="396"/>
      <c r="U237" s="804"/>
      <c r="V237" s="6444" t="s">
        <v>3197</v>
      </c>
      <c r="W237" s="6445"/>
      <c r="X237" s="413" t="e">
        <f>IF(V234=0,"",VLOOKUP(V234,'Tablas Magia'!$D$6:$Z$680,8,FALSE))</f>
        <v>#N/A</v>
      </c>
      <c r="Y237" s="413" t="e">
        <f>IF(V234=0,"",VLOOKUP(V234,'Tablas Magia'!$D$6:$Z$680,12,FALSE))</f>
        <v>#N/A</v>
      </c>
      <c r="Z237" s="414" t="e">
        <f>IF(V234=0,"",VLOOKUP(V234,'Tablas Magia'!$D$6:$Z$680,16,FALSE))</f>
        <v>#N/A</v>
      </c>
      <c r="AA237" s="6446" t="e">
        <f>IF(V234=0,"",VLOOKUP(V234,'Tablas Magia'!$D$6:$Z$680,20,FALSE))</f>
        <v>#N/A</v>
      </c>
      <c r="AB237" s="6447"/>
      <c r="AC237" s="6447"/>
      <c r="AD237" s="6447"/>
      <c r="AE237" s="6447"/>
      <c r="AF237" s="6447"/>
      <c r="AG237" s="6447"/>
      <c r="AH237" s="6447"/>
      <c r="AI237" s="6447"/>
      <c r="AJ237" s="6448"/>
      <c r="AK237" s="402"/>
      <c r="AL237" s="396"/>
    </row>
    <row r="238" spans="1:38" ht="12" customHeight="1" x14ac:dyDescent="0.2">
      <c r="A238" s="396"/>
      <c r="B238" s="804"/>
      <c r="C238" s="6449" t="s">
        <v>3198</v>
      </c>
      <c r="D238" s="6450"/>
      <c r="E238" s="2505" t="e">
        <f>IF(C234=0,"",VLOOKUP(C234,'Tablas Magia'!$D$6:$Z$680,9,FALSE))</f>
        <v>#N/A</v>
      </c>
      <c r="F238" s="2505" t="e">
        <f>IF(C234=0,"",VLOOKUP(C234,'Tablas Magia'!$D$6:$Z$680,13,FALSE))</f>
        <v>#N/A</v>
      </c>
      <c r="G238" s="412" t="e">
        <f>IF(C234=0,"",VLOOKUP(C234,'Tablas Magia'!$D$6:$Z$680,17,FALSE))</f>
        <v>#N/A</v>
      </c>
      <c r="H238" s="6451" t="e">
        <f>IF(C234=0,"",VLOOKUP(C234,'Tablas Magia'!$D$6:$Z$680,21,FALSE))</f>
        <v>#N/A</v>
      </c>
      <c r="I238" s="6494"/>
      <c r="J238" s="6494"/>
      <c r="K238" s="6494"/>
      <c r="L238" s="6494"/>
      <c r="M238" s="6494"/>
      <c r="N238" s="6494"/>
      <c r="O238" s="6494"/>
      <c r="P238" s="6494"/>
      <c r="Q238" s="6453"/>
      <c r="R238" s="402"/>
      <c r="S238" s="396"/>
      <c r="T238" s="396"/>
      <c r="U238" s="804"/>
      <c r="V238" s="6449" t="s">
        <v>3198</v>
      </c>
      <c r="W238" s="6450"/>
      <c r="X238" s="411" t="e">
        <f>IF(V234=0,"",VLOOKUP(V234,'Tablas Magia'!$D$6:$Z$680,9,FALSE))</f>
        <v>#N/A</v>
      </c>
      <c r="Y238" s="411" t="e">
        <f>IF(V234=0,"",VLOOKUP(V234,'Tablas Magia'!$D$6:$Z$680,13,FALSE))</f>
        <v>#N/A</v>
      </c>
      <c r="Z238" s="412" t="e">
        <f>IF(V234=0,"",VLOOKUP(V234,'Tablas Magia'!$D$6:$Z$680,17,FALSE))</f>
        <v>#N/A</v>
      </c>
      <c r="AA238" s="6451" t="e">
        <f>IF(V234=0,"",VLOOKUP(V234,'Tablas Magia'!$D$6:$Z$680,21,FALSE))</f>
        <v>#N/A</v>
      </c>
      <c r="AB238" s="6452"/>
      <c r="AC238" s="6452"/>
      <c r="AD238" s="6452"/>
      <c r="AE238" s="6452"/>
      <c r="AF238" s="6452"/>
      <c r="AG238" s="6452"/>
      <c r="AH238" s="6452"/>
      <c r="AI238" s="6452"/>
      <c r="AJ238" s="6453"/>
      <c r="AK238" s="402"/>
      <c r="AL238" s="396"/>
    </row>
    <row r="239" spans="1:38" ht="12" customHeight="1" thickBot="1" x14ac:dyDescent="0.25">
      <c r="A239" s="396"/>
      <c r="B239" s="804"/>
      <c r="C239" s="6454" t="s">
        <v>3199</v>
      </c>
      <c r="D239" s="6455"/>
      <c r="E239" s="415" t="e">
        <f>IF(C234=0,"",VLOOKUP(C234,'Tablas Magia'!$D$6:$Z$680,10,FALSE))</f>
        <v>#N/A</v>
      </c>
      <c r="F239" s="415" t="e">
        <f>IF(C234=0,"",VLOOKUP(C234,'Tablas Magia'!$D$6:$Z$680,14,FALSE))</f>
        <v>#N/A</v>
      </c>
      <c r="G239" s="416" t="e">
        <f>IF(C234=0,"",VLOOKUP(C234,'Tablas Magia'!$D$6:$Z$680,18,FALSE))</f>
        <v>#N/A</v>
      </c>
      <c r="H239" s="6456" t="e">
        <f>IF(C234=0,"",VLOOKUP(C234,'Tablas Magia'!$D$6:$Z$680,22,FALSE))</f>
        <v>#N/A</v>
      </c>
      <c r="I239" s="6457"/>
      <c r="J239" s="6457"/>
      <c r="K239" s="6457"/>
      <c r="L239" s="6457"/>
      <c r="M239" s="6457"/>
      <c r="N239" s="6457"/>
      <c r="O239" s="6457"/>
      <c r="P239" s="6457"/>
      <c r="Q239" s="6458"/>
      <c r="R239" s="402"/>
      <c r="S239" s="396"/>
      <c r="T239" s="396"/>
      <c r="U239" s="804"/>
      <c r="V239" s="6454" t="s">
        <v>3199</v>
      </c>
      <c r="W239" s="6455"/>
      <c r="X239" s="415" t="e">
        <f>IF(V234=0,"",VLOOKUP(V234,'Tablas Magia'!$D$6:$Z$680,10,FALSE))</f>
        <v>#N/A</v>
      </c>
      <c r="Y239" s="415" t="e">
        <f>IF(V234=0,"",VLOOKUP(V234,'Tablas Magia'!$D$6:$Z$680,14,FALSE))</f>
        <v>#N/A</v>
      </c>
      <c r="Z239" s="416" t="e">
        <f>IF(V234=0,"",VLOOKUP(V234,'Tablas Magia'!$D$6:$Z$680,18,FALSE))</f>
        <v>#N/A</v>
      </c>
      <c r="AA239" s="6456" t="e">
        <f>IF(V234=0,"",VLOOKUP(V234,'Tablas Magia'!$D$6:$Z$680,22,FALSE))</f>
        <v>#N/A</v>
      </c>
      <c r="AB239" s="6457"/>
      <c r="AC239" s="6457"/>
      <c r="AD239" s="6457"/>
      <c r="AE239" s="6457"/>
      <c r="AF239" s="6457"/>
      <c r="AG239" s="6457"/>
      <c r="AH239" s="6457"/>
      <c r="AI239" s="6457"/>
      <c r="AJ239" s="6458"/>
      <c r="AK239" s="402"/>
      <c r="AL239" s="396"/>
    </row>
    <row r="240" spans="1:38" ht="12" customHeight="1" x14ac:dyDescent="0.2">
      <c r="A240" s="396"/>
      <c r="B240" s="804"/>
      <c r="C240" s="6459" t="e">
        <f>IF(C234=0,"",VLOOKUP(C234,'Tablas Magia'!$D$6:$Z$680,23,FALSE))</f>
        <v>#N/A</v>
      </c>
      <c r="D240" s="6460"/>
      <c r="E240" s="6460"/>
      <c r="F240" s="6460"/>
      <c r="G240" s="6460"/>
      <c r="H240" s="6460"/>
      <c r="I240" s="6460"/>
      <c r="J240" s="6460"/>
      <c r="K240" s="6460"/>
      <c r="L240" s="6460"/>
      <c r="M240" s="6460"/>
      <c r="N240" s="6460"/>
      <c r="O240" s="6460"/>
      <c r="P240" s="6460"/>
      <c r="Q240" s="6461"/>
      <c r="R240" s="402"/>
      <c r="S240" s="396"/>
      <c r="T240" s="396"/>
      <c r="U240" s="804"/>
      <c r="V240" s="6459" t="e">
        <f>IF(V234=0,"",VLOOKUP(V234,'Tablas Magia'!$D$6:$Z$680,23,FALSE))</f>
        <v>#N/A</v>
      </c>
      <c r="W240" s="6460"/>
      <c r="X240" s="6460"/>
      <c r="Y240" s="6460"/>
      <c r="Z240" s="6460"/>
      <c r="AA240" s="6460"/>
      <c r="AB240" s="6460"/>
      <c r="AC240" s="6460"/>
      <c r="AD240" s="6460"/>
      <c r="AE240" s="6460"/>
      <c r="AF240" s="6460"/>
      <c r="AG240" s="6460"/>
      <c r="AH240" s="6460"/>
      <c r="AI240" s="6460"/>
      <c r="AJ240" s="6461"/>
      <c r="AK240" s="402"/>
      <c r="AL240" s="396"/>
    </row>
    <row r="241" spans="1:38" ht="12" customHeight="1" x14ac:dyDescent="0.2">
      <c r="A241" s="396"/>
      <c r="B241" s="804"/>
      <c r="C241" s="6462"/>
      <c r="D241" s="6485"/>
      <c r="E241" s="6485"/>
      <c r="F241" s="6485"/>
      <c r="G241" s="6485"/>
      <c r="H241" s="6485"/>
      <c r="I241" s="6485"/>
      <c r="J241" s="6485"/>
      <c r="K241" s="6485"/>
      <c r="L241" s="6485"/>
      <c r="M241" s="6485"/>
      <c r="N241" s="6485"/>
      <c r="O241" s="6485"/>
      <c r="P241" s="6485"/>
      <c r="Q241" s="6464"/>
      <c r="R241" s="402"/>
      <c r="S241" s="396"/>
      <c r="T241" s="396"/>
      <c r="U241" s="804"/>
      <c r="V241" s="6462"/>
      <c r="W241" s="6463"/>
      <c r="X241" s="6463"/>
      <c r="Y241" s="6463"/>
      <c r="Z241" s="6463"/>
      <c r="AA241" s="6463"/>
      <c r="AB241" s="6463"/>
      <c r="AC241" s="6463"/>
      <c r="AD241" s="6463"/>
      <c r="AE241" s="6463"/>
      <c r="AF241" s="6463"/>
      <c r="AG241" s="6463"/>
      <c r="AH241" s="6463"/>
      <c r="AI241" s="6463"/>
      <c r="AJ241" s="6464"/>
      <c r="AK241" s="402"/>
      <c r="AL241" s="396"/>
    </row>
    <row r="242" spans="1:38" ht="12" customHeight="1" x14ac:dyDescent="0.2">
      <c r="A242" s="396"/>
      <c r="B242" s="804"/>
      <c r="C242" s="6462"/>
      <c r="D242" s="6485"/>
      <c r="E242" s="6485"/>
      <c r="F242" s="6485"/>
      <c r="G242" s="6485"/>
      <c r="H242" s="6485"/>
      <c r="I242" s="6485"/>
      <c r="J242" s="6485"/>
      <c r="K242" s="6485"/>
      <c r="L242" s="6485"/>
      <c r="M242" s="6485"/>
      <c r="N242" s="6485"/>
      <c r="O242" s="6485"/>
      <c r="P242" s="6485"/>
      <c r="Q242" s="6464"/>
      <c r="R242" s="402"/>
      <c r="S242" s="396"/>
      <c r="T242" s="396"/>
      <c r="U242" s="804"/>
      <c r="V242" s="6462"/>
      <c r="W242" s="6463"/>
      <c r="X242" s="6463"/>
      <c r="Y242" s="6463"/>
      <c r="Z242" s="6463"/>
      <c r="AA242" s="6463"/>
      <c r="AB242" s="6463"/>
      <c r="AC242" s="6463"/>
      <c r="AD242" s="6463"/>
      <c r="AE242" s="6463"/>
      <c r="AF242" s="6463"/>
      <c r="AG242" s="6463"/>
      <c r="AH242" s="6463"/>
      <c r="AI242" s="6463"/>
      <c r="AJ242" s="6464"/>
      <c r="AK242" s="402"/>
      <c r="AL242" s="396"/>
    </row>
    <row r="243" spans="1:38" ht="12" customHeight="1" thickBot="1" x14ac:dyDescent="0.25">
      <c r="A243" s="396"/>
      <c r="B243" s="804"/>
      <c r="C243" s="6465"/>
      <c r="D243" s="6466"/>
      <c r="E243" s="6466"/>
      <c r="F243" s="6466"/>
      <c r="G243" s="6466"/>
      <c r="H243" s="6466"/>
      <c r="I243" s="6466"/>
      <c r="J243" s="6466"/>
      <c r="K243" s="6466"/>
      <c r="L243" s="6466"/>
      <c r="M243" s="6466"/>
      <c r="N243" s="6466"/>
      <c r="O243" s="6466"/>
      <c r="P243" s="6466"/>
      <c r="Q243" s="6467"/>
      <c r="R243" s="402"/>
      <c r="S243" s="396"/>
      <c r="T243" s="396"/>
      <c r="U243" s="804"/>
      <c r="V243" s="6465"/>
      <c r="W243" s="6466"/>
      <c r="X243" s="6466"/>
      <c r="Y243" s="6466"/>
      <c r="Z243" s="6466"/>
      <c r="AA243" s="6466"/>
      <c r="AB243" s="6466"/>
      <c r="AC243" s="6466"/>
      <c r="AD243" s="6466"/>
      <c r="AE243" s="6466"/>
      <c r="AF243" s="6466"/>
      <c r="AG243" s="6466"/>
      <c r="AH243" s="6466"/>
      <c r="AI243" s="6466"/>
      <c r="AJ243" s="6467"/>
      <c r="AK243" s="402"/>
      <c r="AL243" s="396"/>
    </row>
    <row r="244" spans="1:38" ht="12" customHeight="1" thickBot="1" x14ac:dyDescent="0.25">
      <c r="A244" s="396"/>
      <c r="B244" s="804"/>
      <c r="C244" s="2514"/>
      <c r="D244" s="2514"/>
      <c r="E244" s="2515"/>
      <c r="F244" s="2515"/>
      <c r="G244" s="2515"/>
      <c r="H244" s="2515"/>
      <c r="I244" s="2515"/>
      <c r="J244" s="2515"/>
      <c r="K244" s="2515"/>
      <c r="L244" s="2515"/>
      <c r="M244" s="2515"/>
      <c r="N244" s="2515"/>
      <c r="O244" s="2515"/>
      <c r="P244" s="2515"/>
      <c r="Q244" s="2515"/>
      <c r="R244" s="402"/>
      <c r="S244" s="396"/>
      <c r="T244" s="396"/>
      <c r="U244" s="804"/>
      <c r="V244" s="422"/>
      <c r="W244" s="422"/>
      <c r="X244" s="413"/>
      <c r="Y244" s="413"/>
      <c r="Z244" s="413"/>
      <c r="AA244" s="423"/>
      <c r="AB244" s="423"/>
      <c r="AC244" s="423"/>
      <c r="AD244" s="423"/>
      <c r="AE244" s="423"/>
      <c r="AF244" s="423"/>
      <c r="AG244" s="423"/>
      <c r="AH244" s="423"/>
      <c r="AI244" s="423"/>
      <c r="AJ244" s="423"/>
      <c r="AK244" s="402"/>
      <c r="AL244" s="396"/>
    </row>
    <row r="245" spans="1:38" ht="12" customHeight="1" x14ac:dyDescent="0.2">
      <c r="A245" s="396"/>
      <c r="B245" s="804">
        <f>B234+2</f>
        <v>68</v>
      </c>
      <c r="C245" s="6501"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502"/>
      <c r="E245" s="6502"/>
      <c r="F245" s="6502"/>
      <c r="G245" s="6503"/>
      <c r="H245" s="406" t="s">
        <v>1325</v>
      </c>
      <c r="I245" s="407">
        <f>B245</f>
        <v>68</v>
      </c>
      <c r="J245" s="6486" t="s">
        <v>6236</v>
      </c>
      <c r="K245" s="6486"/>
      <c r="L245" s="6486"/>
      <c r="M245" s="6471" t="e">
        <f>IF(C245=0,"",VLOOKUP(C245,'Tablas Magia'!$D$6:$Z$680,2,FALSE))</f>
        <v>#N/A</v>
      </c>
      <c r="N245" s="6471"/>
      <c r="O245" s="1718"/>
      <c r="P245" s="6492" t="str">
        <f>IFERROR(IF(M245="Libre Acceso","Aprendido",IF(IFERROR(VLOOKUP(M245,Místicos!$C$15:$H$25,6,0)&gt;=I245,FALSE),"Aprendido",IF(IFERROR(VLOOKUP(M245,Místicos!$E$15:$H$25,4,0)&gt;=I245,FALSE),"Aprendido",""))),"")</f>
        <v/>
      </c>
      <c r="Q245" s="6493"/>
      <c r="R245" s="402"/>
      <c r="S245" s="396"/>
      <c r="T245" s="396"/>
      <c r="U245" s="804">
        <f>U234+2</f>
        <v>78</v>
      </c>
      <c r="V245" s="6501"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507"/>
      <c r="X245" s="6507"/>
      <c r="Y245" s="6507"/>
      <c r="Z245" s="6507"/>
      <c r="AA245" s="406" t="s">
        <v>1325</v>
      </c>
      <c r="AB245" s="407">
        <f>U245</f>
        <v>78</v>
      </c>
      <c r="AC245" s="6486" t="s">
        <v>6236</v>
      </c>
      <c r="AD245" s="6486"/>
      <c r="AE245" s="6486"/>
      <c r="AF245" s="6471" t="e">
        <f>IF(V245=0,"",VLOOKUP(V245,'Tablas Magia'!$D$6:$Z$680,2,FALSE))</f>
        <v>#N/A</v>
      </c>
      <c r="AG245" s="6471"/>
      <c r="AH245" s="1718"/>
      <c r="AI245" s="6492" t="str">
        <f>IFERROR(IF(AF245="Libre Acceso","Aprendido",IF(IFERROR(VLOOKUP(AF245,Místicos!$C$15:$H$25,6,0)&gt;=AB245,FALSE),"Aprendido",IF(IFERROR(VLOOKUP(AF245,Místicos!$E$15:$H$25,4,0)&gt;=AB245,FALSE),"Aprendido",""))),"")</f>
        <v/>
      </c>
      <c r="AJ245" s="6493"/>
      <c r="AK245" s="402"/>
      <c r="AL245" s="396"/>
    </row>
    <row r="246" spans="1:38" ht="12" customHeight="1" x14ac:dyDescent="0.2">
      <c r="A246" s="396"/>
      <c r="B246" s="804"/>
      <c r="C246" s="6473" t="s">
        <v>6237</v>
      </c>
      <c r="D246" s="6487"/>
      <c r="E246" s="2502" t="s">
        <v>6238</v>
      </c>
      <c r="F246" s="2502" t="s">
        <v>1509</v>
      </c>
      <c r="G246" s="2502" t="s">
        <v>2828</v>
      </c>
      <c r="H246" s="2503" t="s">
        <v>1836</v>
      </c>
      <c r="I246" s="6495" t="e">
        <f>IF(C245=0,"",VLOOKUP(C245,'Tablas Magia'!$D$6:$Z$680,5,FALSE))</f>
        <v>#N/A</v>
      </c>
      <c r="J246" s="6495"/>
      <c r="K246" s="6498" t="s">
        <v>6239</v>
      </c>
      <c r="L246" s="6498"/>
      <c r="M246" s="6495" t="e">
        <f>IF(C245=0,"",VLOOKUP(C245,'Tablas Magia'!$D$6:$Z$680,6,FALSE))</f>
        <v>#N/A</v>
      </c>
      <c r="N246" s="6495"/>
      <c r="O246" s="6496" t="s">
        <v>6240</v>
      </c>
      <c r="P246" s="6496"/>
      <c r="Q246" s="2504" t="e">
        <f>IF(C245=0,"",VLOOKUP(C245,'Tablas Magia'!$D$6:$Z$680,4,FALSE))</f>
        <v>#N/A</v>
      </c>
      <c r="R246" s="402"/>
      <c r="S246" s="396"/>
      <c r="T246" s="396"/>
      <c r="U246" s="804"/>
      <c r="V246" s="6473" t="s">
        <v>6237</v>
      </c>
      <c r="W246" s="6504"/>
      <c r="X246" s="1727" t="s">
        <v>6238</v>
      </c>
      <c r="Y246" s="1727" t="s">
        <v>1509</v>
      </c>
      <c r="Z246" s="1727" t="s">
        <v>2828</v>
      </c>
      <c r="AA246" s="1728" t="s">
        <v>1836</v>
      </c>
      <c r="AB246" s="6491" t="e">
        <f>IF(V245=0,"",VLOOKUP(V245,'Tablas Magia'!$D$6:$Z$680,5,FALSE))</f>
        <v>#N/A</v>
      </c>
      <c r="AC246" s="6491"/>
      <c r="AD246" s="6505" t="s">
        <v>6239</v>
      </c>
      <c r="AE246" s="6505"/>
      <c r="AF246" s="6491" t="e">
        <f>IF(V245=0,"",VLOOKUP(V245,'Tablas Magia'!$D$6:$Z$680,6,FALSE))</f>
        <v>#N/A</v>
      </c>
      <c r="AG246" s="6491"/>
      <c r="AH246" s="6506" t="s">
        <v>6240</v>
      </c>
      <c r="AI246" s="6506"/>
      <c r="AJ246" s="1729" t="e">
        <f>IF(V245=0,"",VLOOKUP(V245,'Tablas Magia'!$D$6:$Z$680,4,FALSE))</f>
        <v>#N/A</v>
      </c>
      <c r="AK246" s="402"/>
      <c r="AL246" s="396"/>
    </row>
    <row r="247" spans="1:38" ht="12" customHeight="1" x14ac:dyDescent="0.2">
      <c r="A247" s="396"/>
      <c r="B247" s="804"/>
      <c r="C247" s="6499" t="s">
        <v>1365</v>
      </c>
      <c r="D247" s="6500"/>
      <c r="E247" s="2505" t="e">
        <f>IF(C245=0,"",VLOOKUP(C245,'Tablas Magia'!$D$6:$Z$680,7,FALSE))</f>
        <v>#N/A</v>
      </c>
      <c r="F247" s="2505" t="e">
        <f>IF(C245=0,"",VLOOKUP(C245,'Tablas Magia'!$D$6:$Z$680,11,FALSE))</f>
        <v>#N/A</v>
      </c>
      <c r="G247" s="412" t="e">
        <f>IF(C245=0,"",VLOOKUP(C245,'Tablas Magia'!$D$6:$Z$680,15,FALSE))</f>
        <v>#N/A</v>
      </c>
      <c r="H247" s="6481" t="e">
        <f>IF(C245=0,"",VLOOKUP(C245,'Tablas Magia'!$D$6:$Z$680,19,FALSE))</f>
        <v>#N/A</v>
      </c>
      <c r="I247" s="6482"/>
      <c r="J247" s="6482"/>
      <c r="K247" s="6482"/>
      <c r="L247" s="6482"/>
      <c r="M247" s="6482"/>
      <c r="N247" s="6482"/>
      <c r="O247" s="6482"/>
      <c r="P247" s="6482"/>
      <c r="Q247" s="6483"/>
      <c r="R247" s="402"/>
      <c r="S247" s="396"/>
      <c r="T247" s="396"/>
      <c r="U247" s="804"/>
      <c r="V247" s="6449" t="s">
        <v>1365</v>
      </c>
      <c r="W247" s="6450"/>
      <c r="X247" s="411" t="e">
        <f>IF(V245=0,"",VLOOKUP(V245,'Tablas Magia'!$D$6:$Z$680,7,FALSE))</f>
        <v>#N/A</v>
      </c>
      <c r="Y247" s="411" t="e">
        <f>IF(V245=0,"",VLOOKUP(V245,'Tablas Magia'!$D$6:$Z$680,11,FALSE))</f>
        <v>#N/A</v>
      </c>
      <c r="Z247" s="412" t="e">
        <f>IF(V245=0,"",VLOOKUP(V245,'Tablas Magia'!$D$6:$Z$680,15,FALSE))</f>
        <v>#N/A</v>
      </c>
      <c r="AA247" s="6451" t="e">
        <f>IF(V245=0,"",VLOOKUP(V245,'Tablas Magia'!$D$6:$Z$680,19,FALSE))</f>
        <v>#N/A</v>
      </c>
      <c r="AB247" s="6452"/>
      <c r="AC247" s="6452"/>
      <c r="AD247" s="6452"/>
      <c r="AE247" s="6452"/>
      <c r="AF247" s="6452"/>
      <c r="AG247" s="6452"/>
      <c r="AH247" s="6452"/>
      <c r="AI247" s="6452"/>
      <c r="AJ247" s="6453"/>
      <c r="AK247" s="402"/>
      <c r="AL247" s="396"/>
    </row>
    <row r="248" spans="1:38" ht="12" customHeight="1" x14ac:dyDescent="0.2">
      <c r="A248" s="396"/>
      <c r="B248" s="804"/>
      <c r="C248" s="6444" t="s">
        <v>3197</v>
      </c>
      <c r="D248" s="6445"/>
      <c r="E248" s="2506" t="e">
        <f>IF(C245=0,"",VLOOKUP(C245,'Tablas Magia'!$D$6:$Z$680,8,FALSE))</f>
        <v>#N/A</v>
      </c>
      <c r="F248" s="2506" t="e">
        <f>IF(C245=0,"",VLOOKUP(C245,'Tablas Magia'!$D$6:$Z$680,12,FALSE))</f>
        <v>#N/A</v>
      </c>
      <c r="G248" s="414" t="e">
        <f>IF(C245=0,"",VLOOKUP(C245,'Tablas Magia'!$D$6:$Z$680,16,FALSE))</f>
        <v>#N/A</v>
      </c>
      <c r="H248" s="6446" t="e">
        <f>IF(C245=0,"",VLOOKUP(C245,'Tablas Magia'!$D$6:$Z$680,20,FALSE))</f>
        <v>#N/A</v>
      </c>
      <c r="I248" s="6484"/>
      <c r="J248" s="6484"/>
      <c r="K248" s="6484"/>
      <c r="L248" s="6484"/>
      <c r="M248" s="6484"/>
      <c r="N248" s="6484"/>
      <c r="O248" s="6484"/>
      <c r="P248" s="6484"/>
      <c r="Q248" s="6448"/>
      <c r="R248" s="402"/>
      <c r="S248" s="396"/>
      <c r="T248" s="396"/>
      <c r="U248" s="804"/>
      <c r="V248" s="6444" t="s">
        <v>3197</v>
      </c>
      <c r="W248" s="6445"/>
      <c r="X248" s="413" t="e">
        <f>IF(V245=0,"",VLOOKUP(V245,'Tablas Magia'!$D$6:$Z$680,8,FALSE))</f>
        <v>#N/A</v>
      </c>
      <c r="Y248" s="413" t="e">
        <f>IF(V245=0,"",VLOOKUP(V245,'Tablas Magia'!$D$6:$Z$680,12,FALSE))</f>
        <v>#N/A</v>
      </c>
      <c r="Z248" s="414" t="e">
        <f>IF(V245=0,"",VLOOKUP(V245,'Tablas Magia'!$D$6:$Z$680,16,FALSE))</f>
        <v>#N/A</v>
      </c>
      <c r="AA248" s="6446" t="e">
        <f>IF(V245=0,"",VLOOKUP(V245,'Tablas Magia'!$D$6:$Z$680,20,FALSE))</f>
        <v>#N/A</v>
      </c>
      <c r="AB248" s="6447"/>
      <c r="AC248" s="6447"/>
      <c r="AD248" s="6447"/>
      <c r="AE248" s="6447"/>
      <c r="AF248" s="6447"/>
      <c r="AG248" s="6447"/>
      <c r="AH248" s="6447"/>
      <c r="AI248" s="6447"/>
      <c r="AJ248" s="6448"/>
      <c r="AK248" s="402"/>
      <c r="AL248" s="396"/>
    </row>
    <row r="249" spans="1:38" ht="12" customHeight="1" x14ac:dyDescent="0.2">
      <c r="A249" s="396"/>
      <c r="B249" s="804"/>
      <c r="C249" s="6449" t="s">
        <v>3198</v>
      </c>
      <c r="D249" s="6450"/>
      <c r="E249" s="2505" t="e">
        <f>IF(C245=0,"",VLOOKUP(C245,'Tablas Magia'!$D$6:$Z$680,9,FALSE))</f>
        <v>#N/A</v>
      </c>
      <c r="F249" s="2505" t="e">
        <f>IF(C245=0,"",VLOOKUP(C245,'Tablas Magia'!$D$6:$Z$680,13,FALSE))</f>
        <v>#N/A</v>
      </c>
      <c r="G249" s="412" t="e">
        <f>IF(C245=0,"",VLOOKUP(C245,'Tablas Magia'!$D$6:$Z$680,17,FALSE))</f>
        <v>#N/A</v>
      </c>
      <c r="H249" s="6451" t="e">
        <f>IF(C245=0,"",VLOOKUP(C245,'Tablas Magia'!$D$6:$Z$680,21,FALSE))</f>
        <v>#N/A</v>
      </c>
      <c r="I249" s="6494"/>
      <c r="J249" s="6494"/>
      <c r="K249" s="6494"/>
      <c r="L249" s="6494"/>
      <c r="M249" s="6494"/>
      <c r="N249" s="6494"/>
      <c r="O249" s="6494"/>
      <c r="P249" s="6494"/>
      <c r="Q249" s="6453"/>
      <c r="R249" s="402"/>
      <c r="S249" s="396"/>
      <c r="T249" s="396"/>
      <c r="U249" s="804"/>
      <c r="V249" s="6449" t="s">
        <v>3198</v>
      </c>
      <c r="W249" s="6450"/>
      <c r="X249" s="411" t="e">
        <f>IF(V245=0,"",VLOOKUP(V245,'Tablas Magia'!$D$6:$Z$680,9,FALSE))</f>
        <v>#N/A</v>
      </c>
      <c r="Y249" s="411" t="e">
        <f>IF(V245=0,"",VLOOKUP(V245,'Tablas Magia'!$D$6:$Z$680,13,FALSE))</f>
        <v>#N/A</v>
      </c>
      <c r="Z249" s="412" t="e">
        <f>IF(V245=0,"",VLOOKUP(V245,'Tablas Magia'!$D$6:$Z$680,17,FALSE))</f>
        <v>#N/A</v>
      </c>
      <c r="AA249" s="6451" t="e">
        <f>IF(V245=0,"",VLOOKUP(V245,'Tablas Magia'!$D$6:$Z$680,21,FALSE))</f>
        <v>#N/A</v>
      </c>
      <c r="AB249" s="6452"/>
      <c r="AC249" s="6452"/>
      <c r="AD249" s="6452"/>
      <c r="AE249" s="6452"/>
      <c r="AF249" s="6452"/>
      <c r="AG249" s="6452"/>
      <c r="AH249" s="6452"/>
      <c r="AI249" s="6452"/>
      <c r="AJ249" s="6453"/>
      <c r="AK249" s="402"/>
      <c r="AL249" s="396"/>
    </row>
    <row r="250" spans="1:38" ht="12" customHeight="1" thickBot="1" x14ac:dyDescent="0.25">
      <c r="A250" s="396"/>
      <c r="B250" s="804"/>
      <c r="C250" s="6454" t="s">
        <v>3199</v>
      </c>
      <c r="D250" s="6455"/>
      <c r="E250" s="415" t="e">
        <f>IF(C245=0,"",VLOOKUP(C245,'Tablas Magia'!$D$6:$Z$680,10,FALSE))</f>
        <v>#N/A</v>
      </c>
      <c r="F250" s="415" t="e">
        <f>IF(C245=0,"",VLOOKUP(C245,'Tablas Magia'!$D$6:$Z$680,14,FALSE))</f>
        <v>#N/A</v>
      </c>
      <c r="G250" s="416" t="e">
        <f>IF(C245=0,"",VLOOKUP(C245,'Tablas Magia'!$D$6:$Z$680,18,FALSE))</f>
        <v>#N/A</v>
      </c>
      <c r="H250" s="6456" t="e">
        <f>IF(C245=0,"",VLOOKUP(C245,'Tablas Magia'!$D$6:$Z$680,22,FALSE))</f>
        <v>#N/A</v>
      </c>
      <c r="I250" s="6457"/>
      <c r="J250" s="6457"/>
      <c r="K250" s="6457"/>
      <c r="L250" s="6457"/>
      <c r="M250" s="6457"/>
      <c r="N250" s="6457"/>
      <c r="O250" s="6457"/>
      <c r="P250" s="6457"/>
      <c r="Q250" s="6458"/>
      <c r="R250" s="402"/>
      <c r="S250" s="396"/>
      <c r="T250" s="396"/>
      <c r="U250" s="804"/>
      <c r="V250" s="6454" t="s">
        <v>3199</v>
      </c>
      <c r="W250" s="6455"/>
      <c r="X250" s="415" t="e">
        <f>IF(V245=0,"",VLOOKUP(V245,'Tablas Magia'!$D$6:$Z$680,10,FALSE))</f>
        <v>#N/A</v>
      </c>
      <c r="Y250" s="415" t="e">
        <f>IF(V245=0,"",VLOOKUP(V245,'Tablas Magia'!$D$6:$Z$680,14,FALSE))</f>
        <v>#N/A</v>
      </c>
      <c r="Z250" s="416" t="e">
        <f>IF(V245=0,"",VLOOKUP(V245,'Tablas Magia'!$D$6:$Z$680,18,FALSE))</f>
        <v>#N/A</v>
      </c>
      <c r="AA250" s="6456" t="e">
        <f>IF(V245=0,"",VLOOKUP(V245,'Tablas Magia'!$D$6:$Z$680,22,FALSE))</f>
        <v>#N/A</v>
      </c>
      <c r="AB250" s="6457"/>
      <c r="AC250" s="6457"/>
      <c r="AD250" s="6457"/>
      <c r="AE250" s="6457"/>
      <c r="AF250" s="6457"/>
      <c r="AG250" s="6457"/>
      <c r="AH250" s="6457"/>
      <c r="AI250" s="6457"/>
      <c r="AJ250" s="6458"/>
      <c r="AK250" s="402"/>
      <c r="AL250" s="396"/>
    </row>
    <row r="251" spans="1:38" ht="12" customHeight="1" x14ac:dyDescent="0.2">
      <c r="A251" s="396"/>
      <c r="B251" s="804"/>
      <c r="C251" s="6459" t="e">
        <f>IF(C245=0,"",VLOOKUP(C245,'Tablas Magia'!$D$6:$Z$680,23,FALSE))</f>
        <v>#N/A</v>
      </c>
      <c r="D251" s="6460"/>
      <c r="E251" s="6460"/>
      <c r="F251" s="6460"/>
      <c r="G251" s="6460"/>
      <c r="H251" s="6460"/>
      <c r="I251" s="6460"/>
      <c r="J251" s="6460"/>
      <c r="K251" s="6460"/>
      <c r="L251" s="6460"/>
      <c r="M251" s="6460"/>
      <c r="N251" s="6460"/>
      <c r="O251" s="6460"/>
      <c r="P251" s="6460"/>
      <c r="Q251" s="6461"/>
      <c r="R251" s="402"/>
      <c r="S251" s="396"/>
      <c r="T251" s="396"/>
      <c r="U251" s="804"/>
      <c r="V251" s="6459" t="e">
        <f>IF(V245=0,"",VLOOKUP(V245,'Tablas Magia'!$D$6:$Z$680,23,FALSE))</f>
        <v>#N/A</v>
      </c>
      <c r="W251" s="6460"/>
      <c r="X251" s="6460"/>
      <c r="Y251" s="6460"/>
      <c r="Z251" s="6460"/>
      <c r="AA251" s="6460"/>
      <c r="AB251" s="6460"/>
      <c r="AC251" s="6460"/>
      <c r="AD251" s="6460"/>
      <c r="AE251" s="6460"/>
      <c r="AF251" s="6460"/>
      <c r="AG251" s="6460"/>
      <c r="AH251" s="6460"/>
      <c r="AI251" s="6460"/>
      <c r="AJ251" s="6461"/>
      <c r="AK251" s="402"/>
      <c r="AL251" s="396"/>
    </row>
    <row r="252" spans="1:38" ht="12" customHeight="1" x14ac:dyDescent="0.2">
      <c r="A252" s="396"/>
      <c r="B252" s="804"/>
      <c r="C252" s="6462"/>
      <c r="D252" s="6485"/>
      <c r="E252" s="6485"/>
      <c r="F252" s="6485"/>
      <c r="G252" s="6485"/>
      <c r="H252" s="6485"/>
      <c r="I252" s="6485"/>
      <c r="J252" s="6485"/>
      <c r="K252" s="6485"/>
      <c r="L252" s="6485"/>
      <c r="M252" s="6485"/>
      <c r="N252" s="6485"/>
      <c r="O252" s="6485"/>
      <c r="P252" s="6485"/>
      <c r="Q252" s="6464"/>
      <c r="R252" s="402"/>
      <c r="S252" s="396"/>
      <c r="T252" s="396"/>
      <c r="U252" s="804"/>
      <c r="V252" s="6462"/>
      <c r="W252" s="6463"/>
      <c r="X252" s="6463"/>
      <c r="Y252" s="6463"/>
      <c r="Z252" s="6463"/>
      <c r="AA252" s="6463"/>
      <c r="AB252" s="6463"/>
      <c r="AC252" s="6463"/>
      <c r="AD252" s="6463"/>
      <c r="AE252" s="6463"/>
      <c r="AF252" s="6463"/>
      <c r="AG252" s="6463"/>
      <c r="AH252" s="6463"/>
      <c r="AI252" s="6463"/>
      <c r="AJ252" s="6464"/>
      <c r="AK252" s="402"/>
      <c r="AL252" s="396"/>
    </row>
    <row r="253" spans="1:38" ht="12" customHeight="1" x14ac:dyDescent="0.2">
      <c r="A253" s="396"/>
      <c r="B253" s="804"/>
      <c r="C253" s="6462"/>
      <c r="D253" s="6485"/>
      <c r="E253" s="6485"/>
      <c r="F253" s="6485"/>
      <c r="G253" s="6485"/>
      <c r="H253" s="6485"/>
      <c r="I253" s="6485"/>
      <c r="J253" s="6485"/>
      <c r="K253" s="6485"/>
      <c r="L253" s="6485"/>
      <c r="M253" s="6485"/>
      <c r="N253" s="6485"/>
      <c r="O253" s="6485"/>
      <c r="P253" s="6485"/>
      <c r="Q253" s="6464"/>
      <c r="R253" s="402"/>
      <c r="S253" s="396"/>
      <c r="T253" s="396"/>
      <c r="U253" s="804"/>
      <c r="V253" s="6462"/>
      <c r="W253" s="6463"/>
      <c r="X253" s="6463"/>
      <c r="Y253" s="6463"/>
      <c r="Z253" s="6463"/>
      <c r="AA253" s="6463"/>
      <c r="AB253" s="6463"/>
      <c r="AC253" s="6463"/>
      <c r="AD253" s="6463"/>
      <c r="AE253" s="6463"/>
      <c r="AF253" s="6463"/>
      <c r="AG253" s="6463"/>
      <c r="AH253" s="6463"/>
      <c r="AI253" s="6463"/>
      <c r="AJ253" s="6464"/>
      <c r="AK253" s="402"/>
      <c r="AL253" s="396"/>
    </row>
    <row r="254" spans="1:38" ht="12" customHeight="1" thickBot="1" x14ac:dyDescent="0.25">
      <c r="A254" s="396"/>
      <c r="B254" s="804"/>
      <c r="C254" s="6465"/>
      <c r="D254" s="6466"/>
      <c r="E254" s="6466"/>
      <c r="F254" s="6466"/>
      <c r="G254" s="6466"/>
      <c r="H254" s="6466"/>
      <c r="I254" s="6466"/>
      <c r="J254" s="6466"/>
      <c r="K254" s="6466"/>
      <c r="L254" s="6466"/>
      <c r="M254" s="6466"/>
      <c r="N254" s="6466"/>
      <c r="O254" s="6466"/>
      <c r="P254" s="6466"/>
      <c r="Q254" s="6467"/>
      <c r="R254" s="402"/>
      <c r="S254" s="396"/>
      <c r="T254" s="396"/>
      <c r="U254" s="804"/>
      <c r="V254" s="6465"/>
      <c r="W254" s="6466"/>
      <c r="X254" s="6466"/>
      <c r="Y254" s="6466"/>
      <c r="Z254" s="6466"/>
      <c r="AA254" s="6466"/>
      <c r="AB254" s="6466"/>
      <c r="AC254" s="6466"/>
      <c r="AD254" s="6466"/>
      <c r="AE254" s="6466"/>
      <c r="AF254" s="6466"/>
      <c r="AG254" s="6466"/>
      <c r="AH254" s="6466"/>
      <c r="AI254" s="6466"/>
      <c r="AJ254" s="6467"/>
      <c r="AK254" s="402"/>
      <c r="AL254" s="396"/>
    </row>
    <row r="255" spans="1:38" ht="12" customHeight="1" thickBot="1" x14ac:dyDescent="0.25">
      <c r="A255" s="396"/>
      <c r="B255" s="804"/>
      <c r="C255" s="2514"/>
      <c r="D255" s="2514"/>
      <c r="E255" s="2506"/>
      <c r="F255" s="2506"/>
      <c r="G255" s="2506"/>
      <c r="H255" s="2515"/>
      <c r="I255" s="2515"/>
      <c r="J255" s="2515"/>
      <c r="K255" s="2515"/>
      <c r="L255" s="2515"/>
      <c r="M255" s="2515"/>
      <c r="N255" s="2515"/>
      <c r="O255" s="2515"/>
      <c r="P255" s="2515"/>
      <c r="Q255" s="2515"/>
      <c r="R255" s="402"/>
      <c r="S255" s="396"/>
      <c r="T255" s="396"/>
      <c r="U255" s="804"/>
      <c r="V255" s="422"/>
      <c r="W255" s="422"/>
      <c r="X255" s="413"/>
      <c r="Y255" s="413"/>
      <c r="Z255" s="413"/>
      <c r="AA255" s="423"/>
      <c r="AB255" s="423"/>
      <c r="AC255" s="423"/>
      <c r="AD255" s="423"/>
      <c r="AE255" s="423"/>
      <c r="AF255" s="423"/>
      <c r="AG255" s="423"/>
      <c r="AH255" s="423"/>
      <c r="AI255" s="423"/>
      <c r="AJ255" s="423"/>
      <c r="AK255" s="402"/>
      <c r="AL255" s="396"/>
    </row>
    <row r="256" spans="1:38" ht="12" customHeight="1" x14ac:dyDescent="0.2">
      <c r="A256" s="396"/>
      <c r="B256" s="804">
        <f>B245+2</f>
        <v>70</v>
      </c>
      <c r="C256" s="6501"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502"/>
      <c r="E256" s="6502"/>
      <c r="F256" s="6502"/>
      <c r="G256" s="6503"/>
      <c r="H256" s="406" t="s">
        <v>1325</v>
      </c>
      <c r="I256" s="407">
        <f>B256</f>
        <v>70</v>
      </c>
      <c r="J256" s="6486" t="s">
        <v>6236</v>
      </c>
      <c r="K256" s="6486"/>
      <c r="L256" s="6486"/>
      <c r="M256" s="6471" t="e">
        <f>IF(C256=0,"",VLOOKUP(C256,'Tablas Magia'!$D$6:$Z$680,2,FALSE))</f>
        <v>#N/A</v>
      </c>
      <c r="N256" s="6471"/>
      <c r="O256" s="1718"/>
      <c r="P256" s="6492" t="str">
        <f>IFERROR(IF(M256="Libre Acceso","Aprendido",IF(IFERROR(VLOOKUP(M256,Místicos!$C$15:$H$25,6,0)&gt;=I256,FALSE),"Aprendido",IF(IFERROR(VLOOKUP(M256,Místicos!$E$15:$H$25,4,0)&gt;=I256,FALSE),"Aprendido",""))),"")</f>
        <v/>
      </c>
      <c r="Q256" s="6493"/>
      <c r="R256" s="402"/>
      <c r="S256" s="396"/>
      <c r="T256" s="396"/>
      <c r="U256" s="804">
        <f>U245+2</f>
        <v>80</v>
      </c>
      <c r="V256" s="6501"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507"/>
      <c r="X256" s="6507"/>
      <c r="Y256" s="6507"/>
      <c r="Z256" s="6507"/>
      <c r="AA256" s="406" t="s">
        <v>1325</v>
      </c>
      <c r="AB256" s="407">
        <f>U256</f>
        <v>80</v>
      </c>
      <c r="AC256" s="6486" t="s">
        <v>6236</v>
      </c>
      <c r="AD256" s="6486"/>
      <c r="AE256" s="6486"/>
      <c r="AF256" s="6471" t="e">
        <f>IF(V256=0,"",VLOOKUP(V256,'Tablas Magia'!$D$6:$Z$680,2,FALSE))</f>
        <v>#N/A</v>
      </c>
      <c r="AG256" s="6471"/>
      <c r="AH256" s="1718"/>
      <c r="AI256" s="6492" t="str">
        <f>IFERROR(IF(AF256="Libre Acceso","Aprendido",IF(IFERROR(VLOOKUP(AF256,Místicos!$C$15:$H$25,6,0)&gt;=AB256,FALSE),"Aprendido",IF(IFERROR(VLOOKUP(AF256,Místicos!$E$15:$H$25,4,0)&gt;=AB256,FALSE),"Aprendido",""))),"")</f>
        <v/>
      </c>
      <c r="AJ256" s="6493"/>
      <c r="AK256" s="402"/>
      <c r="AL256" s="396"/>
    </row>
    <row r="257" spans="1:38" ht="12" customHeight="1" x14ac:dyDescent="0.2">
      <c r="A257" s="396"/>
      <c r="B257" s="804"/>
      <c r="C257" s="6473" t="s">
        <v>6237</v>
      </c>
      <c r="D257" s="6487"/>
      <c r="E257" s="2502" t="s">
        <v>6238</v>
      </c>
      <c r="F257" s="2502" t="s">
        <v>1509</v>
      </c>
      <c r="G257" s="2502" t="s">
        <v>2828</v>
      </c>
      <c r="H257" s="2503" t="s">
        <v>1836</v>
      </c>
      <c r="I257" s="6495" t="e">
        <f>IF(C256=0,"",VLOOKUP(C256,'Tablas Magia'!$D$6:$Z$680,5,FALSE))</f>
        <v>#N/A</v>
      </c>
      <c r="J257" s="6495"/>
      <c r="K257" s="6498" t="s">
        <v>6239</v>
      </c>
      <c r="L257" s="6498"/>
      <c r="M257" s="6495" t="e">
        <f>IF(C256=0,"",VLOOKUP(C256,'Tablas Magia'!$D$6:$Z$680,6,FALSE))</f>
        <v>#N/A</v>
      </c>
      <c r="N257" s="6495"/>
      <c r="O257" s="6496" t="s">
        <v>6240</v>
      </c>
      <c r="P257" s="6496"/>
      <c r="Q257" s="2504" t="e">
        <f>IF(C256=0,"",VLOOKUP(C256,'Tablas Magia'!$D$6:$Z$680,4,FALSE))</f>
        <v>#N/A</v>
      </c>
      <c r="R257" s="402"/>
      <c r="S257" s="396"/>
      <c r="T257" s="396"/>
      <c r="U257" s="804"/>
      <c r="V257" s="6473" t="s">
        <v>6237</v>
      </c>
      <c r="W257" s="6504"/>
      <c r="X257" s="1727" t="s">
        <v>6238</v>
      </c>
      <c r="Y257" s="1727" t="s">
        <v>1509</v>
      </c>
      <c r="Z257" s="1727" t="s">
        <v>2828</v>
      </c>
      <c r="AA257" s="1728" t="s">
        <v>1836</v>
      </c>
      <c r="AB257" s="6491" t="e">
        <f>IF(V256=0,"",VLOOKUP(V256,'Tablas Magia'!$D$6:$Z$680,5,FALSE))</f>
        <v>#N/A</v>
      </c>
      <c r="AC257" s="6491"/>
      <c r="AD257" s="6505" t="s">
        <v>6239</v>
      </c>
      <c r="AE257" s="6505"/>
      <c r="AF257" s="6491" t="e">
        <f>IF(V256=0,"",VLOOKUP(V256,'Tablas Magia'!$D$6:$Z$680,6,FALSE))</f>
        <v>#N/A</v>
      </c>
      <c r="AG257" s="6491"/>
      <c r="AH257" s="6506" t="s">
        <v>6240</v>
      </c>
      <c r="AI257" s="6506"/>
      <c r="AJ257" s="1729" t="e">
        <f>IF(V256=0,"",VLOOKUP(V256,'Tablas Magia'!$D$6:$Z$680,4,FALSE))</f>
        <v>#N/A</v>
      </c>
      <c r="AK257" s="402"/>
      <c r="AL257" s="396"/>
    </row>
    <row r="258" spans="1:38" ht="12" customHeight="1" x14ac:dyDescent="0.2">
      <c r="A258" s="396"/>
      <c r="B258" s="804"/>
      <c r="C258" s="6499" t="s">
        <v>1365</v>
      </c>
      <c r="D258" s="6500"/>
      <c r="E258" s="2505" t="e">
        <f>IF(C256=0,"",VLOOKUP(C256,'Tablas Magia'!$D$6:$Z$680,7,FALSE))</f>
        <v>#N/A</v>
      </c>
      <c r="F258" s="2505" t="e">
        <f>IF(C256=0,"",VLOOKUP(C256,'Tablas Magia'!$D$6:$Z$680,11,FALSE))</f>
        <v>#N/A</v>
      </c>
      <c r="G258" s="412" t="e">
        <f>IF(C256=0,"",VLOOKUP(C256,'Tablas Magia'!$D$6:$Z$680,15,FALSE))</f>
        <v>#N/A</v>
      </c>
      <c r="H258" s="6481" t="e">
        <f>IF(C256=0,"",VLOOKUP(C256,'Tablas Magia'!$D$6:$Z$680,19,FALSE))</f>
        <v>#N/A</v>
      </c>
      <c r="I258" s="6482"/>
      <c r="J258" s="6482"/>
      <c r="K258" s="6482"/>
      <c r="L258" s="6482"/>
      <c r="M258" s="6482"/>
      <c r="N258" s="6482"/>
      <c r="O258" s="6482"/>
      <c r="P258" s="6482"/>
      <c r="Q258" s="6483"/>
      <c r="R258" s="402"/>
      <c r="S258" s="396"/>
      <c r="T258" s="396"/>
      <c r="U258" s="804"/>
      <c r="V258" s="6449" t="s">
        <v>1365</v>
      </c>
      <c r="W258" s="6450"/>
      <c r="X258" s="411" t="e">
        <f>IF(V256=0,"",VLOOKUP(V256,'Tablas Magia'!$D$6:$Z$680,7,FALSE))</f>
        <v>#N/A</v>
      </c>
      <c r="Y258" s="411" t="e">
        <f>IF(V256=0,"",VLOOKUP(V256,'Tablas Magia'!$D$6:$Z$680,11,FALSE))</f>
        <v>#N/A</v>
      </c>
      <c r="Z258" s="412" t="e">
        <f>IF(V256=0,"",VLOOKUP(V256,'Tablas Magia'!$D$6:$Z$680,15,FALSE))</f>
        <v>#N/A</v>
      </c>
      <c r="AA258" s="6451" t="e">
        <f>IF(V256=0,"",VLOOKUP(V256,'Tablas Magia'!$D$6:$Z$680,19,FALSE))</f>
        <v>#N/A</v>
      </c>
      <c r="AB258" s="6452"/>
      <c r="AC258" s="6452"/>
      <c r="AD258" s="6452"/>
      <c r="AE258" s="6452"/>
      <c r="AF258" s="6452"/>
      <c r="AG258" s="6452"/>
      <c r="AH258" s="6452"/>
      <c r="AI258" s="6452"/>
      <c r="AJ258" s="6453"/>
      <c r="AK258" s="402"/>
      <c r="AL258" s="396"/>
    </row>
    <row r="259" spans="1:38" ht="12" customHeight="1" x14ac:dyDescent="0.2">
      <c r="A259" s="396"/>
      <c r="B259" s="804"/>
      <c r="C259" s="6444" t="s">
        <v>3197</v>
      </c>
      <c r="D259" s="6445"/>
      <c r="E259" s="2506" t="e">
        <f>IF(C256=0,"",VLOOKUP(C256,'Tablas Magia'!$D$6:$Z$680,8,FALSE))</f>
        <v>#N/A</v>
      </c>
      <c r="F259" s="2506" t="e">
        <f>IF(C256=0,"",VLOOKUP(C256,'Tablas Magia'!$D$6:$Z$680,12,FALSE))</f>
        <v>#N/A</v>
      </c>
      <c r="G259" s="414" t="e">
        <f>IF(C256=0,"",VLOOKUP(C256,'Tablas Magia'!$D$6:$Z$680,16,FALSE))</f>
        <v>#N/A</v>
      </c>
      <c r="H259" s="6446" t="e">
        <f>IF(C256=0,"",VLOOKUP(C256,'Tablas Magia'!$D$6:$Z$680,20,FALSE))</f>
        <v>#N/A</v>
      </c>
      <c r="I259" s="6484"/>
      <c r="J259" s="6484"/>
      <c r="K259" s="6484"/>
      <c r="L259" s="6484"/>
      <c r="M259" s="6484"/>
      <c r="N259" s="6484"/>
      <c r="O259" s="6484"/>
      <c r="P259" s="6484"/>
      <c r="Q259" s="6448"/>
      <c r="R259" s="402"/>
      <c r="S259" s="396"/>
      <c r="T259" s="396"/>
      <c r="U259" s="804"/>
      <c r="V259" s="6444" t="s">
        <v>3197</v>
      </c>
      <c r="W259" s="6445"/>
      <c r="X259" s="413" t="e">
        <f>IF(V256=0,"",VLOOKUP(V256,'Tablas Magia'!$D$6:$Z$680,8,FALSE))</f>
        <v>#N/A</v>
      </c>
      <c r="Y259" s="413" t="e">
        <f>IF(V256=0,"",VLOOKUP(V256,'Tablas Magia'!$D$6:$Z$680,12,FALSE))</f>
        <v>#N/A</v>
      </c>
      <c r="Z259" s="414" t="e">
        <f>IF(V256=0,"",VLOOKUP(V256,'Tablas Magia'!$D$6:$Z$680,16,FALSE))</f>
        <v>#N/A</v>
      </c>
      <c r="AA259" s="6446" t="e">
        <f>IF(V256=0,"",VLOOKUP(V256,'Tablas Magia'!$D$6:$Z$680,20,FALSE))</f>
        <v>#N/A</v>
      </c>
      <c r="AB259" s="6447"/>
      <c r="AC259" s="6447"/>
      <c r="AD259" s="6447"/>
      <c r="AE259" s="6447"/>
      <c r="AF259" s="6447"/>
      <c r="AG259" s="6447"/>
      <c r="AH259" s="6447"/>
      <c r="AI259" s="6447"/>
      <c r="AJ259" s="6448"/>
      <c r="AK259" s="402"/>
      <c r="AL259" s="396"/>
    </row>
    <row r="260" spans="1:38" ht="12" customHeight="1" x14ac:dyDescent="0.2">
      <c r="A260" s="396"/>
      <c r="B260" s="804"/>
      <c r="C260" s="6449" t="s">
        <v>3198</v>
      </c>
      <c r="D260" s="6450"/>
      <c r="E260" s="2505" t="e">
        <f>IF(C256=0,"",VLOOKUP(C256,'Tablas Magia'!$D$6:$Z$680,9,FALSE))</f>
        <v>#N/A</v>
      </c>
      <c r="F260" s="2505" t="e">
        <f>IF(C256=0,"",VLOOKUP(C256,'Tablas Magia'!$D$6:$Z$680,13,FALSE))</f>
        <v>#N/A</v>
      </c>
      <c r="G260" s="412" t="e">
        <f>IF(C256=0,"",VLOOKUP(C256,'Tablas Magia'!$D$6:$Z$680,17,FALSE))</f>
        <v>#N/A</v>
      </c>
      <c r="H260" s="6451" t="e">
        <f>IF(C256=0,"",VLOOKUP(C256,'Tablas Magia'!$D$6:$Z$680,21,FALSE))</f>
        <v>#N/A</v>
      </c>
      <c r="I260" s="6494"/>
      <c r="J260" s="6494"/>
      <c r="K260" s="6494"/>
      <c r="L260" s="6494"/>
      <c r="M260" s="6494"/>
      <c r="N260" s="6494"/>
      <c r="O260" s="6494"/>
      <c r="P260" s="6494"/>
      <c r="Q260" s="6453"/>
      <c r="R260" s="402"/>
      <c r="S260" s="396"/>
      <c r="T260" s="396"/>
      <c r="U260" s="804"/>
      <c r="V260" s="6449" t="s">
        <v>3198</v>
      </c>
      <c r="W260" s="6450"/>
      <c r="X260" s="411" t="e">
        <f>IF(V256=0,"",VLOOKUP(V256,'Tablas Magia'!$D$6:$Z$680,9,FALSE))</f>
        <v>#N/A</v>
      </c>
      <c r="Y260" s="411" t="e">
        <f>IF(V256=0,"",VLOOKUP(V256,'Tablas Magia'!$D$6:$Z$680,13,FALSE))</f>
        <v>#N/A</v>
      </c>
      <c r="Z260" s="412" t="e">
        <f>IF(V256=0,"",VLOOKUP(V256,'Tablas Magia'!$D$6:$Z$680,17,FALSE))</f>
        <v>#N/A</v>
      </c>
      <c r="AA260" s="6451" t="e">
        <f>IF(V256=0,"",VLOOKUP(V256,'Tablas Magia'!$D$6:$Z$680,21,FALSE))</f>
        <v>#N/A</v>
      </c>
      <c r="AB260" s="6452"/>
      <c r="AC260" s="6452"/>
      <c r="AD260" s="6452"/>
      <c r="AE260" s="6452"/>
      <c r="AF260" s="6452"/>
      <c r="AG260" s="6452"/>
      <c r="AH260" s="6452"/>
      <c r="AI260" s="6452"/>
      <c r="AJ260" s="6453"/>
      <c r="AK260" s="402"/>
      <c r="AL260" s="396"/>
    </row>
    <row r="261" spans="1:38" ht="12" customHeight="1" thickBot="1" x14ac:dyDescent="0.25">
      <c r="A261" s="396"/>
      <c r="B261" s="804"/>
      <c r="C261" s="6454" t="s">
        <v>3199</v>
      </c>
      <c r="D261" s="6455"/>
      <c r="E261" s="415" t="e">
        <f>IF(C256=0,"",VLOOKUP(C256,'Tablas Magia'!$D$6:$Z$680,10,FALSE))</f>
        <v>#N/A</v>
      </c>
      <c r="F261" s="415" t="e">
        <f>IF(C256=0,"",VLOOKUP(C256,'Tablas Magia'!$D$6:$Z$680,14,FALSE))</f>
        <v>#N/A</v>
      </c>
      <c r="G261" s="416" t="e">
        <f>IF(C256=0,"",VLOOKUP(C256,'Tablas Magia'!$D$6:$Z$680,18,FALSE))</f>
        <v>#N/A</v>
      </c>
      <c r="H261" s="6456" t="e">
        <f>IF(C256=0,"",VLOOKUP(C256,'Tablas Magia'!$D$6:$Z$680,22,FALSE))</f>
        <v>#N/A</v>
      </c>
      <c r="I261" s="6457"/>
      <c r="J261" s="6457"/>
      <c r="K261" s="6457"/>
      <c r="L261" s="6457"/>
      <c r="M261" s="6457"/>
      <c r="N261" s="6457"/>
      <c r="O261" s="6457"/>
      <c r="P261" s="6457"/>
      <c r="Q261" s="6458"/>
      <c r="R261" s="402"/>
      <c r="S261" s="396"/>
      <c r="T261" s="396"/>
      <c r="U261" s="804"/>
      <c r="V261" s="6454" t="s">
        <v>3199</v>
      </c>
      <c r="W261" s="6455"/>
      <c r="X261" s="415" t="e">
        <f>IF(V256=0,"",VLOOKUP(V256,'Tablas Magia'!$D$6:$Z$680,10,FALSE))</f>
        <v>#N/A</v>
      </c>
      <c r="Y261" s="415" t="e">
        <f>IF(V256=0,"",VLOOKUP(V256,'Tablas Magia'!$D$6:$Z$680,14,FALSE))</f>
        <v>#N/A</v>
      </c>
      <c r="Z261" s="416" t="e">
        <f>IF(V256=0,"",VLOOKUP(V256,'Tablas Magia'!$D$6:$Z$680,18,FALSE))</f>
        <v>#N/A</v>
      </c>
      <c r="AA261" s="6456" t="e">
        <f>IF(V256=0,"",VLOOKUP(V256,'Tablas Magia'!$D$6:$Z$680,22,FALSE))</f>
        <v>#N/A</v>
      </c>
      <c r="AB261" s="6457"/>
      <c r="AC261" s="6457"/>
      <c r="AD261" s="6457"/>
      <c r="AE261" s="6457"/>
      <c r="AF261" s="6457"/>
      <c r="AG261" s="6457"/>
      <c r="AH261" s="6457"/>
      <c r="AI261" s="6457"/>
      <c r="AJ261" s="6458"/>
      <c r="AK261" s="402"/>
      <c r="AL261" s="396"/>
    </row>
    <row r="262" spans="1:38" ht="12" customHeight="1" x14ac:dyDescent="0.2">
      <c r="A262" s="396"/>
      <c r="B262" s="804"/>
      <c r="C262" s="6459" t="e">
        <f>IF(C256=0,"",VLOOKUP(C256,'Tablas Magia'!$D$6:$Z$680,23,FALSE))</f>
        <v>#N/A</v>
      </c>
      <c r="D262" s="6460"/>
      <c r="E262" s="6460"/>
      <c r="F262" s="6460"/>
      <c r="G262" s="6460"/>
      <c r="H262" s="6460"/>
      <c r="I262" s="6460"/>
      <c r="J262" s="6460"/>
      <c r="K262" s="6460"/>
      <c r="L262" s="6460"/>
      <c r="M262" s="6460"/>
      <c r="N262" s="6460"/>
      <c r="O262" s="6460"/>
      <c r="P262" s="6460"/>
      <c r="Q262" s="6461"/>
      <c r="R262" s="402"/>
      <c r="S262" s="396"/>
      <c r="T262" s="396"/>
      <c r="U262" s="804"/>
      <c r="V262" s="6459" t="e">
        <f>IF(V256=0,"",VLOOKUP(V256,'Tablas Magia'!$D$6:$Z$680,23,FALSE))</f>
        <v>#N/A</v>
      </c>
      <c r="W262" s="6460"/>
      <c r="X262" s="6460"/>
      <c r="Y262" s="6460"/>
      <c r="Z262" s="6460"/>
      <c r="AA262" s="6460"/>
      <c r="AB262" s="6460"/>
      <c r="AC262" s="6460"/>
      <c r="AD262" s="6460"/>
      <c r="AE262" s="6460"/>
      <c r="AF262" s="6460"/>
      <c r="AG262" s="6460"/>
      <c r="AH262" s="6460"/>
      <c r="AI262" s="6460"/>
      <c r="AJ262" s="6461"/>
      <c r="AK262" s="402"/>
      <c r="AL262" s="396"/>
    </row>
    <row r="263" spans="1:38" ht="12" customHeight="1" x14ac:dyDescent="0.2">
      <c r="A263" s="396"/>
      <c r="B263" s="804"/>
      <c r="C263" s="6462"/>
      <c r="D263" s="6485"/>
      <c r="E263" s="6485"/>
      <c r="F263" s="6485"/>
      <c r="G263" s="6485"/>
      <c r="H263" s="6485"/>
      <c r="I263" s="6485"/>
      <c r="J263" s="6485"/>
      <c r="K263" s="6485"/>
      <c r="L263" s="6485"/>
      <c r="M263" s="6485"/>
      <c r="N263" s="6485"/>
      <c r="O263" s="6485"/>
      <c r="P263" s="6485"/>
      <c r="Q263" s="6464"/>
      <c r="R263" s="402"/>
      <c r="S263" s="396"/>
      <c r="T263" s="396"/>
      <c r="U263" s="804"/>
      <c r="V263" s="6462"/>
      <c r="W263" s="6463"/>
      <c r="X263" s="6463"/>
      <c r="Y263" s="6463"/>
      <c r="Z263" s="6463"/>
      <c r="AA263" s="6463"/>
      <c r="AB263" s="6463"/>
      <c r="AC263" s="6463"/>
      <c r="AD263" s="6463"/>
      <c r="AE263" s="6463"/>
      <c r="AF263" s="6463"/>
      <c r="AG263" s="6463"/>
      <c r="AH263" s="6463"/>
      <c r="AI263" s="6463"/>
      <c r="AJ263" s="6464"/>
      <c r="AK263" s="402"/>
      <c r="AL263" s="396"/>
    </row>
    <row r="264" spans="1:38" ht="12" customHeight="1" x14ac:dyDescent="0.2">
      <c r="A264" s="396"/>
      <c r="B264" s="804"/>
      <c r="C264" s="6462"/>
      <c r="D264" s="6485"/>
      <c r="E264" s="6485"/>
      <c r="F264" s="6485"/>
      <c r="G264" s="6485"/>
      <c r="H264" s="6485"/>
      <c r="I264" s="6485"/>
      <c r="J264" s="6485"/>
      <c r="K264" s="6485"/>
      <c r="L264" s="6485"/>
      <c r="M264" s="6485"/>
      <c r="N264" s="6485"/>
      <c r="O264" s="6485"/>
      <c r="P264" s="6485"/>
      <c r="Q264" s="6464"/>
      <c r="R264" s="402"/>
      <c r="S264" s="396"/>
      <c r="T264" s="396"/>
      <c r="U264" s="804"/>
      <c r="V264" s="6462"/>
      <c r="W264" s="6463"/>
      <c r="X264" s="6463"/>
      <c r="Y264" s="6463"/>
      <c r="Z264" s="6463"/>
      <c r="AA264" s="6463"/>
      <c r="AB264" s="6463"/>
      <c r="AC264" s="6463"/>
      <c r="AD264" s="6463"/>
      <c r="AE264" s="6463"/>
      <c r="AF264" s="6463"/>
      <c r="AG264" s="6463"/>
      <c r="AH264" s="6463"/>
      <c r="AI264" s="6463"/>
      <c r="AJ264" s="6464"/>
      <c r="AK264" s="402"/>
      <c r="AL264" s="396"/>
    </row>
    <row r="265" spans="1:38" ht="12" customHeight="1" thickBot="1" x14ac:dyDescent="0.25">
      <c r="A265" s="396"/>
      <c r="B265" s="804"/>
      <c r="C265" s="6465"/>
      <c r="D265" s="6466"/>
      <c r="E265" s="6466"/>
      <c r="F265" s="6466"/>
      <c r="G265" s="6466"/>
      <c r="H265" s="6466"/>
      <c r="I265" s="6466"/>
      <c r="J265" s="6466"/>
      <c r="K265" s="6466"/>
      <c r="L265" s="6466"/>
      <c r="M265" s="6466"/>
      <c r="N265" s="6466"/>
      <c r="O265" s="6466"/>
      <c r="P265" s="6466"/>
      <c r="Q265" s="6467"/>
      <c r="R265" s="402"/>
      <c r="S265" s="396"/>
      <c r="T265" s="396"/>
      <c r="U265" s="804"/>
      <c r="V265" s="6465"/>
      <c r="W265" s="6466"/>
      <c r="X265" s="6466"/>
      <c r="Y265" s="6466"/>
      <c r="Z265" s="6466"/>
      <c r="AA265" s="6466"/>
      <c r="AB265" s="6466"/>
      <c r="AC265" s="6466"/>
      <c r="AD265" s="6466"/>
      <c r="AE265" s="6466"/>
      <c r="AF265" s="6466"/>
      <c r="AG265" s="6466"/>
      <c r="AH265" s="6466"/>
      <c r="AI265" s="6466"/>
      <c r="AJ265" s="6467"/>
      <c r="AK265" s="402"/>
      <c r="AL265" s="396"/>
    </row>
    <row r="266" spans="1:38" ht="12" customHeight="1" x14ac:dyDescent="0.2">
      <c r="A266" s="2520"/>
      <c r="B266" s="804"/>
      <c r="C266" s="2526"/>
      <c r="D266" s="2526"/>
      <c r="E266" s="2526"/>
      <c r="F266" s="2526"/>
      <c r="G266" s="2526"/>
      <c r="H266" s="2526"/>
      <c r="I266" s="2526"/>
      <c r="J266" s="2526"/>
      <c r="K266" s="2526"/>
      <c r="L266" s="2526"/>
      <c r="M266" s="2526"/>
      <c r="N266" s="2526"/>
      <c r="O266" s="2526"/>
      <c r="P266" s="2526"/>
      <c r="Q266" s="2526"/>
      <c r="R266" s="402"/>
      <c r="S266" s="2520"/>
      <c r="T266" s="2520"/>
      <c r="U266" s="804"/>
      <c r="V266" s="2526"/>
      <c r="W266" s="2526"/>
      <c r="X266" s="2526"/>
      <c r="Y266" s="2526"/>
      <c r="Z266" s="2526"/>
      <c r="AA266" s="2526"/>
      <c r="AB266" s="2526"/>
      <c r="AC266" s="2526"/>
      <c r="AD266" s="2526"/>
      <c r="AE266" s="2526"/>
      <c r="AF266" s="2526"/>
      <c r="AG266" s="2526"/>
      <c r="AH266" s="2526"/>
      <c r="AI266" s="2526"/>
      <c r="AJ266" s="2526"/>
      <c r="AK266" s="402"/>
      <c r="AL266" s="2520"/>
    </row>
    <row r="267" spans="1:38" ht="12" customHeight="1" thickBot="1" x14ac:dyDescent="0.25">
      <c r="A267" s="396"/>
      <c r="B267" s="805"/>
      <c r="C267" s="424"/>
      <c r="D267" s="424"/>
      <c r="E267" s="424"/>
      <c r="F267" s="424"/>
      <c r="G267" s="424"/>
      <c r="H267" s="424"/>
      <c r="I267" s="424"/>
      <c r="J267" s="424"/>
      <c r="K267" s="424"/>
      <c r="L267" s="424"/>
      <c r="M267" s="424"/>
      <c r="N267" s="424"/>
      <c r="O267" s="424"/>
      <c r="P267" s="424"/>
      <c r="Q267" s="424"/>
      <c r="R267" s="425"/>
      <c r="S267" s="396"/>
      <c r="T267" s="396"/>
      <c r="U267" s="805"/>
      <c r="V267" s="424"/>
      <c r="W267" s="424"/>
      <c r="X267" s="424"/>
      <c r="Y267" s="424"/>
      <c r="Z267" s="424"/>
      <c r="AA267" s="424"/>
      <c r="AB267" s="424"/>
      <c r="AC267" s="424"/>
      <c r="AD267" s="424"/>
      <c r="AE267" s="424"/>
      <c r="AF267" s="424"/>
      <c r="AG267" s="424"/>
      <c r="AH267" s="424"/>
      <c r="AI267" s="424"/>
      <c r="AJ267" s="424"/>
      <c r="AK267" s="425"/>
      <c r="AL267" s="396"/>
    </row>
    <row r="268" spans="1:38" ht="12" customHeight="1" x14ac:dyDescent="0.2">
      <c r="A268" s="1433"/>
      <c r="B268" s="2517"/>
      <c r="C268" s="2518"/>
      <c r="D268" s="2518"/>
      <c r="E268" s="2518"/>
      <c r="F268" s="2518"/>
      <c r="G268" s="2518"/>
      <c r="H268" s="2518"/>
      <c r="I268" s="2518"/>
      <c r="J268" s="2518"/>
      <c r="K268" s="2518"/>
      <c r="L268" s="2518"/>
      <c r="M268" s="2518"/>
      <c r="N268" s="2518"/>
      <c r="O268" s="2518"/>
      <c r="P268" s="2518"/>
      <c r="Q268" s="2518"/>
      <c r="R268" s="2518"/>
      <c r="S268" s="1433"/>
      <c r="T268" s="1433"/>
      <c r="U268" s="1434"/>
      <c r="V268" s="1433"/>
      <c r="W268" s="1433"/>
      <c r="X268" s="1433"/>
      <c r="Y268" s="1433"/>
      <c r="Z268" s="1433"/>
      <c r="AA268" s="1433"/>
      <c r="AB268" s="1433"/>
      <c r="AC268" s="1433"/>
      <c r="AD268" s="1433"/>
      <c r="AE268" s="1433"/>
      <c r="AF268" s="1433"/>
      <c r="AG268" s="1433"/>
      <c r="AH268" s="1433"/>
      <c r="AI268" s="1433"/>
      <c r="AJ268" s="1433"/>
      <c r="AK268" s="1433"/>
      <c r="AL268" s="1433"/>
    </row>
    <row r="269" spans="1:38" ht="12" customHeight="1" thickBot="1" x14ac:dyDescent="0.25">
      <c r="A269" s="2520"/>
      <c r="B269" s="2520"/>
      <c r="C269" s="2520"/>
      <c r="D269" s="2520"/>
      <c r="E269" s="2520"/>
      <c r="F269" s="2520"/>
      <c r="G269" s="2520"/>
      <c r="H269" s="2520"/>
      <c r="I269" s="2520"/>
      <c r="J269" s="2520"/>
      <c r="K269" s="2520"/>
      <c r="L269" s="2520"/>
      <c r="M269" s="2520"/>
      <c r="N269" s="2520"/>
      <c r="O269" s="2520"/>
      <c r="P269" s="2520"/>
      <c r="Q269" s="2520"/>
      <c r="R269" s="2520"/>
      <c r="S269" s="2520"/>
      <c r="T269" s="2481"/>
      <c r="U269" s="802"/>
      <c r="V269" s="2481"/>
      <c r="W269" s="2481"/>
      <c r="X269" s="2481"/>
      <c r="Y269" s="2481"/>
      <c r="Z269" s="2481"/>
      <c r="AA269" s="2481"/>
      <c r="AB269" s="2481"/>
      <c r="AC269" s="2481"/>
      <c r="AD269" s="2481"/>
      <c r="AE269" s="2481"/>
      <c r="AF269" s="2481"/>
      <c r="AG269" s="2481"/>
      <c r="AH269" s="2481"/>
      <c r="AI269" s="2481"/>
      <c r="AJ269" s="2481"/>
      <c r="AK269" s="2481"/>
      <c r="AL269" s="2481"/>
    </row>
    <row r="270" spans="1:38" ht="17.25" customHeight="1" thickBot="1" x14ac:dyDescent="0.25">
      <c r="A270" s="1433"/>
      <c r="B270" s="1086"/>
      <c r="C270" s="398"/>
      <c r="D270" s="398"/>
      <c r="E270" s="398"/>
      <c r="F270" s="398"/>
      <c r="G270" s="398"/>
      <c r="H270" s="398"/>
      <c r="I270" s="398"/>
      <c r="J270" s="398"/>
      <c r="K270" s="398"/>
      <c r="L270" s="398"/>
      <c r="M270" s="398"/>
      <c r="N270" s="398"/>
      <c r="O270" s="398"/>
      <c r="P270" s="398"/>
      <c r="Q270" s="398"/>
      <c r="R270" s="399"/>
      <c r="S270" s="396"/>
      <c r="T270" s="1433"/>
      <c r="U270" s="1086"/>
      <c r="V270" s="398"/>
      <c r="W270" s="398"/>
      <c r="X270" s="398"/>
      <c r="Y270" s="398"/>
      <c r="Z270" s="398"/>
      <c r="AA270" s="398"/>
      <c r="AB270" s="398"/>
      <c r="AC270" s="398"/>
      <c r="AD270" s="398"/>
      <c r="AE270" s="398"/>
      <c r="AF270" s="398"/>
      <c r="AG270" s="398"/>
      <c r="AH270" s="398"/>
      <c r="AI270" s="398"/>
      <c r="AJ270" s="398"/>
      <c r="AK270" s="399"/>
      <c r="AL270" s="2481"/>
    </row>
    <row r="271" spans="1:38" ht="12" customHeight="1" x14ac:dyDescent="0.2">
      <c r="A271" s="1433"/>
      <c r="B271" s="1087"/>
      <c r="C271" s="6438"/>
      <c r="D271" s="6439"/>
      <c r="E271" s="6439"/>
      <c r="F271" s="6439"/>
      <c r="G271" s="6439"/>
      <c r="H271" s="6439"/>
      <c r="I271" s="2482"/>
      <c r="J271" s="2482"/>
      <c r="K271" s="2482"/>
      <c r="L271" s="2482"/>
      <c r="M271" s="2482"/>
      <c r="N271" s="2482"/>
      <c r="O271" s="2482"/>
      <c r="P271" s="2482"/>
      <c r="Q271" s="401"/>
      <c r="R271" s="402"/>
      <c r="S271" s="396"/>
      <c r="T271" s="1433"/>
      <c r="U271" s="1087"/>
      <c r="V271" s="6438"/>
      <c r="W271" s="6439"/>
      <c r="X271" s="6439"/>
      <c r="Y271" s="6439"/>
      <c r="Z271" s="6439"/>
      <c r="AA271" s="6439"/>
      <c r="AB271" s="2482"/>
      <c r="AC271" s="2482"/>
      <c r="AD271" s="2482"/>
      <c r="AE271" s="2482"/>
      <c r="AF271" s="2482"/>
      <c r="AG271" s="2482"/>
      <c r="AH271" s="2482"/>
      <c r="AI271" s="2482"/>
      <c r="AJ271" s="401"/>
      <c r="AK271" s="402"/>
      <c r="AL271" s="2481"/>
    </row>
    <row r="272" spans="1:38" ht="12" customHeight="1" x14ac:dyDescent="0.2">
      <c r="A272" s="1731"/>
      <c r="B272" s="1730"/>
      <c r="C272" s="6440"/>
      <c r="D272" s="6441"/>
      <c r="E272" s="6441"/>
      <c r="F272" s="6441"/>
      <c r="G272" s="6441"/>
      <c r="H272" s="6441"/>
      <c r="I272" s="2495"/>
      <c r="J272" s="6478" t="s">
        <v>10048</v>
      </c>
      <c r="K272" s="6479"/>
      <c r="L272" s="6479"/>
      <c r="M272" s="6479"/>
      <c r="N272" s="6479"/>
      <c r="O272" s="6479"/>
      <c r="P272" s="6479"/>
      <c r="Q272" s="356"/>
      <c r="R272" s="808"/>
      <c r="S272" s="807"/>
      <c r="T272" s="1731"/>
      <c r="U272" s="1730"/>
      <c r="V272" s="6440"/>
      <c r="W272" s="6441"/>
      <c r="X272" s="6441"/>
      <c r="Y272" s="6441"/>
      <c r="Z272" s="6441"/>
      <c r="AA272" s="6441"/>
      <c r="AB272" s="2483"/>
      <c r="AC272" s="6489" t="s">
        <v>10048</v>
      </c>
      <c r="AD272" s="6490"/>
      <c r="AE272" s="6490"/>
      <c r="AF272" s="6490"/>
      <c r="AG272" s="6490"/>
      <c r="AH272" s="6490"/>
      <c r="AI272" s="6490"/>
      <c r="AJ272" s="356"/>
      <c r="AK272" s="808"/>
      <c r="AL272" s="807"/>
    </row>
    <row r="273" spans="1:38" ht="12" customHeight="1" x14ac:dyDescent="0.2">
      <c r="A273" s="1433"/>
      <c r="B273" s="1087"/>
      <c r="C273" s="6440"/>
      <c r="D273" s="6441"/>
      <c r="E273" s="6441"/>
      <c r="F273" s="6441"/>
      <c r="G273" s="6441"/>
      <c r="H273" s="6441"/>
      <c r="I273" s="2495"/>
      <c r="J273" s="6479"/>
      <c r="K273" s="6479"/>
      <c r="L273" s="6479"/>
      <c r="M273" s="6479"/>
      <c r="N273" s="6479"/>
      <c r="O273" s="6479"/>
      <c r="P273" s="6479"/>
      <c r="Q273" s="403"/>
      <c r="R273" s="402"/>
      <c r="S273" s="396"/>
      <c r="T273" s="1433"/>
      <c r="U273" s="1087"/>
      <c r="V273" s="6440"/>
      <c r="W273" s="6441"/>
      <c r="X273" s="6441"/>
      <c r="Y273" s="6441"/>
      <c r="Z273" s="6441"/>
      <c r="AA273" s="6441"/>
      <c r="AB273" s="2483"/>
      <c r="AC273" s="6490"/>
      <c r="AD273" s="6490"/>
      <c r="AE273" s="6490"/>
      <c r="AF273" s="6490"/>
      <c r="AG273" s="6490"/>
      <c r="AH273" s="6490"/>
      <c r="AI273" s="6490"/>
      <c r="AJ273" s="403"/>
      <c r="AK273" s="402"/>
      <c r="AL273" s="2481"/>
    </row>
    <row r="274" spans="1:38" ht="12" customHeight="1" x14ac:dyDescent="0.2">
      <c r="A274" s="1433"/>
      <c r="B274" s="1087"/>
      <c r="C274" s="6440"/>
      <c r="D274" s="6441"/>
      <c r="E274" s="6441"/>
      <c r="F274" s="6441"/>
      <c r="G274" s="6441"/>
      <c r="H274" s="6441"/>
      <c r="I274" s="2496" t="s">
        <v>7044</v>
      </c>
      <c r="J274" s="6480" t="str">
        <f>IF($J$6="","",$J$6)</f>
        <v/>
      </c>
      <c r="K274" s="6480"/>
      <c r="L274" s="6480"/>
      <c r="M274" s="2497"/>
      <c r="N274" s="2497"/>
      <c r="O274" s="2498" t="str">
        <f>$O$6</f>
        <v>Nivel de vía aprendido</v>
      </c>
      <c r="P274" s="2499">
        <f>$P$6</f>
        <v>0</v>
      </c>
      <c r="Q274" s="403"/>
      <c r="R274" s="402"/>
      <c r="S274" s="396"/>
      <c r="T274" s="1433"/>
      <c r="U274" s="1087"/>
      <c r="V274" s="6440"/>
      <c r="W274" s="6441"/>
      <c r="X274" s="6441"/>
      <c r="Y274" s="6441"/>
      <c r="Z274" s="6441"/>
      <c r="AA274" s="6441"/>
      <c r="AB274" s="2273" t="s">
        <v>7044</v>
      </c>
      <c r="AC274" s="6488" t="str">
        <f>IF($J$6="","",$J$6)</f>
        <v/>
      </c>
      <c r="AD274" s="6488"/>
      <c r="AE274" s="6488"/>
      <c r="AF274" s="2269"/>
      <c r="AG274" s="2269"/>
      <c r="AH274" s="2270" t="str">
        <f>$O$6</f>
        <v>Nivel de vía aprendido</v>
      </c>
      <c r="AI274" s="2271">
        <f>$P$6</f>
        <v>0</v>
      </c>
      <c r="AJ274" s="403"/>
      <c r="AK274" s="402"/>
      <c r="AL274" s="2481"/>
    </row>
    <row r="275" spans="1:38" ht="12" customHeight="1" x14ac:dyDescent="0.2">
      <c r="A275" s="1433"/>
      <c r="B275" s="1087"/>
      <c r="C275" s="6440"/>
      <c r="D275" s="6441"/>
      <c r="E275" s="6441"/>
      <c r="F275" s="6441"/>
      <c r="G275" s="6441"/>
      <c r="H275" s="6441"/>
      <c r="I275" s="2500" t="s">
        <v>7045</v>
      </c>
      <c r="J275" s="6480" t="str">
        <f>IF($J$8="","",$J$8)</f>
        <v/>
      </c>
      <c r="K275" s="6480"/>
      <c r="L275" s="6480"/>
      <c r="M275" s="2497"/>
      <c r="N275" s="2497"/>
      <c r="O275" s="2497"/>
      <c r="P275" s="2497"/>
      <c r="Q275" s="403"/>
      <c r="R275" s="402"/>
      <c r="S275" s="396"/>
      <c r="T275" s="1433"/>
      <c r="U275" s="1087"/>
      <c r="V275" s="6440"/>
      <c r="W275" s="6441"/>
      <c r="X275" s="6441"/>
      <c r="Y275" s="6441"/>
      <c r="Z275" s="6441"/>
      <c r="AA275" s="6441"/>
      <c r="AB275" s="2274" t="s">
        <v>7045</v>
      </c>
      <c r="AC275" s="6488" t="str">
        <f>IF($J$8="","",$J$8)</f>
        <v/>
      </c>
      <c r="AD275" s="6488"/>
      <c r="AE275" s="6488"/>
      <c r="AF275" s="2269"/>
      <c r="AG275" s="2269"/>
      <c r="AH275" s="2269"/>
      <c r="AI275" s="2269"/>
      <c r="AJ275" s="403"/>
      <c r="AK275" s="402"/>
      <c r="AL275" s="2481"/>
    </row>
    <row r="276" spans="1:38" ht="12" customHeight="1" thickBot="1" x14ac:dyDescent="0.25">
      <c r="A276" s="1433"/>
      <c r="B276" s="1087"/>
      <c r="C276" s="6442"/>
      <c r="D276" s="6443"/>
      <c r="E276" s="6443"/>
      <c r="F276" s="6443"/>
      <c r="G276" s="6443"/>
      <c r="H276" s="6443"/>
      <c r="I276" s="2484"/>
      <c r="J276" s="2484"/>
      <c r="K276" s="2484"/>
      <c r="L276" s="2484"/>
      <c r="M276" s="2484"/>
      <c r="N276" s="2484"/>
      <c r="O276" s="2484"/>
      <c r="P276" s="2484"/>
      <c r="Q276" s="405"/>
      <c r="R276" s="402"/>
      <c r="S276" s="396"/>
      <c r="T276" s="1433"/>
      <c r="U276" s="1087"/>
      <c r="V276" s="6442"/>
      <c r="W276" s="6443"/>
      <c r="X276" s="6443"/>
      <c r="Y276" s="6443"/>
      <c r="Z276" s="6443"/>
      <c r="AA276" s="6443"/>
      <c r="AB276" s="2484"/>
      <c r="AC276" s="2484"/>
      <c r="AD276" s="2484"/>
      <c r="AE276" s="2484"/>
      <c r="AF276" s="2484"/>
      <c r="AG276" s="2484"/>
      <c r="AH276" s="2484"/>
      <c r="AI276" s="2484"/>
      <c r="AJ276" s="405"/>
      <c r="AK276" s="402"/>
      <c r="AL276" s="2481"/>
    </row>
    <row r="277" spans="1:38" ht="12" customHeight="1" x14ac:dyDescent="0.2">
      <c r="A277" s="1433"/>
      <c r="B277" s="1087"/>
      <c r="C277" s="2501"/>
      <c r="D277" s="2501"/>
      <c r="E277" s="2501"/>
      <c r="F277" s="2501"/>
      <c r="G277" s="2501"/>
      <c r="H277" s="2501"/>
      <c r="I277" s="2501"/>
      <c r="J277" s="2501"/>
      <c r="K277" s="2501"/>
      <c r="L277" s="2501"/>
      <c r="M277" s="2501"/>
      <c r="N277" s="2501"/>
      <c r="O277" s="2501"/>
      <c r="P277" s="2501"/>
      <c r="Q277" s="2501"/>
      <c r="R277" s="402"/>
      <c r="S277" s="396"/>
      <c r="T277" s="1433"/>
      <c r="U277" s="1087"/>
      <c r="AK277" s="402"/>
      <c r="AL277" s="2481"/>
    </row>
    <row r="278" spans="1:38" ht="12" customHeight="1" thickBot="1" x14ac:dyDescent="0.25">
      <c r="A278" s="1433"/>
      <c r="B278" s="812"/>
      <c r="C278" s="6497" t="str">
        <f>"Conjuros de nivel "&amp;B279&amp;"-"&amp;B323</f>
        <v>Conjuros de nivel 82-90</v>
      </c>
      <c r="D278" s="6497"/>
      <c r="E278" s="6497"/>
      <c r="F278" s="6497"/>
      <c r="G278" s="6497"/>
      <c r="H278" s="6497"/>
      <c r="I278" s="6497"/>
      <c r="J278" s="6497"/>
      <c r="K278" s="6497"/>
      <c r="L278" s="6497"/>
      <c r="M278" s="6497"/>
      <c r="N278" s="6497"/>
      <c r="O278" s="6497"/>
      <c r="P278" s="6497"/>
      <c r="Q278" s="6497"/>
      <c r="R278" s="810"/>
      <c r="S278" s="396"/>
      <c r="T278" s="396"/>
      <c r="U278" s="812"/>
      <c r="V278" s="6497" t="str">
        <f>"Conjuros de nivel "&amp;U279&amp;"-"&amp;U323</f>
        <v>Conjuros de nivel 92-100</v>
      </c>
      <c r="W278" s="6497"/>
      <c r="X278" s="6497"/>
      <c r="Y278" s="6497"/>
      <c r="Z278" s="6497"/>
      <c r="AA278" s="6497"/>
      <c r="AB278" s="6497"/>
      <c r="AC278" s="6497"/>
      <c r="AD278" s="6497"/>
      <c r="AE278" s="6497"/>
      <c r="AF278" s="6497"/>
      <c r="AG278" s="6497"/>
      <c r="AH278" s="6497"/>
      <c r="AI278" s="6497"/>
      <c r="AJ278" s="6497"/>
      <c r="AK278" s="810"/>
      <c r="AL278" s="396"/>
    </row>
    <row r="279" spans="1:38" ht="12" customHeight="1" x14ac:dyDescent="0.2">
      <c r="A279" s="396"/>
      <c r="B279" s="804">
        <f>B212+20</f>
        <v>82</v>
      </c>
      <c r="C279" s="6501"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502"/>
      <c r="E279" s="6502"/>
      <c r="F279" s="6502"/>
      <c r="G279" s="6503"/>
      <c r="H279" s="406" t="s">
        <v>1325</v>
      </c>
      <c r="I279" s="407">
        <f>B279</f>
        <v>82</v>
      </c>
      <c r="J279" s="6486" t="s">
        <v>6236</v>
      </c>
      <c r="K279" s="6486"/>
      <c r="L279" s="6486"/>
      <c r="M279" s="6471" t="e">
        <f>IF(C279=0,"",VLOOKUP(C279,'Tablas Magia'!$D$6:$Z$680,2,FALSE))</f>
        <v>#N/A</v>
      </c>
      <c r="N279" s="6471"/>
      <c r="O279" s="1718"/>
      <c r="P279" s="6492" t="str">
        <f>IFERROR(IF(M279="Libre Acceso","Aprendido",IF(IFERROR(VLOOKUP(M279,Místicos!$C$15:$H$25,6,0)&gt;=I279,FALSE),"Aprendido",IF(IFERROR(VLOOKUP(M279,Místicos!$E$15:$H$25,4,0)&gt;=I279,FALSE),"Aprendido",""))),"")</f>
        <v/>
      </c>
      <c r="Q279" s="6493"/>
      <c r="R279" s="402"/>
      <c r="S279" s="396"/>
      <c r="T279" s="396"/>
      <c r="U279" s="804">
        <f>B323+2</f>
        <v>92</v>
      </c>
      <c r="V279" s="6501"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507"/>
      <c r="X279" s="6507"/>
      <c r="Y279" s="6507"/>
      <c r="Z279" s="6508"/>
      <c r="AA279" s="406" t="s">
        <v>1325</v>
      </c>
      <c r="AB279" s="407">
        <f>U279</f>
        <v>92</v>
      </c>
      <c r="AC279" s="6486" t="s">
        <v>6236</v>
      </c>
      <c r="AD279" s="6486"/>
      <c r="AE279" s="6486"/>
      <c r="AF279" s="6471" t="e">
        <f>IF(V279=0,"",VLOOKUP(V279,'Tablas Magia'!$D$6:$Z$680,2,FALSE))</f>
        <v>#N/A</v>
      </c>
      <c r="AG279" s="6471"/>
      <c r="AH279" s="1718"/>
      <c r="AI279" s="6492" t="str">
        <f>IFERROR(IF(AF279="Libre Acceso","Aprendido",IF(IFERROR(VLOOKUP(AF279,Místicos!$C$15:$H$25,6,0)&gt;=AB279,FALSE),"Aprendido",IF(IFERROR(VLOOKUP(AF279,Místicos!$E$15:$H$25,4,0)&gt;=AB279,FALSE),"Aprendido",""))),"")</f>
        <v/>
      </c>
      <c r="AJ279" s="6493"/>
      <c r="AK279" s="402"/>
      <c r="AL279" s="396"/>
    </row>
    <row r="280" spans="1:38" ht="12" customHeight="1" x14ac:dyDescent="0.2">
      <c r="A280" s="396"/>
      <c r="B280" s="804"/>
      <c r="C280" s="6473" t="s">
        <v>6237</v>
      </c>
      <c r="D280" s="6487"/>
      <c r="E280" s="2502" t="s">
        <v>6238</v>
      </c>
      <c r="F280" s="2502" t="s">
        <v>1509</v>
      </c>
      <c r="G280" s="2502" t="s">
        <v>2828</v>
      </c>
      <c r="H280" s="2503" t="s">
        <v>1836</v>
      </c>
      <c r="I280" s="6495" t="e">
        <f>IF(C279=0,"",VLOOKUP(C279,'Tablas Magia'!$D$6:$Z$680,5,FALSE))</f>
        <v>#N/A</v>
      </c>
      <c r="J280" s="6495"/>
      <c r="K280" s="6498" t="s">
        <v>6239</v>
      </c>
      <c r="L280" s="6498"/>
      <c r="M280" s="6495" t="e">
        <f>IF(C279=0,"",VLOOKUP(C279,'Tablas Magia'!$D$6:$Z$680,6,FALSE))</f>
        <v>#N/A</v>
      </c>
      <c r="N280" s="6495"/>
      <c r="O280" s="6496" t="s">
        <v>6240</v>
      </c>
      <c r="P280" s="6496"/>
      <c r="Q280" s="2504" t="e">
        <f>IF(C279=0,"",VLOOKUP(C279,'Tablas Magia'!$D$6:$Z$680,4,FALSE))</f>
        <v>#N/A</v>
      </c>
      <c r="R280" s="402"/>
      <c r="S280" s="396"/>
      <c r="T280" s="396"/>
      <c r="U280" s="804"/>
      <c r="V280" s="6473" t="s">
        <v>6237</v>
      </c>
      <c r="W280" s="6504"/>
      <c r="X280" s="1727" t="s">
        <v>6238</v>
      </c>
      <c r="Y280" s="1727" t="s">
        <v>1509</v>
      </c>
      <c r="Z280" s="1727" t="s">
        <v>2828</v>
      </c>
      <c r="AA280" s="1728" t="s">
        <v>1836</v>
      </c>
      <c r="AB280" s="6491" t="e">
        <f>IF(V279=0,"",VLOOKUP(V279,'Tablas Magia'!$D$6:$Z$680,5,FALSE))</f>
        <v>#N/A</v>
      </c>
      <c r="AC280" s="6491"/>
      <c r="AD280" s="6505" t="s">
        <v>6239</v>
      </c>
      <c r="AE280" s="6505"/>
      <c r="AF280" s="6491" t="e">
        <f>IF(V279=0,"",VLOOKUP(V279,'Tablas Magia'!$D$6:$Z$680,6,FALSE))</f>
        <v>#N/A</v>
      </c>
      <c r="AG280" s="6491"/>
      <c r="AH280" s="6506" t="s">
        <v>6240</v>
      </c>
      <c r="AI280" s="6506"/>
      <c r="AJ280" s="1729" t="e">
        <f>IF(V279=0,"",VLOOKUP(V279,'Tablas Magia'!$D$6:$Z$680,4,FALSE))</f>
        <v>#N/A</v>
      </c>
      <c r="AK280" s="402"/>
      <c r="AL280" s="396"/>
    </row>
    <row r="281" spans="1:38" ht="12" customHeight="1" x14ac:dyDescent="0.2">
      <c r="A281" s="396"/>
      <c r="B281" s="804"/>
      <c r="C281" s="6449" t="s">
        <v>1365</v>
      </c>
      <c r="D281" s="6450"/>
      <c r="E281" s="2505" t="e">
        <f>IF(C279=0,"",VLOOKUP(C279,'Tablas Magia'!$D$6:$Z$680,7,FALSE))</f>
        <v>#N/A</v>
      </c>
      <c r="F281" s="2505" t="e">
        <f>IF(C279=0,"",VLOOKUP(C279,'Tablas Magia'!$D$6:$Z$680,11,FALSE))</f>
        <v>#N/A</v>
      </c>
      <c r="G281" s="412" t="e">
        <f>IF(C279=0,"",VLOOKUP(C279,'Tablas Magia'!$D$6:$Z$680,15,FALSE))</f>
        <v>#N/A</v>
      </c>
      <c r="H281" s="6451" t="e">
        <f>IF(C279=0,"",VLOOKUP(C279,'Tablas Magia'!$D$6:$Z$680,19,FALSE))</f>
        <v>#N/A</v>
      </c>
      <c r="I281" s="6494"/>
      <c r="J281" s="6494"/>
      <c r="K281" s="6494"/>
      <c r="L281" s="6494"/>
      <c r="M281" s="6494"/>
      <c r="N281" s="6494"/>
      <c r="O281" s="6494"/>
      <c r="P281" s="6494"/>
      <c r="Q281" s="6453"/>
      <c r="R281" s="402"/>
      <c r="S281" s="396"/>
      <c r="T281" s="396"/>
      <c r="U281" s="804"/>
      <c r="V281" s="6499" t="s">
        <v>1365</v>
      </c>
      <c r="W281" s="6500"/>
      <c r="X281" s="411" t="e">
        <f>IF(V279=0,"",VLOOKUP(V279,'Tablas Magia'!$D$6:$Z$680,7,FALSE))</f>
        <v>#N/A</v>
      </c>
      <c r="Y281" s="411" t="e">
        <f>IF(V279=0,"",VLOOKUP(V279,'Tablas Magia'!$D$6:$Z$680,11,FALSE))</f>
        <v>#N/A</v>
      </c>
      <c r="Z281" s="412" t="e">
        <f>IF(V279=0,"",VLOOKUP(V279,'Tablas Magia'!$D$6:$Z$680,15,FALSE))</f>
        <v>#N/A</v>
      </c>
      <c r="AA281" s="6481" t="e">
        <f>IF(V279=0,"",VLOOKUP(V279,'Tablas Magia'!$D$6:$Z$680,19,FALSE))</f>
        <v>#N/A</v>
      </c>
      <c r="AB281" s="6482"/>
      <c r="AC281" s="6482"/>
      <c r="AD281" s="6482"/>
      <c r="AE281" s="6482"/>
      <c r="AF281" s="6482"/>
      <c r="AG281" s="6482"/>
      <c r="AH281" s="6482"/>
      <c r="AI281" s="6482"/>
      <c r="AJ281" s="6483"/>
      <c r="AK281" s="402"/>
      <c r="AL281" s="396"/>
    </row>
    <row r="282" spans="1:38" ht="12" customHeight="1" x14ac:dyDescent="0.2">
      <c r="A282" s="396"/>
      <c r="B282" s="804"/>
      <c r="C282" s="6444" t="s">
        <v>3197</v>
      </c>
      <c r="D282" s="6445"/>
      <c r="E282" s="2506" t="e">
        <f>IF(C279=0,"",VLOOKUP(C279,'Tablas Magia'!$D$6:$Z$680,8,FALSE))</f>
        <v>#N/A</v>
      </c>
      <c r="F282" s="2506" t="e">
        <f>IF(C279=0,"",VLOOKUP(C279,'Tablas Magia'!$D$6:$Z$680,12,FALSE))</f>
        <v>#N/A</v>
      </c>
      <c r="G282" s="414" t="e">
        <f>IF(C279=0,"",VLOOKUP(C279,'Tablas Magia'!$D$6:$Z$680,16,FALSE))</f>
        <v>#N/A</v>
      </c>
      <c r="H282" s="6446" t="e">
        <f>IF(C279=0,"",VLOOKUP(C279,'Tablas Magia'!$D$6:$Z$680,20,FALSE))</f>
        <v>#N/A</v>
      </c>
      <c r="I282" s="6484"/>
      <c r="J282" s="6484"/>
      <c r="K282" s="6484"/>
      <c r="L282" s="6484"/>
      <c r="M282" s="6484"/>
      <c r="N282" s="6484"/>
      <c r="O282" s="6484"/>
      <c r="P282" s="6484"/>
      <c r="Q282" s="6448"/>
      <c r="R282" s="402"/>
      <c r="S282" s="396"/>
      <c r="T282" s="396"/>
      <c r="U282" s="804"/>
      <c r="V282" s="6444" t="s">
        <v>3197</v>
      </c>
      <c r="W282" s="6445"/>
      <c r="X282" s="413" t="e">
        <f>IF(V279=0,"",VLOOKUP(V279,'Tablas Magia'!$D$6:$Z$680,8,FALSE))</f>
        <v>#N/A</v>
      </c>
      <c r="Y282" s="413" t="e">
        <f>IF(V279=0,"",VLOOKUP(V279,'Tablas Magia'!$D$6:$Z$680,12,FALSE))</f>
        <v>#N/A</v>
      </c>
      <c r="Z282" s="414" t="e">
        <f>IF(V279=0,"",VLOOKUP(V279,'Tablas Magia'!$D$6:$Z$680,16,FALSE))</f>
        <v>#N/A</v>
      </c>
      <c r="AA282" s="6446" t="e">
        <f>IF(V279=0,"",VLOOKUP(V279,'Tablas Magia'!$D$6:$Z$680,20,FALSE))</f>
        <v>#N/A</v>
      </c>
      <c r="AB282" s="6447"/>
      <c r="AC282" s="6447"/>
      <c r="AD282" s="6447"/>
      <c r="AE282" s="6447"/>
      <c r="AF282" s="6447"/>
      <c r="AG282" s="6447"/>
      <c r="AH282" s="6447"/>
      <c r="AI282" s="6447"/>
      <c r="AJ282" s="6448"/>
      <c r="AK282" s="402"/>
      <c r="AL282" s="396"/>
    </row>
    <row r="283" spans="1:38" ht="12" customHeight="1" x14ac:dyDescent="0.2">
      <c r="A283" s="396"/>
      <c r="B283" s="804"/>
      <c r="C283" s="6449" t="s">
        <v>3198</v>
      </c>
      <c r="D283" s="6450"/>
      <c r="E283" s="2505" t="e">
        <f>IF(C279=0,"",VLOOKUP(C279,'Tablas Magia'!$D$6:$Z$680,9,FALSE))</f>
        <v>#N/A</v>
      </c>
      <c r="F283" s="2505" t="e">
        <f>IF(C279=0,"",VLOOKUP(C279,'Tablas Magia'!$D$6:$Z$680,13,FALSE))</f>
        <v>#N/A</v>
      </c>
      <c r="G283" s="412" t="e">
        <f>IF(C279=0,"",VLOOKUP(C279,'Tablas Magia'!$D$6:$Z$680,17,FALSE))</f>
        <v>#N/A</v>
      </c>
      <c r="H283" s="6451" t="e">
        <f>IF(C279=0,"",VLOOKUP(C279,'Tablas Magia'!$D$6:$Z$680,21,FALSE))</f>
        <v>#N/A</v>
      </c>
      <c r="I283" s="6494"/>
      <c r="J283" s="6494"/>
      <c r="K283" s="6494"/>
      <c r="L283" s="6494"/>
      <c r="M283" s="6494"/>
      <c r="N283" s="6494"/>
      <c r="O283" s="6494"/>
      <c r="P283" s="6494"/>
      <c r="Q283" s="6453"/>
      <c r="R283" s="402"/>
      <c r="S283" s="396"/>
      <c r="T283" s="396"/>
      <c r="U283" s="804"/>
      <c r="V283" s="6449" t="s">
        <v>3198</v>
      </c>
      <c r="W283" s="6450"/>
      <c r="X283" s="411" t="e">
        <f>IF(V279=0,"",VLOOKUP(V279,'Tablas Magia'!$D$6:$Z$680,9,FALSE))</f>
        <v>#N/A</v>
      </c>
      <c r="Y283" s="411" t="e">
        <f>IF(V279=0,"",VLOOKUP(V279,'Tablas Magia'!$D$6:$Z$680,13,FALSE))</f>
        <v>#N/A</v>
      </c>
      <c r="Z283" s="412" t="e">
        <f>IF(V279=0,"",VLOOKUP(V279,'Tablas Magia'!$D$6:$Z$680,17,FALSE))</f>
        <v>#N/A</v>
      </c>
      <c r="AA283" s="6451" t="e">
        <f>IF(V279=0,"",VLOOKUP(V279,'Tablas Magia'!$D$6:$Z$680,21,FALSE))</f>
        <v>#N/A</v>
      </c>
      <c r="AB283" s="6452"/>
      <c r="AC283" s="6452"/>
      <c r="AD283" s="6452"/>
      <c r="AE283" s="6452"/>
      <c r="AF283" s="6452"/>
      <c r="AG283" s="6452"/>
      <c r="AH283" s="6452"/>
      <c r="AI283" s="6452"/>
      <c r="AJ283" s="6453"/>
      <c r="AK283" s="402"/>
      <c r="AL283" s="396"/>
    </row>
    <row r="284" spans="1:38" ht="12" customHeight="1" thickBot="1" x14ac:dyDescent="0.25">
      <c r="A284" s="396"/>
      <c r="B284" s="804"/>
      <c r="C284" s="6454" t="s">
        <v>3199</v>
      </c>
      <c r="D284" s="6455"/>
      <c r="E284" s="415" t="e">
        <f>IF(C279=0,"",VLOOKUP(C279,'Tablas Magia'!$D$6:$Z$680,10,FALSE))</f>
        <v>#N/A</v>
      </c>
      <c r="F284" s="415" t="e">
        <f>IF(C279=0,"",VLOOKUP(C279,'Tablas Magia'!$D$6:$Z$680,14,FALSE))</f>
        <v>#N/A</v>
      </c>
      <c r="G284" s="416" t="e">
        <f>IF(C279=0,"",VLOOKUP(C279,'Tablas Magia'!$D$6:$Z$680,18,FALSE))</f>
        <v>#N/A</v>
      </c>
      <c r="H284" s="6456" t="e">
        <f>IF(C279=0,"",VLOOKUP(C279,'Tablas Magia'!$D$6:$Z$680,22,FALSE))</f>
        <v>#N/A</v>
      </c>
      <c r="I284" s="6457"/>
      <c r="J284" s="6457"/>
      <c r="K284" s="6457"/>
      <c r="L284" s="6457"/>
      <c r="M284" s="6457"/>
      <c r="N284" s="6457"/>
      <c r="O284" s="6457"/>
      <c r="P284" s="6457"/>
      <c r="Q284" s="6458"/>
      <c r="R284" s="402"/>
      <c r="S284" s="396"/>
      <c r="T284" s="396"/>
      <c r="U284" s="804"/>
      <c r="V284" s="6454" t="s">
        <v>3199</v>
      </c>
      <c r="W284" s="6455"/>
      <c r="X284" s="415" t="e">
        <f>IF(V279=0,"",VLOOKUP(V279,'Tablas Magia'!$D$6:$Z$680,10,FALSE))</f>
        <v>#N/A</v>
      </c>
      <c r="Y284" s="415" t="e">
        <f>IF(V279=0,"",VLOOKUP(V279,'Tablas Magia'!$D$6:$Z$680,14,FALSE))</f>
        <v>#N/A</v>
      </c>
      <c r="Z284" s="416" t="e">
        <f>IF(V279=0,"",VLOOKUP(V279,'Tablas Magia'!$D$6:$Z$680,18,FALSE))</f>
        <v>#N/A</v>
      </c>
      <c r="AA284" s="6456" t="e">
        <f>IF(V279=0,"",VLOOKUP(V279,'Tablas Magia'!$D$6:$Z$680,22,FALSE))</f>
        <v>#N/A</v>
      </c>
      <c r="AB284" s="6457"/>
      <c r="AC284" s="6457"/>
      <c r="AD284" s="6457"/>
      <c r="AE284" s="6457"/>
      <c r="AF284" s="6457"/>
      <c r="AG284" s="6457"/>
      <c r="AH284" s="6457"/>
      <c r="AI284" s="6457"/>
      <c r="AJ284" s="6458"/>
      <c r="AK284" s="402"/>
      <c r="AL284" s="396"/>
    </row>
    <row r="285" spans="1:38" ht="12" customHeight="1" x14ac:dyDescent="0.2">
      <c r="A285" s="396"/>
      <c r="B285" s="804"/>
      <c r="C285" s="6459" t="e">
        <f>IF(C279=0,"",VLOOKUP(C279,'Tablas Magia'!$D$6:$Z$680,23,FALSE))</f>
        <v>#N/A</v>
      </c>
      <c r="D285" s="6460"/>
      <c r="E285" s="6460"/>
      <c r="F285" s="6460"/>
      <c r="G285" s="6460"/>
      <c r="H285" s="6460"/>
      <c r="I285" s="6460"/>
      <c r="J285" s="6460"/>
      <c r="K285" s="6460"/>
      <c r="L285" s="6460"/>
      <c r="M285" s="6460"/>
      <c r="N285" s="6460"/>
      <c r="O285" s="6460"/>
      <c r="P285" s="6460"/>
      <c r="Q285" s="6461"/>
      <c r="R285" s="402"/>
      <c r="S285" s="396"/>
      <c r="T285" s="396"/>
      <c r="U285" s="804"/>
      <c r="V285" s="6459" t="e">
        <f>IF(V279=0,"",VLOOKUP(V279,'Tablas Magia'!$D$6:$Z$680,23,FALSE))</f>
        <v>#N/A</v>
      </c>
      <c r="W285" s="6460"/>
      <c r="X285" s="6460"/>
      <c r="Y285" s="6460"/>
      <c r="Z285" s="6460"/>
      <c r="AA285" s="6460"/>
      <c r="AB285" s="6460"/>
      <c r="AC285" s="6460"/>
      <c r="AD285" s="6460"/>
      <c r="AE285" s="6460"/>
      <c r="AF285" s="6460"/>
      <c r="AG285" s="6460"/>
      <c r="AH285" s="6460"/>
      <c r="AI285" s="6460"/>
      <c r="AJ285" s="6461"/>
      <c r="AK285" s="402"/>
      <c r="AL285" s="396"/>
    </row>
    <row r="286" spans="1:38" ht="12" customHeight="1" x14ac:dyDescent="0.2">
      <c r="A286" s="396"/>
      <c r="B286" s="804"/>
      <c r="C286" s="6462"/>
      <c r="D286" s="6485"/>
      <c r="E286" s="6485"/>
      <c r="F286" s="6485"/>
      <c r="G286" s="6485"/>
      <c r="H286" s="6485"/>
      <c r="I286" s="6485"/>
      <c r="J286" s="6485"/>
      <c r="K286" s="6485"/>
      <c r="L286" s="6485"/>
      <c r="M286" s="6485"/>
      <c r="N286" s="6485"/>
      <c r="O286" s="6485"/>
      <c r="P286" s="6485"/>
      <c r="Q286" s="6464"/>
      <c r="R286" s="402"/>
      <c r="S286" s="396"/>
      <c r="T286" s="396"/>
      <c r="U286" s="804"/>
      <c r="V286" s="6462"/>
      <c r="W286" s="6463"/>
      <c r="X286" s="6463"/>
      <c r="Y286" s="6463"/>
      <c r="Z286" s="6463"/>
      <c r="AA286" s="6463"/>
      <c r="AB286" s="6463"/>
      <c r="AC286" s="6463"/>
      <c r="AD286" s="6463"/>
      <c r="AE286" s="6463"/>
      <c r="AF286" s="6463"/>
      <c r="AG286" s="6463"/>
      <c r="AH286" s="6463"/>
      <c r="AI286" s="6463"/>
      <c r="AJ286" s="6464"/>
      <c r="AK286" s="402"/>
      <c r="AL286" s="396"/>
    </row>
    <row r="287" spans="1:38" ht="12" customHeight="1" x14ac:dyDescent="0.2">
      <c r="A287" s="396"/>
      <c r="B287" s="804"/>
      <c r="C287" s="6462"/>
      <c r="D287" s="6485"/>
      <c r="E287" s="6485"/>
      <c r="F287" s="6485"/>
      <c r="G287" s="6485"/>
      <c r="H287" s="6485"/>
      <c r="I287" s="6485"/>
      <c r="J287" s="6485"/>
      <c r="K287" s="6485"/>
      <c r="L287" s="6485"/>
      <c r="M287" s="6485"/>
      <c r="N287" s="6485"/>
      <c r="O287" s="6485"/>
      <c r="P287" s="6485"/>
      <c r="Q287" s="6464"/>
      <c r="R287" s="402"/>
      <c r="S287" s="396"/>
      <c r="T287" s="396"/>
      <c r="U287" s="804"/>
      <c r="V287" s="6462"/>
      <c r="W287" s="6463"/>
      <c r="X287" s="6463"/>
      <c r="Y287" s="6463"/>
      <c r="Z287" s="6463"/>
      <c r="AA287" s="6463"/>
      <c r="AB287" s="6463"/>
      <c r="AC287" s="6463"/>
      <c r="AD287" s="6463"/>
      <c r="AE287" s="6463"/>
      <c r="AF287" s="6463"/>
      <c r="AG287" s="6463"/>
      <c r="AH287" s="6463"/>
      <c r="AI287" s="6463"/>
      <c r="AJ287" s="6464"/>
      <c r="AK287" s="402"/>
      <c r="AL287" s="396"/>
    </row>
    <row r="288" spans="1:38" ht="12" customHeight="1" thickBot="1" x14ac:dyDescent="0.25">
      <c r="A288" s="396"/>
      <c r="B288" s="804"/>
      <c r="C288" s="6465"/>
      <c r="D288" s="6466"/>
      <c r="E288" s="6466"/>
      <c r="F288" s="6466"/>
      <c r="G288" s="6466"/>
      <c r="H288" s="6466"/>
      <c r="I288" s="6466"/>
      <c r="J288" s="6466"/>
      <c r="K288" s="6466"/>
      <c r="L288" s="6466"/>
      <c r="M288" s="6466"/>
      <c r="N288" s="6466"/>
      <c r="O288" s="6466"/>
      <c r="P288" s="6466"/>
      <c r="Q288" s="6467"/>
      <c r="R288" s="402"/>
      <c r="S288" s="396"/>
      <c r="T288" s="396"/>
      <c r="U288" s="804"/>
      <c r="V288" s="6465"/>
      <c r="W288" s="6466"/>
      <c r="X288" s="6466"/>
      <c r="Y288" s="6466"/>
      <c r="Z288" s="6466"/>
      <c r="AA288" s="6466"/>
      <c r="AB288" s="6466"/>
      <c r="AC288" s="6466"/>
      <c r="AD288" s="6466"/>
      <c r="AE288" s="6466"/>
      <c r="AF288" s="6466"/>
      <c r="AG288" s="6466"/>
      <c r="AH288" s="6466"/>
      <c r="AI288" s="6466"/>
      <c r="AJ288" s="6467"/>
      <c r="AK288" s="402"/>
      <c r="AL288" s="396"/>
    </row>
    <row r="289" spans="1:38" ht="12" customHeight="1" thickBot="1" x14ac:dyDescent="0.25">
      <c r="A289" s="396"/>
      <c r="B289" s="804"/>
      <c r="C289" s="2507"/>
      <c r="D289" s="2507"/>
      <c r="E289" s="2507"/>
      <c r="F289" s="2507"/>
      <c r="G289" s="2507"/>
      <c r="H289" s="2508"/>
      <c r="I289" s="2509"/>
      <c r="J289" s="2510"/>
      <c r="K289" s="2510"/>
      <c r="L289" s="2510"/>
      <c r="M289" s="2511"/>
      <c r="N289" s="2511"/>
      <c r="O289" s="2511"/>
      <c r="P289" s="2511"/>
      <c r="Q289" s="2511"/>
      <c r="R289" s="402"/>
      <c r="S289" s="396"/>
      <c r="T289" s="396"/>
      <c r="U289" s="804"/>
      <c r="V289" s="419"/>
      <c r="W289" s="419"/>
      <c r="X289" s="420"/>
      <c r="Y289" s="420"/>
      <c r="Z289" s="420"/>
      <c r="AA289" s="419"/>
      <c r="AB289" s="354"/>
      <c r="AC289" s="354"/>
      <c r="AD289" s="419"/>
      <c r="AE289" s="419"/>
      <c r="AF289" s="354"/>
      <c r="AG289" s="354"/>
      <c r="AH289" s="421"/>
      <c r="AI289" s="421"/>
      <c r="AJ289" s="354"/>
      <c r="AK289" s="402"/>
      <c r="AL289" s="396"/>
    </row>
    <row r="290" spans="1:38" ht="12" customHeight="1" x14ac:dyDescent="0.2">
      <c r="A290" s="396"/>
      <c r="B290" s="804">
        <f>B279+2</f>
        <v>84</v>
      </c>
      <c r="C290" s="6501"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502"/>
      <c r="E290" s="6502"/>
      <c r="F290" s="6502"/>
      <c r="G290" s="6503"/>
      <c r="H290" s="406" t="s">
        <v>1325</v>
      </c>
      <c r="I290" s="407">
        <f>B290</f>
        <v>84</v>
      </c>
      <c r="J290" s="6486" t="s">
        <v>6236</v>
      </c>
      <c r="K290" s="6486"/>
      <c r="L290" s="6486"/>
      <c r="M290" s="6471" t="e">
        <f>IF(C290=0,"",VLOOKUP(C290,'Tablas Magia'!$D$6:$Z$680,2,FALSE))</f>
        <v>#N/A</v>
      </c>
      <c r="N290" s="6471"/>
      <c r="O290" s="1718"/>
      <c r="P290" s="6492" t="str">
        <f>IFERROR(IF(M290="Libre Acceso","Aprendido",IF(IFERROR(VLOOKUP(M290,Místicos!$C$15:$H$25,6,0)&gt;=I290,FALSE),"Aprendido",IF(IFERROR(VLOOKUP(M290,Místicos!$E$15:$H$25,4,0)&gt;=I290,FALSE),"Aprendido",""))),"")</f>
        <v/>
      </c>
      <c r="Q290" s="6493"/>
      <c r="R290" s="402"/>
      <c r="S290" s="396"/>
      <c r="T290" s="396"/>
      <c r="U290" s="804">
        <f>U279+2</f>
        <v>94</v>
      </c>
      <c r="V290" s="6501"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507"/>
      <c r="X290" s="6507"/>
      <c r="Y290" s="6507"/>
      <c r="Z290" s="6507"/>
      <c r="AA290" s="406" t="s">
        <v>1325</v>
      </c>
      <c r="AB290" s="407">
        <f>U290</f>
        <v>94</v>
      </c>
      <c r="AC290" s="6486" t="s">
        <v>6236</v>
      </c>
      <c r="AD290" s="6486"/>
      <c r="AE290" s="6486"/>
      <c r="AF290" s="6471" t="e">
        <f>IF(V290=0,"",VLOOKUP(V290,'Tablas Magia'!$D$6:$Z$680,2,FALSE))</f>
        <v>#N/A</v>
      </c>
      <c r="AG290" s="6471"/>
      <c r="AH290" s="1718"/>
      <c r="AI290" s="6492" t="str">
        <f>IFERROR(IF(AF290="Libre Acceso","Aprendido",IF(IFERROR(VLOOKUP(AF290,Místicos!$C$15:$H$25,6,0)&gt;=AB290,FALSE),"Aprendido",IF(IFERROR(VLOOKUP(AF290,Místicos!$E$15:$H$25,4,0)&gt;=AB290,FALSE),"Aprendido",""))),"")</f>
        <v/>
      </c>
      <c r="AJ290" s="6493"/>
      <c r="AK290" s="402"/>
      <c r="AL290" s="396"/>
    </row>
    <row r="291" spans="1:38" ht="12" customHeight="1" x14ac:dyDescent="0.2">
      <c r="A291" s="396"/>
      <c r="B291" s="804"/>
      <c r="C291" s="6473" t="s">
        <v>6237</v>
      </c>
      <c r="D291" s="6487"/>
      <c r="E291" s="2502" t="s">
        <v>6238</v>
      </c>
      <c r="F291" s="2502" t="s">
        <v>1509</v>
      </c>
      <c r="G291" s="2502" t="s">
        <v>2828</v>
      </c>
      <c r="H291" s="2503" t="s">
        <v>1836</v>
      </c>
      <c r="I291" s="6495" t="e">
        <f>IF(C290=0,"",VLOOKUP(C290,'Tablas Magia'!$D$6:$Z$680,5,FALSE))</f>
        <v>#N/A</v>
      </c>
      <c r="J291" s="6495"/>
      <c r="K291" s="6498" t="s">
        <v>6239</v>
      </c>
      <c r="L291" s="6498"/>
      <c r="M291" s="6495" t="e">
        <f>IF(C290=0,"",VLOOKUP(C290,'Tablas Magia'!$D$6:$Z$680,6,FALSE))</f>
        <v>#N/A</v>
      </c>
      <c r="N291" s="6495"/>
      <c r="O291" s="6496" t="s">
        <v>6240</v>
      </c>
      <c r="P291" s="6496"/>
      <c r="Q291" s="2504" t="e">
        <f>IF(C290=0,"",VLOOKUP(C290,'Tablas Magia'!$D$6:$Z$680,4,FALSE))</f>
        <v>#N/A</v>
      </c>
      <c r="R291" s="402"/>
      <c r="S291" s="396"/>
      <c r="T291" s="396"/>
      <c r="U291" s="804"/>
      <c r="V291" s="6473" t="s">
        <v>6237</v>
      </c>
      <c r="W291" s="6504"/>
      <c r="X291" s="1727" t="s">
        <v>6238</v>
      </c>
      <c r="Y291" s="1727" t="s">
        <v>1509</v>
      </c>
      <c r="Z291" s="1727" t="s">
        <v>2828</v>
      </c>
      <c r="AA291" s="1728" t="s">
        <v>1836</v>
      </c>
      <c r="AB291" s="6491" t="e">
        <f>IF(V290=0,"",VLOOKUP(V290,'Tablas Magia'!$D$6:$Z$680,5,FALSE))</f>
        <v>#N/A</v>
      </c>
      <c r="AC291" s="6491"/>
      <c r="AD291" s="6505" t="s">
        <v>6239</v>
      </c>
      <c r="AE291" s="6505"/>
      <c r="AF291" s="6491" t="e">
        <f>IF(V290=0,"",VLOOKUP(V290,'Tablas Magia'!$D$6:$Z$680,6,FALSE))</f>
        <v>#N/A</v>
      </c>
      <c r="AG291" s="6491"/>
      <c r="AH291" s="6506" t="s">
        <v>6240</v>
      </c>
      <c r="AI291" s="6506"/>
      <c r="AJ291" s="1729" t="e">
        <f>IF(V290=0,"",VLOOKUP(V290,'Tablas Magia'!$D$6:$Z$680,4,FALSE))</f>
        <v>#N/A</v>
      </c>
      <c r="AK291" s="402"/>
      <c r="AL291" s="396"/>
    </row>
    <row r="292" spans="1:38" ht="12" customHeight="1" x14ac:dyDescent="0.2">
      <c r="A292" s="396"/>
      <c r="B292" s="804"/>
      <c r="C292" s="6499" t="s">
        <v>1365</v>
      </c>
      <c r="D292" s="6500"/>
      <c r="E292" s="2505" t="e">
        <f>IF(C290=0,"",VLOOKUP(C290,'Tablas Magia'!$D$6:$Z$680,7,FALSE))</f>
        <v>#N/A</v>
      </c>
      <c r="F292" s="2505" t="e">
        <f>IF(C290=0,"",VLOOKUP(C290,'Tablas Magia'!$D$6:$Z$680,11,FALSE))</f>
        <v>#N/A</v>
      </c>
      <c r="G292" s="412" t="e">
        <f>IF(C290=0,"",VLOOKUP(C290,'Tablas Magia'!$D$6:$Z$680,15,FALSE))</f>
        <v>#N/A</v>
      </c>
      <c r="H292" s="6481" t="e">
        <f>IF(C290=0,"",VLOOKUP(C290,'Tablas Magia'!$D$6:$Z$680,19,FALSE))</f>
        <v>#N/A</v>
      </c>
      <c r="I292" s="6482"/>
      <c r="J292" s="6482"/>
      <c r="K292" s="6482"/>
      <c r="L292" s="6482"/>
      <c r="M292" s="6482"/>
      <c r="N292" s="6482"/>
      <c r="O292" s="6482"/>
      <c r="P292" s="6482"/>
      <c r="Q292" s="6483"/>
      <c r="R292" s="402"/>
      <c r="S292" s="396"/>
      <c r="T292" s="396"/>
      <c r="U292" s="804"/>
      <c r="V292" s="6449" t="s">
        <v>1365</v>
      </c>
      <c r="W292" s="6450"/>
      <c r="X292" s="411" t="e">
        <f>IF(V290=0,"",VLOOKUP(V290,'Tablas Magia'!$D$6:$Z$680,7,FALSE))</f>
        <v>#N/A</v>
      </c>
      <c r="Y292" s="411" t="e">
        <f>IF(V290=0,"",VLOOKUP(V290,'Tablas Magia'!$D$6:$Z$680,11,FALSE))</f>
        <v>#N/A</v>
      </c>
      <c r="Z292" s="412" t="e">
        <f>IF(V290=0,"",VLOOKUP(V290,'Tablas Magia'!$D$6:$Z$680,15,FALSE))</f>
        <v>#N/A</v>
      </c>
      <c r="AA292" s="6451" t="e">
        <f>IF(V290=0,"",VLOOKUP(V290,'Tablas Magia'!$D$6:$Z$680,19,FALSE))</f>
        <v>#N/A</v>
      </c>
      <c r="AB292" s="6452"/>
      <c r="AC292" s="6452"/>
      <c r="AD292" s="6452"/>
      <c r="AE292" s="6452"/>
      <c r="AF292" s="6452"/>
      <c r="AG292" s="6452"/>
      <c r="AH292" s="6452"/>
      <c r="AI292" s="6452"/>
      <c r="AJ292" s="6453"/>
      <c r="AK292" s="402"/>
      <c r="AL292" s="396"/>
    </row>
    <row r="293" spans="1:38" ht="12" customHeight="1" x14ac:dyDescent="0.2">
      <c r="A293" s="396"/>
      <c r="B293" s="804"/>
      <c r="C293" s="6444" t="s">
        <v>3197</v>
      </c>
      <c r="D293" s="6445"/>
      <c r="E293" s="2506" t="e">
        <f>IF(C290=0,"",VLOOKUP(C290,'Tablas Magia'!$D$6:$Z$680,8,FALSE))</f>
        <v>#N/A</v>
      </c>
      <c r="F293" s="2506" t="e">
        <f>IF(C290=0,"",VLOOKUP(C290,'Tablas Magia'!$D$6:$Z$680,12,FALSE))</f>
        <v>#N/A</v>
      </c>
      <c r="G293" s="414" t="e">
        <f>IF(C290=0,"",VLOOKUP(C290,'Tablas Magia'!$D$6:$Z$680,16,FALSE))</f>
        <v>#N/A</v>
      </c>
      <c r="H293" s="6446" t="e">
        <f>IF(C290=0,"",VLOOKUP(C290,'Tablas Magia'!$D$6:$Z$680,20,FALSE))</f>
        <v>#N/A</v>
      </c>
      <c r="I293" s="6484"/>
      <c r="J293" s="6484"/>
      <c r="K293" s="6484"/>
      <c r="L293" s="6484"/>
      <c r="M293" s="6484"/>
      <c r="N293" s="6484"/>
      <c r="O293" s="6484"/>
      <c r="P293" s="6484"/>
      <c r="Q293" s="6448"/>
      <c r="R293" s="402"/>
      <c r="S293" s="396"/>
      <c r="T293" s="396"/>
      <c r="U293" s="804"/>
      <c r="V293" s="6444" t="s">
        <v>3197</v>
      </c>
      <c r="W293" s="6445"/>
      <c r="X293" s="413" t="e">
        <f>IF(V290=0,"",VLOOKUP(V290,'Tablas Magia'!$D$6:$Z$680,8,FALSE))</f>
        <v>#N/A</v>
      </c>
      <c r="Y293" s="413" t="e">
        <f>IF(V290=0,"",VLOOKUP(V290,'Tablas Magia'!$D$6:$Z$680,12,FALSE))</f>
        <v>#N/A</v>
      </c>
      <c r="Z293" s="414" t="e">
        <f>IF(V290=0,"",VLOOKUP(V290,'Tablas Magia'!$D$6:$Z$680,16,FALSE))</f>
        <v>#N/A</v>
      </c>
      <c r="AA293" s="6446" t="e">
        <f>IF(V290=0,"",VLOOKUP(V290,'Tablas Magia'!$D$6:$Z$680,20,FALSE))</f>
        <v>#N/A</v>
      </c>
      <c r="AB293" s="6447"/>
      <c r="AC293" s="6447"/>
      <c r="AD293" s="6447"/>
      <c r="AE293" s="6447"/>
      <c r="AF293" s="6447"/>
      <c r="AG293" s="6447"/>
      <c r="AH293" s="6447"/>
      <c r="AI293" s="6447"/>
      <c r="AJ293" s="6448"/>
      <c r="AK293" s="402"/>
      <c r="AL293" s="396"/>
    </row>
    <row r="294" spans="1:38" ht="12" customHeight="1" x14ac:dyDescent="0.2">
      <c r="A294" s="396"/>
      <c r="B294" s="804"/>
      <c r="C294" s="6449" t="s">
        <v>3198</v>
      </c>
      <c r="D294" s="6450"/>
      <c r="E294" s="2505" t="e">
        <f>IF(C290=0,"",VLOOKUP(C290,'Tablas Magia'!$D$6:$Z$680,9,FALSE))</f>
        <v>#N/A</v>
      </c>
      <c r="F294" s="2505" t="e">
        <f>IF(C290=0,"",VLOOKUP(C290,'Tablas Magia'!$D$6:$Z$680,13,FALSE))</f>
        <v>#N/A</v>
      </c>
      <c r="G294" s="412" t="e">
        <f>IF(C290=0,"",VLOOKUP(C290,'Tablas Magia'!$D$6:$Z$680,17,FALSE))</f>
        <v>#N/A</v>
      </c>
      <c r="H294" s="6451" t="e">
        <f>IF(C290=0,"",VLOOKUP(C290,'Tablas Magia'!$D$6:$Z$680,21,FALSE))</f>
        <v>#N/A</v>
      </c>
      <c r="I294" s="6494"/>
      <c r="J294" s="6494"/>
      <c r="K294" s="6494"/>
      <c r="L294" s="6494"/>
      <c r="M294" s="6494"/>
      <c r="N294" s="6494"/>
      <c r="O294" s="6494"/>
      <c r="P294" s="6494"/>
      <c r="Q294" s="6453"/>
      <c r="R294" s="402"/>
      <c r="S294" s="396"/>
      <c r="T294" s="396"/>
      <c r="U294" s="804"/>
      <c r="V294" s="6449" t="s">
        <v>3198</v>
      </c>
      <c r="W294" s="6450"/>
      <c r="X294" s="411" t="e">
        <f>IF(V290=0,"",VLOOKUP(V290,'Tablas Magia'!$D$6:$Z$680,9,FALSE))</f>
        <v>#N/A</v>
      </c>
      <c r="Y294" s="411" t="e">
        <f>IF(V290=0,"",VLOOKUP(V290,'Tablas Magia'!$D$6:$Z$680,13,FALSE))</f>
        <v>#N/A</v>
      </c>
      <c r="Z294" s="412" t="e">
        <f>IF(V290=0,"",VLOOKUP(V290,'Tablas Magia'!$D$6:$Z$680,17,FALSE))</f>
        <v>#N/A</v>
      </c>
      <c r="AA294" s="6451" t="e">
        <f>IF(V290=0,"",VLOOKUP(V290,'Tablas Magia'!$D$6:$Z$680,21,FALSE))</f>
        <v>#N/A</v>
      </c>
      <c r="AB294" s="6452"/>
      <c r="AC294" s="6452"/>
      <c r="AD294" s="6452"/>
      <c r="AE294" s="6452"/>
      <c r="AF294" s="6452"/>
      <c r="AG294" s="6452"/>
      <c r="AH294" s="6452"/>
      <c r="AI294" s="6452"/>
      <c r="AJ294" s="6453"/>
      <c r="AK294" s="402"/>
      <c r="AL294" s="396"/>
    </row>
    <row r="295" spans="1:38" ht="12" customHeight="1" thickBot="1" x14ac:dyDescent="0.25">
      <c r="A295" s="396"/>
      <c r="B295" s="804"/>
      <c r="C295" s="6454" t="s">
        <v>3199</v>
      </c>
      <c r="D295" s="6455"/>
      <c r="E295" s="415" t="e">
        <f>IF(C290=0,"",VLOOKUP(C290,'Tablas Magia'!$D$6:$Z$680,10,FALSE))</f>
        <v>#N/A</v>
      </c>
      <c r="F295" s="415" t="e">
        <f>IF(C290=0,"",VLOOKUP(C290,'Tablas Magia'!$D$6:$Z$680,14,FALSE))</f>
        <v>#N/A</v>
      </c>
      <c r="G295" s="416" t="e">
        <f>IF(C290=0,"",VLOOKUP(C290,'Tablas Magia'!$D$6:$Z$680,18,FALSE))</f>
        <v>#N/A</v>
      </c>
      <c r="H295" s="6456" t="e">
        <f>IF(C290=0,"",VLOOKUP(C290,'Tablas Magia'!$D$6:$Z$680,22,FALSE))</f>
        <v>#N/A</v>
      </c>
      <c r="I295" s="6457"/>
      <c r="J295" s="6457"/>
      <c r="K295" s="6457"/>
      <c r="L295" s="6457"/>
      <c r="M295" s="6457"/>
      <c r="N295" s="6457"/>
      <c r="O295" s="6457"/>
      <c r="P295" s="6457"/>
      <c r="Q295" s="6458"/>
      <c r="R295" s="402"/>
      <c r="S295" s="396"/>
      <c r="T295" s="396"/>
      <c r="U295" s="804"/>
      <c r="V295" s="6454" t="s">
        <v>3199</v>
      </c>
      <c r="W295" s="6455"/>
      <c r="X295" s="415" t="e">
        <f>IF(V290=0,"",VLOOKUP(V290,'Tablas Magia'!$D$6:$Z$680,10,FALSE))</f>
        <v>#N/A</v>
      </c>
      <c r="Y295" s="415" t="e">
        <f>IF(V290=0,"",VLOOKUP(V290,'Tablas Magia'!$D$6:$Z$680,14,FALSE))</f>
        <v>#N/A</v>
      </c>
      <c r="Z295" s="416" t="e">
        <f>IF(V290=0,"",VLOOKUP(V290,'Tablas Magia'!$D$6:$Z$680,18,FALSE))</f>
        <v>#N/A</v>
      </c>
      <c r="AA295" s="6456" t="e">
        <f>IF(V290=0,"",VLOOKUP(V290,'Tablas Magia'!$D$6:$Z$680,22,FALSE))</f>
        <v>#N/A</v>
      </c>
      <c r="AB295" s="6457"/>
      <c r="AC295" s="6457"/>
      <c r="AD295" s="6457"/>
      <c r="AE295" s="6457"/>
      <c r="AF295" s="6457"/>
      <c r="AG295" s="6457"/>
      <c r="AH295" s="6457"/>
      <c r="AI295" s="6457"/>
      <c r="AJ295" s="6458"/>
      <c r="AK295" s="402"/>
      <c r="AL295" s="396"/>
    </row>
    <row r="296" spans="1:38" ht="12" customHeight="1" x14ac:dyDescent="0.2">
      <c r="A296" s="396"/>
      <c r="B296" s="804"/>
      <c r="C296" s="6459" t="e">
        <f>IF(C290=0,"",VLOOKUP(C290,'Tablas Magia'!$D$6:$Z$680,23,FALSE))</f>
        <v>#N/A</v>
      </c>
      <c r="D296" s="6460"/>
      <c r="E296" s="6460"/>
      <c r="F296" s="6460"/>
      <c r="G296" s="6460"/>
      <c r="H296" s="6460"/>
      <c r="I296" s="6460"/>
      <c r="J296" s="6460"/>
      <c r="K296" s="6460"/>
      <c r="L296" s="6460"/>
      <c r="M296" s="6460"/>
      <c r="N296" s="6460"/>
      <c r="O296" s="6460"/>
      <c r="P296" s="6460"/>
      <c r="Q296" s="6461"/>
      <c r="R296" s="402"/>
      <c r="S296" s="396"/>
      <c r="T296" s="396"/>
      <c r="U296" s="804"/>
      <c r="V296" s="6459" t="e">
        <f>IF(V290=0,"",VLOOKUP(V290,'Tablas Magia'!$D$6:$Z$680,23,FALSE))</f>
        <v>#N/A</v>
      </c>
      <c r="W296" s="6460"/>
      <c r="X296" s="6460"/>
      <c r="Y296" s="6460"/>
      <c r="Z296" s="6460"/>
      <c r="AA296" s="6460"/>
      <c r="AB296" s="6460"/>
      <c r="AC296" s="6460"/>
      <c r="AD296" s="6460"/>
      <c r="AE296" s="6460"/>
      <c r="AF296" s="6460"/>
      <c r="AG296" s="6460"/>
      <c r="AH296" s="6460"/>
      <c r="AI296" s="6460"/>
      <c r="AJ296" s="6461"/>
      <c r="AK296" s="402"/>
      <c r="AL296" s="396"/>
    </row>
    <row r="297" spans="1:38" ht="12" customHeight="1" x14ac:dyDescent="0.2">
      <c r="A297" s="396"/>
      <c r="B297" s="804"/>
      <c r="C297" s="6462"/>
      <c r="D297" s="6485"/>
      <c r="E297" s="6485"/>
      <c r="F297" s="6485"/>
      <c r="G297" s="6485"/>
      <c r="H297" s="6485"/>
      <c r="I297" s="6485"/>
      <c r="J297" s="6485"/>
      <c r="K297" s="6485"/>
      <c r="L297" s="6485"/>
      <c r="M297" s="6485"/>
      <c r="N297" s="6485"/>
      <c r="O297" s="6485"/>
      <c r="P297" s="6485"/>
      <c r="Q297" s="6464"/>
      <c r="R297" s="402"/>
      <c r="S297" s="396"/>
      <c r="T297" s="396"/>
      <c r="U297" s="804"/>
      <c r="V297" s="6462"/>
      <c r="W297" s="6463"/>
      <c r="X297" s="6463"/>
      <c r="Y297" s="6463"/>
      <c r="Z297" s="6463"/>
      <c r="AA297" s="6463"/>
      <c r="AB297" s="6463"/>
      <c r="AC297" s="6463"/>
      <c r="AD297" s="6463"/>
      <c r="AE297" s="6463"/>
      <c r="AF297" s="6463"/>
      <c r="AG297" s="6463"/>
      <c r="AH297" s="6463"/>
      <c r="AI297" s="6463"/>
      <c r="AJ297" s="6464"/>
      <c r="AK297" s="402"/>
      <c r="AL297" s="396"/>
    </row>
    <row r="298" spans="1:38" ht="12" customHeight="1" x14ac:dyDescent="0.2">
      <c r="A298" s="396"/>
      <c r="B298" s="804"/>
      <c r="C298" s="6462"/>
      <c r="D298" s="6485"/>
      <c r="E298" s="6485"/>
      <c r="F298" s="6485"/>
      <c r="G298" s="6485"/>
      <c r="H298" s="6485"/>
      <c r="I298" s="6485"/>
      <c r="J298" s="6485"/>
      <c r="K298" s="6485"/>
      <c r="L298" s="6485"/>
      <c r="M298" s="6485"/>
      <c r="N298" s="6485"/>
      <c r="O298" s="6485"/>
      <c r="P298" s="6485"/>
      <c r="Q298" s="6464"/>
      <c r="R298" s="402"/>
      <c r="S298" s="396"/>
      <c r="T298" s="396"/>
      <c r="U298" s="804"/>
      <c r="V298" s="6462"/>
      <c r="W298" s="6463"/>
      <c r="X298" s="6463"/>
      <c r="Y298" s="6463"/>
      <c r="Z298" s="6463"/>
      <c r="AA298" s="6463"/>
      <c r="AB298" s="6463"/>
      <c r="AC298" s="6463"/>
      <c r="AD298" s="6463"/>
      <c r="AE298" s="6463"/>
      <c r="AF298" s="6463"/>
      <c r="AG298" s="6463"/>
      <c r="AH298" s="6463"/>
      <c r="AI298" s="6463"/>
      <c r="AJ298" s="6464"/>
      <c r="AK298" s="402"/>
      <c r="AL298" s="396"/>
    </row>
    <row r="299" spans="1:38" ht="12" customHeight="1" thickBot="1" x14ac:dyDescent="0.25">
      <c r="A299" s="396"/>
      <c r="B299" s="804"/>
      <c r="C299" s="6465"/>
      <c r="D299" s="6466"/>
      <c r="E299" s="6466"/>
      <c r="F299" s="6466"/>
      <c r="G299" s="6466"/>
      <c r="H299" s="6466"/>
      <c r="I299" s="6466"/>
      <c r="J299" s="6466"/>
      <c r="K299" s="6466"/>
      <c r="L299" s="6466"/>
      <c r="M299" s="6466"/>
      <c r="N299" s="6466"/>
      <c r="O299" s="6466"/>
      <c r="P299" s="6466"/>
      <c r="Q299" s="6467"/>
      <c r="R299" s="402"/>
      <c r="S299" s="396"/>
      <c r="T299" s="396"/>
      <c r="U299" s="804"/>
      <c r="V299" s="6465"/>
      <c r="W299" s="6466"/>
      <c r="X299" s="6466"/>
      <c r="Y299" s="6466"/>
      <c r="Z299" s="6466"/>
      <c r="AA299" s="6466"/>
      <c r="AB299" s="6466"/>
      <c r="AC299" s="6466"/>
      <c r="AD299" s="6466"/>
      <c r="AE299" s="6466"/>
      <c r="AF299" s="6466"/>
      <c r="AG299" s="6466"/>
      <c r="AH299" s="6466"/>
      <c r="AI299" s="6466"/>
      <c r="AJ299" s="6467"/>
      <c r="AK299" s="402"/>
      <c r="AL299" s="396"/>
    </row>
    <row r="300" spans="1:38" ht="12" customHeight="1" thickBot="1" x14ac:dyDescent="0.25">
      <c r="A300" s="396"/>
      <c r="B300" s="804"/>
      <c r="C300" s="2510"/>
      <c r="D300" s="2510"/>
      <c r="E300" s="2512"/>
      <c r="F300" s="2512"/>
      <c r="G300" s="2512"/>
      <c r="H300" s="2510"/>
      <c r="I300" s="2511"/>
      <c r="J300" s="2511"/>
      <c r="K300" s="2510"/>
      <c r="L300" s="2510"/>
      <c r="M300" s="2511"/>
      <c r="N300" s="2511"/>
      <c r="O300" s="2513"/>
      <c r="P300" s="2513"/>
      <c r="Q300" s="2511"/>
      <c r="R300" s="402"/>
      <c r="S300" s="396"/>
      <c r="T300" s="396"/>
      <c r="U300" s="804"/>
      <c r="V300" s="422"/>
      <c r="W300" s="422"/>
      <c r="X300" s="423"/>
      <c r="Y300" s="423"/>
      <c r="Z300" s="423"/>
      <c r="AA300" s="423"/>
      <c r="AB300" s="423"/>
      <c r="AC300" s="423"/>
      <c r="AD300" s="423"/>
      <c r="AE300" s="423"/>
      <c r="AF300" s="423"/>
      <c r="AG300" s="423"/>
      <c r="AH300" s="423"/>
      <c r="AI300" s="423"/>
      <c r="AJ300" s="423"/>
      <c r="AK300" s="402"/>
      <c r="AL300" s="396"/>
    </row>
    <row r="301" spans="1:38" ht="12" customHeight="1" x14ac:dyDescent="0.2">
      <c r="A301" s="396"/>
      <c r="B301" s="804">
        <f>B290+2</f>
        <v>86</v>
      </c>
      <c r="C301" s="6501"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502"/>
      <c r="E301" s="6502"/>
      <c r="F301" s="6502"/>
      <c r="G301" s="6503"/>
      <c r="H301" s="406" t="s">
        <v>1325</v>
      </c>
      <c r="I301" s="407">
        <f>B301</f>
        <v>86</v>
      </c>
      <c r="J301" s="6486" t="s">
        <v>6236</v>
      </c>
      <c r="K301" s="6486"/>
      <c r="L301" s="6486"/>
      <c r="M301" s="6471" t="e">
        <f>IF(C301=0,"",VLOOKUP(C301,'Tablas Magia'!$D$6:$Z$680,2,FALSE))</f>
        <v>#N/A</v>
      </c>
      <c r="N301" s="6471"/>
      <c r="O301" s="1718"/>
      <c r="P301" s="6492" t="str">
        <f>IFERROR(IF(M301="Libre Acceso","Aprendido",IF(IFERROR(VLOOKUP(M301,Místicos!$C$15:$H$25,6,0)&gt;=I301,FALSE),"Aprendido",IF(IFERROR(VLOOKUP(M301,Místicos!$E$15:$H$25,4,0)&gt;=I301,FALSE),"Aprendido",""))),"")</f>
        <v/>
      </c>
      <c r="Q301" s="6493"/>
      <c r="R301" s="402"/>
      <c r="S301" s="396"/>
      <c r="T301" s="396"/>
      <c r="U301" s="804">
        <f>U290+2</f>
        <v>96</v>
      </c>
      <c r="V301" s="6501"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507"/>
      <c r="X301" s="6507"/>
      <c r="Y301" s="6507"/>
      <c r="Z301" s="6507"/>
      <c r="AA301" s="406" t="s">
        <v>1325</v>
      </c>
      <c r="AB301" s="407">
        <f>U301</f>
        <v>96</v>
      </c>
      <c r="AC301" s="6486" t="s">
        <v>6236</v>
      </c>
      <c r="AD301" s="6486"/>
      <c r="AE301" s="6486"/>
      <c r="AF301" s="6471" t="e">
        <f>IF(V301=0,"",VLOOKUP(V301,'Tablas Magia'!$D$6:$Z$680,2,FALSE))</f>
        <v>#N/A</v>
      </c>
      <c r="AG301" s="6471"/>
      <c r="AH301" s="1718"/>
      <c r="AI301" s="6492" t="str">
        <f>IFERROR(IF(AF301="Libre Acceso","Aprendido",IF(IFERROR(VLOOKUP(AF301,Místicos!$C$15:$H$25,6,0)&gt;=AB301,FALSE),"Aprendido",IF(IFERROR(VLOOKUP(AF301,Místicos!$E$15:$H$25,4,0)&gt;=AB301,FALSE),"Aprendido",""))),"")</f>
        <v/>
      </c>
      <c r="AJ301" s="6493"/>
      <c r="AK301" s="402"/>
      <c r="AL301" s="396"/>
    </row>
    <row r="302" spans="1:38" ht="12" customHeight="1" x14ac:dyDescent="0.2">
      <c r="A302" s="396"/>
      <c r="B302" s="804"/>
      <c r="C302" s="6473" t="s">
        <v>6237</v>
      </c>
      <c r="D302" s="6487"/>
      <c r="E302" s="2502" t="s">
        <v>6238</v>
      </c>
      <c r="F302" s="2502" t="s">
        <v>1509</v>
      </c>
      <c r="G302" s="2502" t="s">
        <v>2828</v>
      </c>
      <c r="H302" s="2503" t="s">
        <v>1836</v>
      </c>
      <c r="I302" s="6495" t="e">
        <f>IF(C301=0,"",VLOOKUP(C301,'Tablas Magia'!$D$6:$Z$680,5,FALSE))</f>
        <v>#N/A</v>
      </c>
      <c r="J302" s="6495"/>
      <c r="K302" s="6498" t="s">
        <v>6239</v>
      </c>
      <c r="L302" s="6498"/>
      <c r="M302" s="6495" t="e">
        <f>IF(C301=0,"",VLOOKUP(C301,'Tablas Magia'!$D$6:$Z$680,6,FALSE))</f>
        <v>#N/A</v>
      </c>
      <c r="N302" s="6495"/>
      <c r="O302" s="6496" t="s">
        <v>6240</v>
      </c>
      <c r="P302" s="6496"/>
      <c r="Q302" s="2504" t="e">
        <f>IF(C301=0,"",VLOOKUP(C301,'Tablas Magia'!$D$6:$Z$680,4,FALSE))</f>
        <v>#N/A</v>
      </c>
      <c r="R302" s="402"/>
      <c r="S302" s="396"/>
      <c r="T302" s="396"/>
      <c r="U302" s="804"/>
      <c r="V302" s="6473" t="s">
        <v>6237</v>
      </c>
      <c r="W302" s="6504"/>
      <c r="X302" s="1727" t="s">
        <v>6238</v>
      </c>
      <c r="Y302" s="1727" t="s">
        <v>1509</v>
      </c>
      <c r="Z302" s="1727" t="s">
        <v>2828</v>
      </c>
      <c r="AA302" s="1728" t="s">
        <v>1836</v>
      </c>
      <c r="AB302" s="6491" t="e">
        <f>IF(V301=0,"",VLOOKUP(V301,'Tablas Magia'!$D$6:$Z$680,5,FALSE))</f>
        <v>#N/A</v>
      </c>
      <c r="AC302" s="6491"/>
      <c r="AD302" s="6505" t="s">
        <v>6239</v>
      </c>
      <c r="AE302" s="6505"/>
      <c r="AF302" s="6491" t="e">
        <f>IF(V301=0,"",VLOOKUP(V301,'Tablas Magia'!$D$6:$Z$680,6,FALSE))</f>
        <v>#N/A</v>
      </c>
      <c r="AG302" s="6491"/>
      <c r="AH302" s="6506" t="s">
        <v>6240</v>
      </c>
      <c r="AI302" s="6506"/>
      <c r="AJ302" s="1729" t="e">
        <f>IF(V301=0,"",VLOOKUP(V301,'Tablas Magia'!$D$6:$Z$680,4,FALSE))</f>
        <v>#N/A</v>
      </c>
      <c r="AK302" s="402"/>
      <c r="AL302" s="396"/>
    </row>
    <row r="303" spans="1:38" ht="12" customHeight="1" x14ac:dyDescent="0.2">
      <c r="A303" s="396"/>
      <c r="B303" s="804"/>
      <c r="C303" s="6499" t="s">
        <v>1365</v>
      </c>
      <c r="D303" s="6500"/>
      <c r="E303" s="2505" t="e">
        <f>IF(C301=0,"",VLOOKUP(C301,'Tablas Magia'!$D$6:$Z$680,7,FALSE))</f>
        <v>#N/A</v>
      </c>
      <c r="F303" s="2505" t="e">
        <f>IF(C301=0,"",VLOOKUP(C301,'Tablas Magia'!$D$6:$Z$680,11,FALSE))</f>
        <v>#N/A</v>
      </c>
      <c r="G303" s="412" t="e">
        <f>IF(C301=0,"",VLOOKUP(C301,'Tablas Magia'!$D$6:$Z$680,15,FALSE))</f>
        <v>#N/A</v>
      </c>
      <c r="H303" s="6481" t="e">
        <f>IF(C301=0,"",VLOOKUP(C301,'Tablas Magia'!$D$6:$Z$680,19,FALSE))</f>
        <v>#N/A</v>
      </c>
      <c r="I303" s="6482"/>
      <c r="J303" s="6482"/>
      <c r="K303" s="6482"/>
      <c r="L303" s="6482"/>
      <c r="M303" s="6482"/>
      <c r="N303" s="6482"/>
      <c r="O303" s="6482"/>
      <c r="P303" s="6482"/>
      <c r="Q303" s="6483"/>
      <c r="R303" s="402"/>
      <c r="S303" s="396"/>
      <c r="T303" s="396"/>
      <c r="U303" s="804"/>
      <c r="V303" s="6449" t="s">
        <v>1365</v>
      </c>
      <c r="W303" s="6450"/>
      <c r="X303" s="411" t="e">
        <f>IF(V301=0,"",VLOOKUP(V301,'Tablas Magia'!$D$6:$Z$680,7,FALSE))</f>
        <v>#N/A</v>
      </c>
      <c r="Y303" s="411" t="e">
        <f>IF(V301=0,"",VLOOKUP(V301,'Tablas Magia'!$D$6:$Z$680,11,FALSE))</f>
        <v>#N/A</v>
      </c>
      <c r="Z303" s="412" t="e">
        <f>IF(V301=0,"",VLOOKUP(V301,'Tablas Magia'!$D$6:$Z$680,15,FALSE))</f>
        <v>#N/A</v>
      </c>
      <c r="AA303" s="6451" t="e">
        <f>IF(V301=0,"",VLOOKUP(V301,'Tablas Magia'!$D$6:$Z$680,19,FALSE))</f>
        <v>#N/A</v>
      </c>
      <c r="AB303" s="6452"/>
      <c r="AC303" s="6452"/>
      <c r="AD303" s="6452"/>
      <c r="AE303" s="6452"/>
      <c r="AF303" s="6452"/>
      <c r="AG303" s="6452"/>
      <c r="AH303" s="6452"/>
      <c r="AI303" s="6452"/>
      <c r="AJ303" s="6453"/>
      <c r="AK303" s="402"/>
      <c r="AL303" s="396"/>
    </row>
    <row r="304" spans="1:38" ht="12" customHeight="1" x14ac:dyDescent="0.2">
      <c r="A304" s="396"/>
      <c r="B304" s="804"/>
      <c r="C304" s="6444" t="s">
        <v>3197</v>
      </c>
      <c r="D304" s="6445"/>
      <c r="E304" s="2506" t="e">
        <f>IF(C301=0,"",VLOOKUP(C301,'Tablas Magia'!$D$6:$Z$680,8,FALSE))</f>
        <v>#N/A</v>
      </c>
      <c r="F304" s="2506" t="e">
        <f>IF(C301=0,"",VLOOKUP(C301,'Tablas Magia'!$D$6:$Z$680,12,FALSE))</f>
        <v>#N/A</v>
      </c>
      <c r="G304" s="414" t="e">
        <f>IF(C301=0,"",VLOOKUP(C301,'Tablas Magia'!$D$6:$Z$680,16,FALSE))</f>
        <v>#N/A</v>
      </c>
      <c r="H304" s="6446" t="e">
        <f>IF(C301=0,"",VLOOKUP(C301,'Tablas Magia'!$D$6:$Z$680,20,FALSE))</f>
        <v>#N/A</v>
      </c>
      <c r="I304" s="6484"/>
      <c r="J304" s="6484"/>
      <c r="K304" s="6484"/>
      <c r="L304" s="6484"/>
      <c r="M304" s="6484"/>
      <c r="N304" s="6484"/>
      <c r="O304" s="6484"/>
      <c r="P304" s="6484"/>
      <c r="Q304" s="6448"/>
      <c r="R304" s="402"/>
      <c r="S304" s="396"/>
      <c r="T304" s="396"/>
      <c r="U304" s="804"/>
      <c r="V304" s="6444" t="s">
        <v>3197</v>
      </c>
      <c r="W304" s="6445"/>
      <c r="X304" s="413" t="e">
        <f>IF(V301=0,"",VLOOKUP(V301,'Tablas Magia'!$D$6:$Z$680,8,FALSE))</f>
        <v>#N/A</v>
      </c>
      <c r="Y304" s="413" t="e">
        <f>IF(V301=0,"",VLOOKUP(V301,'Tablas Magia'!$D$6:$Z$680,12,FALSE))</f>
        <v>#N/A</v>
      </c>
      <c r="Z304" s="414" t="e">
        <f>IF(V301=0,"",VLOOKUP(V301,'Tablas Magia'!$D$6:$Z$680,16,FALSE))</f>
        <v>#N/A</v>
      </c>
      <c r="AA304" s="6446" t="e">
        <f>IF(V301=0,"",VLOOKUP(V301,'Tablas Magia'!$D$6:$Z$680,20,FALSE))</f>
        <v>#N/A</v>
      </c>
      <c r="AB304" s="6447"/>
      <c r="AC304" s="6447"/>
      <c r="AD304" s="6447"/>
      <c r="AE304" s="6447"/>
      <c r="AF304" s="6447"/>
      <c r="AG304" s="6447"/>
      <c r="AH304" s="6447"/>
      <c r="AI304" s="6447"/>
      <c r="AJ304" s="6448"/>
      <c r="AK304" s="402"/>
      <c r="AL304" s="396"/>
    </row>
    <row r="305" spans="1:38" ht="12" customHeight="1" x14ac:dyDescent="0.2">
      <c r="A305" s="396"/>
      <c r="B305" s="804"/>
      <c r="C305" s="6449" t="s">
        <v>3198</v>
      </c>
      <c r="D305" s="6450"/>
      <c r="E305" s="2505" t="e">
        <f>IF(C301=0,"",VLOOKUP(C301,'Tablas Magia'!$D$6:$Z$680,9,FALSE))</f>
        <v>#N/A</v>
      </c>
      <c r="F305" s="2505" t="e">
        <f>IF(C301=0,"",VLOOKUP(C301,'Tablas Magia'!$D$6:$Z$680,13,FALSE))</f>
        <v>#N/A</v>
      </c>
      <c r="G305" s="412" t="e">
        <f>IF(C301=0,"",VLOOKUP(C301,'Tablas Magia'!$D$6:$Z$680,17,FALSE))</f>
        <v>#N/A</v>
      </c>
      <c r="H305" s="6451" t="e">
        <f>IF(C301=0,"",VLOOKUP(C301,'Tablas Magia'!$D$6:$Z$680,21,FALSE))</f>
        <v>#N/A</v>
      </c>
      <c r="I305" s="6494"/>
      <c r="J305" s="6494"/>
      <c r="K305" s="6494"/>
      <c r="L305" s="6494"/>
      <c r="M305" s="6494"/>
      <c r="N305" s="6494"/>
      <c r="O305" s="6494"/>
      <c r="P305" s="6494"/>
      <c r="Q305" s="6453"/>
      <c r="R305" s="402"/>
      <c r="S305" s="396"/>
      <c r="T305" s="396"/>
      <c r="U305" s="804"/>
      <c r="V305" s="6449" t="s">
        <v>3198</v>
      </c>
      <c r="W305" s="6450"/>
      <c r="X305" s="411" t="e">
        <f>IF(V301=0,"",VLOOKUP(V301,'Tablas Magia'!$D$6:$Z$680,9,FALSE))</f>
        <v>#N/A</v>
      </c>
      <c r="Y305" s="411" t="e">
        <f>IF(V301=0,"",VLOOKUP(V301,'Tablas Magia'!$D$6:$Z$680,13,FALSE))</f>
        <v>#N/A</v>
      </c>
      <c r="Z305" s="412" t="e">
        <f>IF(V301=0,"",VLOOKUP(V301,'Tablas Magia'!$D$6:$Z$680,17,FALSE))</f>
        <v>#N/A</v>
      </c>
      <c r="AA305" s="6451" t="e">
        <f>IF(V301=0,"",VLOOKUP(V301,'Tablas Magia'!$D$6:$Z$680,21,FALSE))</f>
        <v>#N/A</v>
      </c>
      <c r="AB305" s="6452"/>
      <c r="AC305" s="6452"/>
      <c r="AD305" s="6452"/>
      <c r="AE305" s="6452"/>
      <c r="AF305" s="6452"/>
      <c r="AG305" s="6452"/>
      <c r="AH305" s="6452"/>
      <c r="AI305" s="6452"/>
      <c r="AJ305" s="6453"/>
      <c r="AK305" s="402"/>
      <c r="AL305" s="396"/>
    </row>
    <row r="306" spans="1:38" ht="12" customHeight="1" thickBot="1" x14ac:dyDescent="0.25">
      <c r="A306" s="396"/>
      <c r="B306" s="804"/>
      <c r="C306" s="6454" t="s">
        <v>3199</v>
      </c>
      <c r="D306" s="6455"/>
      <c r="E306" s="415" t="e">
        <f>IF(C301=0,"",VLOOKUP(C301,'Tablas Magia'!$D$6:$Z$680,10,FALSE))</f>
        <v>#N/A</v>
      </c>
      <c r="F306" s="415" t="e">
        <f>IF(C301=0,"",VLOOKUP(C301,'Tablas Magia'!$D$6:$Z$680,14,FALSE))</f>
        <v>#N/A</v>
      </c>
      <c r="G306" s="416" t="e">
        <f>IF(C301=0,"",VLOOKUP(C301,'Tablas Magia'!$D$6:$Z$680,18,FALSE))</f>
        <v>#N/A</v>
      </c>
      <c r="H306" s="6456" t="e">
        <f>IF(C301=0,"",VLOOKUP(C301,'Tablas Magia'!$D$6:$Z$680,22,FALSE))</f>
        <v>#N/A</v>
      </c>
      <c r="I306" s="6457"/>
      <c r="J306" s="6457"/>
      <c r="K306" s="6457"/>
      <c r="L306" s="6457"/>
      <c r="M306" s="6457"/>
      <c r="N306" s="6457"/>
      <c r="O306" s="6457"/>
      <c r="P306" s="6457"/>
      <c r="Q306" s="6458"/>
      <c r="R306" s="402"/>
      <c r="S306" s="396"/>
      <c r="T306" s="396"/>
      <c r="U306" s="804"/>
      <c r="V306" s="6454" t="s">
        <v>3199</v>
      </c>
      <c r="W306" s="6455"/>
      <c r="X306" s="415" t="e">
        <f>IF(V301=0,"",VLOOKUP(V301,'Tablas Magia'!$D$6:$Z$680,10,FALSE))</f>
        <v>#N/A</v>
      </c>
      <c r="Y306" s="415" t="e">
        <f>IF(V301=0,"",VLOOKUP(V301,'Tablas Magia'!$D$6:$Z$680,14,FALSE))</f>
        <v>#N/A</v>
      </c>
      <c r="Z306" s="416" t="e">
        <f>IF(V301=0,"",VLOOKUP(V301,'Tablas Magia'!$D$6:$Z$680,18,FALSE))</f>
        <v>#N/A</v>
      </c>
      <c r="AA306" s="6456" t="e">
        <f>IF(V301=0,"",VLOOKUP(V301,'Tablas Magia'!$D$6:$Z$680,22,FALSE))</f>
        <v>#N/A</v>
      </c>
      <c r="AB306" s="6457"/>
      <c r="AC306" s="6457"/>
      <c r="AD306" s="6457"/>
      <c r="AE306" s="6457"/>
      <c r="AF306" s="6457"/>
      <c r="AG306" s="6457"/>
      <c r="AH306" s="6457"/>
      <c r="AI306" s="6457"/>
      <c r="AJ306" s="6458"/>
      <c r="AK306" s="402"/>
      <c r="AL306" s="396"/>
    </row>
    <row r="307" spans="1:38" ht="12" customHeight="1" x14ac:dyDescent="0.2">
      <c r="A307" s="396"/>
      <c r="B307" s="804"/>
      <c r="C307" s="6459" t="e">
        <f>IF(C301=0,"",VLOOKUP(C301,'Tablas Magia'!$D$6:$Z$680,23,FALSE))</f>
        <v>#N/A</v>
      </c>
      <c r="D307" s="6460"/>
      <c r="E307" s="6460"/>
      <c r="F307" s="6460"/>
      <c r="G307" s="6460"/>
      <c r="H307" s="6460"/>
      <c r="I307" s="6460"/>
      <c r="J307" s="6460"/>
      <c r="K307" s="6460"/>
      <c r="L307" s="6460"/>
      <c r="M307" s="6460"/>
      <c r="N307" s="6460"/>
      <c r="O307" s="6460"/>
      <c r="P307" s="6460"/>
      <c r="Q307" s="6461"/>
      <c r="R307" s="402"/>
      <c r="S307" s="396"/>
      <c r="T307" s="396"/>
      <c r="U307" s="804"/>
      <c r="V307" s="6459" t="e">
        <f>IF(V301=0,"",VLOOKUP(V301,'Tablas Magia'!$D$6:$Z$680,23,FALSE))</f>
        <v>#N/A</v>
      </c>
      <c r="W307" s="6460"/>
      <c r="X307" s="6460"/>
      <c r="Y307" s="6460"/>
      <c r="Z307" s="6460"/>
      <c r="AA307" s="6460"/>
      <c r="AB307" s="6460"/>
      <c r="AC307" s="6460"/>
      <c r="AD307" s="6460"/>
      <c r="AE307" s="6460"/>
      <c r="AF307" s="6460"/>
      <c r="AG307" s="6460"/>
      <c r="AH307" s="6460"/>
      <c r="AI307" s="6460"/>
      <c r="AJ307" s="6461"/>
      <c r="AK307" s="402"/>
      <c r="AL307" s="396"/>
    </row>
    <row r="308" spans="1:38" ht="12" customHeight="1" x14ac:dyDescent="0.2">
      <c r="A308" s="396"/>
      <c r="B308" s="804"/>
      <c r="C308" s="6462"/>
      <c r="D308" s="6485"/>
      <c r="E308" s="6485"/>
      <c r="F308" s="6485"/>
      <c r="G308" s="6485"/>
      <c r="H308" s="6485"/>
      <c r="I308" s="6485"/>
      <c r="J308" s="6485"/>
      <c r="K308" s="6485"/>
      <c r="L308" s="6485"/>
      <c r="M308" s="6485"/>
      <c r="N308" s="6485"/>
      <c r="O308" s="6485"/>
      <c r="P308" s="6485"/>
      <c r="Q308" s="6464"/>
      <c r="R308" s="402"/>
      <c r="S308" s="396"/>
      <c r="T308" s="396"/>
      <c r="U308" s="804"/>
      <c r="V308" s="6462"/>
      <c r="W308" s="6463"/>
      <c r="X308" s="6463"/>
      <c r="Y308" s="6463"/>
      <c r="Z308" s="6463"/>
      <c r="AA308" s="6463"/>
      <c r="AB308" s="6463"/>
      <c r="AC308" s="6463"/>
      <c r="AD308" s="6463"/>
      <c r="AE308" s="6463"/>
      <c r="AF308" s="6463"/>
      <c r="AG308" s="6463"/>
      <c r="AH308" s="6463"/>
      <c r="AI308" s="6463"/>
      <c r="AJ308" s="6464"/>
      <c r="AK308" s="402"/>
      <c r="AL308" s="396"/>
    </row>
    <row r="309" spans="1:38" ht="12" customHeight="1" x14ac:dyDescent="0.2">
      <c r="A309" s="396"/>
      <c r="B309" s="804"/>
      <c r="C309" s="6462"/>
      <c r="D309" s="6485"/>
      <c r="E309" s="6485"/>
      <c r="F309" s="6485"/>
      <c r="G309" s="6485"/>
      <c r="H309" s="6485"/>
      <c r="I309" s="6485"/>
      <c r="J309" s="6485"/>
      <c r="K309" s="6485"/>
      <c r="L309" s="6485"/>
      <c r="M309" s="6485"/>
      <c r="N309" s="6485"/>
      <c r="O309" s="6485"/>
      <c r="P309" s="6485"/>
      <c r="Q309" s="6464"/>
      <c r="R309" s="402"/>
      <c r="S309" s="396"/>
      <c r="T309" s="396"/>
      <c r="U309" s="804"/>
      <c r="V309" s="6462"/>
      <c r="W309" s="6463"/>
      <c r="X309" s="6463"/>
      <c r="Y309" s="6463"/>
      <c r="Z309" s="6463"/>
      <c r="AA309" s="6463"/>
      <c r="AB309" s="6463"/>
      <c r="AC309" s="6463"/>
      <c r="AD309" s="6463"/>
      <c r="AE309" s="6463"/>
      <c r="AF309" s="6463"/>
      <c r="AG309" s="6463"/>
      <c r="AH309" s="6463"/>
      <c r="AI309" s="6463"/>
      <c r="AJ309" s="6464"/>
      <c r="AK309" s="402"/>
      <c r="AL309" s="396"/>
    </row>
    <row r="310" spans="1:38" ht="12" customHeight="1" thickBot="1" x14ac:dyDescent="0.25">
      <c r="A310" s="396"/>
      <c r="B310" s="804"/>
      <c r="C310" s="6465"/>
      <c r="D310" s="6466"/>
      <c r="E310" s="6466"/>
      <c r="F310" s="6466"/>
      <c r="G310" s="6466"/>
      <c r="H310" s="6466"/>
      <c r="I310" s="6466"/>
      <c r="J310" s="6466"/>
      <c r="K310" s="6466"/>
      <c r="L310" s="6466"/>
      <c r="M310" s="6466"/>
      <c r="N310" s="6466"/>
      <c r="O310" s="6466"/>
      <c r="P310" s="6466"/>
      <c r="Q310" s="6467"/>
      <c r="R310" s="402"/>
      <c r="S310" s="396"/>
      <c r="T310" s="396"/>
      <c r="U310" s="804"/>
      <c r="V310" s="6465"/>
      <c r="W310" s="6466"/>
      <c r="X310" s="6466"/>
      <c r="Y310" s="6466"/>
      <c r="Z310" s="6466"/>
      <c r="AA310" s="6466"/>
      <c r="AB310" s="6466"/>
      <c r="AC310" s="6466"/>
      <c r="AD310" s="6466"/>
      <c r="AE310" s="6466"/>
      <c r="AF310" s="6466"/>
      <c r="AG310" s="6466"/>
      <c r="AH310" s="6466"/>
      <c r="AI310" s="6466"/>
      <c r="AJ310" s="6467"/>
      <c r="AK310" s="402"/>
      <c r="AL310" s="396"/>
    </row>
    <row r="311" spans="1:38" ht="12" customHeight="1" thickBot="1" x14ac:dyDescent="0.25">
      <c r="A311" s="396"/>
      <c r="B311" s="804"/>
      <c r="C311" s="2514"/>
      <c r="D311" s="2514"/>
      <c r="E311" s="2515"/>
      <c r="F311" s="2515"/>
      <c r="G311" s="2515"/>
      <c r="H311" s="2515"/>
      <c r="I311" s="2515"/>
      <c r="J311" s="2515"/>
      <c r="K311" s="2515"/>
      <c r="L311" s="2515"/>
      <c r="M311" s="2515"/>
      <c r="N311" s="2515"/>
      <c r="O311" s="2515"/>
      <c r="P311" s="2515"/>
      <c r="Q311" s="2515"/>
      <c r="R311" s="402"/>
      <c r="S311" s="396"/>
      <c r="T311" s="396"/>
      <c r="U311" s="804"/>
      <c r="V311" s="422"/>
      <c r="W311" s="422"/>
      <c r="X311" s="413"/>
      <c r="Y311" s="413"/>
      <c r="Z311" s="413"/>
      <c r="AA311" s="423"/>
      <c r="AB311" s="423"/>
      <c r="AC311" s="423"/>
      <c r="AD311" s="423"/>
      <c r="AE311" s="423"/>
      <c r="AF311" s="423"/>
      <c r="AG311" s="423"/>
      <c r="AH311" s="423"/>
      <c r="AI311" s="423"/>
      <c r="AJ311" s="423"/>
      <c r="AK311" s="402"/>
      <c r="AL311" s="396"/>
    </row>
    <row r="312" spans="1:38" ht="12" customHeight="1" x14ac:dyDescent="0.2">
      <c r="A312" s="396"/>
      <c r="B312" s="804">
        <f>B301+2</f>
        <v>88</v>
      </c>
      <c r="C312" s="6501"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502"/>
      <c r="E312" s="6502"/>
      <c r="F312" s="6502"/>
      <c r="G312" s="6503"/>
      <c r="H312" s="406" t="s">
        <v>1325</v>
      </c>
      <c r="I312" s="407">
        <f>B312</f>
        <v>88</v>
      </c>
      <c r="J312" s="6486" t="s">
        <v>6236</v>
      </c>
      <c r="K312" s="6486"/>
      <c r="L312" s="6486"/>
      <c r="M312" s="6471" t="e">
        <f>IF(C312=0,"",VLOOKUP(C312,'Tablas Magia'!$D$6:$Z$680,2,FALSE))</f>
        <v>#N/A</v>
      </c>
      <c r="N312" s="6471"/>
      <c r="O312" s="1718"/>
      <c r="P312" s="6492" t="str">
        <f>IFERROR(IF(M312="Libre Acceso","Aprendido",IF(IFERROR(VLOOKUP(M312,Místicos!$C$15:$H$25,6,0)&gt;=I312,FALSE),"Aprendido",IF(IFERROR(VLOOKUP(M312,Místicos!$E$15:$H$25,4,0)&gt;=I312,FALSE),"Aprendido",""))),"")</f>
        <v/>
      </c>
      <c r="Q312" s="6493"/>
      <c r="R312" s="402"/>
      <c r="S312" s="396"/>
      <c r="T312" s="396"/>
      <c r="U312" s="804">
        <f>U301+2</f>
        <v>98</v>
      </c>
      <c r="V312" s="6501"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507"/>
      <c r="X312" s="6507"/>
      <c r="Y312" s="6507"/>
      <c r="Z312" s="6507"/>
      <c r="AA312" s="406" t="s">
        <v>1325</v>
      </c>
      <c r="AB312" s="407">
        <f>U312</f>
        <v>98</v>
      </c>
      <c r="AC312" s="6486" t="s">
        <v>6236</v>
      </c>
      <c r="AD312" s="6486"/>
      <c r="AE312" s="6486"/>
      <c r="AF312" s="6471" t="e">
        <f>IF(V312=0,"",VLOOKUP(V312,'Tablas Magia'!$D$6:$Z$680,2,FALSE))</f>
        <v>#N/A</v>
      </c>
      <c r="AG312" s="6471"/>
      <c r="AH312" s="1718"/>
      <c r="AI312" s="6492" t="str">
        <f>IFERROR(IF(AF312="Libre Acceso","Aprendido",IF(IFERROR(VLOOKUP(AF312,Místicos!$C$15:$H$25,6,0)&gt;=AB312,FALSE),"Aprendido",IF(IFERROR(VLOOKUP(AF312,Místicos!$E$15:$H$25,4,0)&gt;=AB312,FALSE),"Aprendido",""))),"")</f>
        <v/>
      </c>
      <c r="AJ312" s="6493"/>
      <c r="AK312" s="402"/>
      <c r="AL312" s="396"/>
    </row>
    <row r="313" spans="1:38" ht="12" customHeight="1" x14ac:dyDescent="0.2">
      <c r="A313" s="396"/>
      <c r="B313" s="804"/>
      <c r="C313" s="6473" t="s">
        <v>6237</v>
      </c>
      <c r="D313" s="6487"/>
      <c r="E313" s="2502" t="s">
        <v>6238</v>
      </c>
      <c r="F313" s="2502" t="s">
        <v>1509</v>
      </c>
      <c r="G313" s="2502" t="s">
        <v>2828</v>
      </c>
      <c r="H313" s="2503" t="s">
        <v>1836</v>
      </c>
      <c r="I313" s="6495" t="e">
        <f>IF(C312=0,"",VLOOKUP(C312,'Tablas Magia'!$D$6:$Z$680,5,FALSE))</f>
        <v>#N/A</v>
      </c>
      <c r="J313" s="6495"/>
      <c r="K313" s="6498" t="s">
        <v>6239</v>
      </c>
      <c r="L313" s="6498"/>
      <c r="M313" s="6495" t="e">
        <f>IF(C312=0,"",VLOOKUP(C312,'Tablas Magia'!$D$6:$Z$680,6,FALSE))</f>
        <v>#N/A</v>
      </c>
      <c r="N313" s="6495"/>
      <c r="O313" s="6496" t="s">
        <v>6240</v>
      </c>
      <c r="P313" s="6496"/>
      <c r="Q313" s="2504" t="e">
        <f>IF(C312=0,"",VLOOKUP(C312,'Tablas Magia'!$D$6:$Z$680,4,FALSE))</f>
        <v>#N/A</v>
      </c>
      <c r="R313" s="402"/>
      <c r="S313" s="396"/>
      <c r="T313" s="396"/>
      <c r="U313" s="804"/>
      <c r="V313" s="6473" t="s">
        <v>6237</v>
      </c>
      <c r="W313" s="6504"/>
      <c r="X313" s="1727" t="s">
        <v>6238</v>
      </c>
      <c r="Y313" s="1727" t="s">
        <v>1509</v>
      </c>
      <c r="Z313" s="1727" t="s">
        <v>2828</v>
      </c>
      <c r="AA313" s="1728" t="s">
        <v>1836</v>
      </c>
      <c r="AB313" s="6491" t="e">
        <f>IF(V312=0,"",VLOOKUP(V312,'Tablas Magia'!$D$6:$Z$680,5,FALSE))</f>
        <v>#N/A</v>
      </c>
      <c r="AC313" s="6491"/>
      <c r="AD313" s="6505" t="s">
        <v>6239</v>
      </c>
      <c r="AE313" s="6505"/>
      <c r="AF313" s="6491" t="e">
        <f>IF(V312=0,"",VLOOKUP(V312,'Tablas Magia'!$D$6:$Z$680,6,FALSE))</f>
        <v>#N/A</v>
      </c>
      <c r="AG313" s="6491"/>
      <c r="AH313" s="6506" t="s">
        <v>6240</v>
      </c>
      <c r="AI313" s="6506"/>
      <c r="AJ313" s="1729" t="e">
        <f>IF(V312=0,"",VLOOKUP(V312,'Tablas Magia'!$D$6:$Z$680,4,FALSE))</f>
        <v>#N/A</v>
      </c>
      <c r="AK313" s="402"/>
      <c r="AL313" s="396"/>
    </row>
    <row r="314" spans="1:38" ht="12" customHeight="1" x14ac:dyDescent="0.2">
      <c r="A314" s="396"/>
      <c r="B314" s="804"/>
      <c r="C314" s="6499" t="s">
        <v>1365</v>
      </c>
      <c r="D314" s="6500"/>
      <c r="E314" s="2505" t="e">
        <f>IF(C312=0,"",VLOOKUP(C312,'Tablas Magia'!$D$6:$Z$680,7,FALSE))</f>
        <v>#N/A</v>
      </c>
      <c r="F314" s="2505" t="e">
        <f>IF(C312=0,"",VLOOKUP(C312,'Tablas Magia'!$D$6:$Z$680,11,FALSE))</f>
        <v>#N/A</v>
      </c>
      <c r="G314" s="412" t="e">
        <f>IF(C312=0,"",VLOOKUP(C312,'Tablas Magia'!$D$6:$Z$680,15,FALSE))</f>
        <v>#N/A</v>
      </c>
      <c r="H314" s="6481" t="e">
        <f>IF(C312=0,"",VLOOKUP(C312,'Tablas Magia'!$D$6:$Z$680,19,FALSE))</f>
        <v>#N/A</v>
      </c>
      <c r="I314" s="6482"/>
      <c r="J314" s="6482"/>
      <c r="K314" s="6482"/>
      <c r="L314" s="6482"/>
      <c r="M314" s="6482"/>
      <c r="N314" s="6482"/>
      <c r="O314" s="6482"/>
      <c r="P314" s="6482"/>
      <c r="Q314" s="6483"/>
      <c r="R314" s="402"/>
      <c r="S314" s="396"/>
      <c r="T314" s="396"/>
      <c r="U314" s="804"/>
      <c r="V314" s="6449" t="s">
        <v>1365</v>
      </c>
      <c r="W314" s="6450"/>
      <c r="X314" s="411" t="e">
        <f>IF(V312=0,"",VLOOKUP(V312,'Tablas Magia'!$D$6:$Z$680,7,FALSE))</f>
        <v>#N/A</v>
      </c>
      <c r="Y314" s="411" t="e">
        <f>IF(V312=0,"",VLOOKUP(V312,'Tablas Magia'!$D$6:$Z$680,11,FALSE))</f>
        <v>#N/A</v>
      </c>
      <c r="Z314" s="412" t="e">
        <f>IF(V312=0,"",VLOOKUP(V312,'Tablas Magia'!$D$6:$Z$680,15,FALSE))</f>
        <v>#N/A</v>
      </c>
      <c r="AA314" s="6451" t="e">
        <f>IF(V312=0,"",VLOOKUP(V312,'Tablas Magia'!$D$6:$Z$680,19,FALSE))</f>
        <v>#N/A</v>
      </c>
      <c r="AB314" s="6452"/>
      <c r="AC314" s="6452"/>
      <c r="AD314" s="6452"/>
      <c r="AE314" s="6452"/>
      <c r="AF314" s="6452"/>
      <c r="AG314" s="6452"/>
      <c r="AH314" s="6452"/>
      <c r="AI314" s="6452"/>
      <c r="AJ314" s="6453"/>
      <c r="AK314" s="402"/>
      <c r="AL314" s="396"/>
    </row>
    <row r="315" spans="1:38" ht="12" customHeight="1" x14ac:dyDescent="0.2">
      <c r="A315" s="396"/>
      <c r="B315" s="804"/>
      <c r="C315" s="6444" t="s">
        <v>3197</v>
      </c>
      <c r="D315" s="6445"/>
      <c r="E315" s="2506" t="e">
        <f>IF(C312=0,"",VLOOKUP(C312,'Tablas Magia'!$D$6:$Z$680,8,FALSE))</f>
        <v>#N/A</v>
      </c>
      <c r="F315" s="2506" t="e">
        <f>IF(C312=0,"",VLOOKUP(C312,'Tablas Magia'!$D$6:$Z$680,12,FALSE))</f>
        <v>#N/A</v>
      </c>
      <c r="G315" s="414" t="e">
        <f>IF(C312=0,"",VLOOKUP(C312,'Tablas Magia'!$D$6:$Z$680,16,FALSE))</f>
        <v>#N/A</v>
      </c>
      <c r="H315" s="6446" t="e">
        <f>IF(C312=0,"",VLOOKUP(C312,'Tablas Magia'!$D$6:$Z$680,20,FALSE))</f>
        <v>#N/A</v>
      </c>
      <c r="I315" s="6484"/>
      <c r="J315" s="6484"/>
      <c r="K315" s="6484"/>
      <c r="L315" s="6484"/>
      <c r="M315" s="6484"/>
      <c r="N315" s="6484"/>
      <c r="O315" s="6484"/>
      <c r="P315" s="6484"/>
      <c r="Q315" s="6448"/>
      <c r="R315" s="402"/>
      <c r="S315" s="396"/>
      <c r="T315" s="396"/>
      <c r="U315" s="804"/>
      <c r="V315" s="6444" t="s">
        <v>3197</v>
      </c>
      <c r="W315" s="6445"/>
      <c r="X315" s="413" t="e">
        <f>IF(V312=0,"",VLOOKUP(V312,'Tablas Magia'!$D$6:$Z$680,8,FALSE))</f>
        <v>#N/A</v>
      </c>
      <c r="Y315" s="413" t="e">
        <f>IF(V312=0,"",VLOOKUP(V312,'Tablas Magia'!$D$6:$Z$680,12,FALSE))</f>
        <v>#N/A</v>
      </c>
      <c r="Z315" s="414" t="e">
        <f>IF(V312=0,"",VLOOKUP(V312,'Tablas Magia'!$D$6:$Z$680,16,FALSE))</f>
        <v>#N/A</v>
      </c>
      <c r="AA315" s="6446" t="e">
        <f>IF(V312=0,"",VLOOKUP(V312,'Tablas Magia'!$D$6:$Z$680,20,FALSE))</f>
        <v>#N/A</v>
      </c>
      <c r="AB315" s="6447"/>
      <c r="AC315" s="6447"/>
      <c r="AD315" s="6447"/>
      <c r="AE315" s="6447"/>
      <c r="AF315" s="6447"/>
      <c r="AG315" s="6447"/>
      <c r="AH315" s="6447"/>
      <c r="AI315" s="6447"/>
      <c r="AJ315" s="6448"/>
      <c r="AK315" s="402"/>
      <c r="AL315" s="396"/>
    </row>
    <row r="316" spans="1:38" ht="12" customHeight="1" x14ac:dyDescent="0.2">
      <c r="A316" s="396"/>
      <c r="B316" s="804"/>
      <c r="C316" s="6449" t="s">
        <v>3198</v>
      </c>
      <c r="D316" s="6450"/>
      <c r="E316" s="2505" t="e">
        <f>IF(C312=0,"",VLOOKUP(C312,'Tablas Magia'!$D$6:$Z$680,9,FALSE))</f>
        <v>#N/A</v>
      </c>
      <c r="F316" s="2505" t="e">
        <f>IF(C312=0,"",VLOOKUP(C312,'Tablas Magia'!$D$6:$Z$680,13,FALSE))</f>
        <v>#N/A</v>
      </c>
      <c r="G316" s="412" t="e">
        <f>IF(C312=0,"",VLOOKUP(C312,'Tablas Magia'!$D$6:$Z$680,17,FALSE))</f>
        <v>#N/A</v>
      </c>
      <c r="H316" s="6451" t="e">
        <f>IF(C312=0,"",VLOOKUP(C312,'Tablas Magia'!$D$6:$Z$680,21,FALSE))</f>
        <v>#N/A</v>
      </c>
      <c r="I316" s="6494"/>
      <c r="J316" s="6494"/>
      <c r="K316" s="6494"/>
      <c r="L316" s="6494"/>
      <c r="M316" s="6494"/>
      <c r="N316" s="6494"/>
      <c r="O316" s="6494"/>
      <c r="P316" s="6494"/>
      <c r="Q316" s="6453"/>
      <c r="R316" s="402"/>
      <c r="S316" s="396"/>
      <c r="T316" s="396"/>
      <c r="U316" s="804"/>
      <c r="V316" s="6449" t="s">
        <v>3198</v>
      </c>
      <c r="W316" s="6450"/>
      <c r="X316" s="411" t="e">
        <f>IF(V312=0,"",VLOOKUP(V312,'Tablas Magia'!$D$6:$Z$680,9,FALSE))</f>
        <v>#N/A</v>
      </c>
      <c r="Y316" s="411" t="e">
        <f>IF(V312=0,"",VLOOKUP(V312,'Tablas Magia'!$D$6:$Z$680,13,FALSE))</f>
        <v>#N/A</v>
      </c>
      <c r="Z316" s="412" t="e">
        <f>IF(V312=0,"",VLOOKUP(V312,'Tablas Magia'!$D$6:$Z$680,17,FALSE))</f>
        <v>#N/A</v>
      </c>
      <c r="AA316" s="6451" t="e">
        <f>IF(V312=0,"",VLOOKUP(V312,'Tablas Magia'!$D$6:$Z$680,21,FALSE))</f>
        <v>#N/A</v>
      </c>
      <c r="AB316" s="6452"/>
      <c r="AC316" s="6452"/>
      <c r="AD316" s="6452"/>
      <c r="AE316" s="6452"/>
      <c r="AF316" s="6452"/>
      <c r="AG316" s="6452"/>
      <c r="AH316" s="6452"/>
      <c r="AI316" s="6452"/>
      <c r="AJ316" s="6453"/>
      <c r="AK316" s="402"/>
      <c r="AL316" s="396"/>
    </row>
    <row r="317" spans="1:38" ht="12" customHeight="1" thickBot="1" x14ac:dyDescent="0.25">
      <c r="A317" s="396"/>
      <c r="B317" s="804"/>
      <c r="C317" s="6454" t="s">
        <v>3199</v>
      </c>
      <c r="D317" s="6455"/>
      <c r="E317" s="415" t="e">
        <f>IF(C312=0,"",VLOOKUP(C312,'Tablas Magia'!$D$6:$Z$680,10,FALSE))</f>
        <v>#N/A</v>
      </c>
      <c r="F317" s="415" t="e">
        <f>IF(C312=0,"",VLOOKUP(C312,'Tablas Magia'!$D$6:$Z$680,14,FALSE))</f>
        <v>#N/A</v>
      </c>
      <c r="G317" s="416" t="e">
        <f>IF(C312=0,"",VLOOKUP(C312,'Tablas Magia'!$D$6:$Z$680,18,FALSE))</f>
        <v>#N/A</v>
      </c>
      <c r="H317" s="6456" t="e">
        <f>IF(C312=0,"",VLOOKUP(C312,'Tablas Magia'!$D$6:$Z$680,22,FALSE))</f>
        <v>#N/A</v>
      </c>
      <c r="I317" s="6457"/>
      <c r="J317" s="6457"/>
      <c r="K317" s="6457"/>
      <c r="L317" s="6457"/>
      <c r="M317" s="6457"/>
      <c r="N317" s="6457"/>
      <c r="O317" s="6457"/>
      <c r="P317" s="6457"/>
      <c r="Q317" s="6458"/>
      <c r="R317" s="402"/>
      <c r="S317" s="396"/>
      <c r="T317" s="396"/>
      <c r="U317" s="804"/>
      <c r="V317" s="6454" t="s">
        <v>3199</v>
      </c>
      <c r="W317" s="6455"/>
      <c r="X317" s="415" t="e">
        <f>IF(V312=0,"",VLOOKUP(V312,'Tablas Magia'!$D$6:$Z$680,10,FALSE))</f>
        <v>#N/A</v>
      </c>
      <c r="Y317" s="415" t="e">
        <f>IF(V312=0,"",VLOOKUP(V312,'Tablas Magia'!$D$6:$Z$680,14,FALSE))</f>
        <v>#N/A</v>
      </c>
      <c r="Z317" s="416" t="e">
        <f>IF(V312=0,"",VLOOKUP(V312,'Tablas Magia'!$D$6:$Z$680,18,FALSE))</f>
        <v>#N/A</v>
      </c>
      <c r="AA317" s="6456" t="e">
        <f>IF(V312=0,"",VLOOKUP(V312,'Tablas Magia'!$D$6:$Z$680,22,FALSE))</f>
        <v>#N/A</v>
      </c>
      <c r="AB317" s="6457"/>
      <c r="AC317" s="6457"/>
      <c r="AD317" s="6457"/>
      <c r="AE317" s="6457"/>
      <c r="AF317" s="6457"/>
      <c r="AG317" s="6457"/>
      <c r="AH317" s="6457"/>
      <c r="AI317" s="6457"/>
      <c r="AJ317" s="6458"/>
      <c r="AK317" s="402"/>
      <c r="AL317" s="396"/>
    </row>
    <row r="318" spans="1:38" ht="12" customHeight="1" x14ac:dyDescent="0.2">
      <c r="A318" s="396"/>
      <c r="B318" s="804"/>
      <c r="C318" s="6459" t="e">
        <f>IF(C312=0,"",VLOOKUP(C312,'Tablas Magia'!$D$6:$Z$680,23,FALSE))</f>
        <v>#N/A</v>
      </c>
      <c r="D318" s="6460"/>
      <c r="E318" s="6460"/>
      <c r="F318" s="6460"/>
      <c r="G318" s="6460"/>
      <c r="H318" s="6460"/>
      <c r="I318" s="6460"/>
      <c r="J318" s="6460"/>
      <c r="K318" s="6460"/>
      <c r="L318" s="6460"/>
      <c r="M318" s="6460"/>
      <c r="N318" s="6460"/>
      <c r="O318" s="6460"/>
      <c r="P318" s="6460"/>
      <c r="Q318" s="6461"/>
      <c r="R318" s="402"/>
      <c r="S318" s="396"/>
      <c r="T318" s="396"/>
      <c r="U318" s="804"/>
      <c r="V318" s="6459" t="e">
        <f>IF(V312=0,"",VLOOKUP(V312,'Tablas Magia'!$D$6:$Z$680,23,FALSE))</f>
        <v>#N/A</v>
      </c>
      <c r="W318" s="6460"/>
      <c r="X318" s="6460"/>
      <c r="Y318" s="6460"/>
      <c r="Z318" s="6460"/>
      <c r="AA318" s="6460"/>
      <c r="AB318" s="6460"/>
      <c r="AC318" s="6460"/>
      <c r="AD318" s="6460"/>
      <c r="AE318" s="6460"/>
      <c r="AF318" s="6460"/>
      <c r="AG318" s="6460"/>
      <c r="AH318" s="6460"/>
      <c r="AI318" s="6460"/>
      <c r="AJ318" s="6461"/>
      <c r="AK318" s="402"/>
      <c r="AL318" s="396"/>
    </row>
    <row r="319" spans="1:38" ht="12" customHeight="1" x14ac:dyDescent="0.2">
      <c r="A319" s="396"/>
      <c r="B319" s="804"/>
      <c r="C319" s="6462"/>
      <c r="D319" s="6485"/>
      <c r="E319" s="6485"/>
      <c r="F319" s="6485"/>
      <c r="G319" s="6485"/>
      <c r="H319" s="6485"/>
      <c r="I319" s="6485"/>
      <c r="J319" s="6485"/>
      <c r="K319" s="6485"/>
      <c r="L319" s="6485"/>
      <c r="M319" s="6485"/>
      <c r="N319" s="6485"/>
      <c r="O319" s="6485"/>
      <c r="P319" s="6485"/>
      <c r="Q319" s="6464"/>
      <c r="R319" s="402"/>
      <c r="S319" s="396"/>
      <c r="T319" s="396"/>
      <c r="U319" s="804"/>
      <c r="V319" s="6462"/>
      <c r="W319" s="6463"/>
      <c r="X319" s="6463"/>
      <c r="Y319" s="6463"/>
      <c r="Z319" s="6463"/>
      <c r="AA319" s="6463"/>
      <c r="AB319" s="6463"/>
      <c r="AC319" s="6463"/>
      <c r="AD319" s="6463"/>
      <c r="AE319" s="6463"/>
      <c r="AF319" s="6463"/>
      <c r="AG319" s="6463"/>
      <c r="AH319" s="6463"/>
      <c r="AI319" s="6463"/>
      <c r="AJ319" s="6464"/>
      <c r="AK319" s="402"/>
      <c r="AL319" s="396"/>
    </row>
    <row r="320" spans="1:38" ht="12" customHeight="1" x14ac:dyDescent="0.2">
      <c r="A320" s="396"/>
      <c r="B320" s="804"/>
      <c r="C320" s="6462"/>
      <c r="D320" s="6485"/>
      <c r="E320" s="6485"/>
      <c r="F320" s="6485"/>
      <c r="G320" s="6485"/>
      <c r="H320" s="6485"/>
      <c r="I320" s="6485"/>
      <c r="J320" s="6485"/>
      <c r="K320" s="6485"/>
      <c r="L320" s="6485"/>
      <c r="M320" s="6485"/>
      <c r="N320" s="6485"/>
      <c r="O320" s="6485"/>
      <c r="P320" s="6485"/>
      <c r="Q320" s="6464"/>
      <c r="R320" s="402"/>
      <c r="S320" s="396"/>
      <c r="T320" s="396"/>
      <c r="U320" s="804"/>
      <c r="V320" s="6462"/>
      <c r="W320" s="6463"/>
      <c r="X320" s="6463"/>
      <c r="Y320" s="6463"/>
      <c r="Z320" s="6463"/>
      <c r="AA320" s="6463"/>
      <c r="AB320" s="6463"/>
      <c r="AC320" s="6463"/>
      <c r="AD320" s="6463"/>
      <c r="AE320" s="6463"/>
      <c r="AF320" s="6463"/>
      <c r="AG320" s="6463"/>
      <c r="AH320" s="6463"/>
      <c r="AI320" s="6463"/>
      <c r="AJ320" s="6464"/>
      <c r="AK320" s="402"/>
      <c r="AL320" s="396"/>
    </row>
    <row r="321" spans="1:38" ht="12" customHeight="1" thickBot="1" x14ac:dyDescent="0.25">
      <c r="A321" s="396"/>
      <c r="B321" s="804"/>
      <c r="C321" s="6465"/>
      <c r="D321" s="6466"/>
      <c r="E321" s="6466"/>
      <c r="F321" s="6466"/>
      <c r="G321" s="6466"/>
      <c r="H321" s="6466"/>
      <c r="I321" s="6466"/>
      <c r="J321" s="6466"/>
      <c r="K321" s="6466"/>
      <c r="L321" s="6466"/>
      <c r="M321" s="6466"/>
      <c r="N321" s="6466"/>
      <c r="O321" s="6466"/>
      <c r="P321" s="6466"/>
      <c r="Q321" s="6467"/>
      <c r="R321" s="402"/>
      <c r="S321" s="396"/>
      <c r="T321" s="396"/>
      <c r="U321" s="804"/>
      <c r="V321" s="6465"/>
      <c r="W321" s="6466"/>
      <c r="X321" s="6466"/>
      <c r="Y321" s="6466"/>
      <c r="Z321" s="6466"/>
      <c r="AA321" s="6466"/>
      <c r="AB321" s="6466"/>
      <c r="AC321" s="6466"/>
      <c r="AD321" s="6466"/>
      <c r="AE321" s="6466"/>
      <c r="AF321" s="6466"/>
      <c r="AG321" s="6466"/>
      <c r="AH321" s="6466"/>
      <c r="AI321" s="6466"/>
      <c r="AJ321" s="6467"/>
      <c r="AK321" s="402"/>
      <c r="AL321" s="396"/>
    </row>
    <row r="322" spans="1:38" ht="12" customHeight="1" thickBot="1" x14ac:dyDescent="0.25">
      <c r="A322" s="396"/>
      <c r="B322" s="804"/>
      <c r="C322" s="2514"/>
      <c r="D322" s="2514"/>
      <c r="E322" s="2506"/>
      <c r="F322" s="2506"/>
      <c r="G322" s="2506"/>
      <c r="H322" s="2515"/>
      <c r="I322" s="2515"/>
      <c r="J322" s="2515"/>
      <c r="K322" s="2515"/>
      <c r="L322" s="2515"/>
      <c r="M322" s="2515"/>
      <c r="N322" s="2515"/>
      <c r="O322" s="2515"/>
      <c r="P322" s="2515"/>
      <c r="Q322" s="2515"/>
      <c r="R322" s="402"/>
      <c r="S322" s="396"/>
      <c r="T322" s="396"/>
      <c r="U322" s="804"/>
      <c r="V322" s="422"/>
      <c r="W322" s="422"/>
      <c r="X322" s="413"/>
      <c r="Y322" s="413"/>
      <c r="Z322" s="413"/>
      <c r="AA322" s="423"/>
      <c r="AB322" s="423"/>
      <c r="AC322" s="423"/>
      <c r="AD322" s="423"/>
      <c r="AE322" s="423"/>
      <c r="AF322" s="423"/>
      <c r="AG322" s="423"/>
      <c r="AH322" s="423"/>
      <c r="AI322" s="423"/>
      <c r="AJ322" s="423"/>
      <c r="AK322" s="402"/>
      <c r="AL322" s="396"/>
    </row>
    <row r="323" spans="1:38" ht="12" customHeight="1" x14ac:dyDescent="0.2">
      <c r="A323" s="396"/>
      <c r="B323" s="804">
        <f>B312+2</f>
        <v>90</v>
      </c>
      <c r="C323" s="6501"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502"/>
      <c r="E323" s="6502"/>
      <c r="F323" s="6502"/>
      <c r="G323" s="6503"/>
      <c r="H323" s="406" t="s">
        <v>1325</v>
      </c>
      <c r="I323" s="407">
        <f>B323</f>
        <v>90</v>
      </c>
      <c r="J323" s="6486" t="s">
        <v>6236</v>
      </c>
      <c r="K323" s="6486"/>
      <c r="L323" s="6486"/>
      <c r="M323" s="6471" t="e">
        <f>IF(C323=0,"",VLOOKUP(C323,'Tablas Magia'!$D$6:$Z$680,2,FALSE))</f>
        <v>#N/A</v>
      </c>
      <c r="N323" s="6471"/>
      <c r="O323" s="1718"/>
      <c r="P323" s="6492" t="str">
        <f>IFERROR(IF(M323="Libre Acceso","Aprendido",IF(IFERROR(VLOOKUP(M323,Místicos!$C$15:$H$25,6,0)&gt;=I323,FALSE),"Aprendido",IF(IFERROR(VLOOKUP(M323,Místicos!$E$15:$H$25,4,0)&gt;=I323,FALSE),"Aprendido",""))),"")</f>
        <v/>
      </c>
      <c r="Q323" s="6493"/>
      <c r="R323" s="402"/>
      <c r="S323" s="396"/>
      <c r="T323" s="396"/>
      <c r="U323" s="804">
        <f>U312+2</f>
        <v>100</v>
      </c>
      <c r="V323" s="6501"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507"/>
      <c r="X323" s="6507"/>
      <c r="Y323" s="6507"/>
      <c r="Z323" s="6507"/>
      <c r="AA323" s="406" t="s">
        <v>1325</v>
      </c>
      <c r="AB323" s="407">
        <f>U323</f>
        <v>100</v>
      </c>
      <c r="AC323" s="6486" t="s">
        <v>6236</v>
      </c>
      <c r="AD323" s="6486"/>
      <c r="AE323" s="6486"/>
      <c r="AF323" s="6471" t="e">
        <f>IF(V323=0,"",VLOOKUP(V323,'Tablas Magia'!$D$6:$Z$680,2,FALSE))</f>
        <v>#N/A</v>
      </c>
      <c r="AG323" s="6471"/>
      <c r="AH323" s="1718"/>
      <c r="AI323" s="6492" t="str">
        <f>IFERROR(IF(AF323="Libre Acceso","Aprendido",IF(IFERROR(VLOOKUP(AF323,Místicos!$C$15:$H$25,6,0)&gt;=AB323,FALSE),"Aprendido",IF(IFERROR(VLOOKUP(AF323,Místicos!$E$15:$H$25,4,0)&gt;=AB323,FALSE),"Aprendido",""))),"")</f>
        <v/>
      </c>
      <c r="AJ323" s="6493"/>
      <c r="AK323" s="402"/>
      <c r="AL323" s="396"/>
    </row>
    <row r="324" spans="1:38" ht="12" customHeight="1" x14ac:dyDescent="0.2">
      <c r="A324" s="396"/>
      <c r="B324" s="804"/>
      <c r="C324" s="6473" t="s">
        <v>6237</v>
      </c>
      <c r="D324" s="6487"/>
      <c r="E324" s="2502" t="s">
        <v>6238</v>
      </c>
      <c r="F324" s="2502" t="s">
        <v>1509</v>
      </c>
      <c r="G324" s="2502" t="s">
        <v>2828</v>
      </c>
      <c r="H324" s="2503" t="s">
        <v>1836</v>
      </c>
      <c r="I324" s="6495" t="e">
        <f>IF(C323=0,"",VLOOKUP(C323,'Tablas Magia'!$D$6:$Z$680,5,FALSE))</f>
        <v>#N/A</v>
      </c>
      <c r="J324" s="6495"/>
      <c r="K324" s="6498" t="s">
        <v>6239</v>
      </c>
      <c r="L324" s="6498"/>
      <c r="M324" s="6495" t="e">
        <f>IF(C323=0,"",VLOOKUP(C323,'Tablas Magia'!$D$6:$Z$680,6,FALSE))</f>
        <v>#N/A</v>
      </c>
      <c r="N324" s="6495"/>
      <c r="O324" s="6496" t="s">
        <v>6240</v>
      </c>
      <c r="P324" s="6496"/>
      <c r="Q324" s="2504" t="e">
        <f>IF(C323=0,"",VLOOKUP(C323,'Tablas Magia'!$D$6:$Z$680,4,FALSE))</f>
        <v>#N/A</v>
      </c>
      <c r="R324" s="402"/>
      <c r="S324" s="396"/>
      <c r="T324" s="396"/>
      <c r="U324" s="804"/>
      <c r="V324" s="6473" t="s">
        <v>6237</v>
      </c>
      <c r="W324" s="6504"/>
      <c r="X324" s="1727" t="s">
        <v>6238</v>
      </c>
      <c r="Y324" s="1727" t="s">
        <v>1509</v>
      </c>
      <c r="Z324" s="1727" t="s">
        <v>2828</v>
      </c>
      <c r="AA324" s="1728" t="s">
        <v>1836</v>
      </c>
      <c r="AB324" s="6491" t="e">
        <f>IF(V323=0,"",VLOOKUP(V323,'Tablas Magia'!$D$6:$Z$680,5,FALSE))</f>
        <v>#N/A</v>
      </c>
      <c r="AC324" s="6491"/>
      <c r="AD324" s="6505" t="s">
        <v>6239</v>
      </c>
      <c r="AE324" s="6505"/>
      <c r="AF324" s="6491" t="e">
        <f>IF(V323=0,"",VLOOKUP(V323,'Tablas Magia'!$D$6:$Z$680,6,FALSE))</f>
        <v>#N/A</v>
      </c>
      <c r="AG324" s="6491"/>
      <c r="AH324" s="6506" t="s">
        <v>6240</v>
      </c>
      <c r="AI324" s="6506"/>
      <c r="AJ324" s="1729" t="e">
        <f>IF(V323=0,"",VLOOKUP(V323,'Tablas Magia'!$D$6:$Z$680,4,FALSE))</f>
        <v>#N/A</v>
      </c>
      <c r="AK324" s="402"/>
      <c r="AL324" s="396"/>
    </row>
    <row r="325" spans="1:38" ht="12" customHeight="1" x14ac:dyDescent="0.2">
      <c r="A325" s="396"/>
      <c r="B325" s="804"/>
      <c r="C325" s="6499" t="s">
        <v>1365</v>
      </c>
      <c r="D325" s="6500"/>
      <c r="E325" s="2505" t="e">
        <f>IF(C323=0,"",VLOOKUP(C323,'Tablas Magia'!$D$6:$Z$680,7,FALSE))</f>
        <v>#N/A</v>
      </c>
      <c r="F325" s="2505" t="e">
        <f>IF(C323=0,"",VLOOKUP(C323,'Tablas Magia'!$D$6:$Z$680,11,FALSE))</f>
        <v>#N/A</v>
      </c>
      <c r="G325" s="412" t="e">
        <f>IF(C323=0,"",VLOOKUP(C323,'Tablas Magia'!$D$6:$Z$680,15,FALSE))</f>
        <v>#N/A</v>
      </c>
      <c r="H325" s="6481" t="e">
        <f>IF(C323=0,"",VLOOKUP(C323,'Tablas Magia'!$D$6:$Z$680,19,FALSE))</f>
        <v>#N/A</v>
      </c>
      <c r="I325" s="6482"/>
      <c r="J325" s="6482"/>
      <c r="K325" s="6482"/>
      <c r="L325" s="6482"/>
      <c r="M325" s="6482"/>
      <c r="N325" s="6482"/>
      <c r="O325" s="6482"/>
      <c r="P325" s="6482"/>
      <c r="Q325" s="6483"/>
      <c r="R325" s="402"/>
      <c r="S325" s="396"/>
      <c r="T325" s="396"/>
      <c r="U325" s="804"/>
      <c r="V325" s="6449" t="s">
        <v>1365</v>
      </c>
      <c r="W325" s="6450"/>
      <c r="X325" s="411" t="e">
        <f>IF(V323=0,"",VLOOKUP(V323,'Tablas Magia'!$D$6:$Z$680,7,FALSE))</f>
        <v>#N/A</v>
      </c>
      <c r="Y325" s="411" t="e">
        <f>IF(V323=0,"",VLOOKUP(V323,'Tablas Magia'!$D$6:$Z$680,11,FALSE))</f>
        <v>#N/A</v>
      </c>
      <c r="Z325" s="412" t="e">
        <f>IF(V323=0,"",VLOOKUP(V323,'Tablas Magia'!$D$6:$Z$680,15,FALSE))</f>
        <v>#N/A</v>
      </c>
      <c r="AA325" s="6451" t="e">
        <f>IF(V323=0,"",VLOOKUP(V323,'Tablas Magia'!$D$6:$Z$680,19,FALSE))</f>
        <v>#N/A</v>
      </c>
      <c r="AB325" s="6452"/>
      <c r="AC325" s="6452"/>
      <c r="AD325" s="6452"/>
      <c r="AE325" s="6452"/>
      <c r="AF325" s="6452"/>
      <c r="AG325" s="6452"/>
      <c r="AH325" s="6452"/>
      <c r="AI325" s="6452"/>
      <c r="AJ325" s="6453"/>
      <c r="AK325" s="402"/>
      <c r="AL325" s="396"/>
    </row>
    <row r="326" spans="1:38" ht="12" customHeight="1" x14ac:dyDescent="0.2">
      <c r="A326" s="396"/>
      <c r="B326" s="804"/>
      <c r="C326" s="6444" t="s">
        <v>3197</v>
      </c>
      <c r="D326" s="6445"/>
      <c r="E326" s="2506" t="e">
        <f>IF(C323=0,"",VLOOKUP(C323,'Tablas Magia'!$D$6:$Z$680,8,FALSE))</f>
        <v>#N/A</v>
      </c>
      <c r="F326" s="2506" t="e">
        <f>IF(C323=0,"",VLOOKUP(C323,'Tablas Magia'!$D$6:$Z$680,12,FALSE))</f>
        <v>#N/A</v>
      </c>
      <c r="G326" s="414" t="e">
        <f>IF(C323=0,"",VLOOKUP(C323,'Tablas Magia'!$D$6:$Z$680,16,FALSE))</f>
        <v>#N/A</v>
      </c>
      <c r="H326" s="6446" t="e">
        <f>IF(C323=0,"",VLOOKUP(C323,'Tablas Magia'!$D$6:$Z$680,20,FALSE))</f>
        <v>#N/A</v>
      </c>
      <c r="I326" s="6484"/>
      <c r="J326" s="6484"/>
      <c r="K326" s="6484"/>
      <c r="L326" s="6484"/>
      <c r="M326" s="6484"/>
      <c r="N326" s="6484"/>
      <c r="O326" s="6484"/>
      <c r="P326" s="6484"/>
      <c r="Q326" s="6448"/>
      <c r="R326" s="402"/>
      <c r="S326" s="396"/>
      <c r="T326" s="396"/>
      <c r="U326" s="804"/>
      <c r="V326" s="6444" t="s">
        <v>3197</v>
      </c>
      <c r="W326" s="6445"/>
      <c r="X326" s="413" t="e">
        <f>IF(V323=0,"",VLOOKUP(V323,'Tablas Magia'!$D$6:$Z$680,8,FALSE))</f>
        <v>#N/A</v>
      </c>
      <c r="Y326" s="413" t="e">
        <f>IF(V323=0,"",VLOOKUP(V323,'Tablas Magia'!$D$6:$Z$680,12,FALSE))</f>
        <v>#N/A</v>
      </c>
      <c r="Z326" s="414" t="e">
        <f>IF(V323=0,"",VLOOKUP(V323,'Tablas Magia'!$D$6:$Z$680,16,FALSE))</f>
        <v>#N/A</v>
      </c>
      <c r="AA326" s="6446" t="e">
        <f>IF(V323=0,"",VLOOKUP(V323,'Tablas Magia'!$D$6:$Z$680,20,FALSE))</f>
        <v>#N/A</v>
      </c>
      <c r="AB326" s="6447"/>
      <c r="AC326" s="6447"/>
      <c r="AD326" s="6447"/>
      <c r="AE326" s="6447"/>
      <c r="AF326" s="6447"/>
      <c r="AG326" s="6447"/>
      <c r="AH326" s="6447"/>
      <c r="AI326" s="6447"/>
      <c r="AJ326" s="6448"/>
      <c r="AK326" s="402"/>
      <c r="AL326" s="396"/>
    </row>
    <row r="327" spans="1:38" ht="12" customHeight="1" x14ac:dyDescent="0.2">
      <c r="A327" s="396"/>
      <c r="B327" s="804"/>
      <c r="C327" s="6449" t="s">
        <v>3198</v>
      </c>
      <c r="D327" s="6450"/>
      <c r="E327" s="2505" t="e">
        <f>IF(C323=0,"",VLOOKUP(C323,'Tablas Magia'!$D$6:$Z$680,9,FALSE))</f>
        <v>#N/A</v>
      </c>
      <c r="F327" s="2505" t="e">
        <f>IF(C323=0,"",VLOOKUP(C323,'Tablas Magia'!$D$6:$Z$680,13,FALSE))</f>
        <v>#N/A</v>
      </c>
      <c r="G327" s="412" t="e">
        <f>IF(C323=0,"",VLOOKUP(C323,'Tablas Magia'!$D$6:$Z$680,17,FALSE))</f>
        <v>#N/A</v>
      </c>
      <c r="H327" s="6451" t="e">
        <f>IF(C323=0,"",VLOOKUP(C323,'Tablas Magia'!$D$6:$Z$680,21,FALSE))</f>
        <v>#N/A</v>
      </c>
      <c r="I327" s="6494"/>
      <c r="J327" s="6494"/>
      <c r="K327" s="6494"/>
      <c r="L327" s="6494"/>
      <c r="M327" s="6494"/>
      <c r="N327" s="6494"/>
      <c r="O327" s="6494"/>
      <c r="P327" s="6494"/>
      <c r="Q327" s="6453"/>
      <c r="R327" s="402"/>
      <c r="S327" s="396"/>
      <c r="T327" s="396"/>
      <c r="U327" s="804"/>
      <c r="V327" s="6449" t="s">
        <v>3198</v>
      </c>
      <c r="W327" s="6450"/>
      <c r="X327" s="411" t="e">
        <f>IF(V323=0,"",VLOOKUP(V323,'Tablas Magia'!$D$6:$Z$680,9,FALSE))</f>
        <v>#N/A</v>
      </c>
      <c r="Y327" s="411" t="e">
        <f>IF(V323=0,"",VLOOKUP(V323,'Tablas Magia'!$D$6:$Z$680,13,FALSE))</f>
        <v>#N/A</v>
      </c>
      <c r="Z327" s="412" t="e">
        <f>IF(V323=0,"",VLOOKUP(V323,'Tablas Magia'!$D$6:$Z$680,17,FALSE))</f>
        <v>#N/A</v>
      </c>
      <c r="AA327" s="6451" t="e">
        <f>IF(V323=0,"",VLOOKUP(V323,'Tablas Magia'!$D$6:$Z$680,21,FALSE))</f>
        <v>#N/A</v>
      </c>
      <c r="AB327" s="6452"/>
      <c r="AC327" s="6452"/>
      <c r="AD327" s="6452"/>
      <c r="AE327" s="6452"/>
      <c r="AF327" s="6452"/>
      <c r="AG327" s="6452"/>
      <c r="AH327" s="6452"/>
      <c r="AI327" s="6452"/>
      <c r="AJ327" s="6453"/>
      <c r="AK327" s="402"/>
      <c r="AL327" s="396"/>
    </row>
    <row r="328" spans="1:38" ht="12" customHeight="1" thickBot="1" x14ac:dyDescent="0.25">
      <c r="A328" s="396"/>
      <c r="B328" s="804"/>
      <c r="C328" s="6454" t="s">
        <v>3199</v>
      </c>
      <c r="D328" s="6455"/>
      <c r="E328" s="415" t="e">
        <f>IF(C323=0,"",VLOOKUP(C323,'Tablas Magia'!$D$6:$Z$680,10,FALSE))</f>
        <v>#N/A</v>
      </c>
      <c r="F328" s="415" t="e">
        <f>IF(C323=0,"",VLOOKUP(C323,'Tablas Magia'!$D$6:$Z$680,14,FALSE))</f>
        <v>#N/A</v>
      </c>
      <c r="G328" s="416" t="e">
        <f>IF(C323=0,"",VLOOKUP(C323,'Tablas Magia'!$D$6:$Z$680,18,FALSE))</f>
        <v>#N/A</v>
      </c>
      <c r="H328" s="6456" t="e">
        <f>IF(C323=0,"",VLOOKUP(C323,'Tablas Magia'!$D$6:$Z$680,22,FALSE))</f>
        <v>#N/A</v>
      </c>
      <c r="I328" s="6457"/>
      <c r="J328" s="6457"/>
      <c r="K328" s="6457"/>
      <c r="L328" s="6457"/>
      <c r="M328" s="6457"/>
      <c r="N328" s="6457"/>
      <c r="O328" s="6457"/>
      <c r="P328" s="6457"/>
      <c r="Q328" s="6458"/>
      <c r="R328" s="402"/>
      <c r="S328" s="396"/>
      <c r="T328" s="396"/>
      <c r="U328" s="804"/>
      <c r="V328" s="6454" t="s">
        <v>3199</v>
      </c>
      <c r="W328" s="6455"/>
      <c r="X328" s="415" t="e">
        <f>IF(V323=0,"",VLOOKUP(V323,'Tablas Magia'!$D$6:$Z$680,10,FALSE))</f>
        <v>#N/A</v>
      </c>
      <c r="Y328" s="415" t="e">
        <f>IF(V323=0,"",VLOOKUP(V323,'Tablas Magia'!$D$6:$Z$680,14,FALSE))</f>
        <v>#N/A</v>
      </c>
      <c r="Z328" s="416" t="e">
        <f>IF(V323=0,"",VLOOKUP(V323,'Tablas Magia'!$D$6:$Z$680,18,FALSE))</f>
        <v>#N/A</v>
      </c>
      <c r="AA328" s="6456" t="e">
        <f>IF(V323=0,"",VLOOKUP(V323,'Tablas Magia'!$D$6:$Z$680,22,FALSE))</f>
        <v>#N/A</v>
      </c>
      <c r="AB328" s="6457"/>
      <c r="AC328" s="6457"/>
      <c r="AD328" s="6457"/>
      <c r="AE328" s="6457"/>
      <c r="AF328" s="6457"/>
      <c r="AG328" s="6457"/>
      <c r="AH328" s="6457"/>
      <c r="AI328" s="6457"/>
      <c r="AJ328" s="6458"/>
      <c r="AK328" s="402"/>
      <c r="AL328" s="396"/>
    </row>
    <row r="329" spans="1:38" ht="12" customHeight="1" x14ac:dyDescent="0.2">
      <c r="A329" s="396"/>
      <c r="B329" s="804"/>
      <c r="C329" s="6459" t="e">
        <f>IF(C323=0,"",VLOOKUP(C323,'Tablas Magia'!$D$6:$Z$680,23,FALSE))</f>
        <v>#N/A</v>
      </c>
      <c r="D329" s="6460"/>
      <c r="E329" s="6460"/>
      <c r="F329" s="6460"/>
      <c r="G329" s="6460"/>
      <c r="H329" s="6460"/>
      <c r="I329" s="6460"/>
      <c r="J329" s="6460"/>
      <c r="K329" s="6460"/>
      <c r="L329" s="6460"/>
      <c r="M329" s="6460"/>
      <c r="N329" s="6460"/>
      <c r="O329" s="6460"/>
      <c r="P329" s="6460"/>
      <c r="Q329" s="6461"/>
      <c r="R329" s="402"/>
      <c r="S329" s="396"/>
      <c r="T329" s="396"/>
      <c r="U329" s="804"/>
      <c r="V329" s="6459" t="e">
        <f>IF(V323=0,"",VLOOKUP(V323,'Tablas Magia'!$D$6:$Z$680,23,FALSE))</f>
        <v>#N/A</v>
      </c>
      <c r="W329" s="6460"/>
      <c r="X329" s="6460"/>
      <c r="Y329" s="6460"/>
      <c r="Z329" s="6460"/>
      <c r="AA329" s="6460"/>
      <c r="AB329" s="6460"/>
      <c r="AC329" s="6460"/>
      <c r="AD329" s="6460"/>
      <c r="AE329" s="6460"/>
      <c r="AF329" s="6460"/>
      <c r="AG329" s="6460"/>
      <c r="AH329" s="6460"/>
      <c r="AI329" s="6460"/>
      <c r="AJ329" s="6461"/>
      <c r="AK329" s="402"/>
      <c r="AL329" s="396"/>
    </row>
    <row r="330" spans="1:38" ht="12" customHeight="1" x14ac:dyDescent="0.2">
      <c r="A330" s="396"/>
      <c r="B330" s="804"/>
      <c r="C330" s="6462"/>
      <c r="D330" s="6485"/>
      <c r="E330" s="6485"/>
      <c r="F330" s="6485"/>
      <c r="G330" s="6485"/>
      <c r="H330" s="6485"/>
      <c r="I330" s="6485"/>
      <c r="J330" s="6485"/>
      <c r="K330" s="6485"/>
      <c r="L330" s="6485"/>
      <c r="M330" s="6485"/>
      <c r="N330" s="6485"/>
      <c r="O330" s="6485"/>
      <c r="P330" s="6485"/>
      <c r="Q330" s="6464"/>
      <c r="R330" s="402"/>
      <c r="S330" s="396"/>
      <c r="T330" s="396"/>
      <c r="U330" s="804"/>
      <c r="V330" s="6462"/>
      <c r="W330" s="6463"/>
      <c r="X330" s="6463"/>
      <c r="Y330" s="6463"/>
      <c r="Z330" s="6463"/>
      <c r="AA330" s="6463"/>
      <c r="AB330" s="6463"/>
      <c r="AC330" s="6463"/>
      <c r="AD330" s="6463"/>
      <c r="AE330" s="6463"/>
      <c r="AF330" s="6463"/>
      <c r="AG330" s="6463"/>
      <c r="AH330" s="6463"/>
      <c r="AI330" s="6463"/>
      <c r="AJ330" s="6464"/>
      <c r="AK330" s="402"/>
      <c r="AL330" s="396"/>
    </row>
    <row r="331" spans="1:38" ht="12" customHeight="1" x14ac:dyDescent="0.2">
      <c r="A331" s="396"/>
      <c r="B331" s="804"/>
      <c r="C331" s="6462"/>
      <c r="D331" s="6485"/>
      <c r="E331" s="6485"/>
      <c r="F331" s="6485"/>
      <c r="G331" s="6485"/>
      <c r="H331" s="6485"/>
      <c r="I331" s="6485"/>
      <c r="J331" s="6485"/>
      <c r="K331" s="6485"/>
      <c r="L331" s="6485"/>
      <c r="M331" s="6485"/>
      <c r="N331" s="6485"/>
      <c r="O331" s="6485"/>
      <c r="P331" s="6485"/>
      <c r="Q331" s="6464"/>
      <c r="R331" s="402"/>
      <c r="S331" s="396"/>
      <c r="T331" s="396"/>
      <c r="U331" s="804"/>
      <c r="V331" s="6462"/>
      <c r="W331" s="6463"/>
      <c r="X331" s="6463"/>
      <c r="Y331" s="6463"/>
      <c r="Z331" s="6463"/>
      <c r="AA331" s="6463"/>
      <c r="AB331" s="6463"/>
      <c r="AC331" s="6463"/>
      <c r="AD331" s="6463"/>
      <c r="AE331" s="6463"/>
      <c r="AF331" s="6463"/>
      <c r="AG331" s="6463"/>
      <c r="AH331" s="6463"/>
      <c r="AI331" s="6463"/>
      <c r="AJ331" s="6464"/>
      <c r="AK331" s="402"/>
      <c r="AL331" s="396"/>
    </row>
    <row r="332" spans="1:38" ht="12" customHeight="1" thickBot="1" x14ac:dyDescent="0.25">
      <c r="A332" s="396"/>
      <c r="B332" s="804"/>
      <c r="C332" s="6465"/>
      <c r="D332" s="6466"/>
      <c r="E332" s="6466"/>
      <c r="F332" s="6466"/>
      <c r="G332" s="6466"/>
      <c r="H332" s="6466"/>
      <c r="I332" s="6466"/>
      <c r="J332" s="6466"/>
      <c r="K332" s="6466"/>
      <c r="L332" s="6466"/>
      <c r="M332" s="6466"/>
      <c r="N332" s="6466"/>
      <c r="O332" s="6466"/>
      <c r="P332" s="6466"/>
      <c r="Q332" s="6467"/>
      <c r="R332" s="402"/>
      <c r="S332" s="396"/>
      <c r="T332" s="396"/>
      <c r="U332" s="804"/>
      <c r="V332" s="6465"/>
      <c r="W332" s="6466"/>
      <c r="X332" s="6466"/>
      <c r="Y332" s="6466"/>
      <c r="Z332" s="6466"/>
      <c r="AA332" s="6466"/>
      <c r="AB332" s="6466"/>
      <c r="AC332" s="6466"/>
      <c r="AD332" s="6466"/>
      <c r="AE332" s="6466"/>
      <c r="AF332" s="6466"/>
      <c r="AG332" s="6466"/>
      <c r="AH332" s="6466"/>
      <c r="AI332" s="6466"/>
      <c r="AJ332" s="6467"/>
      <c r="AK332" s="402"/>
      <c r="AL332" s="1433"/>
    </row>
    <row r="333" spans="1:38" ht="12" customHeight="1" x14ac:dyDescent="0.2">
      <c r="A333" s="2520"/>
      <c r="B333" s="804"/>
      <c r="C333" s="2526"/>
      <c r="D333" s="2526"/>
      <c r="E333" s="2526"/>
      <c r="F333" s="2526"/>
      <c r="G333" s="2526"/>
      <c r="H333" s="2526"/>
      <c r="I333" s="2526"/>
      <c r="J333" s="2526"/>
      <c r="K333" s="2526"/>
      <c r="L333" s="2526"/>
      <c r="M333" s="2526"/>
      <c r="N333" s="2526"/>
      <c r="O333" s="2526"/>
      <c r="P333" s="2526"/>
      <c r="Q333" s="2526"/>
      <c r="R333" s="402"/>
      <c r="S333" s="2520"/>
      <c r="T333" s="2520"/>
      <c r="U333" s="804"/>
      <c r="V333" s="2526"/>
      <c r="W333" s="2526"/>
      <c r="X333" s="2526"/>
      <c r="Y333" s="2526"/>
      <c r="Z333" s="2526"/>
      <c r="AA333" s="2526"/>
      <c r="AB333" s="2526"/>
      <c r="AC333" s="2526"/>
      <c r="AD333" s="2526"/>
      <c r="AE333" s="2526"/>
      <c r="AF333" s="2526"/>
      <c r="AG333" s="2526"/>
      <c r="AH333" s="2526"/>
      <c r="AI333" s="2526"/>
      <c r="AJ333" s="2526"/>
      <c r="AK333" s="402"/>
      <c r="AL333" s="1433"/>
    </row>
    <row r="334" spans="1:38" ht="12" customHeight="1" thickBot="1" x14ac:dyDescent="0.25">
      <c r="A334" s="396"/>
      <c r="B334" s="805"/>
      <c r="C334" s="424"/>
      <c r="D334" s="424"/>
      <c r="E334" s="424"/>
      <c r="F334" s="424"/>
      <c r="G334" s="424"/>
      <c r="H334" s="424"/>
      <c r="I334" s="424"/>
      <c r="J334" s="424"/>
      <c r="K334" s="424"/>
      <c r="L334" s="424"/>
      <c r="M334" s="424"/>
      <c r="N334" s="424"/>
      <c r="O334" s="424"/>
      <c r="P334" s="424"/>
      <c r="Q334" s="424"/>
      <c r="R334" s="425"/>
      <c r="S334" s="396"/>
      <c r="T334" s="396"/>
      <c r="U334" s="805"/>
      <c r="V334" s="424"/>
      <c r="W334" s="424"/>
      <c r="X334" s="424"/>
      <c r="Y334" s="424"/>
      <c r="Z334" s="424"/>
      <c r="AA334" s="424"/>
      <c r="AB334" s="424"/>
      <c r="AC334" s="424"/>
      <c r="AD334" s="424"/>
      <c r="AE334" s="424"/>
      <c r="AF334" s="424"/>
      <c r="AG334" s="424"/>
      <c r="AH334" s="424"/>
      <c r="AI334" s="424"/>
      <c r="AJ334" s="424"/>
      <c r="AK334" s="425"/>
      <c r="AL334" s="1433"/>
    </row>
    <row r="335" spans="1:38" ht="12" customHeight="1" x14ac:dyDescent="0.2">
      <c r="A335" s="1433"/>
      <c r="B335" s="2517"/>
      <c r="C335" s="2518"/>
      <c r="D335" s="2518"/>
      <c r="E335" s="2518"/>
      <c r="F335" s="2518"/>
      <c r="G335" s="2518"/>
      <c r="H335" s="2518"/>
      <c r="I335" s="2518"/>
      <c r="J335" s="2518"/>
      <c r="K335" s="2518"/>
      <c r="L335" s="2518"/>
      <c r="M335" s="2518"/>
      <c r="N335" s="2518"/>
      <c r="O335" s="2518"/>
      <c r="P335" s="2518"/>
      <c r="Q335" s="2518"/>
      <c r="R335" s="2518"/>
      <c r="S335" s="2481"/>
      <c r="T335" s="1433"/>
      <c r="U335" s="1434"/>
      <c r="V335" s="1433"/>
      <c r="W335" s="1433"/>
      <c r="X335" s="1433"/>
      <c r="Y335" s="1433"/>
      <c r="Z335" s="1433"/>
      <c r="AA335" s="1433"/>
      <c r="AB335" s="1433"/>
      <c r="AC335" s="1433"/>
      <c r="AD335" s="1433"/>
      <c r="AE335" s="1433"/>
      <c r="AF335" s="1433"/>
      <c r="AG335" s="1433"/>
      <c r="AH335" s="1433"/>
      <c r="AI335" s="1433"/>
      <c r="AJ335" s="1433"/>
      <c r="AK335" s="1433"/>
      <c r="AL335" s="1433"/>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11"/>
      <c r="B1" s="6511"/>
      <c r="C1" s="6511"/>
      <c r="D1" s="6511"/>
      <c r="E1" s="6511"/>
      <c r="F1" s="6511"/>
      <c r="G1" s="6511"/>
      <c r="H1" s="6511"/>
      <c r="I1" s="6511"/>
      <c r="J1" s="6511"/>
      <c r="K1" s="6511"/>
      <c r="L1" s="6511"/>
      <c r="M1" s="6511"/>
      <c r="N1" s="6511"/>
      <c r="O1" s="6511"/>
      <c r="P1" s="6511"/>
      <c r="Q1" s="6511"/>
      <c r="R1" s="6511"/>
      <c r="S1" s="6511"/>
      <c r="T1" s="6511"/>
      <c r="U1" s="6511"/>
      <c r="V1" s="6511"/>
      <c r="W1" s="6511"/>
      <c r="X1" s="6511"/>
      <c r="Y1" s="6511"/>
      <c r="Z1" s="6511"/>
      <c r="AA1" s="6511"/>
      <c r="AB1" s="6511"/>
      <c r="AC1" s="6511"/>
      <c r="AD1" s="6511"/>
      <c r="AE1" s="6511"/>
      <c r="AF1" s="6511"/>
      <c r="AG1" s="6511"/>
      <c r="AH1" s="6511"/>
      <c r="AI1" s="6511"/>
      <c r="AJ1" s="6511"/>
      <c r="AK1" s="6511"/>
      <c r="AL1" s="6511"/>
      <c r="AM1" s="6511"/>
      <c r="AN1" s="6511"/>
      <c r="AO1" s="6511"/>
      <c r="AP1" s="6511"/>
      <c r="AQ1" s="6511"/>
      <c r="AR1" s="6511"/>
      <c r="AS1" s="6511"/>
      <c r="AT1" s="6511"/>
      <c r="AU1" s="6511"/>
      <c r="AV1" s="6511"/>
      <c r="AW1" s="6511"/>
      <c r="AX1" s="6511"/>
      <c r="AY1" s="6511"/>
      <c r="AZ1" s="6511"/>
      <c r="BA1" s="6511"/>
      <c r="BB1" s="6511"/>
      <c r="BC1" s="6511"/>
      <c r="BD1" s="6511"/>
      <c r="BE1" s="6511"/>
      <c r="BF1" s="6511"/>
      <c r="BG1" s="6511"/>
      <c r="BH1" s="6511"/>
      <c r="BI1" s="6511"/>
      <c r="BJ1" s="6511"/>
      <c r="BK1" s="6511"/>
      <c r="BL1" s="6511"/>
      <c r="BM1" s="6511"/>
      <c r="BN1" s="6511"/>
      <c r="BO1" s="6511"/>
      <c r="BP1" s="6511"/>
      <c r="BQ1" s="6511"/>
      <c r="BR1" s="6511"/>
      <c r="BS1" s="6511"/>
      <c r="BT1" s="6511"/>
      <c r="BU1" s="6511"/>
      <c r="BV1" s="6511"/>
      <c r="BW1" s="6511"/>
      <c r="BX1" s="6511"/>
      <c r="BY1" s="6511"/>
      <c r="BZ1" s="6511"/>
      <c r="CA1" s="6511"/>
      <c r="CB1" s="6511"/>
      <c r="CC1" s="6511"/>
      <c r="CD1" s="6511"/>
      <c r="CE1" s="6511"/>
      <c r="CF1" s="6511"/>
      <c r="CG1" s="6511"/>
      <c r="CH1" s="6511"/>
      <c r="CI1" s="6511"/>
      <c r="CJ1" s="6511"/>
      <c r="CK1" s="6511"/>
      <c r="CL1" s="6511"/>
      <c r="CM1" s="6511"/>
      <c r="CN1" s="6511"/>
      <c r="CO1" s="6511"/>
      <c r="CP1" s="6511"/>
      <c r="CQ1" s="6511"/>
      <c r="CR1" s="6511"/>
      <c r="CS1" s="6511"/>
      <c r="CT1" s="6511"/>
      <c r="CU1" s="6511"/>
      <c r="CV1" s="6511"/>
      <c r="CW1" s="6511"/>
      <c r="CX1" s="6511"/>
      <c r="CY1" s="6511"/>
      <c r="CZ1" s="6511"/>
      <c r="DA1" s="6511"/>
      <c r="DB1" s="6511"/>
      <c r="DC1" s="6511"/>
      <c r="DD1" s="6511"/>
    </row>
    <row r="2" spans="1:108" ht="12" customHeight="1" thickBot="1" x14ac:dyDescent="0.25">
      <c r="A2" s="396"/>
      <c r="B2" s="397"/>
      <c r="C2" s="398"/>
      <c r="D2" s="398"/>
      <c r="E2" s="398"/>
      <c r="F2" s="398"/>
      <c r="G2" s="398"/>
      <c r="H2" s="398"/>
      <c r="I2" s="398"/>
      <c r="J2" s="398"/>
      <c r="K2" s="398"/>
      <c r="L2" s="398"/>
      <c r="M2" s="398"/>
      <c r="N2" s="398"/>
      <c r="O2" s="398"/>
      <c r="P2" s="398"/>
      <c r="Q2" s="398"/>
      <c r="R2" s="398"/>
      <c r="S2" s="1653"/>
      <c r="T2" s="398"/>
      <c r="U2" s="398"/>
      <c r="V2" s="398"/>
      <c r="W2" s="398"/>
      <c r="X2" s="398"/>
      <c r="Y2" s="398"/>
      <c r="Z2" s="399"/>
      <c r="AA2" s="396"/>
      <c r="AB2" s="396"/>
      <c r="AC2" s="397"/>
      <c r="AD2" s="398"/>
      <c r="AE2" s="398"/>
      <c r="AF2" s="398"/>
      <c r="AG2" s="398"/>
      <c r="AH2" s="398"/>
      <c r="AI2" s="398"/>
      <c r="AJ2" s="398"/>
      <c r="AK2" s="398"/>
      <c r="AL2" s="398"/>
      <c r="AM2" s="398"/>
      <c r="AN2" s="398"/>
      <c r="AO2" s="398"/>
      <c r="AP2" s="398"/>
      <c r="AQ2" s="398"/>
      <c r="AR2" s="398"/>
      <c r="AS2" s="398"/>
      <c r="AT2" s="1653"/>
      <c r="AU2" s="398"/>
      <c r="AV2" s="398"/>
      <c r="AW2" s="398"/>
      <c r="AX2" s="398"/>
      <c r="AY2" s="398"/>
      <c r="AZ2" s="398"/>
      <c r="BA2" s="399"/>
      <c r="BB2" s="396"/>
      <c r="BC2" s="396"/>
      <c r="BD2" s="397"/>
      <c r="BE2" s="398"/>
      <c r="BF2" s="398"/>
      <c r="BG2" s="398"/>
      <c r="BH2" s="398"/>
      <c r="BI2" s="398"/>
      <c r="BJ2" s="398"/>
      <c r="BK2" s="398"/>
      <c r="BL2" s="398"/>
      <c r="BM2" s="398"/>
      <c r="BN2" s="398"/>
      <c r="BO2" s="398"/>
      <c r="BP2" s="398"/>
      <c r="BQ2" s="398"/>
      <c r="BR2" s="398"/>
      <c r="BS2" s="398"/>
      <c r="BT2" s="398"/>
      <c r="BU2" s="1653"/>
      <c r="BV2" s="398"/>
      <c r="BW2" s="398"/>
      <c r="BX2" s="398"/>
      <c r="BY2" s="398"/>
      <c r="BZ2" s="398"/>
      <c r="CA2" s="398"/>
      <c r="CB2" s="399"/>
      <c r="CC2" s="396"/>
      <c r="CD2" s="396"/>
      <c r="CE2" s="397"/>
      <c r="CF2" s="398"/>
      <c r="CG2" s="398"/>
      <c r="CH2" s="398"/>
      <c r="CI2" s="398"/>
      <c r="CJ2" s="398"/>
      <c r="CK2" s="398"/>
      <c r="CL2" s="398"/>
      <c r="CM2" s="398"/>
      <c r="CN2" s="398"/>
      <c r="CO2" s="398"/>
      <c r="CP2" s="398"/>
      <c r="CQ2" s="398"/>
      <c r="CR2" s="398"/>
      <c r="CS2" s="398"/>
      <c r="CT2" s="398"/>
      <c r="CU2" s="398"/>
      <c r="CV2" s="1653"/>
      <c r="CW2" s="398"/>
      <c r="CX2" s="398"/>
      <c r="CY2" s="398"/>
      <c r="CZ2" s="398"/>
      <c r="DA2" s="398"/>
      <c r="DB2" s="398"/>
      <c r="DC2" s="399"/>
      <c r="DD2" s="396"/>
    </row>
    <row r="3" spans="1:108" ht="12" customHeight="1" x14ac:dyDescent="0.2">
      <c r="A3" s="396"/>
      <c r="B3" s="279"/>
      <c r="C3" s="6438"/>
      <c r="D3" s="6439"/>
      <c r="E3" s="6439"/>
      <c r="F3" s="6439"/>
      <c r="G3" s="6439"/>
      <c r="H3" s="6439"/>
      <c r="I3" s="400"/>
      <c r="J3" s="400"/>
      <c r="K3" s="400"/>
      <c r="L3" s="400"/>
      <c r="M3" s="400"/>
      <c r="N3" s="400"/>
      <c r="O3" s="400"/>
      <c r="P3" s="400"/>
      <c r="Q3" s="400"/>
      <c r="R3" s="1654"/>
      <c r="S3" s="400"/>
      <c r="T3" s="400"/>
      <c r="U3" s="400"/>
      <c r="V3" s="400"/>
      <c r="W3" s="400"/>
      <c r="X3" s="400"/>
      <c r="Y3" s="401"/>
      <c r="Z3" s="402"/>
      <c r="AA3" s="396"/>
      <c r="AB3" s="396"/>
      <c r="AC3" s="279"/>
      <c r="AD3" s="6438"/>
      <c r="AE3" s="6439"/>
      <c r="AF3" s="6439"/>
      <c r="AG3" s="6439"/>
      <c r="AH3" s="6439"/>
      <c r="AI3" s="6439"/>
      <c r="AJ3" s="400"/>
      <c r="AK3" s="400"/>
      <c r="AL3" s="400"/>
      <c r="AM3" s="400"/>
      <c r="AN3" s="400"/>
      <c r="AO3" s="400"/>
      <c r="AP3" s="400"/>
      <c r="AQ3" s="400"/>
      <c r="AR3" s="400"/>
      <c r="AS3" s="1654"/>
      <c r="AT3" s="400"/>
      <c r="AU3" s="400"/>
      <c r="AV3" s="400"/>
      <c r="AW3" s="400"/>
      <c r="AX3" s="400"/>
      <c r="AY3" s="400"/>
      <c r="AZ3" s="401"/>
      <c r="BA3" s="402"/>
      <c r="BB3" s="396"/>
      <c r="BC3" s="396"/>
      <c r="BD3" s="279"/>
      <c r="BE3" s="6438"/>
      <c r="BF3" s="6439"/>
      <c r="BG3" s="6439"/>
      <c r="BH3" s="6439"/>
      <c r="BI3" s="6439"/>
      <c r="BJ3" s="6439"/>
      <c r="BK3" s="400"/>
      <c r="BL3" s="400"/>
      <c r="BM3" s="400"/>
      <c r="BN3" s="400"/>
      <c r="BO3" s="400"/>
      <c r="BP3" s="400"/>
      <c r="BQ3" s="400"/>
      <c r="BR3" s="400"/>
      <c r="BS3" s="400"/>
      <c r="BT3" s="1654"/>
      <c r="BU3" s="400"/>
      <c r="BV3" s="400"/>
      <c r="BW3" s="400"/>
      <c r="BX3" s="400"/>
      <c r="BY3" s="400"/>
      <c r="BZ3" s="400"/>
      <c r="CA3" s="401"/>
      <c r="CB3" s="402"/>
      <c r="CC3" s="396"/>
      <c r="CD3" s="396"/>
      <c r="CE3" s="279"/>
      <c r="CF3" s="6438"/>
      <c r="CG3" s="6439"/>
      <c r="CH3" s="6439"/>
      <c r="CI3" s="6439"/>
      <c r="CJ3" s="6439"/>
      <c r="CK3" s="6439"/>
      <c r="CL3" s="400"/>
      <c r="CM3" s="400"/>
      <c r="CN3" s="400"/>
      <c r="CO3" s="400"/>
      <c r="CP3" s="400"/>
      <c r="CQ3" s="400"/>
      <c r="CR3" s="400"/>
      <c r="CS3" s="400"/>
      <c r="CT3" s="400"/>
      <c r="CU3" s="1654"/>
      <c r="CV3" s="400"/>
      <c r="CW3" s="400"/>
      <c r="CX3" s="400"/>
      <c r="CY3" s="400"/>
      <c r="CZ3" s="400"/>
      <c r="DA3" s="400"/>
      <c r="DB3" s="401"/>
      <c r="DC3" s="402"/>
      <c r="DD3" s="396"/>
    </row>
    <row r="4" spans="1:108" ht="12" customHeight="1" x14ac:dyDescent="0.2">
      <c r="A4" s="396"/>
      <c r="B4" s="279"/>
      <c r="C4" s="6440"/>
      <c r="D4" s="6441"/>
      <c r="E4" s="6441"/>
      <c r="F4" s="6441"/>
      <c r="G4" s="6441"/>
      <c r="H4" s="6441"/>
      <c r="I4" s="6512" t="s">
        <v>1323</v>
      </c>
      <c r="J4" s="6512"/>
      <c r="K4" s="4307" t="str">
        <f>IF(OR(General!$F$22="",General!$F$22=0),"",General!$F$22)</f>
        <v/>
      </c>
      <c r="L4" s="4307"/>
      <c r="M4" s="4307"/>
      <c r="N4" s="4307"/>
      <c r="O4" s="4307"/>
      <c r="P4" s="4307"/>
      <c r="Q4" s="4307"/>
      <c r="R4" s="1433"/>
      <c r="S4" s="4520" t="s">
        <v>8729</v>
      </c>
      <c r="T4" s="4521"/>
      <c r="U4" s="4521"/>
      <c r="V4" s="4521"/>
      <c r="W4" s="4521"/>
      <c r="X4" s="4521"/>
      <c r="Y4" s="403"/>
      <c r="Z4" s="402"/>
      <c r="AA4" s="396"/>
      <c r="AB4" s="396"/>
      <c r="AC4" s="279"/>
      <c r="AD4" s="6440"/>
      <c r="AE4" s="6441"/>
      <c r="AF4" s="6441"/>
      <c r="AG4" s="6441"/>
      <c r="AH4" s="6441"/>
      <c r="AI4" s="6441"/>
      <c r="AJ4" s="6512" t="s">
        <v>1323</v>
      </c>
      <c r="AK4" s="6512"/>
      <c r="AL4" s="4307" t="str">
        <f>IF(OR(General!$F$22="",General!$F$22=0),"",General!$F$22)</f>
        <v/>
      </c>
      <c r="AM4" s="4307"/>
      <c r="AN4" s="4307"/>
      <c r="AO4" s="4307"/>
      <c r="AP4" s="4307"/>
      <c r="AQ4" s="4307"/>
      <c r="AR4" s="4307"/>
      <c r="AS4" s="1433"/>
      <c r="AT4" s="4520" t="s">
        <v>8730</v>
      </c>
      <c r="AU4" s="4521"/>
      <c r="AV4" s="4521"/>
      <c r="AW4" s="4521"/>
      <c r="AX4" s="4521"/>
      <c r="AY4" s="4521"/>
      <c r="AZ4" s="403"/>
      <c r="BA4" s="402"/>
      <c r="BB4" s="396"/>
      <c r="BC4" s="396"/>
      <c r="BD4" s="279"/>
      <c r="BE4" s="6440"/>
      <c r="BF4" s="6441"/>
      <c r="BG4" s="6441"/>
      <c r="BH4" s="6441"/>
      <c r="BI4" s="6441"/>
      <c r="BJ4" s="6441"/>
      <c r="BK4" s="6512" t="s">
        <v>1323</v>
      </c>
      <c r="BL4" s="6512"/>
      <c r="BM4" s="4307" t="str">
        <f>IF(OR(General!$F$22="",General!$F$22=0),"",General!$F$22)</f>
        <v/>
      </c>
      <c r="BN4" s="4307"/>
      <c r="BO4" s="4307"/>
      <c r="BP4" s="4307"/>
      <c r="BQ4" s="4307"/>
      <c r="BR4" s="4307"/>
      <c r="BS4" s="4307"/>
      <c r="BT4" s="1433"/>
      <c r="BU4" s="4520" t="s">
        <v>8731</v>
      </c>
      <c r="BV4" s="4521"/>
      <c r="BW4" s="4521"/>
      <c r="BX4" s="4521"/>
      <c r="BY4" s="4521"/>
      <c r="BZ4" s="4521"/>
      <c r="CA4" s="403"/>
      <c r="CB4" s="402"/>
      <c r="CC4" s="396"/>
      <c r="CD4" s="396"/>
      <c r="CE4" s="279"/>
      <c r="CF4" s="6440"/>
      <c r="CG4" s="6441"/>
      <c r="CH4" s="6441"/>
      <c r="CI4" s="6441"/>
      <c r="CJ4" s="6441"/>
      <c r="CK4" s="6441"/>
      <c r="CL4" s="6512" t="s">
        <v>1323</v>
      </c>
      <c r="CM4" s="6512"/>
      <c r="CN4" s="4307" t="str">
        <f>IF(OR(General!$F$22="",General!$F$22=0),"",General!$F$22)</f>
        <v/>
      </c>
      <c r="CO4" s="4307"/>
      <c r="CP4" s="4307"/>
      <c r="CQ4" s="4307"/>
      <c r="CR4" s="4307"/>
      <c r="CS4" s="4307"/>
      <c r="CT4" s="4307"/>
      <c r="CU4" s="1433"/>
      <c r="CV4" s="4520" t="s">
        <v>8732</v>
      </c>
      <c r="CW4" s="4521"/>
      <c r="CX4" s="4521"/>
      <c r="CY4" s="4521"/>
      <c r="CZ4" s="4521"/>
      <c r="DA4" s="4521"/>
      <c r="DB4" s="403"/>
      <c r="DC4" s="402"/>
      <c r="DD4" s="396"/>
    </row>
    <row r="5" spans="1:108" ht="12" customHeight="1" x14ac:dyDescent="0.2">
      <c r="A5" s="396"/>
      <c r="B5" s="1087">
        <v>32</v>
      </c>
      <c r="C5" s="6440"/>
      <c r="D5" s="6441"/>
      <c r="E5" s="6441"/>
      <c r="F5" s="6441"/>
      <c r="G5" s="6441"/>
      <c r="H5" s="6441"/>
      <c r="I5" s="6513" t="s">
        <v>1324</v>
      </c>
      <c r="J5" s="6513"/>
      <c r="K5" s="6514" t="str">
        <f>IF(LEN(PDs!$E$11)&lt;=$B$5,PDs!$E$11,"… /"&amp;RIGHT(PDs!$E$11,$B$5-FIND("/",RIGHT(PDs!$E$11,$B$5))))</f>
        <v/>
      </c>
      <c r="L5" s="6514"/>
      <c r="M5" s="6514"/>
      <c r="N5" s="6514"/>
      <c r="O5" s="6514"/>
      <c r="P5" s="2264" t="s">
        <v>1325</v>
      </c>
      <c r="Q5" s="2265" t="str">
        <f>Principal!$O$6</f>
        <v>0</v>
      </c>
      <c r="R5" s="1433"/>
      <c r="S5" s="4521"/>
      <c r="T5" s="4521"/>
      <c r="U5" s="4521"/>
      <c r="V5" s="4521"/>
      <c r="W5" s="4521"/>
      <c r="X5" s="4521"/>
      <c r="Y5" s="403"/>
      <c r="Z5" s="402"/>
      <c r="AA5" s="396"/>
      <c r="AB5" s="396"/>
      <c r="AC5" s="279"/>
      <c r="AD5" s="6440"/>
      <c r="AE5" s="6441"/>
      <c r="AF5" s="6441"/>
      <c r="AG5" s="6441"/>
      <c r="AH5" s="6441"/>
      <c r="AI5" s="6441"/>
      <c r="AJ5" s="6513" t="s">
        <v>1324</v>
      </c>
      <c r="AK5" s="6513"/>
      <c r="AL5" s="6514" t="str">
        <f>$K$5</f>
        <v/>
      </c>
      <c r="AM5" s="6514"/>
      <c r="AN5" s="6514"/>
      <c r="AO5" s="6514"/>
      <c r="AP5" s="6514"/>
      <c r="AQ5" s="2264" t="s">
        <v>1325</v>
      </c>
      <c r="AR5" s="2265" t="str">
        <f>Principal!$O$6</f>
        <v>0</v>
      </c>
      <c r="AS5" s="1433"/>
      <c r="AT5" s="4521"/>
      <c r="AU5" s="4521"/>
      <c r="AV5" s="4521"/>
      <c r="AW5" s="4521"/>
      <c r="AX5" s="4521"/>
      <c r="AY5" s="4521"/>
      <c r="AZ5" s="403"/>
      <c r="BA5" s="402"/>
      <c r="BB5" s="396"/>
      <c r="BC5" s="396"/>
      <c r="BD5" s="279"/>
      <c r="BE5" s="6440"/>
      <c r="BF5" s="6441"/>
      <c r="BG5" s="6441"/>
      <c r="BH5" s="6441"/>
      <c r="BI5" s="6441"/>
      <c r="BJ5" s="6441"/>
      <c r="BK5" s="6513" t="s">
        <v>1324</v>
      </c>
      <c r="BL5" s="6513"/>
      <c r="BM5" s="6514" t="str">
        <f>$K$5</f>
        <v/>
      </c>
      <c r="BN5" s="6514"/>
      <c r="BO5" s="6514"/>
      <c r="BP5" s="6514"/>
      <c r="BQ5" s="6514"/>
      <c r="BR5" s="2264" t="s">
        <v>1325</v>
      </c>
      <c r="BS5" s="2265" t="str">
        <f>Principal!$O$6</f>
        <v>0</v>
      </c>
      <c r="BT5" s="1433"/>
      <c r="BU5" s="4521"/>
      <c r="BV5" s="4521"/>
      <c r="BW5" s="4521"/>
      <c r="BX5" s="4521"/>
      <c r="BY5" s="4521"/>
      <c r="BZ5" s="4521"/>
      <c r="CA5" s="403"/>
      <c r="CB5" s="402"/>
      <c r="CC5" s="396"/>
      <c r="CD5" s="396"/>
      <c r="CE5" s="279"/>
      <c r="CF5" s="6440"/>
      <c r="CG5" s="6441"/>
      <c r="CH5" s="6441"/>
      <c r="CI5" s="6441"/>
      <c r="CJ5" s="6441"/>
      <c r="CK5" s="6441"/>
      <c r="CL5" s="6513" t="s">
        <v>1324</v>
      </c>
      <c r="CM5" s="6513"/>
      <c r="CN5" s="6514" t="str">
        <f>$K$5</f>
        <v/>
      </c>
      <c r="CO5" s="6514"/>
      <c r="CP5" s="6514"/>
      <c r="CQ5" s="6514"/>
      <c r="CR5" s="6514"/>
      <c r="CS5" s="2264" t="s">
        <v>1325</v>
      </c>
      <c r="CT5" s="2265" t="str">
        <f>Principal!$O$6</f>
        <v>0</v>
      </c>
      <c r="CU5" s="1433"/>
      <c r="CV5" s="4521"/>
      <c r="CW5" s="4521"/>
      <c r="CX5" s="4521"/>
      <c r="CY5" s="4521"/>
      <c r="CZ5" s="4521"/>
      <c r="DA5" s="4521"/>
      <c r="DB5" s="403"/>
      <c r="DC5" s="402"/>
      <c r="DD5" s="396"/>
    </row>
    <row r="6" spans="1:108" ht="12" customHeight="1" x14ac:dyDescent="0.2">
      <c r="A6" s="396"/>
      <c r="B6" s="279"/>
      <c r="C6" s="6440"/>
      <c r="D6" s="6441"/>
      <c r="E6" s="6441"/>
      <c r="F6" s="6441"/>
      <c r="G6" s="6441"/>
      <c r="H6" s="6441"/>
      <c r="I6" s="330"/>
      <c r="J6" s="4520" t="s">
        <v>6241</v>
      </c>
      <c r="K6" s="4521"/>
      <c r="L6" s="4521"/>
      <c r="M6" s="4521"/>
      <c r="N6" s="4521"/>
      <c r="O6" s="4521"/>
      <c r="P6" s="4521"/>
      <c r="Q6" s="330"/>
      <c r="R6" s="1433"/>
      <c r="S6" s="4506"/>
      <c r="T6" s="4507"/>
      <c r="U6" s="4507"/>
      <c r="V6" s="4507"/>
      <c r="W6" s="4507"/>
      <c r="X6" s="6522"/>
      <c r="Y6" s="403"/>
      <c r="Z6" s="402"/>
      <c r="AA6" s="396"/>
      <c r="AB6" s="396"/>
      <c r="AC6" s="279"/>
      <c r="AD6" s="6440"/>
      <c r="AE6" s="6441"/>
      <c r="AF6" s="6441"/>
      <c r="AG6" s="6441"/>
      <c r="AH6" s="6441"/>
      <c r="AI6" s="6441"/>
      <c r="AJ6" s="330"/>
      <c r="AK6" s="4520" t="s">
        <v>6241</v>
      </c>
      <c r="AL6" s="4521"/>
      <c r="AM6" s="4521"/>
      <c r="AN6" s="4521"/>
      <c r="AO6" s="4521"/>
      <c r="AP6" s="4521"/>
      <c r="AQ6" s="4521"/>
      <c r="AR6" s="330"/>
      <c r="AS6" s="1433"/>
      <c r="AT6" s="4506"/>
      <c r="AU6" s="4507"/>
      <c r="AV6" s="4507"/>
      <c r="AW6" s="4507"/>
      <c r="AX6" s="4507"/>
      <c r="AY6" s="6522"/>
      <c r="AZ6" s="403"/>
      <c r="BA6" s="402"/>
      <c r="BB6" s="396"/>
      <c r="BC6" s="396"/>
      <c r="BD6" s="279"/>
      <c r="BE6" s="6440"/>
      <c r="BF6" s="6441"/>
      <c r="BG6" s="6441"/>
      <c r="BH6" s="6441"/>
      <c r="BI6" s="6441"/>
      <c r="BJ6" s="6441"/>
      <c r="BK6" s="330"/>
      <c r="BL6" s="4520" t="s">
        <v>6241</v>
      </c>
      <c r="BM6" s="4521"/>
      <c r="BN6" s="4521"/>
      <c r="BO6" s="4521"/>
      <c r="BP6" s="4521"/>
      <c r="BQ6" s="4521"/>
      <c r="BR6" s="4521"/>
      <c r="BS6" s="330"/>
      <c r="BT6" s="1433"/>
      <c r="BU6" s="4506"/>
      <c r="BV6" s="4507"/>
      <c r="BW6" s="4507"/>
      <c r="BX6" s="4507"/>
      <c r="BY6" s="4507"/>
      <c r="BZ6" s="6522"/>
      <c r="CA6" s="403"/>
      <c r="CB6" s="402"/>
      <c r="CC6" s="396"/>
      <c r="CD6" s="396"/>
      <c r="CE6" s="279"/>
      <c r="CF6" s="6440"/>
      <c r="CG6" s="6441"/>
      <c r="CH6" s="6441"/>
      <c r="CI6" s="6441"/>
      <c r="CJ6" s="6441"/>
      <c r="CK6" s="6441"/>
      <c r="CL6" s="330"/>
      <c r="CM6" s="4520" t="s">
        <v>6241</v>
      </c>
      <c r="CN6" s="4521"/>
      <c r="CO6" s="4521"/>
      <c r="CP6" s="4521"/>
      <c r="CQ6" s="4521"/>
      <c r="CR6" s="4521"/>
      <c r="CS6" s="4521"/>
      <c r="CT6" s="330"/>
      <c r="CU6" s="1433"/>
      <c r="CV6" s="4506"/>
      <c r="CW6" s="4507"/>
      <c r="CX6" s="4507"/>
      <c r="CY6" s="4507"/>
      <c r="CZ6" s="4507"/>
      <c r="DA6" s="6522"/>
      <c r="DB6" s="403"/>
      <c r="DC6" s="402"/>
      <c r="DD6" s="396"/>
    </row>
    <row r="7" spans="1:108" ht="12" customHeight="1" x14ac:dyDescent="0.2">
      <c r="A7" s="396"/>
      <c r="B7" s="279"/>
      <c r="C7" s="6440"/>
      <c r="D7" s="6441"/>
      <c r="E7" s="6441"/>
      <c r="F7" s="6441"/>
      <c r="G7" s="6441"/>
      <c r="H7" s="6441"/>
      <c r="I7" s="330"/>
      <c r="J7" s="4521"/>
      <c r="K7" s="4521"/>
      <c r="L7" s="4521"/>
      <c r="M7" s="4521"/>
      <c r="N7" s="4521"/>
      <c r="O7" s="4521"/>
      <c r="P7" s="4521"/>
      <c r="Q7" s="330"/>
      <c r="R7" s="1433"/>
      <c r="S7" s="6523"/>
      <c r="T7" s="6524"/>
      <c r="U7" s="6524"/>
      <c r="V7" s="6524"/>
      <c r="W7" s="6524"/>
      <c r="X7" s="6525"/>
      <c r="Y7" s="1656" t="e">
        <f>MATCH(S6,'Tablas psiquica'!$U$114:$AH$114,0)</f>
        <v>#N/A</v>
      </c>
      <c r="Z7" s="402"/>
      <c r="AA7" s="396"/>
      <c r="AB7" s="396"/>
      <c r="AC7" s="279"/>
      <c r="AD7" s="6440"/>
      <c r="AE7" s="6441"/>
      <c r="AF7" s="6441"/>
      <c r="AG7" s="6441"/>
      <c r="AH7" s="6441"/>
      <c r="AI7" s="6441"/>
      <c r="AJ7" s="330"/>
      <c r="AK7" s="4521"/>
      <c r="AL7" s="4521"/>
      <c r="AM7" s="4521"/>
      <c r="AN7" s="4521"/>
      <c r="AO7" s="4521"/>
      <c r="AP7" s="4521"/>
      <c r="AQ7" s="4521"/>
      <c r="AR7" s="330"/>
      <c r="AS7" s="1433"/>
      <c r="AT7" s="6523"/>
      <c r="AU7" s="6524"/>
      <c r="AV7" s="6524"/>
      <c r="AW7" s="6524"/>
      <c r="AX7" s="6524"/>
      <c r="AY7" s="6525"/>
      <c r="AZ7" s="1656" t="e">
        <f>MATCH(AT6,'Tablas psiquica'!$U$114:$AH$114,0)</f>
        <v>#N/A</v>
      </c>
      <c r="BA7" s="402"/>
      <c r="BB7" s="396"/>
      <c r="BC7" s="396"/>
      <c r="BD7" s="279"/>
      <c r="BE7" s="6440"/>
      <c r="BF7" s="6441"/>
      <c r="BG7" s="6441"/>
      <c r="BH7" s="6441"/>
      <c r="BI7" s="6441"/>
      <c r="BJ7" s="6441"/>
      <c r="BK7" s="330"/>
      <c r="BL7" s="4521"/>
      <c r="BM7" s="4521"/>
      <c r="BN7" s="4521"/>
      <c r="BO7" s="4521"/>
      <c r="BP7" s="4521"/>
      <c r="BQ7" s="4521"/>
      <c r="BR7" s="4521"/>
      <c r="BS7" s="330"/>
      <c r="BT7" s="1433"/>
      <c r="BU7" s="6523"/>
      <c r="BV7" s="6524"/>
      <c r="BW7" s="6524"/>
      <c r="BX7" s="6524"/>
      <c r="BY7" s="6524"/>
      <c r="BZ7" s="6525"/>
      <c r="CA7" s="1656" t="e">
        <f>MATCH(BU6,'Tablas psiquica'!$U$114:$AH$114,0)</f>
        <v>#N/A</v>
      </c>
      <c r="CB7" s="402"/>
      <c r="CC7" s="396"/>
      <c r="CD7" s="396"/>
      <c r="CE7" s="279"/>
      <c r="CF7" s="6440"/>
      <c r="CG7" s="6441"/>
      <c r="CH7" s="6441"/>
      <c r="CI7" s="6441"/>
      <c r="CJ7" s="6441"/>
      <c r="CK7" s="6441"/>
      <c r="CL7" s="330"/>
      <c r="CM7" s="4521"/>
      <c r="CN7" s="4521"/>
      <c r="CO7" s="4521"/>
      <c r="CP7" s="4521"/>
      <c r="CQ7" s="4521"/>
      <c r="CR7" s="4521"/>
      <c r="CS7" s="4521"/>
      <c r="CT7" s="330"/>
      <c r="CU7" s="1433"/>
      <c r="CV7" s="6523"/>
      <c r="CW7" s="6524"/>
      <c r="CX7" s="6524"/>
      <c r="CY7" s="6524"/>
      <c r="CZ7" s="6524"/>
      <c r="DA7" s="6525"/>
      <c r="DB7" s="1656" t="e">
        <f>MATCH(CV6,'Tablas psiquica'!$U$114:$AH$114,0)</f>
        <v>#N/A</v>
      </c>
      <c r="DC7" s="402"/>
      <c r="DD7" s="396"/>
    </row>
    <row r="8" spans="1:108" ht="12" customHeight="1" thickBot="1" x14ac:dyDescent="0.25">
      <c r="A8" s="396"/>
      <c r="B8" s="279"/>
      <c r="C8" s="6442"/>
      <c r="D8" s="6443"/>
      <c r="E8" s="6443"/>
      <c r="F8" s="6443"/>
      <c r="G8" s="6443"/>
      <c r="H8" s="6443"/>
      <c r="I8" s="404"/>
      <c r="J8" s="404"/>
      <c r="K8" s="404"/>
      <c r="L8" s="404"/>
      <c r="M8" s="404"/>
      <c r="N8" s="404"/>
      <c r="O8" s="404"/>
      <c r="P8" s="404"/>
      <c r="Q8" s="404"/>
      <c r="R8" s="1657"/>
      <c r="S8" s="404"/>
      <c r="T8" s="404"/>
      <c r="U8" s="404"/>
      <c r="V8" s="404"/>
      <c r="W8" s="404"/>
      <c r="X8" s="404"/>
      <c r="Y8" s="405"/>
      <c r="Z8" s="402"/>
      <c r="AA8" s="396"/>
      <c r="AB8" s="396"/>
      <c r="AC8" s="279"/>
      <c r="AD8" s="6442"/>
      <c r="AE8" s="6443"/>
      <c r="AF8" s="6443"/>
      <c r="AG8" s="6443"/>
      <c r="AH8" s="6443"/>
      <c r="AI8" s="6443"/>
      <c r="AJ8" s="404"/>
      <c r="AK8" s="404"/>
      <c r="AL8" s="404"/>
      <c r="AM8" s="404"/>
      <c r="AN8" s="404"/>
      <c r="AO8" s="404"/>
      <c r="AP8" s="404"/>
      <c r="AQ8" s="404"/>
      <c r="AR8" s="404"/>
      <c r="AS8" s="1657"/>
      <c r="AT8" s="404"/>
      <c r="AU8" s="404"/>
      <c r="AV8" s="404"/>
      <c r="AW8" s="404"/>
      <c r="AX8" s="404"/>
      <c r="AY8" s="404"/>
      <c r="AZ8" s="405"/>
      <c r="BA8" s="402"/>
      <c r="BB8" s="396"/>
      <c r="BC8" s="396"/>
      <c r="BD8" s="279"/>
      <c r="BE8" s="6442"/>
      <c r="BF8" s="6443"/>
      <c r="BG8" s="6443"/>
      <c r="BH8" s="6443"/>
      <c r="BI8" s="6443"/>
      <c r="BJ8" s="6443"/>
      <c r="BK8" s="404"/>
      <c r="BL8" s="404"/>
      <c r="BM8" s="404"/>
      <c r="BN8" s="404"/>
      <c r="BO8" s="404"/>
      <c r="BP8" s="404"/>
      <c r="BQ8" s="404"/>
      <c r="BR8" s="404"/>
      <c r="BS8" s="404"/>
      <c r="BT8" s="1657"/>
      <c r="BU8" s="404"/>
      <c r="BV8" s="404"/>
      <c r="BW8" s="404"/>
      <c r="BX8" s="404"/>
      <c r="BY8" s="404"/>
      <c r="BZ8" s="404"/>
      <c r="CA8" s="405"/>
      <c r="CB8" s="402"/>
      <c r="CC8" s="396"/>
      <c r="CD8" s="396"/>
      <c r="CE8" s="279"/>
      <c r="CF8" s="6442"/>
      <c r="CG8" s="6443"/>
      <c r="CH8" s="6443"/>
      <c r="CI8" s="6443"/>
      <c r="CJ8" s="6443"/>
      <c r="CK8" s="6443"/>
      <c r="CL8" s="404"/>
      <c r="CM8" s="404"/>
      <c r="CN8" s="404"/>
      <c r="CO8" s="404"/>
      <c r="CP8" s="404"/>
      <c r="CQ8" s="404"/>
      <c r="CR8" s="404"/>
      <c r="CS8" s="404"/>
      <c r="CT8" s="404"/>
      <c r="CU8" s="1657"/>
      <c r="CV8" s="404"/>
      <c r="CW8" s="404"/>
      <c r="CX8" s="404"/>
      <c r="CY8" s="404"/>
      <c r="CZ8" s="404"/>
      <c r="DA8" s="404"/>
      <c r="DB8" s="405"/>
      <c r="DC8" s="402"/>
      <c r="DD8" s="396"/>
    </row>
    <row r="9" spans="1:108" ht="12" customHeight="1" thickBot="1" x14ac:dyDescent="0.25">
      <c r="A9" s="396"/>
      <c r="B9" s="279"/>
      <c r="C9" s="1080"/>
      <c r="K9" s="1080"/>
      <c r="S9" s="1080"/>
      <c r="Z9" s="402"/>
      <c r="AA9" s="396"/>
      <c r="AB9" s="396"/>
      <c r="AC9" s="279"/>
      <c r="AD9" s="1080"/>
      <c r="AL9" s="1080"/>
      <c r="AT9" s="1080"/>
      <c r="BA9" s="402"/>
      <c r="BB9" s="396"/>
      <c r="BC9" s="396"/>
      <c r="BD9" s="279"/>
      <c r="BE9" s="1080"/>
      <c r="BM9" s="1080"/>
      <c r="BU9" s="1080"/>
      <c r="CB9" s="402"/>
      <c r="CC9" s="396"/>
      <c r="CD9" s="396"/>
      <c r="CE9" s="279"/>
      <c r="CF9" s="1080"/>
      <c r="CN9" s="1080"/>
      <c r="CV9" s="1080"/>
      <c r="DC9" s="402"/>
      <c r="DD9" s="396"/>
    </row>
    <row r="10" spans="1:108" ht="12" customHeight="1" x14ac:dyDescent="0.2">
      <c r="A10" s="396"/>
      <c r="B10" s="1087">
        <v>1</v>
      </c>
      <c r="C10" s="6515">
        <f>IFERROR(INDEX('Tablas psiquica'!$U$116:$AH$130,B10,Y$7),0)</f>
        <v>0</v>
      </c>
      <c r="D10" s="6516"/>
      <c r="E10" s="6516"/>
      <c r="F10" s="6516"/>
      <c r="G10" s="6516"/>
      <c r="H10" s="6516"/>
      <c r="I10" s="427" t="s">
        <v>1403</v>
      </c>
      <c r="J10" s="658">
        <v>2</v>
      </c>
      <c r="K10" s="6515">
        <f>IFERROR(INDEX('Tablas psiquica'!$U$116:$AH$130,J10,Y$7),0)</f>
        <v>0</v>
      </c>
      <c r="L10" s="6516"/>
      <c r="M10" s="6516"/>
      <c r="N10" s="6516"/>
      <c r="O10" s="6516"/>
      <c r="P10" s="6516"/>
      <c r="Q10" s="427" t="s">
        <v>1403</v>
      </c>
      <c r="R10" s="1087">
        <v>3</v>
      </c>
      <c r="S10" s="6515">
        <f>IFERROR(INDEX('Tablas psiquica'!$U$116:$AH$130,R10,Y$7),0)</f>
        <v>0</v>
      </c>
      <c r="T10" s="6516"/>
      <c r="U10" s="6516"/>
      <c r="V10" s="6516"/>
      <c r="W10" s="6516"/>
      <c r="X10" s="6516"/>
      <c r="Y10" s="427" t="s">
        <v>1403</v>
      </c>
      <c r="Z10" s="402"/>
      <c r="AA10" s="396"/>
      <c r="AB10" s="396"/>
      <c r="AC10" s="1087">
        <v>1</v>
      </c>
      <c r="AD10" s="6515">
        <f>IFERROR(INDEX('Tablas psiquica'!$U$116:$AH$130,AC10,AZ$7),0)</f>
        <v>0</v>
      </c>
      <c r="AE10" s="6516"/>
      <c r="AF10" s="6516"/>
      <c r="AG10" s="6516"/>
      <c r="AH10" s="6516"/>
      <c r="AI10" s="6516"/>
      <c r="AJ10" s="427" t="s">
        <v>1403</v>
      </c>
      <c r="AK10" s="658">
        <v>2</v>
      </c>
      <c r="AL10" s="6515">
        <f>IFERROR(INDEX('Tablas psiquica'!$U$116:$AH$130,AK10,AZ$7),0)</f>
        <v>0</v>
      </c>
      <c r="AM10" s="6516"/>
      <c r="AN10" s="6516"/>
      <c r="AO10" s="6516"/>
      <c r="AP10" s="6516"/>
      <c r="AQ10" s="6516"/>
      <c r="AR10" s="427" t="s">
        <v>1403</v>
      </c>
      <c r="AS10" s="1087">
        <v>3</v>
      </c>
      <c r="AT10" s="6515">
        <f>IFERROR(INDEX('Tablas psiquica'!$U$116:$AH$130,AS10,AZ$7),0)</f>
        <v>0</v>
      </c>
      <c r="AU10" s="6516"/>
      <c r="AV10" s="6516"/>
      <c r="AW10" s="6516"/>
      <c r="AX10" s="6516"/>
      <c r="AY10" s="6516"/>
      <c r="AZ10" s="427" t="s">
        <v>1403</v>
      </c>
      <c r="BA10" s="402"/>
      <c r="BB10" s="396"/>
      <c r="BC10" s="396"/>
      <c r="BD10" s="1087">
        <v>1</v>
      </c>
      <c r="BE10" s="6515">
        <f>IFERROR(INDEX('Tablas psiquica'!$U$116:$AH$130,BD10,CA$7),0)</f>
        <v>0</v>
      </c>
      <c r="BF10" s="6516"/>
      <c r="BG10" s="6516"/>
      <c r="BH10" s="6516"/>
      <c r="BI10" s="6516"/>
      <c r="BJ10" s="6516"/>
      <c r="BK10" s="427" t="s">
        <v>1403</v>
      </c>
      <c r="BL10" s="658">
        <v>2</v>
      </c>
      <c r="BM10" s="6515">
        <f>IFERROR(INDEX('Tablas psiquica'!$U$116:$AH$130,BL10,CA$7),0)</f>
        <v>0</v>
      </c>
      <c r="BN10" s="6516"/>
      <c r="BO10" s="6516"/>
      <c r="BP10" s="6516"/>
      <c r="BQ10" s="6516"/>
      <c r="BR10" s="6516"/>
      <c r="BS10" s="427" t="s">
        <v>1403</v>
      </c>
      <c r="BT10" s="1087">
        <v>3</v>
      </c>
      <c r="BU10" s="6515">
        <f>IFERROR(INDEX('Tablas psiquica'!$U$116:$AH$130,BT10,CA$7),0)</f>
        <v>0</v>
      </c>
      <c r="BV10" s="6516"/>
      <c r="BW10" s="6516"/>
      <c r="BX10" s="6516"/>
      <c r="BY10" s="6516"/>
      <c r="BZ10" s="6516"/>
      <c r="CA10" s="427" t="s">
        <v>1403</v>
      </c>
      <c r="CB10" s="402"/>
      <c r="CC10" s="396"/>
      <c r="CD10" s="396"/>
      <c r="CE10" s="1087">
        <v>1</v>
      </c>
      <c r="CF10" s="6515">
        <f>IFERROR(INDEX('Tablas psiquica'!$U$116:$AH$130,CE10,DB$7),0)</f>
        <v>0</v>
      </c>
      <c r="CG10" s="6516"/>
      <c r="CH10" s="6516"/>
      <c r="CI10" s="6516"/>
      <c r="CJ10" s="6516"/>
      <c r="CK10" s="6516"/>
      <c r="CL10" s="427" t="s">
        <v>1403</v>
      </c>
      <c r="CM10" s="658">
        <v>2</v>
      </c>
      <c r="CN10" s="6515">
        <f>IFERROR(INDEX('Tablas psiquica'!$U$116:$AH$130,CM10,DB$7),0)</f>
        <v>0</v>
      </c>
      <c r="CO10" s="6516"/>
      <c r="CP10" s="6516"/>
      <c r="CQ10" s="6516"/>
      <c r="CR10" s="6516"/>
      <c r="CS10" s="6516"/>
      <c r="CT10" s="427" t="s">
        <v>1403</v>
      </c>
      <c r="CU10" s="1087">
        <v>3</v>
      </c>
      <c r="CV10" s="6515">
        <f>IFERROR(INDEX('Tablas psiquica'!$U$116:$AH$130,CU10,DB$7),0)</f>
        <v>0</v>
      </c>
      <c r="CW10" s="6516"/>
      <c r="CX10" s="6516"/>
      <c r="CY10" s="6516"/>
      <c r="CZ10" s="6516"/>
      <c r="DA10" s="6516"/>
      <c r="DB10" s="427" t="s">
        <v>1403</v>
      </c>
      <c r="DC10" s="402"/>
      <c r="DD10" s="396"/>
    </row>
    <row r="11" spans="1:108" ht="12" customHeight="1" x14ac:dyDescent="0.2">
      <c r="A11" s="396"/>
      <c r="B11" s="1087"/>
      <c r="C11" s="6517" t="str">
        <f>IF(C10=0,"",VLOOKUP(C10,'Tablas psiquica'!$D$7:$R$145,2,FALSE))</f>
        <v/>
      </c>
      <c r="D11" s="6518"/>
      <c r="E11" s="6518"/>
      <c r="F11" s="6519"/>
      <c r="G11" s="6520" t="str">
        <f>IF(C10=0,"",IF(INDEX('Tablas psiquica'!$U$115:$AH$115,1,$Y$7)=0,"No Accesible",IF(ISNA(VLOOKUP(C10,Psíquicos!$AS$17:$AS$43,1,0)),"Accesible CV","Aprendido")))</f>
        <v/>
      </c>
      <c r="H11" s="6521"/>
      <c r="I11" s="1658" t="str">
        <f>IF(C10=0,"",VLOOKUP(C10,'Tablas psiquica'!$D$7:$R$145,3,FALSE))</f>
        <v/>
      </c>
      <c r="J11" s="658"/>
      <c r="K11" s="6517" t="str">
        <f>IF(K10=0,"",VLOOKUP(K10,'Tablas psiquica'!$D$7:$R$145,2,FALSE))</f>
        <v/>
      </c>
      <c r="L11" s="6518"/>
      <c r="M11" s="6518"/>
      <c r="N11" s="6519"/>
      <c r="O11" s="6520" t="str">
        <f>IF(K10=0,"",IF(INDEX('Tablas psiquica'!$U$115:$AH$115,1,$Y$7)=0,"No Accesible",IF(ISNA(VLOOKUP(K10,Psíquicos!$AS$17:$AS$43,1,0)),"Accesible CV","Aprendido")))</f>
        <v/>
      </c>
      <c r="P11" s="6521"/>
      <c r="Q11" s="1658" t="str">
        <f>IF(K10=0,"",VLOOKUP(K10,'Tablas psiquica'!$D$7:$R$145,3,FALSE))</f>
        <v/>
      </c>
      <c r="R11" s="1087"/>
      <c r="S11" s="6517" t="str">
        <f>IF(S10=0,"",VLOOKUP(S10,'Tablas psiquica'!$D$7:$R$145,2,FALSE))</f>
        <v/>
      </c>
      <c r="T11" s="6518"/>
      <c r="U11" s="6518"/>
      <c r="V11" s="6519"/>
      <c r="W11" s="6520" t="str">
        <f>IF(S10=0,"",IF(INDEX('Tablas psiquica'!$U$115:$AH$115,1,$Y$7)=0,"No Accesible",IF(ISNA(VLOOKUP(S10,Psíquicos!$AS$17:$AS$43,1,0)),"Accesible CV","Aprendido")))</f>
        <v/>
      </c>
      <c r="X11" s="6521"/>
      <c r="Y11" s="1658" t="str">
        <f>IF(S10=0,"",VLOOKUP(S10,'Tablas psiquica'!$D$7:$R$145,3,FALSE))</f>
        <v/>
      </c>
      <c r="Z11" s="402"/>
      <c r="AA11" s="396"/>
      <c r="AB11" s="396"/>
      <c r="AC11" s="1087"/>
      <c r="AD11" s="6517" t="str">
        <f>IF(AD10=0,"",VLOOKUP(AD10,'Tablas psiquica'!$D$7:$R$145,2,FALSE))</f>
        <v/>
      </c>
      <c r="AE11" s="6518"/>
      <c r="AF11" s="6518"/>
      <c r="AG11" s="6519"/>
      <c r="AH11" s="6520" t="str">
        <f>IF(AD10=0,"",IF(INDEX('Tablas psiquica'!$U$115:$AH$115,1,$AZ$7)=0,"No Accesible",IF(ISNA(VLOOKUP(AD10,Psíquicos!$AS$17:$AS$43,1,0)),"Accesible CV","Aprendido")))</f>
        <v/>
      </c>
      <c r="AI11" s="6521"/>
      <c r="AJ11" s="1658" t="str">
        <f>IF(AD10=0,"",VLOOKUP(AD10,'Tablas psiquica'!$D$7:$R$145,3,FALSE))</f>
        <v/>
      </c>
      <c r="AK11" s="658"/>
      <c r="AL11" s="6517" t="str">
        <f>IF(AL10=0,"",VLOOKUP(AL10,'Tablas psiquica'!$D$7:$R$145,2,FALSE))</f>
        <v/>
      </c>
      <c r="AM11" s="6518"/>
      <c r="AN11" s="6518"/>
      <c r="AO11" s="6519"/>
      <c r="AP11" s="6520" t="str">
        <f>IF(AL10=0,"",IF(INDEX('Tablas psiquica'!$U$115:$AH$115,1,$AZ$7)=0,"No Accesible",IF(ISNA(VLOOKUP(AL10,Psíquicos!$AS$17:$AS$43,1,0)),"Accesible CV","Aprendido")))</f>
        <v/>
      </c>
      <c r="AQ11" s="6521"/>
      <c r="AR11" s="1658" t="str">
        <f>IF(AL10=0,"",VLOOKUP(AL10,'Tablas psiquica'!$D$7:$R$145,3,FALSE))</f>
        <v/>
      </c>
      <c r="AS11" s="1087"/>
      <c r="AT11" s="6517" t="str">
        <f>IF(AT10=0,"",VLOOKUP(AT10,'Tablas psiquica'!$D$7:$R$145,2,FALSE))</f>
        <v/>
      </c>
      <c r="AU11" s="6518"/>
      <c r="AV11" s="6518"/>
      <c r="AW11" s="6519"/>
      <c r="AX11" s="6520" t="str">
        <f>IF(AT10=0,"",IF(INDEX('Tablas psiquica'!$U$115:$AH$115,1,$AZ$7)=0,"No Accesible",IF(ISNA(VLOOKUP(AT10,Psíquicos!$AS$17:$AS$43,1,0)),"Accesible CV","Aprendido")))</f>
        <v/>
      </c>
      <c r="AY11" s="6521"/>
      <c r="AZ11" s="1658" t="str">
        <f>IF(AT10=0,"",VLOOKUP(AT10,'Tablas psiquica'!$D$7:$R$145,3,FALSE))</f>
        <v/>
      </c>
      <c r="BA11" s="402"/>
      <c r="BB11" s="396"/>
      <c r="BC11" s="396"/>
      <c r="BD11" s="1087"/>
      <c r="BE11" s="6517" t="str">
        <f>IF(BE10=0,"",VLOOKUP(BE10,'Tablas psiquica'!$D$7:$R$145,2,FALSE))</f>
        <v/>
      </c>
      <c r="BF11" s="6518"/>
      <c r="BG11" s="6518"/>
      <c r="BH11" s="6519"/>
      <c r="BI11" s="6520" t="str">
        <f>IF(BE10=0,"",IF(INDEX('Tablas psiquica'!$U$115:$AH$115,1,$CA$7)=0,"No Accesible",IF(ISNA(VLOOKUP(BE10,Psíquicos!$AS$17:$AS$43,1,0)),"Accesible CV","Aprendido")))</f>
        <v/>
      </c>
      <c r="BJ11" s="6521"/>
      <c r="BK11" s="1658" t="str">
        <f>IF(BE10=0,"",VLOOKUP(BE10,'Tablas psiquica'!$D$7:$R$145,3,FALSE))</f>
        <v/>
      </c>
      <c r="BL11" s="658"/>
      <c r="BM11" s="6517" t="str">
        <f>IF(BM10=0,"",VLOOKUP(BM10,'Tablas psiquica'!$D$7:$R$145,2,FALSE))</f>
        <v/>
      </c>
      <c r="BN11" s="6518"/>
      <c r="BO11" s="6518"/>
      <c r="BP11" s="6519"/>
      <c r="BQ11" s="6520" t="str">
        <f>IF(BM10=0,"",IF(INDEX('Tablas psiquica'!$U$115:$AH$115,1,$CA$7)=0,"No Accesible",IF(ISNA(VLOOKUP(BM10,Psíquicos!$AS$17:$AS$43,1,0)),"Accesible CV","Aprendido")))</f>
        <v/>
      </c>
      <c r="BR11" s="6521"/>
      <c r="BS11" s="1658" t="str">
        <f>IF(BM10=0,"",VLOOKUP(BM10,'Tablas psiquica'!$D$7:$R$145,3,FALSE))</f>
        <v/>
      </c>
      <c r="BT11" s="1087"/>
      <c r="BU11" s="6517" t="str">
        <f>IF(BU10=0,"",VLOOKUP(BU10,'Tablas psiquica'!$D$7:$R$145,2,FALSE))</f>
        <v/>
      </c>
      <c r="BV11" s="6518"/>
      <c r="BW11" s="6518"/>
      <c r="BX11" s="6519"/>
      <c r="BY11" s="6520" t="str">
        <f>IF(BU10=0,"",IF(INDEX('Tablas psiquica'!$U$115:$AH$115,1,$CA$7)=0,"No Accesible",IF(ISNA(VLOOKUP(BU10,Psíquicos!$AS$17:$AS$43,1,0)),"Accesible CV","Aprendido")))</f>
        <v/>
      </c>
      <c r="BZ11" s="6521"/>
      <c r="CA11" s="1658" t="str">
        <f>IF(BU10=0,"",VLOOKUP(BU10,'Tablas psiquica'!$D$7:$R$145,3,FALSE))</f>
        <v/>
      </c>
      <c r="CB11" s="402"/>
      <c r="CC11" s="396"/>
      <c r="CD11" s="396"/>
      <c r="CE11" s="1087"/>
      <c r="CF11" s="6517" t="str">
        <f>IF(CF10=0,"",VLOOKUP(CF10,'Tablas psiquica'!$D$7:$R$145,2,FALSE))</f>
        <v/>
      </c>
      <c r="CG11" s="6518"/>
      <c r="CH11" s="6518"/>
      <c r="CI11" s="6519"/>
      <c r="CJ11" s="6520" t="str">
        <f>IF(CF10=0,"",IF(INDEX('Tablas psiquica'!$U$115:$AH$115,1,$DB$7)=0,"No Accesible",IF(ISNA(VLOOKUP(CF10,Psíquicos!$AS$17:$AS$43,1,0)),"Accesible CV","Aprendido")))</f>
        <v/>
      </c>
      <c r="CK11" s="6521"/>
      <c r="CL11" s="1658" t="str">
        <f>IF(CF10=0,"",VLOOKUP(CF10,'Tablas psiquica'!$D$7:$R$145,3,FALSE))</f>
        <v/>
      </c>
      <c r="CM11" s="658"/>
      <c r="CN11" s="6517" t="str">
        <f>IF(CN10=0,"",VLOOKUP(CN10,'Tablas psiquica'!$D$7:$R$145,2,FALSE))</f>
        <v/>
      </c>
      <c r="CO11" s="6518"/>
      <c r="CP11" s="6518"/>
      <c r="CQ11" s="6519"/>
      <c r="CR11" s="6520" t="str">
        <f>IF(CN10=0,"",IF(INDEX('Tablas psiquica'!$U$115:$AH$115,1,$DB$7)=0,"No Accesible",IF(ISNA(VLOOKUP(CN10,Psíquicos!$AS$17:$AS$43,1,0)),"Accesible CV","Aprendido")))</f>
        <v/>
      </c>
      <c r="CS11" s="6521"/>
      <c r="CT11" s="1658" t="str">
        <f>IF(CN10=0,"",VLOOKUP(CN10,'Tablas psiquica'!$D$7:$R$145,3,FALSE))</f>
        <v/>
      </c>
      <c r="CU11" s="1087"/>
      <c r="CV11" s="6517" t="str">
        <f>IF(CV10=0,"",VLOOKUP(CV10,'Tablas psiquica'!$D$7:$R$145,2,FALSE))</f>
        <v/>
      </c>
      <c r="CW11" s="6518"/>
      <c r="CX11" s="6518"/>
      <c r="CY11" s="6519"/>
      <c r="CZ11" s="6520" t="str">
        <f>IF(CV10=0,"",IF(INDEX('Tablas psiquica'!$U$115:$AH$115,1,$DB$7)=0,"No Accesible",IF(ISNA(VLOOKUP(CV10,Psíquicos!$AS$17:$AS$43,1,0)),"Accesible CV","Aprendido")))</f>
        <v/>
      </c>
      <c r="DA11" s="6521"/>
      <c r="DB11" s="1658" t="str">
        <f>IF(CV10=0,"",VLOOKUP(CV10,'Tablas psiquica'!$D$7:$R$145,3,FALSE))</f>
        <v/>
      </c>
      <c r="DC11" s="402"/>
      <c r="DD11" s="396"/>
    </row>
    <row r="12" spans="1:108" ht="12" customHeight="1" x14ac:dyDescent="0.2">
      <c r="A12" s="396"/>
      <c r="B12" s="1087"/>
      <c r="C12" s="1627">
        <v>20</v>
      </c>
      <c r="D12" s="6530" t="s">
        <v>1723</v>
      </c>
      <c r="E12" s="6450"/>
      <c r="F12" s="6531" t="str">
        <f>IF(C10=0,"",VLOOKUP(C10,'Tablas psiquica'!$D$7:$R$145,6,FALSE))</f>
        <v/>
      </c>
      <c r="G12" s="5988"/>
      <c r="H12" s="5988"/>
      <c r="I12" s="6225"/>
      <c r="J12" s="658"/>
      <c r="K12" s="1627">
        <v>20</v>
      </c>
      <c r="L12" s="6530" t="s">
        <v>1723</v>
      </c>
      <c r="M12" s="6450"/>
      <c r="N12" s="6531" t="str">
        <f>IF(K10=0,"",VLOOKUP(K10,'Tablas psiquica'!$D$7:$R$145,6,FALSE))</f>
        <v/>
      </c>
      <c r="O12" s="5988"/>
      <c r="P12" s="5988"/>
      <c r="Q12" s="6225"/>
      <c r="R12" s="1087"/>
      <c r="S12" s="1627">
        <v>20</v>
      </c>
      <c r="T12" s="6530" t="s">
        <v>1723</v>
      </c>
      <c r="U12" s="6450"/>
      <c r="V12" s="6531" t="str">
        <f>IF(S10=0,"",VLOOKUP(S10,'Tablas psiquica'!$D$7:$R$145,6,FALSE))</f>
        <v/>
      </c>
      <c r="W12" s="5988"/>
      <c r="X12" s="5988"/>
      <c r="Y12" s="6225"/>
      <c r="Z12" s="402"/>
      <c r="AA12" s="396"/>
      <c r="AB12" s="396"/>
      <c r="AC12" s="1087"/>
      <c r="AD12" s="1627">
        <v>20</v>
      </c>
      <c r="AE12" s="6530" t="s">
        <v>1723</v>
      </c>
      <c r="AF12" s="6450"/>
      <c r="AG12" s="6531" t="str">
        <f>IF(AD10=0,"",VLOOKUP(AD10,'Tablas psiquica'!$D$7:$R$145,6,FALSE))</f>
        <v/>
      </c>
      <c r="AH12" s="5988"/>
      <c r="AI12" s="5988"/>
      <c r="AJ12" s="6225"/>
      <c r="AK12" s="658"/>
      <c r="AL12" s="1627">
        <v>20</v>
      </c>
      <c r="AM12" s="6530" t="s">
        <v>1723</v>
      </c>
      <c r="AN12" s="6450"/>
      <c r="AO12" s="6531" t="str">
        <f>IF(AL10=0,"",VLOOKUP(AL10,'Tablas psiquica'!$D$7:$R$145,6,FALSE))</f>
        <v/>
      </c>
      <c r="AP12" s="5988"/>
      <c r="AQ12" s="5988"/>
      <c r="AR12" s="6225"/>
      <c r="AS12" s="1087"/>
      <c r="AT12" s="1627">
        <v>20</v>
      </c>
      <c r="AU12" s="6530" t="s">
        <v>1723</v>
      </c>
      <c r="AV12" s="6450"/>
      <c r="AW12" s="6531" t="str">
        <f>IF(AT10=0,"",VLOOKUP(AT10,'Tablas psiquica'!$D$7:$R$145,6,FALSE))</f>
        <v/>
      </c>
      <c r="AX12" s="5988"/>
      <c r="AY12" s="5988"/>
      <c r="AZ12" s="6225"/>
      <c r="BA12" s="402"/>
      <c r="BB12" s="396"/>
      <c r="BC12" s="396"/>
      <c r="BD12" s="1087"/>
      <c r="BE12" s="1627">
        <v>20</v>
      </c>
      <c r="BF12" s="6530" t="s">
        <v>1723</v>
      </c>
      <c r="BG12" s="6450"/>
      <c r="BH12" s="6531" t="str">
        <f>IF(BE10=0,"",VLOOKUP(BE10,'Tablas psiquica'!$D$7:$R$145,6,FALSE))</f>
        <v/>
      </c>
      <c r="BI12" s="5988"/>
      <c r="BJ12" s="5988"/>
      <c r="BK12" s="6225"/>
      <c r="BL12" s="658"/>
      <c r="BM12" s="1627">
        <v>20</v>
      </c>
      <c r="BN12" s="6530" t="s">
        <v>1723</v>
      </c>
      <c r="BO12" s="6450"/>
      <c r="BP12" s="6531" t="str">
        <f>IF(BM10=0,"",VLOOKUP(BM10,'Tablas psiquica'!$D$7:$R$145,6,FALSE))</f>
        <v/>
      </c>
      <c r="BQ12" s="5988"/>
      <c r="BR12" s="5988"/>
      <c r="BS12" s="6225"/>
      <c r="BT12" s="1087"/>
      <c r="BU12" s="1627">
        <v>20</v>
      </c>
      <c r="BV12" s="6530" t="s">
        <v>1723</v>
      </c>
      <c r="BW12" s="6450"/>
      <c r="BX12" s="6531" t="str">
        <f>IF(BU10=0,"",VLOOKUP(BU10,'Tablas psiquica'!$D$7:$R$145,6,FALSE))</f>
        <v/>
      </c>
      <c r="BY12" s="5988"/>
      <c r="BZ12" s="5988"/>
      <c r="CA12" s="6225"/>
      <c r="CB12" s="402"/>
      <c r="CC12" s="396"/>
      <c r="CD12" s="396"/>
      <c r="CE12" s="1087"/>
      <c r="CF12" s="1627">
        <v>20</v>
      </c>
      <c r="CG12" s="6530" t="s">
        <v>1723</v>
      </c>
      <c r="CH12" s="6450"/>
      <c r="CI12" s="6531" t="str">
        <f>IF(CF10=0,"",VLOOKUP(CF10,'Tablas psiquica'!$D$7:$R$145,6,FALSE))</f>
        <v/>
      </c>
      <c r="CJ12" s="5988"/>
      <c r="CK12" s="5988"/>
      <c r="CL12" s="6225"/>
      <c r="CM12" s="658"/>
      <c r="CN12" s="1627">
        <v>20</v>
      </c>
      <c r="CO12" s="6530" t="s">
        <v>1723</v>
      </c>
      <c r="CP12" s="6450"/>
      <c r="CQ12" s="6531" t="str">
        <f>IF(CN10=0,"",VLOOKUP(CN10,'Tablas psiquica'!$D$7:$R$145,6,FALSE))</f>
        <v/>
      </c>
      <c r="CR12" s="5988"/>
      <c r="CS12" s="5988"/>
      <c r="CT12" s="6225"/>
      <c r="CU12" s="1087"/>
      <c r="CV12" s="1627">
        <v>20</v>
      </c>
      <c r="CW12" s="6530" t="s">
        <v>1723</v>
      </c>
      <c r="CX12" s="6450"/>
      <c r="CY12" s="6531" t="str">
        <f>IF(CV10=0,"",VLOOKUP(CV10,'Tablas psiquica'!$D$7:$R$145,6,FALSE))</f>
        <v/>
      </c>
      <c r="CZ12" s="5988"/>
      <c r="DA12" s="5988"/>
      <c r="DB12" s="6225"/>
      <c r="DC12" s="402"/>
      <c r="DD12" s="396"/>
    </row>
    <row r="13" spans="1:108" ht="12" customHeight="1" x14ac:dyDescent="0.2">
      <c r="A13" s="396"/>
      <c r="B13" s="1087"/>
      <c r="C13" s="1626">
        <v>40</v>
      </c>
      <c r="D13" s="6526" t="s">
        <v>1725</v>
      </c>
      <c r="E13" s="6445"/>
      <c r="F13" s="6527" t="str">
        <f>IF(C10=0,"",VLOOKUP(C10,'Tablas psiquica'!$D$7:$R$145,7,FALSE))</f>
        <v/>
      </c>
      <c r="G13" s="6528"/>
      <c r="H13" s="6528"/>
      <c r="I13" s="6529"/>
      <c r="J13" s="658"/>
      <c r="K13" s="1626">
        <v>40</v>
      </c>
      <c r="L13" s="6526" t="s">
        <v>1725</v>
      </c>
      <c r="M13" s="6445"/>
      <c r="N13" s="6527" t="str">
        <f>IF(K10=0,"",VLOOKUP(K10,'Tablas psiquica'!$D$7:$R$145,7,FALSE))</f>
        <v/>
      </c>
      <c r="O13" s="6528"/>
      <c r="P13" s="6528"/>
      <c r="Q13" s="6529"/>
      <c r="R13" s="1087"/>
      <c r="S13" s="1626">
        <v>40</v>
      </c>
      <c r="T13" s="6526" t="s">
        <v>1725</v>
      </c>
      <c r="U13" s="6445"/>
      <c r="V13" s="6527" t="str">
        <f>IF(S10=0,"",VLOOKUP(S10,'Tablas psiquica'!$D$7:$R$145,7,FALSE))</f>
        <v/>
      </c>
      <c r="W13" s="6528"/>
      <c r="X13" s="6528"/>
      <c r="Y13" s="6529"/>
      <c r="Z13" s="402"/>
      <c r="AA13" s="396"/>
      <c r="AB13" s="396"/>
      <c r="AC13" s="1087"/>
      <c r="AD13" s="1626">
        <v>40</v>
      </c>
      <c r="AE13" s="6526" t="s">
        <v>1725</v>
      </c>
      <c r="AF13" s="6445"/>
      <c r="AG13" s="6527" t="str">
        <f>IF(AD10=0,"",VLOOKUP(AD10,'Tablas psiquica'!$D$7:$R$145,7,FALSE))</f>
        <v/>
      </c>
      <c r="AH13" s="6528"/>
      <c r="AI13" s="6528"/>
      <c r="AJ13" s="6529"/>
      <c r="AK13" s="658"/>
      <c r="AL13" s="1626">
        <v>40</v>
      </c>
      <c r="AM13" s="6526" t="s">
        <v>1725</v>
      </c>
      <c r="AN13" s="6445"/>
      <c r="AO13" s="6527" t="str">
        <f>IF(AL10=0,"",VLOOKUP(AL10,'Tablas psiquica'!$D$7:$R$145,7,FALSE))</f>
        <v/>
      </c>
      <c r="AP13" s="6528"/>
      <c r="AQ13" s="6528"/>
      <c r="AR13" s="6529"/>
      <c r="AS13" s="1087"/>
      <c r="AT13" s="1626">
        <v>40</v>
      </c>
      <c r="AU13" s="6526" t="s">
        <v>1725</v>
      </c>
      <c r="AV13" s="6445"/>
      <c r="AW13" s="6527" t="str">
        <f>IF(AT10=0,"",VLOOKUP(AT10,'Tablas psiquica'!$D$7:$R$145,7,FALSE))</f>
        <v/>
      </c>
      <c r="AX13" s="6528"/>
      <c r="AY13" s="6528"/>
      <c r="AZ13" s="6529"/>
      <c r="BA13" s="402"/>
      <c r="BB13" s="396"/>
      <c r="BC13" s="396"/>
      <c r="BD13" s="1087"/>
      <c r="BE13" s="1626">
        <v>40</v>
      </c>
      <c r="BF13" s="6526" t="s">
        <v>1725</v>
      </c>
      <c r="BG13" s="6445"/>
      <c r="BH13" s="6527" t="str">
        <f>IF(BE10=0,"",VLOOKUP(BE10,'Tablas psiquica'!$D$7:$R$145,7,FALSE))</f>
        <v/>
      </c>
      <c r="BI13" s="6528"/>
      <c r="BJ13" s="6528"/>
      <c r="BK13" s="6529"/>
      <c r="BL13" s="658"/>
      <c r="BM13" s="1626">
        <v>40</v>
      </c>
      <c r="BN13" s="6526" t="s">
        <v>1725</v>
      </c>
      <c r="BO13" s="6445"/>
      <c r="BP13" s="6527" t="str">
        <f>IF(BM10=0,"",VLOOKUP(BM10,'Tablas psiquica'!$D$7:$R$145,7,FALSE))</f>
        <v/>
      </c>
      <c r="BQ13" s="6528"/>
      <c r="BR13" s="6528"/>
      <c r="BS13" s="6529"/>
      <c r="BT13" s="1087"/>
      <c r="BU13" s="1626">
        <v>40</v>
      </c>
      <c r="BV13" s="6526" t="s">
        <v>1725</v>
      </c>
      <c r="BW13" s="6445"/>
      <c r="BX13" s="6527" t="str">
        <f>IF(BU10=0,"",VLOOKUP(BU10,'Tablas psiquica'!$D$7:$R$145,7,FALSE))</f>
        <v/>
      </c>
      <c r="BY13" s="6528"/>
      <c r="BZ13" s="6528"/>
      <c r="CA13" s="6529"/>
      <c r="CB13" s="402"/>
      <c r="CC13" s="396"/>
      <c r="CD13" s="396"/>
      <c r="CE13" s="1087"/>
      <c r="CF13" s="1626">
        <v>40</v>
      </c>
      <c r="CG13" s="6526" t="s">
        <v>1725</v>
      </c>
      <c r="CH13" s="6445"/>
      <c r="CI13" s="6527" t="str">
        <f>IF(CF10=0,"",VLOOKUP(CF10,'Tablas psiquica'!$D$7:$R$145,7,FALSE))</f>
        <v/>
      </c>
      <c r="CJ13" s="6528"/>
      <c r="CK13" s="6528"/>
      <c r="CL13" s="6529"/>
      <c r="CM13" s="658"/>
      <c r="CN13" s="1626">
        <v>40</v>
      </c>
      <c r="CO13" s="6526" t="s">
        <v>1725</v>
      </c>
      <c r="CP13" s="6445"/>
      <c r="CQ13" s="6527" t="str">
        <f>IF(CN10=0,"",VLOOKUP(CN10,'Tablas psiquica'!$D$7:$R$145,7,FALSE))</f>
        <v/>
      </c>
      <c r="CR13" s="6528"/>
      <c r="CS13" s="6528"/>
      <c r="CT13" s="6529"/>
      <c r="CU13" s="1087"/>
      <c r="CV13" s="1626">
        <v>40</v>
      </c>
      <c r="CW13" s="6526" t="s">
        <v>1725</v>
      </c>
      <c r="CX13" s="6445"/>
      <c r="CY13" s="6527" t="str">
        <f>IF(CV10=0,"",VLOOKUP(CV10,'Tablas psiquica'!$D$7:$R$145,7,FALSE))</f>
        <v/>
      </c>
      <c r="CZ13" s="6528"/>
      <c r="DA13" s="6528"/>
      <c r="DB13" s="6529"/>
      <c r="DC13" s="402"/>
      <c r="DD13" s="396"/>
    </row>
    <row r="14" spans="1:108" ht="12" customHeight="1" x14ac:dyDescent="0.2">
      <c r="A14" s="396"/>
      <c r="B14" s="1087"/>
      <c r="C14" s="1627">
        <v>80</v>
      </c>
      <c r="D14" s="6530" t="s">
        <v>1728</v>
      </c>
      <c r="E14" s="6450"/>
      <c r="F14" s="6531" t="str">
        <f>IF(C10=0,"",VLOOKUP(C10,'Tablas psiquica'!$D$7:$R$145,8,FALSE))</f>
        <v/>
      </c>
      <c r="G14" s="5988"/>
      <c r="H14" s="5988"/>
      <c r="I14" s="6225"/>
      <c r="J14" s="658"/>
      <c r="K14" s="1627">
        <v>80</v>
      </c>
      <c r="L14" s="6530" t="s">
        <v>1728</v>
      </c>
      <c r="M14" s="6450"/>
      <c r="N14" s="6531" t="str">
        <f>IF(K10=0,"",VLOOKUP(K10,'Tablas psiquica'!$D$7:$R$145,8,FALSE))</f>
        <v/>
      </c>
      <c r="O14" s="5988"/>
      <c r="P14" s="5988"/>
      <c r="Q14" s="6225"/>
      <c r="R14" s="1087"/>
      <c r="S14" s="1627">
        <v>80</v>
      </c>
      <c r="T14" s="6530" t="s">
        <v>1728</v>
      </c>
      <c r="U14" s="6450"/>
      <c r="V14" s="6531" t="str">
        <f>IF(S10=0,"",VLOOKUP(S10,'Tablas psiquica'!$D$7:$R$145,8,FALSE))</f>
        <v/>
      </c>
      <c r="W14" s="5988"/>
      <c r="X14" s="5988"/>
      <c r="Y14" s="6225"/>
      <c r="Z14" s="402"/>
      <c r="AA14" s="396"/>
      <c r="AB14" s="396"/>
      <c r="AC14" s="1087"/>
      <c r="AD14" s="1627">
        <v>80</v>
      </c>
      <c r="AE14" s="6530" t="s">
        <v>1728</v>
      </c>
      <c r="AF14" s="6450"/>
      <c r="AG14" s="6531" t="str">
        <f>IF(AD10=0,"",VLOOKUP(AD10,'Tablas psiquica'!$D$7:$R$145,8,FALSE))</f>
        <v/>
      </c>
      <c r="AH14" s="5988"/>
      <c r="AI14" s="5988"/>
      <c r="AJ14" s="6225"/>
      <c r="AK14" s="658"/>
      <c r="AL14" s="1627">
        <v>80</v>
      </c>
      <c r="AM14" s="6530" t="s">
        <v>1728</v>
      </c>
      <c r="AN14" s="6450"/>
      <c r="AO14" s="6531" t="str">
        <f>IF(AL10=0,"",VLOOKUP(AL10,'Tablas psiquica'!$D$7:$R$145,8,FALSE))</f>
        <v/>
      </c>
      <c r="AP14" s="5988"/>
      <c r="AQ14" s="5988"/>
      <c r="AR14" s="6225"/>
      <c r="AS14" s="1087"/>
      <c r="AT14" s="1627">
        <v>80</v>
      </c>
      <c r="AU14" s="6530" t="s">
        <v>1728</v>
      </c>
      <c r="AV14" s="6450"/>
      <c r="AW14" s="6531" t="str">
        <f>IF(AT10=0,"",VLOOKUP(AT10,'Tablas psiquica'!$D$7:$R$145,8,FALSE))</f>
        <v/>
      </c>
      <c r="AX14" s="5988"/>
      <c r="AY14" s="5988"/>
      <c r="AZ14" s="6225"/>
      <c r="BA14" s="402"/>
      <c r="BB14" s="396"/>
      <c r="BC14" s="396"/>
      <c r="BD14" s="1087"/>
      <c r="BE14" s="1627">
        <v>80</v>
      </c>
      <c r="BF14" s="6530" t="s">
        <v>1728</v>
      </c>
      <c r="BG14" s="6450"/>
      <c r="BH14" s="6531" t="str">
        <f>IF(BE10=0,"",VLOOKUP(BE10,'Tablas psiquica'!$D$7:$R$145,8,FALSE))</f>
        <v/>
      </c>
      <c r="BI14" s="5988"/>
      <c r="BJ14" s="5988"/>
      <c r="BK14" s="6225"/>
      <c r="BL14" s="658"/>
      <c r="BM14" s="1627">
        <v>80</v>
      </c>
      <c r="BN14" s="6530" t="s">
        <v>1728</v>
      </c>
      <c r="BO14" s="6450"/>
      <c r="BP14" s="6531" t="str">
        <f>IF(BM10=0,"",VLOOKUP(BM10,'Tablas psiquica'!$D$7:$R$145,8,FALSE))</f>
        <v/>
      </c>
      <c r="BQ14" s="5988"/>
      <c r="BR14" s="5988"/>
      <c r="BS14" s="6225"/>
      <c r="BT14" s="1087"/>
      <c r="BU14" s="1627">
        <v>80</v>
      </c>
      <c r="BV14" s="6530" t="s">
        <v>1728</v>
      </c>
      <c r="BW14" s="6450"/>
      <c r="BX14" s="6531" t="str">
        <f>IF(BU10=0,"",VLOOKUP(BU10,'Tablas psiquica'!$D$7:$R$145,8,FALSE))</f>
        <v/>
      </c>
      <c r="BY14" s="5988"/>
      <c r="BZ14" s="5988"/>
      <c r="CA14" s="6225"/>
      <c r="CB14" s="402"/>
      <c r="CC14" s="396"/>
      <c r="CD14" s="396"/>
      <c r="CE14" s="1087"/>
      <c r="CF14" s="1627">
        <v>80</v>
      </c>
      <c r="CG14" s="6530" t="s">
        <v>1728</v>
      </c>
      <c r="CH14" s="6450"/>
      <c r="CI14" s="6531" t="str">
        <f>IF(CF10=0,"",VLOOKUP(CF10,'Tablas psiquica'!$D$7:$R$145,8,FALSE))</f>
        <v/>
      </c>
      <c r="CJ14" s="5988"/>
      <c r="CK14" s="5988"/>
      <c r="CL14" s="6225"/>
      <c r="CM14" s="658"/>
      <c r="CN14" s="1627">
        <v>80</v>
      </c>
      <c r="CO14" s="6530" t="s">
        <v>1728</v>
      </c>
      <c r="CP14" s="6450"/>
      <c r="CQ14" s="6531" t="str">
        <f>IF(CN10=0,"",VLOOKUP(CN10,'Tablas psiquica'!$D$7:$R$145,8,FALSE))</f>
        <v/>
      </c>
      <c r="CR14" s="5988"/>
      <c r="CS14" s="5988"/>
      <c r="CT14" s="6225"/>
      <c r="CU14" s="1087"/>
      <c r="CV14" s="1627">
        <v>80</v>
      </c>
      <c r="CW14" s="6530" t="s">
        <v>1728</v>
      </c>
      <c r="CX14" s="6450"/>
      <c r="CY14" s="6531" t="str">
        <f>IF(CV10=0,"",VLOOKUP(CV10,'Tablas psiquica'!$D$7:$R$145,8,FALSE))</f>
        <v/>
      </c>
      <c r="CZ14" s="5988"/>
      <c r="DA14" s="5988"/>
      <c r="DB14" s="6225"/>
      <c r="DC14" s="402"/>
      <c r="DD14" s="396"/>
    </row>
    <row r="15" spans="1:108" ht="12" customHeight="1" x14ac:dyDescent="0.2">
      <c r="A15" s="396"/>
      <c r="B15" s="1087"/>
      <c r="C15" s="1626">
        <v>120</v>
      </c>
      <c r="D15" s="6526" t="s">
        <v>1731</v>
      </c>
      <c r="E15" s="6445"/>
      <c r="F15" s="6527" t="str">
        <f>IF(C10=0,"",VLOOKUP(C10,'Tablas psiquica'!$D$7:$R$145,9,FALSE))</f>
        <v/>
      </c>
      <c r="G15" s="6528"/>
      <c r="H15" s="6528"/>
      <c r="I15" s="6529"/>
      <c r="J15" s="658"/>
      <c r="K15" s="1626">
        <v>120</v>
      </c>
      <c r="L15" s="6526" t="s">
        <v>1731</v>
      </c>
      <c r="M15" s="6445"/>
      <c r="N15" s="6527" t="str">
        <f>IF(K10=0,"",VLOOKUP(K10,'Tablas psiquica'!$D$7:$R$145,9,FALSE))</f>
        <v/>
      </c>
      <c r="O15" s="6528"/>
      <c r="P15" s="6528"/>
      <c r="Q15" s="6529"/>
      <c r="R15" s="1087"/>
      <c r="S15" s="1626">
        <v>120</v>
      </c>
      <c r="T15" s="6526" t="s">
        <v>1731</v>
      </c>
      <c r="U15" s="6445"/>
      <c r="V15" s="6527" t="str">
        <f>IF(S10=0,"",VLOOKUP(S10,'Tablas psiquica'!$D$7:$R$145,9,FALSE))</f>
        <v/>
      </c>
      <c r="W15" s="6528"/>
      <c r="X15" s="6528"/>
      <c r="Y15" s="6529"/>
      <c r="Z15" s="402"/>
      <c r="AA15" s="396"/>
      <c r="AB15" s="396"/>
      <c r="AC15" s="1087"/>
      <c r="AD15" s="1626">
        <v>120</v>
      </c>
      <c r="AE15" s="6526" t="s">
        <v>1731</v>
      </c>
      <c r="AF15" s="6445"/>
      <c r="AG15" s="6527" t="str">
        <f>IF(AD10=0,"",VLOOKUP(AD10,'Tablas psiquica'!$D$7:$R$145,9,FALSE))</f>
        <v/>
      </c>
      <c r="AH15" s="6528"/>
      <c r="AI15" s="6528"/>
      <c r="AJ15" s="6529"/>
      <c r="AK15" s="658"/>
      <c r="AL15" s="1626">
        <v>120</v>
      </c>
      <c r="AM15" s="6526" t="s">
        <v>1731</v>
      </c>
      <c r="AN15" s="6445"/>
      <c r="AO15" s="6527" t="str">
        <f>IF(AL10=0,"",VLOOKUP(AL10,'Tablas psiquica'!$D$7:$R$145,9,FALSE))</f>
        <v/>
      </c>
      <c r="AP15" s="6528"/>
      <c r="AQ15" s="6528"/>
      <c r="AR15" s="6529"/>
      <c r="AS15" s="1087"/>
      <c r="AT15" s="1626">
        <v>120</v>
      </c>
      <c r="AU15" s="6526" t="s">
        <v>1731</v>
      </c>
      <c r="AV15" s="6445"/>
      <c r="AW15" s="6527" t="str">
        <f>IF(AT10=0,"",VLOOKUP(AT10,'Tablas psiquica'!$D$7:$R$145,9,FALSE))</f>
        <v/>
      </c>
      <c r="AX15" s="6528"/>
      <c r="AY15" s="6528"/>
      <c r="AZ15" s="6529"/>
      <c r="BA15" s="402"/>
      <c r="BB15" s="396"/>
      <c r="BC15" s="396"/>
      <c r="BD15" s="1087"/>
      <c r="BE15" s="1626">
        <v>120</v>
      </c>
      <c r="BF15" s="6526" t="s">
        <v>1731</v>
      </c>
      <c r="BG15" s="6445"/>
      <c r="BH15" s="6527" t="str">
        <f>IF(BE10=0,"",VLOOKUP(BE10,'Tablas psiquica'!$D$7:$R$145,9,FALSE))</f>
        <v/>
      </c>
      <c r="BI15" s="6528"/>
      <c r="BJ15" s="6528"/>
      <c r="BK15" s="6529"/>
      <c r="BL15" s="658"/>
      <c r="BM15" s="1626">
        <v>120</v>
      </c>
      <c r="BN15" s="6526" t="s">
        <v>1731</v>
      </c>
      <c r="BO15" s="6445"/>
      <c r="BP15" s="6527" t="str">
        <f>IF(BM10=0,"",VLOOKUP(BM10,'Tablas psiquica'!$D$7:$R$145,9,FALSE))</f>
        <v/>
      </c>
      <c r="BQ15" s="6528"/>
      <c r="BR15" s="6528"/>
      <c r="BS15" s="6529"/>
      <c r="BT15" s="1087"/>
      <c r="BU15" s="1626">
        <v>120</v>
      </c>
      <c r="BV15" s="6526" t="s">
        <v>1731</v>
      </c>
      <c r="BW15" s="6445"/>
      <c r="BX15" s="6527" t="str">
        <f>IF(BU10=0,"",VLOOKUP(BU10,'Tablas psiquica'!$D$7:$R$145,9,FALSE))</f>
        <v/>
      </c>
      <c r="BY15" s="6528"/>
      <c r="BZ15" s="6528"/>
      <c r="CA15" s="6529"/>
      <c r="CB15" s="402"/>
      <c r="CC15" s="396"/>
      <c r="CD15" s="396"/>
      <c r="CE15" s="1087"/>
      <c r="CF15" s="1626">
        <v>120</v>
      </c>
      <c r="CG15" s="6526" t="s">
        <v>1731</v>
      </c>
      <c r="CH15" s="6445"/>
      <c r="CI15" s="6527" t="str">
        <f>IF(CF10=0,"",VLOOKUP(CF10,'Tablas psiquica'!$D$7:$R$145,9,FALSE))</f>
        <v/>
      </c>
      <c r="CJ15" s="6528"/>
      <c r="CK15" s="6528"/>
      <c r="CL15" s="6529"/>
      <c r="CM15" s="658"/>
      <c r="CN15" s="1626">
        <v>120</v>
      </c>
      <c r="CO15" s="6526" t="s">
        <v>1731</v>
      </c>
      <c r="CP15" s="6445"/>
      <c r="CQ15" s="6527" t="str">
        <f>IF(CN10=0,"",VLOOKUP(CN10,'Tablas psiquica'!$D$7:$R$145,9,FALSE))</f>
        <v/>
      </c>
      <c r="CR15" s="6528"/>
      <c r="CS15" s="6528"/>
      <c r="CT15" s="6529"/>
      <c r="CU15" s="1087"/>
      <c r="CV15" s="1626">
        <v>120</v>
      </c>
      <c r="CW15" s="6526" t="s">
        <v>1731</v>
      </c>
      <c r="CX15" s="6445"/>
      <c r="CY15" s="6527" t="str">
        <f>IF(CV10=0,"",VLOOKUP(CV10,'Tablas psiquica'!$D$7:$R$145,9,FALSE))</f>
        <v/>
      </c>
      <c r="CZ15" s="6528"/>
      <c r="DA15" s="6528"/>
      <c r="DB15" s="6529"/>
      <c r="DC15" s="402"/>
      <c r="DD15" s="396"/>
    </row>
    <row r="16" spans="1:108" ht="12" customHeight="1" x14ac:dyDescent="0.2">
      <c r="A16" s="396"/>
      <c r="B16" s="1087"/>
      <c r="C16" s="1627">
        <v>140</v>
      </c>
      <c r="D16" s="6530" t="s">
        <v>6242</v>
      </c>
      <c r="E16" s="6450"/>
      <c r="F16" s="6531" t="str">
        <f>IF(C10=0,"",VLOOKUP(C10,'Tablas psiquica'!$D$7:$R$145,10,FALSE))</f>
        <v/>
      </c>
      <c r="G16" s="5988"/>
      <c r="H16" s="5988"/>
      <c r="I16" s="6225"/>
      <c r="J16" s="658"/>
      <c r="K16" s="1627">
        <v>140</v>
      </c>
      <c r="L16" s="6530" t="s">
        <v>6242</v>
      </c>
      <c r="M16" s="6450"/>
      <c r="N16" s="6531" t="str">
        <f>IF(K10=0,"",VLOOKUP(K10,'Tablas psiquica'!$D$7:$R$145,10,FALSE))</f>
        <v/>
      </c>
      <c r="O16" s="5988"/>
      <c r="P16" s="5988"/>
      <c r="Q16" s="6225"/>
      <c r="R16" s="1087"/>
      <c r="S16" s="1627">
        <v>140</v>
      </c>
      <c r="T16" s="6530" t="s">
        <v>6242</v>
      </c>
      <c r="U16" s="6450"/>
      <c r="V16" s="6531" t="str">
        <f>IF(S10=0,"",VLOOKUP(S10,'Tablas psiquica'!$D$7:$R$145,10,FALSE))</f>
        <v/>
      </c>
      <c r="W16" s="5988"/>
      <c r="X16" s="5988"/>
      <c r="Y16" s="6225"/>
      <c r="Z16" s="402"/>
      <c r="AA16" s="396"/>
      <c r="AB16" s="396"/>
      <c r="AC16" s="1087"/>
      <c r="AD16" s="1627">
        <v>140</v>
      </c>
      <c r="AE16" s="6530" t="s">
        <v>6242</v>
      </c>
      <c r="AF16" s="6450"/>
      <c r="AG16" s="6531" t="str">
        <f>IF(AD10=0,"",VLOOKUP(AD10,'Tablas psiquica'!$D$7:$R$145,10,FALSE))</f>
        <v/>
      </c>
      <c r="AH16" s="5988"/>
      <c r="AI16" s="5988"/>
      <c r="AJ16" s="6225"/>
      <c r="AK16" s="658"/>
      <c r="AL16" s="1627">
        <v>140</v>
      </c>
      <c r="AM16" s="6530" t="s">
        <v>6242</v>
      </c>
      <c r="AN16" s="6450"/>
      <c r="AO16" s="6531" t="str">
        <f>IF(AL10=0,"",VLOOKUP(AL10,'Tablas psiquica'!$D$7:$R$145,10,FALSE))</f>
        <v/>
      </c>
      <c r="AP16" s="5988"/>
      <c r="AQ16" s="5988"/>
      <c r="AR16" s="6225"/>
      <c r="AS16" s="1087"/>
      <c r="AT16" s="1627">
        <v>140</v>
      </c>
      <c r="AU16" s="6530" t="s">
        <v>6242</v>
      </c>
      <c r="AV16" s="6450"/>
      <c r="AW16" s="6531" t="str">
        <f>IF(AT10=0,"",VLOOKUP(AT10,'Tablas psiquica'!$D$7:$R$145,10,FALSE))</f>
        <v/>
      </c>
      <c r="AX16" s="5988"/>
      <c r="AY16" s="5988"/>
      <c r="AZ16" s="6225"/>
      <c r="BA16" s="402"/>
      <c r="BB16" s="396"/>
      <c r="BC16" s="396"/>
      <c r="BD16" s="1087"/>
      <c r="BE16" s="1627">
        <v>140</v>
      </c>
      <c r="BF16" s="6530" t="s">
        <v>6242</v>
      </c>
      <c r="BG16" s="6450"/>
      <c r="BH16" s="6531" t="str">
        <f>IF(BE10=0,"",VLOOKUP(BE10,'Tablas psiquica'!$D$7:$R$145,10,FALSE))</f>
        <v/>
      </c>
      <c r="BI16" s="5988"/>
      <c r="BJ16" s="5988"/>
      <c r="BK16" s="6225"/>
      <c r="BL16" s="658"/>
      <c r="BM16" s="1627">
        <v>140</v>
      </c>
      <c r="BN16" s="6530" t="s">
        <v>6242</v>
      </c>
      <c r="BO16" s="6450"/>
      <c r="BP16" s="6531" t="str">
        <f>IF(BM10=0,"",VLOOKUP(BM10,'Tablas psiquica'!$D$7:$R$145,10,FALSE))</f>
        <v/>
      </c>
      <c r="BQ16" s="5988"/>
      <c r="BR16" s="5988"/>
      <c r="BS16" s="6225"/>
      <c r="BT16" s="1087"/>
      <c r="BU16" s="1627">
        <v>140</v>
      </c>
      <c r="BV16" s="6530" t="s">
        <v>6242</v>
      </c>
      <c r="BW16" s="6450"/>
      <c r="BX16" s="6531" t="str">
        <f>IF(BU10=0,"",VLOOKUP(BU10,'Tablas psiquica'!$D$7:$R$145,10,FALSE))</f>
        <v/>
      </c>
      <c r="BY16" s="5988"/>
      <c r="BZ16" s="5988"/>
      <c r="CA16" s="6225"/>
      <c r="CB16" s="402"/>
      <c r="CC16" s="396"/>
      <c r="CD16" s="396"/>
      <c r="CE16" s="1087"/>
      <c r="CF16" s="1627">
        <v>140</v>
      </c>
      <c r="CG16" s="6530" t="s">
        <v>6242</v>
      </c>
      <c r="CH16" s="6450"/>
      <c r="CI16" s="6531" t="str">
        <f>IF(CF10=0,"",VLOOKUP(CF10,'Tablas psiquica'!$D$7:$R$145,10,FALSE))</f>
        <v/>
      </c>
      <c r="CJ16" s="5988"/>
      <c r="CK16" s="5988"/>
      <c r="CL16" s="6225"/>
      <c r="CM16" s="658"/>
      <c r="CN16" s="1627">
        <v>140</v>
      </c>
      <c r="CO16" s="6530" t="s">
        <v>6242</v>
      </c>
      <c r="CP16" s="6450"/>
      <c r="CQ16" s="6531" t="str">
        <f>IF(CN10=0,"",VLOOKUP(CN10,'Tablas psiquica'!$D$7:$R$145,10,FALSE))</f>
        <v/>
      </c>
      <c r="CR16" s="5988"/>
      <c r="CS16" s="5988"/>
      <c r="CT16" s="6225"/>
      <c r="CU16" s="1087"/>
      <c r="CV16" s="1627">
        <v>140</v>
      </c>
      <c r="CW16" s="6530" t="s">
        <v>6242</v>
      </c>
      <c r="CX16" s="6450"/>
      <c r="CY16" s="6531" t="str">
        <f>IF(CV10=0,"",VLOOKUP(CV10,'Tablas psiquica'!$D$7:$R$145,10,FALSE))</f>
        <v/>
      </c>
      <c r="CZ16" s="5988"/>
      <c r="DA16" s="5988"/>
      <c r="DB16" s="6225"/>
      <c r="DC16" s="402"/>
      <c r="DD16" s="396"/>
    </row>
    <row r="17" spans="1:108" ht="12" customHeight="1" x14ac:dyDescent="0.2">
      <c r="A17" s="396"/>
      <c r="B17" s="1087"/>
      <c r="C17" s="1626">
        <v>180</v>
      </c>
      <c r="D17" s="6526" t="s">
        <v>1735</v>
      </c>
      <c r="E17" s="6445"/>
      <c r="F17" s="6527" t="str">
        <f>IF(C10=0,"",VLOOKUP(C10,'Tablas psiquica'!$D$7:$R$145,11,FALSE))</f>
        <v/>
      </c>
      <c r="G17" s="6528"/>
      <c r="H17" s="6528"/>
      <c r="I17" s="6529"/>
      <c r="J17" s="658"/>
      <c r="K17" s="1626">
        <v>180</v>
      </c>
      <c r="L17" s="6526" t="s">
        <v>1735</v>
      </c>
      <c r="M17" s="6445"/>
      <c r="N17" s="6527" t="str">
        <f>IF(K10=0,"",VLOOKUP(K10,'Tablas psiquica'!$D$7:$R$145,11,FALSE))</f>
        <v/>
      </c>
      <c r="O17" s="6528"/>
      <c r="P17" s="6528"/>
      <c r="Q17" s="6529"/>
      <c r="R17" s="1087"/>
      <c r="S17" s="1626">
        <v>180</v>
      </c>
      <c r="T17" s="6526" t="s">
        <v>1735</v>
      </c>
      <c r="U17" s="6445"/>
      <c r="V17" s="6527" t="str">
        <f>IF(S10=0,"",VLOOKUP(S10,'Tablas psiquica'!$D$7:$R$145,11,FALSE))</f>
        <v/>
      </c>
      <c r="W17" s="6528"/>
      <c r="X17" s="6528"/>
      <c r="Y17" s="6529"/>
      <c r="Z17" s="402"/>
      <c r="AA17" s="396"/>
      <c r="AB17" s="396"/>
      <c r="AC17" s="1087"/>
      <c r="AD17" s="1626">
        <v>180</v>
      </c>
      <c r="AE17" s="6526" t="s">
        <v>1735</v>
      </c>
      <c r="AF17" s="6445"/>
      <c r="AG17" s="6527" t="str">
        <f>IF(AD10=0,"",VLOOKUP(AD10,'Tablas psiquica'!$D$7:$R$145,11,FALSE))</f>
        <v/>
      </c>
      <c r="AH17" s="6528"/>
      <c r="AI17" s="6528"/>
      <c r="AJ17" s="6529"/>
      <c r="AK17" s="658"/>
      <c r="AL17" s="1626">
        <v>180</v>
      </c>
      <c r="AM17" s="6526" t="s">
        <v>1735</v>
      </c>
      <c r="AN17" s="6445"/>
      <c r="AO17" s="6527" t="str">
        <f>IF(AL10=0,"",VLOOKUP(AL10,'Tablas psiquica'!$D$7:$R$145,11,FALSE))</f>
        <v/>
      </c>
      <c r="AP17" s="6528"/>
      <c r="AQ17" s="6528"/>
      <c r="AR17" s="6529"/>
      <c r="AS17" s="1087"/>
      <c r="AT17" s="1626">
        <v>180</v>
      </c>
      <c r="AU17" s="6526" t="s">
        <v>1735</v>
      </c>
      <c r="AV17" s="6445"/>
      <c r="AW17" s="6527" t="str">
        <f>IF(AT10=0,"",VLOOKUP(AT10,'Tablas psiquica'!$D$7:$R$145,11,FALSE))</f>
        <v/>
      </c>
      <c r="AX17" s="6528"/>
      <c r="AY17" s="6528"/>
      <c r="AZ17" s="6529"/>
      <c r="BA17" s="402"/>
      <c r="BB17" s="396"/>
      <c r="BC17" s="396"/>
      <c r="BD17" s="1087"/>
      <c r="BE17" s="1626">
        <v>180</v>
      </c>
      <c r="BF17" s="6526" t="s">
        <v>1735</v>
      </c>
      <c r="BG17" s="6445"/>
      <c r="BH17" s="6527" t="str">
        <f>IF(BE10=0,"",VLOOKUP(BE10,'Tablas psiquica'!$D$7:$R$145,11,FALSE))</f>
        <v/>
      </c>
      <c r="BI17" s="6528"/>
      <c r="BJ17" s="6528"/>
      <c r="BK17" s="6529"/>
      <c r="BL17" s="658"/>
      <c r="BM17" s="1626">
        <v>180</v>
      </c>
      <c r="BN17" s="6526" t="s">
        <v>1735</v>
      </c>
      <c r="BO17" s="6445"/>
      <c r="BP17" s="6527" t="str">
        <f>IF(BM10=0,"",VLOOKUP(BM10,'Tablas psiquica'!$D$7:$R$145,11,FALSE))</f>
        <v/>
      </c>
      <c r="BQ17" s="6528"/>
      <c r="BR17" s="6528"/>
      <c r="BS17" s="6529"/>
      <c r="BT17" s="1087"/>
      <c r="BU17" s="1626">
        <v>180</v>
      </c>
      <c r="BV17" s="6526" t="s">
        <v>1735</v>
      </c>
      <c r="BW17" s="6445"/>
      <c r="BX17" s="6527" t="str">
        <f>IF(BU10=0,"",VLOOKUP(BU10,'Tablas psiquica'!$D$7:$R$145,11,FALSE))</f>
        <v/>
      </c>
      <c r="BY17" s="6528"/>
      <c r="BZ17" s="6528"/>
      <c r="CA17" s="6529"/>
      <c r="CB17" s="402"/>
      <c r="CC17" s="396"/>
      <c r="CD17" s="396"/>
      <c r="CE17" s="1087"/>
      <c r="CF17" s="1626">
        <v>180</v>
      </c>
      <c r="CG17" s="6526" t="s">
        <v>1735</v>
      </c>
      <c r="CH17" s="6445"/>
      <c r="CI17" s="6527" t="str">
        <f>IF(CF10=0,"",VLOOKUP(CF10,'Tablas psiquica'!$D$7:$R$145,11,FALSE))</f>
        <v/>
      </c>
      <c r="CJ17" s="6528"/>
      <c r="CK17" s="6528"/>
      <c r="CL17" s="6529"/>
      <c r="CM17" s="658"/>
      <c r="CN17" s="1626">
        <v>180</v>
      </c>
      <c r="CO17" s="6526" t="s">
        <v>1735</v>
      </c>
      <c r="CP17" s="6445"/>
      <c r="CQ17" s="6527" t="str">
        <f>IF(CN10=0,"",VLOOKUP(CN10,'Tablas psiquica'!$D$7:$R$145,11,FALSE))</f>
        <v/>
      </c>
      <c r="CR17" s="6528"/>
      <c r="CS17" s="6528"/>
      <c r="CT17" s="6529"/>
      <c r="CU17" s="1087"/>
      <c r="CV17" s="1626">
        <v>180</v>
      </c>
      <c r="CW17" s="6526" t="s">
        <v>1735</v>
      </c>
      <c r="CX17" s="6445"/>
      <c r="CY17" s="6527" t="str">
        <f>IF(CV10=0,"",VLOOKUP(CV10,'Tablas psiquica'!$D$7:$R$145,11,FALSE))</f>
        <v/>
      </c>
      <c r="CZ17" s="6528"/>
      <c r="DA17" s="6528"/>
      <c r="DB17" s="6529"/>
      <c r="DC17" s="402"/>
      <c r="DD17" s="396"/>
    </row>
    <row r="18" spans="1:108" ht="12" customHeight="1" x14ac:dyDescent="0.2">
      <c r="A18" s="396"/>
      <c r="B18" s="1087"/>
      <c r="C18" s="1627">
        <v>240</v>
      </c>
      <c r="D18" s="6530" t="s">
        <v>6243</v>
      </c>
      <c r="E18" s="6450"/>
      <c r="F18" s="6531" t="str">
        <f>IF(C10=0,"",VLOOKUP(C10,'Tablas psiquica'!$D$7:$R$145,12,FALSE))</f>
        <v/>
      </c>
      <c r="G18" s="5988"/>
      <c r="H18" s="5988"/>
      <c r="I18" s="6225"/>
      <c r="J18" s="658"/>
      <c r="K18" s="1627">
        <v>240</v>
      </c>
      <c r="L18" s="6530" t="s">
        <v>6243</v>
      </c>
      <c r="M18" s="6450"/>
      <c r="N18" s="6531" t="str">
        <f>IF(K10=0,"",VLOOKUP(K10,'Tablas psiquica'!$D$7:$R$145,12,FALSE))</f>
        <v/>
      </c>
      <c r="O18" s="5988"/>
      <c r="P18" s="5988"/>
      <c r="Q18" s="6225"/>
      <c r="R18" s="1087"/>
      <c r="S18" s="1627">
        <v>240</v>
      </c>
      <c r="T18" s="6530" t="s">
        <v>6243</v>
      </c>
      <c r="U18" s="6450"/>
      <c r="V18" s="6531" t="str">
        <f>IF(S10=0,"",VLOOKUP(S10,'Tablas psiquica'!$D$7:$R$145,12,FALSE))</f>
        <v/>
      </c>
      <c r="W18" s="5988"/>
      <c r="X18" s="5988"/>
      <c r="Y18" s="6225"/>
      <c r="Z18" s="402"/>
      <c r="AA18" s="396"/>
      <c r="AB18" s="396"/>
      <c r="AC18" s="1087"/>
      <c r="AD18" s="1627">
        <v>240</v>
      </c>
      <c r="AE18" s="6530" t="s">
        <v>6243</v>
      </c>
      <c r="AF18" s="6450"/>
      <c r="AG18" s="6531" t="str">
        <f>IF(AD10=0,"",VLOOKUP(AD10,'Tablas psiquica'!$D$7:$R$145,12,FALSE))</f>
        <v/>
      </c>
      <c r="AH18" s="5988"/>
      <c r="AI18" s="5988"/>
      <c r="AJ18" s="6225"/>
      <c r="AK18" s="658"/>
      <c r="AL18" s="1627">
        <v>240</v>
      </c>
      <c r="AM18" s="6530" t="s">
        <v>6243</v>
      </c>
      <c r="AN18" s="6450"/>
      <c r="AO18" s="6531" t="str">
        <f>IF(AL10=0,"",VLOOKUP(AL10,'Tablas psiquica'!$D$7:$R$145,12,FALSE))</f>
        <v/>
      </c>
      <c r="AP18" s="5988"/>
      <c r="AQ18" s="5988"/>
      <c r="AR18" s="6225"/>
      <c r="AS18" s="1087"/>
      <c r="AT18" s="1627">
        <v>240</v>
      </c>
      <c r="AU18" s="6530" t="s">
        <v>6243</v>
      </c>
      <c r="AV18" s="6450"/>
      <c r="AW18" s="6531" t="str">
        <f>IF(AT10=0,"",VLOOKUP(AT10,'Tablas psiquica'!$D$7:$R$145,12,FALSE))</f>
        <v/>
      </c>
      <c r="AX18" s="5988"/>
      <c r="AY18" s="5988"/>
      <c r="AZ18" s="6225"/>
      <c r="BA18" s="402"/>
      <c r="BB18" s="396"/>
      <c r="BC18" s="396"/>
      <c r="BD18" s="1087"/>
      <c r="BE18" s="1627">
        <v>240</v>
      </c>
      <c r="BF18" s="6530" t="s">
        <v>6243</v>
      </c>
      <c r="BG18" s="6450"/>
      <c r="BH18" s="6531" t="str">
        <f>IF(BE10=0,"",VLOOKUP(BE10,'Tablas psiquica'!$D$7:$R$145,12,FALSE))</f>
        <v/>
      </c>
      <c r="BI18" s="5988"/>
      <c r="BJ18" s="5988"/>
      <c r="BK18" s="6225"/>
      <c r="BL18" s="658"/>
      <c r="BM18" s="1627">
        <v>240</v>
      </c>
      <c r="BN18" s="6530" t="s">
        <v>6243</v>
      </c>
      <c r="BO18" s="6450"/>
      <c r="BP18" s="6531" t="str">
        <f>IF(BM10=0,"",VLOOKUP(BM10,'Tablas psiquica'!$D$7:$R$145,12,FALSE))</f>
        <v/>
      </c>
      <c r="BQ18" s="5988"/>
      <c r="BR18" s="5988"/>
      <c r="BS18" s="6225"/>
      <c r="BT18" s="1087"/>
      <c r="BU18" s="1627">
        <v>240</v>
      </c>
      <c r="BV18" s="6530" t="s">
        <v>6243</v>
      </c>
      <c r="BW18" s="6450"/>
      <c r="BX18" s="6531" t="str">
        <f>IF(BU10=0,"",VLOOKUP(BU10,'Tablas psiquica'!$D$7:$R$145,12,FALSE))</f>
        <v/>
      </c>
      <c r="BY18" s="5988"/>
      <c r="BZ18" s="5988"/>
      <c r="CA18" s="6225"/>
      <c r="CB18" s="402"/>
      <c r="CC18" s="396"/>
      <c r="CD18" s="396"/>
      <c r="CE18" s="1087"/>
      <c r="CF18" s="1627">
        <v>240</v>
      </c>
      <c r="CG18" s="6530" t="s">
        <v>6243</v>
      </c>
      <c r="CH18" s="6450"/>
      <c r="CI18" s="6531" t="str">
        <f>IF(CF10=0,"",VLOOKUP(CF10,'Tablas psiquica'!$D$7:$R$145,12,FALSE))</f>
        <v/>
      </c>
      <c r="CJ18" s="5988"/>
      <c r="CK18" s="5988"/>
      <c r="CL18" s="6225"/>
      <c r="CM18" s="658"/>
      <c r="CN18" s="1627">
        <v>240</v>
      </c>
      <c r="CO18" s="6530" t="s">
        <v>6243</v>
      </c>
      <c r="CP18" s="6450"/>
      <c r="CQ18" s="6531" t="str">
        <f>IF(CN10=0,"",VLOOKUP(CN10,'Tablas psiquica'!$D$7:$R$145,12,FALSE))</f>
        <v/>
      </c>
      <c r="CR18" s="5988"/>
      <c r="CS18" s="5988"/>
      <c r="CT18" s="6225"/>
      <c r="CU18" s="1087"/>
      <c r="CV18" s="1627">
        <v>240</v>
      </c>
      <c r="CW18" s="6530" t="s">
        <v>6243</v>
      </c>
      <c r="CX18" s="6450"/>
      <c r="CY18" s="6531" t="str">
        <f>IF(CV10=0,"",VLOOKUP(CV10,'Tablas psiquica'!$D$7:$R$145,12,FALSE))</f>
        <v/>
      </c>
      <c r="CZ18" s="5988"/>
      <c r="DA18" s="5988"/>
      <c r="DB18" s="6225"/>
      <c r="DC18" s="402"/>
      <c r="DD18" s="396"/>
    </row>
    <row r="19" spans="1:108" ht="12" customHeight="1" x14ac:dyDescent="0.2">
      <c r="A19" s="396"/>
      <c r="B19" s="1087"/>
      <c r="C19" s="1626">
        <v>280</v>
      </c>
      <c r="D19" s="6526" t="s">
        <v>1738</v>
      </c>
      <c r="E19" s="6445"/>
      <c r="F19" s="6527" t="str">
        <f>IF(C10=0,"",VLOOKUP(C10,'Tablas psiquica'!$D$7:$R$145,13,FALSE))</f>
        <v/>
      </c>
      <c r="G19" s="6528"/>
      <c r="H19" s="6528"/>
      <c r="I19" s="6529"/>
      <c r="J19" s="658"/>
      <c r="K19" s="1626">
        <v>280</v>
      </c>
      <c r="L19" s="6526" t="s">
        <v>1738</v>
      </c>
      <c r="M19" s="6445"/>
      <c r="N19" s="6527" t="str">
        <f>IF(K10=0,"",VLOOKUP(K10,'Tablas psiquica'!$D$7:$R$145,13,FALSE))</f>
        <v/>
      </c>
      <c r="O19" s="6528"/>
      <c r="P19" s="6528"/>
      <c r="Q19" s="6529"/>
      <c r="R19" s="1087"/>
      <c r="S19" s="1626">
        <v>280</v>
      </c>
      <c r="T19" s="6526" t="s">
        <v>1738</v>
      </c>
      <c r="U19" s="6445"/>
      <c r="V19" s="6527" t="str">
        <f>IF(S10=0,"",VLOOKUP(S10,'Tablas psiquica'!$D$7:$R$145,13,FALSE))</f>
        <v/>
      </c>
      <c r="W19" s="6528"/>
      <c r="X19" s="6528"/>
      <c r="Y19" s="6529"/>
      <c r="Z19" s="402"/>
      <c r="AA19" s="396"/>
      <c r="AB19" s="396"/>
      <c r="AC19" s="1087"/>
      <c r="AD19" s="1626">
        <v>280</v>
      </c>
      <c r="AE19" s="6526" t="s">
        <v>1738</v>
      </c>
      <c r="AF19" s="6445"/>
      <c r="AG19" s="6527" t="str">
        <f>IF(AD10=0,"",VLOOKUP(AD10,'Tablas psiquica'!$D$7:$R$145,13,FALSE))</f>
        <v/>
      </c>
      <c r="AH19" s="6528"/>
      <c r="AI19" s="6528"/>
      <c r="AJ19" s="6529"/>
      <c r="AK19" s="658"/>
      <c r="AL19" s="1626">
        <v>280</v>
      </c>
      <c r="AM19" s="6526" t="s">
        <v>1738</v>
      </c>
      <c r="AN19" s="6445"/>
      <c r="AO19" s="6527" t="str">
        <f>IF(AL10=0,"",VLOOKUP(AL10,'Tablas psiquica'!$D$7:$R$145,13,FALSE))</f>
        <v/>
      </c>
      <c r="AP19" s="6528"/>
      <c r="AQ19" s="6528"/>
      <c r="AR19" s="6529"/>
      <c r="AS19" s="1087"/>
      <c r="AT19" s="1626">
        <v>280</v>
      </c>
      <c r="AU19" s="6526" t="s">
        <v>1738</v>
      </c>
      <c r="AV19" s="6445"/>
      <c r="AW19" s="6527" t="str">
        <f>IF(AT10=0,"",VLOOKUP(AT10,'Tablas psiquica'!$D$7:$R$145,13,FALSE))</f>
        <v/>
      </c>
      <c r="AX19" s="6528"/>
      <c r="AY19" s="6528"/>
      <c r="AZ19" s="6529"/>
      <c r="BA19" s="402"/>
      <c r="BB19" s="396"/>
      <c r="BC19" s="396"/>
      <c r="BD19" s="1087"/>
      <c r="BE19" s="1626">
        <v>280</v>
      </c>
      <c r="BF19" s="6526" t="s">
        <v>1738</v>
      </c>
      <c r="BG19" s="6445"/>
      <c r="BH19" s="6527" t="str">
        <f>IF(BE10=0,"",VLOOKUP(BE10,'Tablas psiquica'!$D$7:$R$145,13,FALSE))</f>
        <v/>
      </c>
      <c r="BI19" s="6528"/>
      <c r="BJ19" s="6528"/>
      <c r="BK19" s="6529"/>
      <c r="BL19" s="658"/>
      <c r="BM19" s="1626">
        <v>280</v>
      </c>
      <c r="BN19" s="6526" t="s">
        <v>1738</v>
      </c>
      <c r="BO19" s="6445"/>
      <c r="BP19" s="6527" t="str">
        <f>IF(BM10=0,"",VLOOKUP(BM10,'Tablas psiquica'!$D$7:$R$145,13,FALSE))</f>
        <v/>
      </c>
      <c r="BQ19" s="6528"/>
      <c r="BR19" s="6528"/>
      <c r="BS19" s="6529"/>
      <c r="BT19" s="1087"/>
      <c r="BU19" s="1626">
        <v>280</v>
      </c>
      <c r="BV19" s="6526" t="s">
        <v>1738</v>
      </c>
      <c r="BW19" s="6445"/>
      <c r="BX19" s="6527" t="str">
        <f>IF(BU10=0,"",VLOOKUP(BU10,'Tablas psiquica'!$D$7:$R$145,13,FALSE))</f>
        <v/>
      </c>
      <c r="BY19" s="6528"/>
      <c r="BZ19" s="6528"/>
      <c r="CA19" s="6529"/>
      <c r="CB19" s="402"/>
      <c r="CC19" s="396"/>
      <c r="CD19" s="396"/>
      <c r="CE19" s="1087"/>
      <c r="CF19" s="1626">
        <v>280</v>
      </c>
      <c r="CG19" s="6526" t="s">
        <v>1738</v>
      </c>
      <c r="CH19" s="6445"/>
      <c r="CI19" s="6527" t="str">
        <f>IF(CF10=0,"",VLOOKUP(CF10,'Tablas psiquica'!$D$7:$R$145,13,FALSE))</f>
        <v/>
      </c>
      <c r="CJ19" s="6528"/>
      <c r="CK19" s="6528"/>
      <c r="CL19" s="6529"/>
      <c r="CM19" s="658"/>
      <c r="CN19" s="1626">
        <v>280</v>
      </c>
      <c r="CO19" s="6526" t="s">
        <v>1738</v>
      </c>
      <c r="CP19" s="6445"/>
      <c r="CQ19" s="6527" t="str">
        <f>IF(CN10=0,"",VLOOKUP(CN10,'Tablas psiquica'!$D$7:$R$145,13,FALSE))</f>
        <v/>
      </c>
      <c r="CR19" s="6528"/>
      <c r="CS19" s="6528"/>
      <c r="CT19" s="6529"/>
      <c r="CU19" s="1087"/>
      <c r="CV19" s="1626">
        <v>280</v>
      </c>
      <c r="CW19" s="6526" t="s">
        <v>1738</v>
      </c>
      <c r="CX19" s="6445"/>
      <c r="CY19" s="6527" t="str">
        <f>IF(CV10=0,"",VLOOKUP(CV10,'Tablas psiquica'!$D$7:$R$145,13,FALSE))</f>
        <v/>
      </c>
      <c r="CZ19" s="6528"/>
      <c r="DA19" s="6528"/>
      <c r="DB19" s="6529"/>
      <c r="DC19" s="402"/>
      <c r="DD19" s="396"/>
    </row>
    <row r="20" spans="1:108" ht="12" customHeight="1" x14ac:dyDescent="0.2">
      <c r="A20" s="396"/>
      <c r="B20" s="1087"/>
      <c r="C20" s="1627">
        <v>320</v>
      </c>
      <c r="D20" s="6530" t="s">
        <v>1740</v>
      </c>
      <c r="E20" s="6450"/>
      <c r="F20" s="6531" t="str">
        <f>IF(C10=0,"",VLOOKUP(C10,'Tablas psiquica'!$D$7:$R$145,14,FALSE))</f>
        <v/>
      </c>
      <c r="G20" s="5988"/>
      <c r="H20" s="5988"/>
      <c r="I20" s="6225"/>
      <c r="J20" s="658"/>
      <c r="K20" s="1627">
        <v>320</v>
      </c>
      <c r="L20" s="6530" t="s">
        <v>1740</v>
      </c>
      <c r="M20" s="6450"/>
      <c r="N20" s="6531" t="str">
        <f>IF(K10=0,"",VLOOKUP(K10,'Tablas psiquica'!$D$7:$R$145,14,FALSE))</f>
        <v/>
      </c>
      <c r="O20" s="5988"/>
      <c r="P20" s="5988"/>
      <c r="Q20" s="6225"/>
      <c r="R20" s="1087"/>
      <c r="S20" s="1627">
        <v>320</v>
      </c>
      <c r="T20" s="6530" t="s">
        <v>1740</v>
      </c>
      <c r="U20" s="6450"/>
      <c r="V20" s="6531" t="str">
        <f>IF(S10=0,"",VLOOKUP(S10,'Tablas psiquica'!$D$7:$R$145,14,FALSE))</f>
        <v/>
      </c>
      <c r="W20" s="5988"/>
      <c r="X20" s="5988"/>
      <c r="Y20" s="6225"/>
      <c r="Z20" s="402"/>
      <c r="AA20" s="396"/>
      <c r="AB20" s="396"/>
      <c r="AC20" s="1087"/>
      <c r="AD20" s="1627">
        <v>320</v>
      </c>
      <c r="AE20" s="6530" t="s">
        <v>1740</v>
      </c>
      <c r="AF20" s="6450"/>
      <c r="AG20" s="6531" t="str">
        <f>IF(AD10=0,"",VLOOKUP(AD10,'Tablas psiquica'!$D$7:$R$145,14,FALSE))</f>
        <v/>
      </c>
      <c r="AH20" s="5988"/>
      <c r="AI20" s="5988"/>
      <c r="AJ20" s="6225"/>
      <c r="AK20" s="658"/>
      <c r="AL20" s="1627">
        <v>320</v>
      </c>
      <c r="AM20" s="6530" t="s">
        <v>1740</v>
      </c>
      <c r="AN20" s="6450"/>
      <c r="AO20" s="6531" t="str">
        <f>IF(AL10=0,"",VLOOKUP(AL10,'Tablas psiquica'!$D$7:$R$145,14,FALSE))</f>
        <v/>
      </c>
      <c r="AP20" s="5988"/>
      <c r="AQ20" s="5988"/>
      <c r="AR20" s="6225"/>
      <c r="AS20" s="1087"/>
      <c r="AT20" s="1627">
        <v>320</v>
      </c>
      <c r="AU20" s="6530" t="s">
        <v>1740</v>
      </c>
      <c r="AV20" s="6450"/>
      <c r="AW20" s="6531" t="str">
        <f>IF(AT10=0,"",VLOOKUP(AT10,'Tablas psiquica'!$D$7:$R$145,14,FALSE))</f>
        <v/>
      </c>
      <c r="AX20" s="5988"/>
      <c r="AY20" s="5988"/>
      <c r="AZ20" s="6225"/>
      <c r="BA20" s="402"/>
      <c r="BB20" s="396"/>
      <c r="BC20" s="396"/>
      <c r="BD20" s="1087"/>
      <c r="BE20" s="1627">
        <v>320</v>
      </c>
      <c r="BF20" s="6530" t="s">
        <v>1740</v>
      </c>
      <c r="BG20" s="6450"/>
      <c r="BH20" s="6531" t="str">
        <f>IF(BE10=0,"",VLOOKUP(BE10,'Tablas psiquica'!$D$7:$R$145,14,FALSE))</f>
        <v/>
      </c>
      <c r="BI20" s="5988"/>
      <c r="BJ20" s="5988"/>
      <c r="BK20" s="6225"/>
      <c r="BL20" s="658"/>
      <c r="BM20" s="1627">
        <v>320</v>
      </c>
      <c r="BN20" s="6530" t="s">
        <v>1740</v>
      </c>
      <c r="BO20" s="6450"/>
      <c r="BP20" s="6531" t="str">
        <f>IF(BM10=0,"",VLOOKUP(BM10,'Tablas psiquica'!$D$7:$R$145,14,FALSE))</f>
        <v/>
      </c>
      <c r="BQ20" s="5988"/>
      <c r="BR20" s="5988"/>
      <c r="BS20" s="6225"/>
      <c r="BT20" s="1087"/>
      <c r="BU20" s="1627">
        <v>320</v>
      </c>
      <c r="BV20" s="6530" t="s">
        <v>1740</v>
      </c>
      <c r="BW20" s="6450"/>
      <c r="BX20" s="6531" t="str">
        <f>IF(BU10=0,"",VLOOKUP(BU10,'Tablas psiquica'!$D$7:$R$145,14,FALSE))</f>
        <v/>
      </c>
      <c r="BY20" s="5988"/>
      <c r="BZ20" s="5988"/>
      <c r="CA20" s="6225"/>
      <c r="CB20" s="402"/>
      <c r="CC20" s="396"/>
      <c r="CD20" s="396"/>
      <c r="CE20" s="1087"/>
      <c r="CF20" s="1627">
        <v>320</v>
      </c>
      <c r="CG20" s="6530" t="s">
        <v>1740</v>
      </c>
      <c r="CH20" s="6450"/>
      <c r="CI20" s="6531" t="str">
        <f>IF(CF10=0,"",VLOOKUP(CF10,'Tablas psiquica'!$D$7:$R$145,14,FALSE))</f>
        <v/>
      </c>
      <c r="CJ20" s="5988"/>
      <c r="CK20" s="5988"/>
      <c r="CL20" s="6225"/>
      <c r="CM20" s="658"/>
      <c r="CN20" s="1627">
        <v>320</v>
      </c>
      <c r="CO20" s="6530" t="s">
        <v>1740</v>
      </c>
      <c r="CP20" s="6450"/>
      <c r="CQ20" s="6531" t="str">
        <f>IF(CN10=0,"",VLOOKUP(CN10,'Tablas psiquica'!$D$7:$R$145,14,FALSE))</f>
        <v/>
      </c>
      <c r="CR20" s="5988"/>
      <c r="CS20" s="5988"/>
      <c r="CT20" s="6225"/>
      <c r="CU20" s="1087"/>
      <c r="CV20" s="1627">
        <v>320</v>
      </c>
      <c r="CW20" s="6530" t="s">
        <v>1740</v>
      </c>
      <c r="CX20" s="6450"/>
      <c r="CY20" s="6531" t="str">
        <f>IF(CV10=0,"",VLOOKUP(CV10,'Tablas psiquica'!$D$7:$R$145,14,FALSE))</f>
        <v/>
      </c>
      <c r="CZ20" s="5988"/>
      <c r="DA20" s="5988"/>
      <c r="DB20" s="6225"/>
      <c r="DC20" s="402"/>
      <c r="DD20" s="396"/>
    </row>
    <row r="21" spans="1:108" ht="12" customHeight="1" x14ac:dyDescent="0.2">
      <c r="A21" s="396"/>
      <c r="B21" s="1087"/>
      <c r="C21" s="428">
        <v>440</v>
      </c>
      <c r="D21" s="6532" t="s">
        <v>1683</v>
      </c>
      <c r="E21" s="6533"/>
      <c r="F21" s="6534" t="str">
        <f>IF(C10=0,"",VLOOKUP(C10,'Tablas psiquica'!$D$7:$R$145,15,FALSE))</f>
        <v/>
      </c>
      <c r="G21" s="6535"/>
      <c r="H21" s="6535"/>
      <c r="I21" s="6536"/>
      <c r="J21" s="658"/>
      <c r="K21" s="428">
        <v>440</v>
      </c>
      <c r="L21" s="6532" t="s">
        <v>1683</v>
      </c>
      <c r="M21" s="6533"/>
      <c r="N21" s="6534" t="str">
        <f>IF(K10=0,"",VLOOKUP(K10,'Tablas psiquica'!$D$7:$R$145,15,FALSE))</f>
        <v/>
      </c>
      <c r="O21" s="6535"/>
      <c r="P21" s="6535"/>
      <c r="Q21" s="6536"/>
      <c r="R21" s="1087"/>
      <c r="S21" s="428">
        <v>440</v>
      </c>
      <c r="T21" s="6532" t="s">
        <v>1683</v>
      </c>
      <c r="U21" s="6533"/>
      <c r="V21" s="6534" t="str">
        <f>IF(S10=0,"",VLOOKUP(S10,'Tablas psiquica'!$D$7:$R$145,15,FALSE))</f>
        <v/>
      </c>
      <c r="W21" s="6535"/>
      <c r="X21" s="6535"/>
      <c r="Y21" s="6536"/>
      <c r="Z21" s="402"/>
      <c r="AA21" s="396"/>
      <c r="AB21" s="396"/>
      <c r="AC21" s="1087"/>
      <c r="AD21" s="428">
        <v>440</v>
      </c>
      <c r="AE21" s="6532" t="s">
        <v>1683</v>
      </c>
      <c r="AF21" s="6533"/>
      <c r="AG21" s="6534" t="str">
        <f>IF(AD10=0,"",VLOOKUP(AD10,'Tablas psiquica'!$D$7:$R$145,15,FALSE))</f>
        <v/>
      </c>
      <c r="AH21" s="6535"/>
      <c r="AI21" s="6535"/>
      <c r="AJ21" s="6536"/>
      <c r="AK21" s="658"/>
      <c r="AL21" s="428">
        <v>440</v>
      </c>
      <c r="AM21" s="6532" t="s">
        <v>1683</v>
      </c>
      <c r="AN21" s="6533"/>
      <c r="AO21" s="6534" t="str">
        <f>IF(AL10=0,"",VLOOKUP(AL10,'Tablas psiquica'!$D$7:$R$145,15,FALSE))</f>
        <v/>
      </c>
      <c r="AP21" s="6535"/>
      <c r="AQ21" s="6535"/>
      <c r="AR21" s="6536"/>
      <c r="AS21" s="1087"/>
      <c r="AT21" s="428">
        <v>440</v>
      </c>
      <c r="AU21" s="6532" t="s">
        <v>1683</v>
      </c>
      <c r="AV21" s="6533"/>
      <c r="AW21" s="6534" t="str">
        <f>IF(AT10=0,"",VLOOKUP(AT10,'Tablas psiquica'!$D$7:$R$145,15,FALSE))</f>
        <v/>
      </c>
      <c r="AX21" s="6535"/>
      <c r="AY21" s="6535"/>
      <c r="AZ21" s="6536"/>
      <c r="BA21" s="402"/>
      <c r="BB21" s="396"/>
      <c r="BC21" s="396"/>
      <c r="BD21" s="1087"/>
      <c r="BE21" s="428">
        <v>440</v>
      </c>
      <c r="BF21" s="6532" t="s">
        <v>1683</v>
      </c>
      <c r="BG21" s="6533"/>
      <c r="BH21" s="6534" t="str">
        <f>IF(BE10=0,"",VLOOKUP(BE10,'Tablas psiquica'!$D$7:$R$145,15,FALSE))</f>
        <v/>
      </c>
      <c r="BI21" s="6535"/>
      <c r="BJ21" s="6535"/>
      <c r="BK21" s="6536"/>
      <c r="BL21" s="658"/>
      <c r="BM21" s="428">
        <v>440</v>
      </c>
      <c r="BN21" s="6532" t="s">
        <v>1683</v>
      </c>
      <c r="BO21" s="6533"/>
      <c r="BP21" s="6534" t="str">
        <f>IF(BM10=0,"",VLOOKUP(BM10,'Tablas psiquica'!$D$7:$R$145,15,FALSE))</f>
        <v/>
      </c>
      <c r="BQ21" s="6535"/>
      <c r="BR21" s="6535"/>
      <c r="BS21" s="6536"/>
      <c r="BT21" s="1087"/>
      <c r="BU21" s="428">
        <v>440</v>
      </c>
      <c r="BV21" s="6532" t="s">
        <v>1683</v>
      </c>
      <c r="BW21" s="6533"/>
      <c r="BX21" s="6534" t="str">
        <f>IF(BU10=0,"",VLOOKUP(BU10,'Tablas psiquica'!$D$7:$R$145,15,FALSE))</f>
        <v/>
      </c>
      <c r="BY21" s="6535"/>
      <c r="BZ21" s="6535"/>
      <c r="CA21" s="6536"/>
      <c r="CB21" s="402"/>
      <c r="CC21" s="396"/>
      <c r="CD21" s="396"/>
      <c r="CE21" s="1087"/>
      <c r="CF21" s="428">
        <v>440</v>
      </c>
      <c r="CG21" s="6532" t="s">
        <v>1683</v>
      </c>
      <c r="CH21" s="6533"/>
      <c r="CI21" s="6534" t="str">
        <f>IF(CF10=0,"",VLOOKUP(CF10,'Tablas psiquica'!$D$7:$R$145,15,FALSE))</f>
        <v/>
      </c>
      <c r="CJ21" s="6535"/>
      <c r="CK21" s="6535"/>
      <c r="CL21" s="6536"/>
      <c r="CM21" s="658"/>
      <c r="CN21" s="428">
        <v>440</v>
      </c>
      <c r="CO21" s="6532" t="s">
        <v>1683</v>
      </c>
      <c r="CP21" s="6533"/>
      <c r="CQ21" s="6534" t="str">
        <f>IF(CN10=0,"",VLOOKUP(CN10,'Tablas psiquica'!$D$7:$R$145,15,FALSE))</f>
        <v/>
      </c>
      <c r="CR21" s="6535"/>
      <c r="CS21" s="6535"/>
      <c r="CT21" s="6536"/>
      <c r="CU21" s="1087"/>
      <c r="CV21" s="428">
        <v>440</v>
      </c>
      <c r="CW21" s="6532" t="s">
        <v>1683</v>
      </c>
      <c r="CX21" s="6533"/>
      <c r="CY21" s="6534" t="str">
        <f>IF(CV10=0,"",VLOOKUP(CV10,'Tablas psiquica'!$D$7:$R$145,15,FALSE))</f>
        <v/>
      </c>
      <c r="CZ21" s="6535"/>
      <c r="DA21" s="6535"/>
      <c r="DB21" s="6536"/>
      <c r="DC21" s="402"/>
      <c r="DD21" s="396"/>
    </row>
    <row r="22" spans="1:108" ht="12" customHeight="1" thickBot="1" x14ac:dyDescent="0.25">
      <c r="A22" s="396"/>
      <c r="B22" s="1087"/>
      <c r="C22" s="6537" t="s">
        <v>6244</v>
      </c>
      <c r="D22" s="6538"/>
      <c r="E22" s="429" t="str">
        <f>IF(C10=0,"",VLOOKUP(C10,'Tablas psiquica'!$D$7:$R$145,4,FALSE))</f>
        <v/>
      </c>
      <c r="F22" s="6539" t="s">
        <v>6239</v>
      </c>
      <c r="G22" s="6539"/>
      <c r="H22" s="6540" t="str">
        <f>IF(C10=0,"",VLOOKUP(C10,'Tablas psiquica'!$D$7:$R$145,5,FALSE))</f>
        <v/>
      </c>
      <c r="I22" s="6541"/>
      <c r="J22" s="658"/>
      <c r="K22" s="6537" t="s">
        <v>6244</v>
      </c>
      <c r="L22" s="6538"/>
      <c r="M22" s="429" t="str">
        <f>IF(K10=0,"",VLOOKUP(K10,'Tablas psiquica'!$D$7:$R$145,4,FALSE))</f>
        <v/>
      </c>
      <c r="N22" s="6539" t="s">
        <v>6239</v>
      </c>
      <c r="O22" s="6539"/>
      <c r="P22" s="6540" t="str">
        <f>IF(K10=0,"",VLOOKUP(K10,'Tablas psiquica'!$D$7:$R$145,5,FALSE))</f>
        <v/>
      </c>
      <c r="Q22" s="6541"/>
      <c r="R22" s="1087"/>
      <c r="S22" s="6537" t="s">
        <v>6244</v>
      </c>
      <c r="T22" s="6538"/>
      <c r="U22" s="429" t="str">
        <f>IF(S10=0,"",VLOOKUP(S10,'Tablas psiquica'!$D$7:$R$145,4,FALSE))</f>
        <v/>
      </c>
      <c r="V22" s="6539" t="s">
        <v>6239</v>
      </c>
      <c r="W22" s="6539"/>
      <c r="X22" s="6540" t="str">
        <f>IF(S10=0,"",VLOOKUP(S10,'Tablas psiquica'!$D$7:$R$145,5,FALSE))</f>
        <v/>
      </c>
      <c r="Y22" s="6541"/>
      <c r="Z22" s="402"/>
      <c r="AA22" s="396"/>
      <c r="AB22" s="396"/>
      <c r="AC22" s="1087"/>
      <c r="AD22" s="6537" t="s">
        <v>6244</v>
      </c>
      <c r="AE22" s="6538"/>
      <c r="AF22" s="429" t="str">
        <f>IF(AD10=0,"",VLOOKUP(AD10,'Tablas psiquica'!$D$7:$R$145,4,FALSE))</f>
        <v/>
      </c>
      <c r="AG22" s="6539" t="s">
        <v>6239</v>
      </c>
      <c r="AH22" s="6539"/>
      <c r="AI22" s="6540" t="str">
        <f>IF(AD10=0,"",VLOOKUP(AD10,'Tablas psiquica'!$D$7:$R$145,5,FALSE))</f>
        <v/>
      </c>
      <c r="AJ22" s="6541"/>
      <c r="AK22" s="658"/>
      <c r="AL22" s="6537" t="s">
        <v>6244</v>
      </c>
      <c r="AM22" s="6538"/>
      <c r="AN22" s="429" t="str">
        <f>IF(AL10=0,"",VLOOKUP(AL10,'Tablas psiquica'!$D$7:$R$145,4,FALSE))</f>
        <v/>
      </c>
      <c r="AO22" s="6539" t="s">
        <v>6239</v>
      </c>
      <c r="AP22" s="6539"/>
      <c r="AQ22" s="6540" t="str">
        <f>IF(AL10=0,"",VLOOKUP(AL10,'Tablas psiquica'!$D$7:$R$145,5,FALSE))</f>
        <v/>
      </c>
      <c r="AR22" s="6541"/>
      <c r="AS22" s="1087"/>
      <c r="AT22" s="6537" t="s">
        <v>6244</v>
      </c>
      <c r="AU22" s="6538"/>
      <c r="AV22" s="429" t="str">
        <f>IF(AT10=0,"",VLOOKUP(AT10,'Tablas psiquica'!$D$7:$R$145,4,FALSE))</f>
        <v/>
      </c>
      <c r="AW22" s="6539" t="s">
        <v>6239</v>
      </c>
      <c r="AX22" s="6539"/>
      <c r="AY22" s="6540" t="str">
        <f>IF(AT10=0,"",VLOOKUP(AT10,'Tablas psiquica'!$D$7:$R$145,5,FALSE))</f>
        <v/>
      </c>
      <c r="AZ22" s="6541"/>
      <c r="BA22" s="402"/>
      <c r="BB22" s="396"/>
      <c r="BC22" s="396"/>
      <c r="BD22" s="1087"/>
      <c r="BE22" s="6537" t="s">
        <v>6244</v>
      </c>
      <c r="BF22" s="6538"/>
      <c r="BG22" s="429" t="str">
        <f>IF(BE10=0,"",VLOOKUP(BE10,'Tablas psiquica'!$D$7:$R$145,4,FALSE))</f>
        <v/>
      </c>
      <c r="BH22" s="6539" t="s">
        <v>6239</v>
      </c>
      <c r="BI22" s="6539"/>
      <c r="BJ22" s="6540" t="str">
        <f>IF(BE10=0,"",VLOOKUP(BE10,'Tablas psiquica'!$D$7:$R$145,5,FALSE))</f>
        <v/>
      </c>
      <c r="BK22" s="6541"/>
      <c r="BL22" s="658"/>
      <c r="BM22" s="6537" t="s">
        <v>6244</v>
      </c>
      <c r="BN22" s="6538"/>
      <c r="BO22" s="429" t="str">
        <f>IF(BM10=0,"",VLOOKUP(BM10,'Tablas psiquica'!$D$7:$R$145,4,FALSE))</f>
        <v/>
      </c>
      <c r="BP22" s="6539" t="s">
        <v>6239</v>
      </c>
      <c r="BQ22" s="6539"/>
      <c r="BR22" s="6540" t="str">
        <f>IF(BM10=0,"",VLOOKUP(BM10,'Tablas psiquica'!$D$7:$R$145,5,FALSE))</f>
        <v/>
      </c>
      <c r="BS22" s="6541"/>
      <c r="BT22" s="1087"/>
      <c r="BU22" s="6537" t="s">
        <v>6244</v>
      </c>
      <c r="BV22" s="6538"/>
      <c r="BW22" s="429" t="str">
        <f>IF(BU10=0,"",VLOOKUP(BU10,'Tablas psiquica'!$D$7:$R$145,4,FALSE))</f>
        <v/>
      </c>
      <c r="BX22" s="6539" t="s">
        <v>6239</v>
      </c>
      <c r="BY22" s="6539"/>
      <c r="BZ22" s="6540" t="str">
        <f>IF(BU10=0,"",VLOOKUP(BU10,'Tablas psiquica'!$D$7:$R$145,5,FALSE))</f>
        <v/>
      </c>
      <c r="CA22" s="6541"/>
      <c r="CB22" s="402"/>
      <c r="CC22" s="396"/>
      <c r="CD22" s="396"/>
      <c r="CE22" s="1087"/>
      <c r="CF22" s="6537" t="s">
        <v>6244</v>
      </c>
      <c r="CG22" s="6538"/>
      <c r="CH22" s="429" t="str">
        <f>IF(CF10=0,"",VLOOKUP(CF10,'Tablas psiquica'!$D$7:$R$145,4,FALSE))</f>
        <v/>
      </c>
      <c r="CI22" s="6539" t="s">
        <v>6239</v>
      </c>
      <c r="CJ22" s="6539"/>
      <c r="CK22" s="6540" t="str">
        <f>IF(CF10=0,"",VLOOKUP(CF10,'Tablas psiquica'!$D$7:$R$145,5,FALSE))</f>
        <v/>
      </c>
      <c r="CL22" s="6541"/>
      <c r="CM22" s="658"/>
      <c r="CN22" s="6537" t="s">
        <v>6244</v>
      </c>
      <c r="CO22" s="6538"/>
      <c r="CP22" s="429" t="str">
        <f>IF(CN10=0,"",VLOOKUP(CN10,'Tablas psiquica'!$D$7:$R$145,4,FALSE))</f>
        <v/>
      </c>
      <c r="CQ22" s="6539" t="s">
        <v>6239</v>
      </c>
      <c r="CR22" s="6539"/>
      <c r="CS22" s="6540" t="str">
        <f>IF(CN10=0,"",VLOOKUP(CN10,'Tablas psiquica'!$D$7:$R$145,5,FALSE))</f>
        <v/>
      </c>
      <c r="CT22" s="6541"/>
      <c r="CU22" s="1087"/>
      <c r="CV22" s="6537" t="s">
        <v>6244</v>
      </c>
      <c r="CW22" s="6538"/>
      <c r="CX22" s="429" t="str">
        <f>IF(CV10=0,"",VLOOKUP(CV10,'Tablas psiquica'!$D$7:$R$145,4,FALSE))</f>
        <v/>
      </c>
      <c r="CY22" s="6539" t="s">
        <v>6239</v>
      </c>
      <c r="CZ22" s="6539"/>
      <c r="DA22" s="6540" t="str">
        <f>IF(CV10=0,"",VLOOKUP(CV10,'Tablas psiquica'!$D$7:$R$145,5,FALSE))</f>
        <v/>
      </c>
      <c r="DB22" s="6541"/>
      <c r="DC22" s="402"/>
      <c r="DD22" s="396"/>
    </row>
    <row r="23" spans="1:108" ht="12" customHeight="1" thickBot="1" x14ac:dyDescent="0.25">
      <c r="A23" s="396"/>
      <c r="B23" s="1087"/>
      <c r="C23" s="1080"/>
      <c r="J23" s="658"/>
      <c r="K23" s="1080"/>
      <c r="R23" s="658"/>
      <c r="S23" s="1080"/>
      <c r="Y23" s="413"/>
      <c r="Z23" s="402"/>
      <c r="AA23" s="396"/>
      <c r="AB23" s="396"/>
      <c r="AC23" s="1087"/>
      <c r="AD23" s="1080"/>
      <c r="AK23" s="658"/>
      <c r="AL23" s="1080"/>
      <c r="AS23" s="658"/>
      <c r="AT23" s="1080"/>
      <c r="AZ23" s="413"/>
      <c r="BA23" s="402"/>
      <c r="BB23" s="396"/>
      <c r="BC23" s="396"/>
      <c r="BD23" s="1087"/>
      <c r="BE23" s="1080"/>
      <c r="BL23" s="658"/>
      <c r="BM23" s="1080"/>
      <c r="BT23" s="658"/>
      <c r="BU23" s="1080"/>
      <c r="CA23" s="413"/>
      <c r="CB23" s="402"/>
      <c r="CC23" s="396"/>
      <c r="CD23" s="396"/>
      <c r="CE23" s="1087"/>
      <c r="CF23" s="1080"/>
      <c r="CM23" s="658"/>
      <c r="CN23" s="1080"/>
      <c r="CU23" s="658"/>
      <c r="CV23" s="1080"/>
      <c r="DB23" s="413"/>
      <c r="DC23" s="402"/>
      <c r="DD23" s="396"/>
    </row>
    <row r="24" spans="1:108" ht="12" customHeight="1" x14ac:dyDescent="0.2">
      <c r="A24" s="396"/>
      <c r="B24" s="1087">
        <v>4</v>
      </c>
      <c r="C24" s="6515">
        <f>IFERROR(INDEX('Tablas psiquica'!$U$116:$AH$130,B24,Y$7),0)</f>
        <v>0</v>
      </c>
      <c r="D24" s="6516"/>
      <c r="E24" s="6516"/>
      <c r="F24" s="6516"/>
      <c r="G24" s="6516"/>
      <c r="H24" s="6516"/>
      <c r="I24" s="427" t="s">
        <v>1403</v>
      </c>
      <c r="J24" s="658">
        <v>5</v>
      </c>
      <c r="K24" s="6515">
        <f>IFERROR(INDEX('Tablas psiquica'!$U$116:$AH$130,J24,Y$7),0)</f>
        <v>0</v>
      </c>
      <c r="L24" s="6516"/>
      <c r="M24" s="6516"/>
      <c r="N24" s="6516"/>
      <c r="O24" s="6516"/>
      <c r="P24" s="6516"/>
      <c r="Q24" s="427" t="s">
        <v>1403</v>
      </c>
      <c r="R24" s="1087">
        <v>6</v>
      </c>
      <c r="S24" s="6515">
        <f>IFERROR(INDEX('Tablas psiquica'!$U$116:$AH$130,R24,Y$7),0)</f>
        <v>0</v>
      </c>
      <c r="T24" s="6516"/>
      <c r="U24" s="6516"/>
      <c r="V24" s="6516"/>
      <c r="W24" s="6516"/>
      <c r="X24" s="6516"/>
      <c r="Y24" s="427" t="s">
        <v>1403</v>
      </c>
      <c r="Z24" s="402"/>
      <c r="AA24" s="396"/>
      <c r="AB24" s="396"/>
      <c r="AC24" s="1087">
        <v>4</v>
      </c>
      <c r="AD24" s="6515">
        <f>IFERROR(INDEX('Tablas psiquica'!$U$116:$AH$130,AC24,AZ$7),0)</f>
        <v>0</v>
      </c>
      <c r="AE24" s="6516"/>
      <c r="AF24" s="6516"/>
      <c r="AG24" s="6516"/>
      <c r="AH24" s="6516"/>
      <c r="AI24" s="6516"/>
      <c r="AJ24" s="427" t="s">
        <v>1403</v>
      </c>
      <c r="AK24" s="658">
        <v>5</v>
      </c>
      <c r="AL24" s="6515">
        <f>IFERROR(INDEX('Tablas psiquica'!$U$116:$AH$130,AK24,AZ$7),0)</f>
        <v>0</v>
      </c>
      <c r="AM24" s="6516"/>
      <c r="AN24" s="6516"/>
      <c r="AO24" s="6516"/>
      <c r="AP24" s="6516"/>
      <c r="AQ24" s="6516"/>
      <c r="AR24" s="427" t="s">
        <v>1403</v>
      </c>
      <c r="AS24" s="1087">
        <v>6</v>
      </c>
      <c r="AT24" s="6515">
        <f>IFERROR(INDEX('Tablas psiquica'!$U$116:$AH$130,AS24,AZ$7),0)</f>
        <v>0</v>
      </c>
      <c r="AU24" s="6516"/>
      <c r="AV24" s="6516"/>
      <c r="AW24" s="6516"/>
      <c r="AX24" s="6516"/>
      <c r="AY24" s="6516"/>
      <c r="AZ24" s="427" t="s">
        <v>1403</v>
      </c>
      <c r="BA24" s="402"/>
      <c r="BB24" s="396"/>
      <c r="BC24" s="396"/>
      <c r="BD24" s="1087">
        <v>4</v>
      </c>
      <c r="BE24" s="6515">
        <f>IFERROR(INDEX('Tablas psiquica'!$U$116:$AH$130,BD24,CA$7),0)</f>
        <v>0</v>
      </c>
      <c r="BF24" s="6516"/>
      <c r="BG24" s="6516"/>
      <c r="BH24" s="6516"/>
      <c r="BI24" s="6516"/>
      <c r="BJ24" s="6516"/>
      <c r="BK24" s="427" t="s">
        <v>1403</v>
      </c>
      <c r="BL24" s="658">
        <v>5</v>
      </c>
      <c r="BM24" s="6515">
        <f>IFERROR(INDEX('Tablas psiquica'!$U$116:$AH$130,BL24,CA$7),0)</f>
        <v>0</v>
      </c>
      <c r="BN24" s="6516"/>
      <c r="BO24" s="6516"/>
      <c r="BP24" s="6516"/>
      <c r="BQ24" s="6516"/>
      <c r="BR24" s="6516"/>
      <c r="BS24" s="427" t="s">
        <v>1403</v>
      </c>
      <c r="BT24" s="1087">
        <v>6</v>
      </c>
      <c r="BU24" s="6515">
        <f>IFERROR(INDEX('Tablas psiquica'!$U$116:$AH$130,BT24,CA$7),0)</f>
        <v>0</v>
      </c>
      <c r="BV24" s="6516"/>
      <c r="BW24" s="6516"/>
      <c r="BX24" s="6516"/>
      <c r="BY24" s="6516"/>
      <c r="BZ24" s="6516"/>
      <c r="CA24" s="427" t="s">
        <v>1403</v>
      </c>
      <c r="CB24" s="402"/>
      <c r="CC24" s="396"/>
      <c r="CD24" s="396"/>
      <c r="CE24" s="1087">
        <v>4</v>
      </c>
      <c r="CF24" s="6515">
        <f>IFERROR(INDEX('Tablas psiquica'!$U$116:$AH$130,CE24,DB$7),0)</f>
        <v>0</v>
      </c>
      <c r="CG24" s="6516"/>
      <c r="CH24" s="6516"/>
      <c r="CI24" s="6516"/>
      <c r="CJ24" s="6516"/>
      <c r="CK24" s="6516"/>
      <c r="CL24" s="427" t="s">
        <v>1403</v>
      </c>
      <c r="CM24" s="658">
        <v>5</v>
      </c>
      <c r="CN24" s="6515">
        <f>IFERROR(INDEX('Tablas psiquica'!$U$116:$AH$130,CM24,DB$7),0)</f>
        <v>0</v>
      </c>
      <c r="CO24" s="6516"/>
      <c r="CP24" s="6516"/>
      <c r="CQ24" s="6516"/>
      <c r="CR24" s="6516"/>
      <c r="CS24" s="6516"/>
      <c r="CT24" s="427" t="s">
        <v>1403</v>
      </c>
      <c r="CU24" s="1087">
        <v>6</v>
      </c>
      <c r="CV24" s="6515">
        <f>IFERROR(INDEX('Tablas psiquica'!$U$116:$AH$130,CU24,DB$7),0)</f>
        <v>0</v>
      </c>
      <c r="CW24" s="6516"/>
      <c r="CX24" s="6516"/>
      <c r="CY24" s="6516"/>
      <c r="CZ24" s="6516"/>
      <c r="DA24" s="6516"/>
      <c r="DB24" s="427" t="s">
        <v>1403</v>
      </c>
      <c r="DC24" s="402"/>
      <c r="DD24" s="396"/>
    </row>
    <row r="25" spans="1:108" ht="12" customHeight="1" x14ac:dyDescent="0.2">
      <c r="A25" s="396"/>
      <c r="B25" s="1087"/>
      <c r="C25" s="6517" t="str">
        <f>IF(C24=0,"",VLOOKUP(C24,'Tablas psiquica'!$D$7:$R$145,2,FALSE))</f>
        <v/>
      </c>
      <c r="D25" s="6518"/>
      <c r="E25" s="6518"/>
      <c r="F25" s="6519"/>
      <c r="G25" s="6520" t="str">
        <f>IF(C24=0,"",IF(INDEX('Tablas psiquica'!$U$115:$AH$115,1,$Y$7)=0,"No Accesible",IF(ISNA(VLOOKUP(C24,Psíquicos!$AS$17:$AS$43,1,0)),"Accesible CV","Aprendido")))</f>
        <v/>
      </c>
      <c r="H25" s="6521"/>
      <c r="I25" s="1658" t="str">
        <f>IF(C24=0,"",VLOOKUP(C24,'Tablas psiquica'!$D$7:$R$145,3,FALSE))</f>
        <v/>
      </c>
      <c r="J25" s="658"/>
      <c r="K25" s="6517" t="str">
        <f>IF(K24=0,"",VLOOKUP(K24,'Tablas psiquica'!$D$7:$R$145,2,FALSE))</f>
        <v/>
      </c>
      <c r="L25" s="6518"/>
      <c r="M25" s="6518"/>
      <c r="N25" s="6519"/>
      <c r="O25" s="6520" t="str">
        <f>IF(K24=0,"",IF(INDEX('Tablas psiquica'!$U$115:$AH$115,1,$Y$7)=0,"No Accesible",IF(ISNA(VLOOKUP(K24,Psíquicos!$AS$17:$AS$43,1,0)),"Accesible CV","Aprendido")))</f>
        <v/>
      </c>
      <c r="P25" s="6521"/>
      <c r="Q25" s="1658" t="str">
        <f>IF(K24=0,"",VLOOKUP(K24,'Tablas psiquica'!$D$7:$R$145,3,FALSE))</f>
        <v/>
      </c>
      <c r="R25" s="1087"/>
      <c r="S25" s="6517" t="str">
        <f>IF(S24=0,"",VLOOKUP(S24,'Tablas psiquica'!$D$7:$R$145,2,FALSE))</f>
        <v/>
      </c>
      <c r="T25" s="6518"/>
      <c r="U25" s="6518"/>
      <c r="V25" s="6519"/>
      <c r="W25" s="6520" t="str">
        <f>IF(S24=0,"",IF(INDEX('Tablas psiquica'!$U$115:$AH$115,1,$Y$7)=0,"No Accesible",IF(ISNA(VLOOKUP(S24,Psíquicos!$AS$17:$AS$43,1,0)),"Accesible CV","Aprendido")))</f>
        <v/>
      </c>
      <c r="X25" s="6521"/>
      <c r="Y25" s="1658" t="str">
        <f>IF(S24=0,"",VLOOKUP(S24,'Tablas psiquica'!$D$7:$R$145,3,FALSE))</f>
        <v/>
      </c>
      <c r="Z25" s="402"/>
      <c r="AA25" s="396"/>
      <c r="AB25" s="396"/>
      <c r="AC25" s="1087"/>
      <c r="AD25" s="6517" t="str">
        <f>IF(AD24=0,"",VLOOKUP(AD24,'Tablas psiquica'!$D$7:$R$145,2,FALSE))</f>
        <v/>
      </c>
      <c r="AE25" s="6518"/>
      <c r="AF25" s="6518"/>
      <c r="AG25" s="6519"/>
      <c r="AH25" s="6520" t="str">
        <f>IF(AD24=0,"",IF(INDEX('Tablas psiquica'!$U$115:$AH$115,1,$AZ$7)=0,"No Accesible",IF(ISNA(VLOOKUP(AD24,Psíquicos!$AS$17:$AS$43,1,0)),"Accesible CV","Aprendido")))</f>
        <v/>
      </c>
      <c r="AI25" s="6521"/>
      <c r="AJ25" s="1658" t="str">
        <f>IF(AD24=0,"",VLOOKUP(AD24,'Tablas psiquica'!$D$7:$R$145,3,FALSE))</f>
        <v/>
      </c>
      <c r="AK25" s="658"/>
      <c r="AL25" s="6517" t="str">
        <f>IF(AL24=0,"",VLOOKUP(AL24,'Tablas psiquica'!$D$7:$R$145,2,FALSE))</f>
        <v/>
      </c>
      <c r="AM25" s="6518"/>
      <c r="AN25" s="6518"/>
      <c r="AO25" s="6519"/>
      <c r="AP25" s="6520" t="str">
        <f>IF(AL24=0,"",IF(INDEX('Tablas psiquica'!$U$115:$AH$115,1,$AZ$7)=0,"No Accesible",IF(ISNA(VLOOKUP(AL24,Psíquicos!$AS$17:$AS$43,1,0)),"Accesible CV","Aprendido")))</f>
        <v/>
      </c>
      <c r="AQ25" s="6521"/>
      <c r="AR25" s="1658" t="str">
        <f>IF(AL24=0,"",VLOOKUP(AL24,'Tablas psiquica'!$D$7:$R$145,3,FALSE))</f>
        <v/>
      </c>
      <c r="AS25" s="1087"/>
      <c r="AT25" s="6517" t="str">
        <f>IF(AT24=0,"",VLOOKUP(AT24,'Tablas psiquica'!$D$7:$R$145,2,FALSE))</f>
        <v/>
      </c>
      <c r="AU25" s="6518"/>
      <c r="AV25" s="6518"/>
      <c r="AW25" s="6519"/>
      <c r="AX25" s="6520" t="str">
        <f>IF(AT24=0,"",IF(INDEX('Tablas psiquica'!$U$115:$AH$115,1,$AZ$7)=0,"No Accesible",IF(ISNA(VLOOKUP(AT24,Psíquicos!$AS$17:$AS$43,1,0)),"Accesible CV","Aprendido")))</f>
        <v/>
      </c>
      <c r="AY25" s="6521"/>
      <c r="AZ25" s="1658" t="str">
        <f>IF(AT24=0,"",VLOOKUP(AT24,'Tablas psiquica'!$D$7:$R$145,3,FALSE))</f>
        <v/>
      </c>
      <c r="BA25" s="402"/>
      <c r="BB25" s="396"/>
      <c r="BC25" s="396"/>
      <c r="BD25" s="1087"/>
      <c r="BE25" s="6517" t="str">
        <f>IF(BE24=0,"",VLOOKUP(BE24,'Tablas psiquica'!$D$7:$R$145,2,FALSE))</f>
        <v/>
      </c>
      <c r="BF25" s="6518"/>
      <c r="BG25" s="6518"/>
      <c r="BH25" s="6519"/>
      <c r="BI25" s="6520" t="str">
        <f>IF(BE24=0,"",IF(INDEX('Tablas psiquica'!$U$115:$AH$115,1,$CA$7)=0,"No Accesible",IF(ISNA(VLOOKUP(BE24,Psíquicos!$AS$17:$AS$43,1,0)),"Accesible CV","Aprendido")))</f>
        <v/>
      </c>
      <c r="BJ25" s="6521"/>
      <c r="BK25" s="1658" t="str">
        <f>IF(BE24=0,"",VLOOKUP(BE24,'Tablas psiquica'!$D$7:$R$145,3,FALSE))</f>
        <v/>
      </c>
      <c r="BL25" s="658"/>
      <c r="BM25" s="6517" t="str">
        <f>IF(BM24=0,"",VLOOKUP(BM24,'Tablas psiquica'!$D$7:$R$145,2,FALSE))</f>
        <v/>
      </c>
      <c r="BN25" s="6518"/>
      <c r="BO25" s="6518"/>
      <c r="BP25" s="6519"/>
      <c r="BQ25" s="6520" t="str">
        <f>IF(BM24=0,"",IF(INDEX('Tablas psiquica'!$U$115:$AH$115,1,$CA$7)=0,"No Accesible",IF(ISNA(VLOOKUP(BM24,Psíquicos!$AS$17:$AS$43,1,0)),"Accesible CV","Aprendido")))</f>
        <v/>
      </c>
      <c r="BR25" s="6521"/>
      <c r="BS25" s="1658" t="str">
        <f>IF(BM24=0,"",VLOOKUP(BM24,'Tablas psiquica'!$D$7:$R$145,3,FALSE))</f>
        <v/>
      </c>
      <c r="BT25" s="1087"/>
      <c r="BU25" s="6517" t="str">
        <f>IF(BU24=0,"",VLOOKUP(BU24,'Tablas psiquica'!$D$7:$R$145,2,FALSE))</f>
        <v/>
      </c>
      <c r="BV25" s="6518"/>
      <c r="BW25" s="6518"/>
      <c r="BX25" s="6519"/>
      <c r="BY25" s="6520" t="str">
        <f>IF(BU24=0,"",IF(INDEX('Tablas psiquica'!$U$115:$AH$115,1,$CA$7)=0,"No Accesible",IF(ISNA(VLOOKUP(BU24,Psíquicos!$AS$17:$AS$43,1,0)),"Accesible CV","Aprendido")))</f>
        <v/>
      </c>
      <c r="BZ25" s="6521"/>
      <c r="CA25" s="1658" t="str">
        <f>IF(BU24=0,"",VLOOKUP(BU24,'Tablas psiquica'!$D$7:$R$145,3,FALSE))</f>
        <v/>
      </c>
      <c r="CB25" s="402"/>
      <c r="CC25" s="396"/>
      <c r="CD25" s="396"/>
      <c r="CE25" s="1087"/>
      <c r="CF25" s="6517" t="str">
        <f>IF(CF24=0,"",VLOOKUP(CF24,'Tablas psiquica'!$D$7:$R$145,2,FALSE))</f>
        <v/>
      </c>
      <c r="CG25" s="6518"/>
      <c r="CH25" s="6518"/>
      <c r="CI25" s="6519"/>
      <c r="CJ25" s="6520" t="str">
        <f>IF(CF24=0,"",IF(INDEX('Tablas psiquica'!$U$115:$AH$115,1,$DB$7)=0,"No Accesible",IF(ISNA(VLOOKUP(CF24,Psíquicos!$AS$17:$AS$43,1,0)),"Accesible CV","Aprendido")))</f>
        <v/>
      </c>
      <c r="CK25" s="6521"/>
      <c r="CL25" s="1658" t="str">
        <f>IF(CF24=0,"",VLOOKUP(CF24,'Tablas psiquica'!$D$7:$R$145,3,FALSE))</f>
        <v/>
      </c>
      <c r="CM25" s="658"/>
      <c r="CN25" s="6517" t="str">
        <f>IF(CN24=0,"",VLOOKUP(CN24,'Tablas psiquica'!$D$7:$R$145,2,FALSE))</f>
        <v/>
      </c>
      <c r="CO25" s="6518"/>
      <c r="CP25" s="6518"/>
      <c r="CQ25" s="6519"/>
      <c r="CR25" s="6520" t="str">
        <f>IF(CN24=0,"",IF(INDEX('Tablas psiquica'!$U$115:$AH$115,1,$DB$7)=0,"No Accesible",IF(ISNA(VLOOKUP(CN24,Psíquicos!$AS$17:$AS$43,1,0)),"Accesible CV","Aprendido")))</f>
        <v/>
      </c>
      <c r="CS25" s="6521"/>
      <c r="CT25" s="1658" t="str">
        <f>IF(CN24=0,"",VLOOKUP(CN24,'Tablas psiquica'!$D$7:$R$145,3,FALSE))</f>
        <v/>
      </c>
      <c r="CU25" s="1087"/>
      <c r="CV25" s="6517" t="str">
        <f>IF(CV24=0,"",VLOOKUP(CV24,'Tablas psiquica'!$D$7:$R$145,2,FALSE))</f>
        <v/>
      </c>
      <c r="CW25" s="6518"/>
      <c r="CX25" s="6518"/>
      <c r="CY25" s="6519"/>
      <c r="CZ25" s="6520" t="str">
        <f>IF(CV24=0,"",IF(INDEX('Tablas psiquica'!$U$115:$AH$115,1,$DB$7)=0,"No Accesible",IF(ISNA(VLOOKUP(CV24,Psíquicos!$AS$17:$AS$43,1,0)),"Accesible CV","Aprendido")))</f>
        <v/>
      </c>
      <c r="DA25" s="6521"/>
      <c r="DB25" s="1658" t="str">
        <f>IF(CV24=0,"",VLOOKUP(CV24,'Tablas psiquica'!$D$7:$R$145,3,FALSE))</f>
        <v/>
      </c>
      <c r="DC25" s="402"/>
      <c r="DD25" s="396"/>
    </row>
    <row r="26" spans="1:108" ht="12" customHeight="1" x14ac:dyDescent="0.2">
      <c r="A26" s="396"/>
      <c r="B26" s="1087"/>
      <c r="C26" s="1627">
        <v>20</v>
      </c>
      <c r="D26" s="6530" t="s">
        <v>1723</v>
      </c>
      <c r="E26" s="6450"/>
      <c r="F26" s="6531" t="str">
        <f>IF(C24=0,"",VLOOKUP(C24,'Tablas psiquica'!$D$7:$R$145,6,FALSE))</f>
        <v/>
      </c>
      <c r="G26" s="5988"/>
      <c r="H26" s="5988"/>
      <c r="I26" s="6225"/>
      <c r="J26" s="658"/>
      <c r="K26" s="1627">
        <v>20</v>
      </c>
      <c r="L26" s="6530" t="s">
        <v>1723</v>
      </c>
      <c r="M26" s="6450"/>
      <c r="N26" s="6531" t="str">
        <f>IF(K24=0,"",VLOOKUP(K24,'Tablas psiquica'!$D$7:$R$145,6,FALSE))</f>
        <v/>
      </c>
      <c r="O26" s="5988"/>
      <c r="P26" s="5988"/>
      <c r="Q26" s="6225"/>
      <c r="R26" s="1087"/>
      <c r="S26" s="1627">
        <v>20</v>
      </c>
      <c r="T26" s="6530" t="s">
        <v>1723</v>
      </c>
      <c r="U26" s="6450"/>
      <c r="V26" s="6531" t="str">
        <f>IF(S24=0,"",VLOOKUP(S24,'Tablas psiquica'!$D$7:$R$145,6,FALSE))</f>
        <v/>
      </c>
      <c r="W26" s="5988"/>
      <c r="X26" s="5988"/>
      <c r="Y26" s="6225"/>
      <c r="Z26" s="402"/>
      <c r="AA26" s="396"/>
      <c r="AB26" s="396"/>
      <c r="AC26" s="1087"/>
      <c r="AD26" s="1627">
        <v>20</v>
      </c>
      <c r="AE26" s="6530" t="s">
        <v>1723</v>
      </c>
      <c r="AF26" s="6450"/>
      <c r="AG26" s="6531" t="str">
        <f>IF(AD24=0,"",VLOOKUP(AD24,'Tablas psiquica'!$D$7:$R$145,6,FALSE))</f>
        <v/>
      </c>
      <c r="AH26" s="5988"/>
      <c r="AI26" s="5988"/>
      <c r="AJ26" s="6225"/>
      <c r="AK26" s="658"/>
      <c r="AL26" s="1627">
        <v>20</v>
      </c>
      <c r="AM26" s="6530" t="s">
        <v>1723</v>
      </c>
      <c r="AN26" s="6450"/>
      <c r="AO26" s="6531" t="str">
        <f>IF(AL24=0,"",VLOOKUP(AL24,'Tablas psiquica'!$D$7:$R$145,6,FALSE))</f>
        <v/>
      </c>
      <c r="AP26" s="5988"/>
      <c r="AQ26" s="5988"/>
      <c r="AR26" s="6225"/>
      <c r="AS26" s="1087"/>
      <c r="AT26" s="1627">
        <v>20</v>
      </c>
      <c r="AU26" s="6530" t="s">
        <v>1723</v>
      </c>
      <c r="AV26" s="6450"/>
      <c r="AW26" s="6531" t="str">
        <f>IF(AT24=0,"",VLOOKUP(AT24,'Tablas psiquica'!$D$7:$R$145,6,FALSE))</f>
        <v/>
      </c>
      <c r="AX26" s="5988"/>
      <c r="AY26" s="5988"/>
      <c r="AZ26" s="6225"/>
      <c r="BA26" s="402"/>
      <c r="BB26" s="396"/>
      <c r="BC26" s="396"/>
      <c r="BD26" s="1087"/>
      <c r="BE26" s="1627">
        <v>20</v>
      </c>
      <c r="BF26" s="6530" t="s">
        <v>1723</v>
      </c>
      <c r="BG26" s="6450"/>
      <c r="BH26" s="6531" t="str">
        <f>IF(BE24=0,"",VLOOKUP(BE24,'Tablas psiquica'!$D$7:$R$145,6,FALSE))</f>
        <v/>
      </c>
      <c r="BI26" s="5988"/>
      <c r="BJ26" s="5988"/>
      <c r="BK26" s="6225"/>
      <c r="BL26" s="658"/>
      <c r="BM26" s="1627">
        <v>20</v>
      </c>
      <c r="BN26" s="6530" t="s">
        <v>1723</v>
      </c>
      <c r="BO26" s="6450"/>
      <c r="BP26" s="6531" t="str">
        <f>IF(BM24=0,"",VLOOKUP(BM24,'Tablas psiquica'!$D$7:$R$145,6,FALSE))</f>
        <v/>
      </c>
      <c r="BQ26" s="5988"/>
      <c r="BR26" s="5988"/>
      <c r="BS26" s="6225"/>
      <c r="BT26" s="1087"/>
      <c r="BU26" s="1627">
        <v>20</v>
      </c>
      <c r="BV26" s="6530" t="s">
        <v>1723</v>
      </c>
      <c r="BW26" s="6450"/>
      <c r="BX26" s="6531" t="str">
        <f>IF(BU24=0,"",VLOOKUP(BU24,'Tablas psiquica'!$D$7:$R$145,6,FALSE))</f>
        <v/>
      </c>
      <c r="BY26" s="5988"/>
      <c r="BZ26" s="5988"/>
      <c r="CA26" s="6225"/>
      <c r="CB26" s="402"/>
      <c r="CC26" s="396"/>
      <c r="CD26" s="396"/>
      <c r="CE26" s="1087"/>
      <c r="CF26" s="1627">
        <v>20</v>
      </c>
      <c r="CG26" s="6530" t="s">
        <v>1723</v>
      </c>
      <c r="CH26" s="6450"/>
      <c r="CI26" s="6531" t="str">
        <f>IF(CF24=0,"",VLOOKUP(CF24,'Tablas psiquica'!$D$7:$R$145,6,FALSE))</f>
        <v/>
      </c>
      <c r="CJ26" s="5988"/>
      <c r="CK26" s="5988"/>
      <c r="CL26" s="6225"/>
      <c r="CM26" s="658"/>
      <c r="CN26" s="1627">
        <v>20</v>
      </c>
      <c r="CO26" s="6530" t="s">
        <v>1723</v>
      </c>
      <c r="CP26" s="6450"/>
      <c r="CQ26" s="6531" t="str">
        <f>IF(CN24=0,"",VLOOKUP(CN24,'Tablas psiquica'!$D$7:$R$145,6,FALSE))</f>
        <v/>
      </c>
      <c r="CR26" s="5988"/>
      <c r="CS26" s="5988"/>
      <c r="CT26" s="6225"/>
      <c r="CU26" s="1087"/>
      <c r="CV26" s="1627">
        <v>20</v>
      </c>
      <c r="CW26" s="6530" t="s">
        <v>1723</v>
      </c>
      <c r="CX26" s="6450"/>
      <c r="CY26" s="6531" t="str">
        <f>IF(CV24=0,"",VLOOKUP(CV24,'Tablas psiquica'!$D$7:$R$145,6,FALSE))</f>
        <v/>
      </c>
      <c r="CZ26" s="5988"/>
      <c r="DA26" s="5988"/>
      <c r="DB26" s="6225"/>
      <c r="DC26" s="402"/>
      <c r="DD26" s="396"/>
    </row>
    <row r="27" spans="1:108" ht="12" customHeight="1" x14ac:dyDescent="0.2">
      <c r="A27" s="396"/>
      <c r="B27" s="1087"/>
      <c r="C27" s="1626">
        <v>40</v>
      </c>
      <c r="D27" s="6526" t="s">
        <v>1725</v>
      </c>
      <c r="E27" s="6445"/>
      <c r="F27" s="6527" t="str">
        <f>IF(C24=0,"",VLOOKUP(C24,'Tablas psiquica'!$D$7:$R$145,7,FALSE))</f>
        <v/>
      </c>
      <c r="G27" s="6528"/>
      <c r="H27" s="6528"/>
      <c r="I27" s="6529"/>
      <c r="J27" s="658"/>
      <c r="K27" s="1626">
        <v>40</v>
      </c>
      <c r="L27" s="6526" t="s">
        <v>1725</v>
      </c>
      <c r="M27" s="6445"/>
      <c r="N27" s="6527" t="str">
        <f>IF(K24=0,"",VLOOKUP(K24,'Tablas psiquica'!$D$7:$R$145,7,FALSE))</f>
        <v/>
      </c>
      <c r="O27" s="6528"/>
      <c r="P27" s="6528"/>
      <c r="Q27" s="6529"/>
      <c r="R27" s="1087"/>
      <c r="S27" s="1626">
        <v>40</v>
      </c>
      <c r="T27" s="6526" t="s">
        <v>1725</v>
      </c>
      <c r="U27" s="6445"/>
      <c r="V27" s="6527" t="str">
        <f>IF(S24=0,"",VLOOKUP(S24,'Tablas psiquica'!$D$7:$R$145,7,FALSE))</f>
        <v/>
      </c>
      <c r="W27" s="6528"/>
      <c r="X27" s="6528"/>
      <c r="Y27" s="6529"/>
      <c r="Z27" s="402"/>
      <c r="AA27" s="396"/>
      <c r="AB27" s="396"/>
      <c r="AC27" s="1087"/>
      <c r="AD27" s="1626">
        <v>40</v>
      </c>
      <c r="AE27" s="6526" t="s">
        <v>1725</v>
      </c>
      <c r="AF27" s="6445"/>
      <c r="AG27" s="6527" t="str">
        <f>IF(AD24=0,"",VLOOKUP(AD24,'Tablas psiquica'!$D$7:$R$145,7,FALSE))</f>
        <v/>
      </c>
      <c r="AH27" s="6528"/>
      <c r="AI27" s="6528"/>
      <c r="AJ27" s="6529"/>
      <c r="AK27" s="658"/>
      <c r="AL27" s="1626">
        <v>40</v>
      </c>
      <c r="AM27" s="6526" t="s">
        <v>1725</v>
      </c>
      <c r="AN27" s="6445"/>
      <c r="AO27" s="6527" t="str">
        <f>IF(AL24=0,"",VLOOKUP(AL24,'Tablas psiquica'!$D$7:$R$145,7,FALSE))</f>
        <v/>
      </c>
      <c r="AP27" s="6528"/>
      <c r="AQ27" s="6528"/>
      <c r="AR27" s="6529"/>
      <c r="AS27" s="1087"/>
      <c r="AT27" s="1626">
        <v>40</v>
      </c>
      <c r="AU27" s="6526" t="s">
        <v>1725</v>
      </c>
      <c r="AV27" s="6445"/>
      <c r="AW27" s="6527" t="str">
        <f>IF(AT24=0,"",VLOOKUP(AT24,'Tablas psiquica'!$D$7:$R$145,7,FALSE))</f>
        <v/>
      </c>
      <c r="AX27" s="6528"/>
      <c r="AY27" s="6528"/>
      <c r="AZ27" s="6529"/>
      <c r="BA27" s="402"/>
      <c r="BB27" s="396"/>
      <c r="BC27" s="396"/>
      <c r="BD27" s="1087"/>
      <c r="BE27" s="1626">
        <v>40</v>
      </c>
      <c r="BF27" s="6526" t="s">
        <v>1725</v>
      </c>
      <c r="BG27" s="6445"/>
      <c r="BH27" s="6527" t="str">
        <f>IF(BE24=0,"",VLOOKUP(BE24,'Tablas psiquica'!$D$7:$R$145,7,FALSE))</f>
        <v/>
      </c>
      <c r="BI27" s="6528"/>
      <c r="BJ27" s="6528"/>
      <c r="BK27" s="6529"/>
      <c r="BL27" s="658"/>
      <c r="BM27" s="1626">
        <v>40</v>
      </c>
      <c r="BN27" s="6526" t="s">
        <v>1725</v>
      </c>
      <c r="BO27" s="6445"/>
      <c r="BP27" s="6527" t="str">
        <f>IF(BM24=0,"",VLOOKUP(BM24,'Tablas psiquica'!$D$7:$R$145,7,FALSE))</f>
        <v/>
      </c>
      <c r="BQ27" s="6528"/>
      <c r="BR27" s="6528"/>
      <c r="BS27" s="6529"/>
      <c r="BT27" s="1087"/>
      <c r="BU27" s="1626">
        <v>40</v>
      </c>
      <c r="BV27" s="6526" t="s">
        <v>1725</v>
      </c>
      <c r="BW27" s="6445"/>
      <c r="BX27" s="6527" t="str">
        <f>IF(BU24=0,"",VLOOKUP(BU24,'Tablas psiquica'!$D$7:$R$145,7,FALSE))</f>
        <v/>
      </c>
      <c r="BY27" s="6528"/>
      <c r="BZ27" s="6528"/>
      <c r="CA27" s="6529"/>
      <c r="CB27" s="402"/>
      <c r="CC27" s="396"/>
      <c r="CD27" s="396"/>
      <c r="CE27" s="1087"/>
      <c r="CF27" s="1626">
        <v>40</v>
      </c>
      <c r="CG27" s="6526" t="s">
        <v>1725</v>
      </c>
      <c r="CH27" s="6445"/>
      <c r="CI27" s="6527" t="str">
        <f>IF(CF24=0,"",VLOOKUP(CF24,'Tablas psiquica'!$D$7:$R$145,7,FALSE))</f>
        <v/>
      </c>
      <c r="CJ27" s="6528"/>
      <c r="CK27" s="6528"/>
      <c r="CL27" s="6529"/>
      <c r="CM27" s="658"/>
      <c r="CN27" s="1626">
        <v>40</v>
      </c>
      <c r="CO27" s="6526" t="s">
        <v>1725</v>
      </c>
      <c r="CP27" s="6445"/>
      <c r="CQ27" s="6527" t="str">
        <f>IF(CN24=0,"",VLOOKUP(CN24,'Tablas psiquica'!$D$7:$R$145,7,FALSE))</f>
        <v/>
      </c>
      <c r="CR27" s="6528"/>
      <c r="CS27" s="6528"/>
      <c r="CT27" s="6529"/>
      <c r="CU27" s="1087"/>
      <c r="CV27" s="1626">
        <v>40</v>
      </c>
      <c r="CW27" s="6526" t="s">
        <v>1725</v>
      </c>
      <c r="CX27" s="6445"/>
      <c r="CY27" s="6527" t="str">
        <f>IF(CV24=0,"",VLOOKUP(CV24,'Tablas psiquica'!$D$7:$R$145,7,FALSE))</f>
        <v/>
      </c>
      <c r="CZ27" s="6528"/>
      <c r="DA27" s="6528"/>
      <c r="DB27" s="6529"/>
      <c r="DC27" s="402"/>
      <c r="DD27" s="396"/>
    </row>
    <row r="28" spans="1:108" ht="12" customHeight="1" x14ac:dyDescent="0.2">
      <c r="A28" s="396"/>
      <c r="B28" s="1087"/>
      <c r="C28" s="1627">
        <v>80</v>
      </c>
      <c r="D28" s="6530" t="s">
        <v>1728</v>
      </c>
      <c r="E28" s="6450"/>
      <c r="F28" s="6531" t="str">
        <f>IF(C24=0,"",VLOOKUP(C24,'Tablas psiquica'!$D$7:$R$145,8,FALSE))</f>
        <v/>
      </c>
      <c r="G28" s="5988"/>
      <c r="H28" s="5988"/>
      <c r="I28" s="6225"/>
      <c r="J28" s="658"/>
      <c r="K28" s="1627">
        <v>80</v>
      </c>
      <c r="L28" s="6530" t="s">
        <v>1728</v>
      </c>
      <c r="M28" s="6450"/>
      <c r="N28" s="6531" t="str">
        <f>IF(K24=0,"",VLOOKUP(K24,'Tablas psiquica'!$D$7:$R$145,8,FALSE))</f>
        <v/>
      </c>
      <c r="O28" s="5988"/>
      <c r="P28" s="5988"/>
      <c r="Q28" s="6225"/>
      <c r="R28" s="1087"/>
      <c r="S28" s="1627">
        <v>80</v>
      </c>
      <c r="T28" s="6530" t="s">
        <v>1728</v>
      </c>
      <c r="U28" s="6450"/>
      <c r="V28" s="6531" t="str">
        <f>IF(S24=0,"",VLOOKUP(S24,'Tablas psiquica'!$D$7:$R$145,8,FALSE))</f>
        <v/>
      </c>
      <c r="W28" s="5988"/>
      <c r="X28" s="5988"/>
      <c r="Y28" s="6225"/>
      <c r="Z28" s="402"/>
      <c r="AA28" s="396"/>
      <c r="AB28" s="396"/>
      <c r="AC28" s="1087"/>
      <c r="AD28" s="1627">
        <v>80</v>
      </c>
      <c r="AE28" s="6530" t="s">
        <v>1728</v>
      </c>
      <c r="AF28" s="6450"/>
      <c r="AG28" s="6531" t="str">
        <f>IF(AD24=0,"",VLOOKUP(AD24,'Tablas psiquica'!$D$7:$R$145,8,FALSE))</f>
        <v/>
      </c>
      <c r="AH28" s="5988"/>
      <c r="AI28" s="5988"/>
      <c r="AJ28" s="6225"/>
      <c r="AK28" s="658"/>
      <c r="AL28" s="1627">
        <v>80</v>
      </c>
      <c r="AM28" s="6530" t="s">
        <v>1728</v>
      </c>
      <c r="AN28" s="6450"/>
      <c r="AO28" s="6531" t="str">
        <f>IF(AL24=0,"",VLOOKUP(AL24,'Tablas psiquica'!$D$7:$R$145,8,FALSE))</f>
        <v/>
      </c>
      <c r="AP28" s="5988"/>
      <c r="AQ28" s="5988"/>
      <c r="AR28" s="6225"/>
      <c r="AS28" s="1087"/>
      <c r="AT28" s="1627">
        <v>80</v>
      </c>
      <c r="AU28" s="6530" t="s">
        <v>1728</v>
      </c>
      <c r="AV28" s="6450"/>
      <c r="AW28" s="6531" t="str">
        <f>IF(AT24=0,"",VLOOKUP(AT24,'Tablas psiquica'!$D$7:$R$145,8,FALSE))</f>
        <v/>
      </c>
      <c r="AX28" s="5988"/>
      <c r="AY28" s="5988"/>
      <c r="AZ28" s="6225"/>
      <c r="BA28" s="402"/>
      <c r="BB28" s="396"/>
      <c r="BC28" s="396"/>
      <c r="BD28" s="1087"/>
      <c r="BE28" s="1627">
        <v>80</v>
      </c>
      <c r="BF28" s="6530" t="s">
        <v>1728</v>
      </c>
      <c r="BG28" s="6450"/>
      <c r="BH28" s="6531" t="str">
        <f>IF(BE24=0,"",VLOOKUP(BE24,'Tablas psiquica'!$D$7:$R$145,8,FALSE))</f>
        <v/>
      </c>
      <c r="BI28" s="5988"/>
      <c r="BJ28" s="5988"/>
      <c r="BK28" s="6225"/>
      <c r="BL28" s="658"/>
      <c r="BM28" s="1627">
        <v>80</v>
      </c>
      <c r="BN28" s="6530" t="s">
        <v>1728</v>
      </c>
      <c r="BO28" s="6450"/>
      <c r="BP28" s="6531" t="str">
        <f>IF(BM24=0,"",VLOOKUP(BM24,'Tablas psiquica'!$D$7:$R$145,8,FALSE))</f>
        <v/>
      </c>
      <c r="BQ28" s="5988"/>
      <c r="BR28" s="5988"/>
      <c r="BS28" s="6225"/>
      <c r="BT28" s="1087"/>
      <c r="BU28" s="1627">
        <v>80</v>
      </c>
      <c r="BV28" s="6530" t="s">
        <v>1728</v>
      </c>
      <c r="BW28" s="6450"/>
      <c r="BX28" s="6531" t="str">
        <f>IF(BU24=0,"",VLOOKUP(BU24,'Tablas psiquica'!$D$7:$R$145,8,FALSE))</f>
        <v/>
      </c>
      <c r="BY28" s="5988"/>
      <c r="BZ28" s="5988"/>
      <c r="CA28" s="6225"/>
      <c r="CB28" s="402"/>
      <c r="CC28" s="396"/>
      <c r="CD28" s="396"/>
      <c r="CE28" s="1087"/>
      <c r="CF28" s="1627">
        <v>80</v>
      </c>
      <c r="CG28" s="6530" t="s">
        <v>1728</v>
      </c>
      <c r="CH28" s="6450"/>
      <c r="CI28" s="6531" t="str">
        <f>IF(CF24=0,"",VLOOKUP(CF24,'Tablas psiquica'!$D$7:$R$145,8,FALSE))</f>
        <v/>
      </c>
      <c r="CJ28" s="5988"/>
      <c r="CK28" s="5988"/>
      <c r="CL28" s="6225"/>
      <c r="CM28" s="658"/>
      <c r="CN28" s="1627">
        <v>80</v>
      </c>
      <c r="CO28" s="6530" t="s">
        <v>1728</v>
      </c>
      <c r="CP28" s="6450"/>
      <c r="CQ28" s="6531" t="str">
        <f>IF(CN24=0,"",VLOOKUP(CN24,'Tablas psiquica'!$D$7:$R$145,8,FALSE))</f>
        <v/>
      </c>
      <c r="CR28" s="5988"/>
      <c r="CS28" s="5988"/>
      <c r="CT28" s="6225"/>
      <c r="CU28" s="1087"/>
      <c r="CV28" s="1627">
        <v>80</v>
      </c>
      <c r="CW28" s="6530" t="s">
        <v>1728</v>
      </c>
      <c r="CX28" s="6450"/>
      <c r="CY28" s="6531" t="str">
        <f>IF(CV24=0,"",VLOOKUP(CV24,'Tablas psiquica'!$D$7:$R$145,8,FALSE))</f>
        <v/>
      </c>
      <c r="CZ28" s="5988"/>
      <c r="DA28" s="5988"/>
      <c r="DB28" s="6225"/>
      <c r="DC28" s="402"/>
      <c r="DD28" s="396"/>
    </row>
    <row r="29" spans="1:108" ht="12" customHeight="1" x14ac:dyDescent="0.2">
      <c r="A29" s="396"/>
      <c r="B29" s="1087"/>
      <c r="C29" s="1626">
        <v>120</v>
      </c>
      <c r="D29" s="6526" t="s">
        <v>1731</v>
      </c>
      <c r="E29" s="6445"/>
      <c r="F29" s="6527" t="str">
        <f>IF(C24=0,"",VLOOKUP(C24,'Tablas psiquica'!$D$7:$R$145,9,FALSE))</f>
        <v/>
      </c>
      <c r="G29" s="6528"/>
      <c r="H29" s="6528"/>
      <c r="I29" s="6529"/>
      <c r="J29" s="658"/>
      <c r="K29" s="1626">
        <v>120</v>
      </c>
      <c r="L29" s="6526" t="s">
        <v>1731</v>
      </c>
      <c r="M29" s="6445"/>
      <c r="N29" s="6527" t="str">
        <f>IF(K24=0,"",VLOOKUP(K24,'Tablas psiquica'!$D$7:$R$145,9,FALSE))</f>
        <v/>
      </c>
      <c r="O29" s="6528"/>
      <c r="P29" s="6528"/>
      <c r="Q29" s="6529"/>
      <c r="R29" s="1087"/>
      <c r="S29" s="1626">
        <v>120</v>
      </c>
      <c r="T29" s="6526" t="s">
        <v>1731</v>
      </c>
      <c r="U29" s="6445"/>
      <c r="V29" s="6527" t="str">
        <f>IF(S24=0,"",VLOOKUP(S24,'Tablas psiquica'!$D$7:$R$145,9,FALSE))</f>
        <v/>
      </c>
      <c r="W29" s="6528"/>
      <c r="X29" s="6528"/>
      <c r="Y29" s="6529"/>
      <c r="Z29" s="402"/>
      <c r="AA29" s="396"/>
      <c r="AB29" s="396"/>
      <c r="AC29" s="1087"/>
      <c r="AD29" s="1626">
        <v>120</v>
      </c>
      <c r="AE29" s="6526" t="s">
        <v>1731</v>
      </c>
      <c r="AF29" s="6445"/>
      <c r="AG29" s="6527" t="str">
        <f>IF(AD24=0,"",VLOOKUP(AD24,'Tablas psiquica'!$D$7:$R$145,9,FALSE))</f>
        <v/>
      </c>
      <c r="AH29" s="6528"/>
      <c r="AI29" s="6528"/>
      <c r="AJ29" s="6529"/>
      <c r="AK29" s="658"/>
      <c r="AL29" s="1626">
        <v>120</v>
      </c>
      <c r="AM29" s="6526" t="s">
        <v>1731</v>
      </c>
      <c r="AN29" s="6445"/>
      <c r="AO29" s="6527" t="str">
        <f>IF(AL24=0,"",VLOOKUP(AL24,'Tablas psiquica'!$D$7:$R$145,9,FALSE))</f>
        <v/>
      </c>
      <c r="AP29" s="6528"/>
      <c r="AQ29" s="6528"/>
      <c r="AR29" s="6529"/>
      <c r="AS29" s="1087"/>
      <c r="AT29" s="1626">
        <v>120</v>
      </c>
      <c r="AU29" s="6526" t="s">
        <v>1731</v>
      </c>
      <c r="AV29" s="6445"/>
      <c r="AW29" s="6527" t="str">
        <f>IF(AT24=0,"",VLOOKUP(AT24,'Tablas psiquica'!$D$7:$R$145,9,FALSE))</f>
        <v/>
      </c>
      <c r="AX29" s="6528"/>
      <c r="AY29" s="6528"/>
      <c r="AZ29" s="6529"/>
      <c r="BA29" s="402"/>
      <c r="BB29" s="396"/>
      <c r="BC29" s="396"/>
      <c r="BD29" s="1087"/>
      <c r="BE29" s="1626">
        <v>120</v>
      </c>
      <c r="BF29" s="6526" t="s">
        <v>1731</v>
      </c>
      <c r="BG29" s="6445"/>
      <c r="BH29" s="6527" t="str">
        <f>IF(BE24=0,"",VLOOKUP(BE24,'Tablas psiquica'!$D$7:$R$145,9,FALSE))</f>
        <v/>
      </c>
      <c r="BI29" s="6528"/>
      <c r="BJ29" s="6528"/>
      <c r="BK29" s="6529"/>
      <c r="BL29" s="658"/>
      <c r="BM29" s="1626">
        <v>120</v>
      </c>
      <c r="BN29" s="6526" t="s">
        <v>1731</v>
      </c>
      <c r="BO29" s="6445"/>
      <c r="BP29" s="6527" t="str">
        <f>IF(BM24=0,"",VLOOKUP(BM24,'Tablas psiquica'!$D$7:$R$145,9,FALSE))</f>
        <v/>
      </c>
      <c r="BQ29" s="6528"/>
      <c r="BR29" s="6528"/>
      <c r="BS29" s="6529"/>
      <c r="BT29" s="1087"/>
      <c r="BU29" s="1626">
        <v>120</v>
      </c>
      <c r="BV29" s="6526" t="s">
        <v>1731</v>
      </c>
      <c r="BW29" s="6445"/>
      <c r="BX29" s="6527" t="str">
        <f>IF(BU24=0,"",VLOOKUP(BU24,'Tablas psiquica'!$D$7:$R$145,9,FALSE))</f>
        <v/>
      </c>
      <c r="BY29" s="6528"/>
      <c r="BZ29" s="6528"/>
      <c r="CA29" s="6529"/>
      <c r="CB29" s="402"/>
      <c r="CC29" s="396"/>
      <c r="CD29" s="396"/>
      <c r="CE29" s="1087"/>
      <c r="CF29" s="1626">
        <v>120</v>
      </c>
      <c r="CG29" s="6526" t="s">
        <v>1731</v>
      </c>
      <c r="CH29" s="6445"/>
      <c r="CI29" s="6527" t="str">
        <f>IF(CF24=0,"",VLOOKUP(CF24,'Tablas psiquica'!$D$7:$R$145,9,FALSE))</f>
        <v/>
      </c>
      <c r="CJ29" s="6528"/>
      <c r="CK29" s="6528"/>
      <c r="CL29" s="6529"/>
      <c r="CM29" s="658"/>
      <c r="CN29" s="1626">
        <v>120</v>
      </c>
      <c r="CO29" s="6526" t="s">
        <v>1731</v>
      </c>
      <c r="CP29" s="6445"/>
      <c r="CQ29" s="6527" t="str">
        <f>IF(CN24=0,"",VLOOKUP(CN24,'Tablas psiquica'!$D$7:$R$145,9,FALSE))</f>
        <v/>
      </c>
      <c r="CR29" s="6528"/>
      <c r="CS29" s="6528"/>
      <c r="CT29" s="6529"/>
      <c r="CU29" s="1087"/>
      <c r="CV29" s="1626">
        <v>120</v>
      </c>
      <c r="CW29" s="6526" t="s">
        <v>1731</v>
      </c>
      <c r="CX29" s="6445"/>
      <c r="CY29" s="6527" t="str">
        <f>IF(CV24=0,"",VLOOKUP(CV24,'Tablas psiquica'!$D$7:$R$145,9,FALSE))</f>
        <v/>
      </c>
      <c r="CZ29" s="6528"/>
      <c r="DA29" s="6528"/>
      <c r="DB29" s="6529"/>
      <c r="DC29" s="402"/>
      <c r="DD29" s="396"/>
    </row>
    <row r="30" spans="1:108" ht="12" customHeight="1" x14ac:dyDescent="0.2">
      <c r="A30" s="396"/>
      <c r="B30" s="1087"/>
      <c r="C30" s="1627">
        <v>140</v>
      </c>
      <c r="D30" s="6530" t="s">
        <v>6242</v>
      </c>
      <c r="E30" s="6450"/>
      <c r="F30" s="6531" t="str">
        <f>IF(C24=0,"",VLOOKUP(C24,'Tablas psiquica'!$D$7:$R$145,10,FALSE))</f>
        <v/>
      </c>
      <c r="G30" s="5988"/>
      <c r="H30" s="5988"/>
      <c r="I30" s="6225"/>
      <c r="J30" s="658"/>
      <c r="K30" s="1627">
        <v>140</v>
      </c>
      <c r="L30" s="6530" t="s">
        <v>6242</v>
      </c>
      <c r="M30" s="6450"/>
      <c r="N30" s="6531" t="str">
        <f>IF(K24=0,"",VLOOKUP(K24,'Tablas psiquica'!$D$7:$R$145,10,FALSE))</f>
        <v/>
      </c>
      <c r="O30" s="5988"/>
      <c r="P30" s="5988"/>
      <c r="Q30" s="6225"/>
      <c r="R30" s="1087"/>
      <c r="S30" s="1627">
        <v>140</v>
      </c>
      <c r="T30" s="6530" t="s">
        <v>6242</v>
      </c>
      <c r="U30" s="6450"/>
      <c r="V30" s="6531" t="str">
        <f>IF(S24=0,"",VLOOKUP(S24,'Tablas psiquica'!$D$7:$R$145,10,FALSE))</f>
        <v/>
      </c>
      <c r="W30" s="5988"/>
      <c r="X30" s="5988"/>
      <c r="Y30" s="6225"/>
      <c r="Z30" s="402"/>
      <c r="AA30" s="396"/>
      <c r="AB30" s="396"/>
      <c r="AC30" s="1087"/>
      <c r="AD30" s="1627">
        <v>140</v>
      </c>
      <c r="AE30" s="6530" t="s">
        <v>6242</v>
      </c>
      <c r="AF30" s="6450"/>
      <c r="AG30" s="6531" t="str">
        <f>IF(AD24=0,"",VLOOKUP(AD24,'Tablas psiquica'!$D$7:$R$145,10,FALSE))</f>
        <v/>
      </c>
      <c r="AH30" s="5988"/>
      <c r="AI30" s="5988"/>
      <c r="AJ30" s="6225"/>
      <c r="AK30" s="658"/>
      <c r="AL30" s="1627">
        <v>140</v>
      </c>
      <c r="AM30" s="6530" t="s">
        <v>6242</v>
      </c>
      <c r="AN30" s="6450"/>
      <c r="AO30" s="6531" t="str">
        <f>IF(AL24=0,"",VLOOKUP(AL24,'Tablas psiquica'!$D$7:$R$145,10,FALSE))</f>
        <v/>
      </c>
      <c r="AP30" s="5988"/>
      <c r="AQ30" s="5988"/>
      <c r="AR30" s="6225"/>
      <c r="AS30" s="1087"/>
      <c r="AT30" s="1627">
        <v>140</v>
      </c>
      <c r="AU30" s="6530" t="s">
        <v>6242</v>
      </c>
      <c r="AV30" s="6450"/>
      <c r="AW30" s="6531" t="str">
        <f>IF(AT24=0,"",VLOOKUP(AT24,'Tablas psiquica'!$D$7:$R$145,10,FALSE))</f>
        <v/>
      </c>
      <c r="AX30" s="5988"/>
      <c r="AY30" s="5988"/>
      <c r="AZ30" s="6225"/>
      <c r="BA30" s="402"/>
      <c r="BB30" s="396"/>
      <c r="BC30" s="396"/>
      <c r="BD30" s="1087"/>
      <c r="BE30" s="1627">
        <v>140</v>
      </c>
      <c r="BF30" s="6530" t="s">
        <v>6242</v>
      </c>
      <c r="BG30" s="6450"/>
      <c r="BH30" s="6531" t="str">
        <f>IF(BE24=0,"",VLOOKUP(BE24,'Tablas psiquica'!$D$7:$R$145,10,FALSE))</f>
        <v/>
      </c>
      <c r="BI30" s="5988"/>
      <c r="BJ30" s="5988"/>
      <c r="BK30" s="6225"/>
      <c r="BL30" s="658"/>
      <c r="BM30" s="1627">
        <v>140</v>
      </c>
      <c r="BN30" s="6530" t="s">
        <v>6242</v>
      </c>
      <c r="BO30" s="6450"/>
      <c r="BP30" s="6531" t="str">
        <f>IF(BM24=0,"",VLOOKUP(BM24,'Tablas psiquica'!$D$7:$R$145,10,FALSE))</f>
        <v/>
      </c>
      <c r="BQ30" s="5988"/>
      <c r="BR30" s="5988"/>
      <c r="BS30" s="6225"/>
      <c r="BT30" s="1087"/>
      <c r="BU30" s="1627">
        <v>140</v>
      </c>
      <c r="BV30" s="6530" t="s">
        <v>6242</v>
      </c>
      <c r="BW30" s="6450"/>
      <c r="BX30" s="6531" t="str">
        <f>IF(BU24=0,"",VLOOKUP(BU24,'Tablas psiquica'!$D$7:$R$145,10,FALSE))</f>
        <v/>
      </c>
      <c r="BY30" s="5988"/>
      <c r="BZ30" s="5988"/>
      <c r="CA30" s="6225"/>
      <c r="CB30" s="402"/>
      <c r="CC30" s="396"/>
      <c r="CD30" s="396"/>
      <c r="CE30" s="1087"/>
      <c r="CF30" s="1627">
        <v>140</v>
      </c>
      <c r="CG30" s="6530" t="s">
        <v>6242</v>
      </c>
      <c r="CH30" s="6450"/>
      <c r="CI30" s="6531" t="str">
        <f>IF(CF24=0,"",VLOOKUP(CF24,'Tablas psiquica'!$D$7:$R$145,10,FALSE))</f>
        <v/>
      </c>
      <c r="CJ30" s="5988"/>
      <c r="CK30" s="5988"/>
      <c r="CL30" s="6225"/>
      <c r="CM30" s="658"/>
      <c r="CN30" s="1627">
        <v>140</v>
      </c>
      <c r="CO30" s="6530" t="s">
        <v>6242</v>
      </c>
      <c r="CP30" s="6450"/>
      <c r="CQ30" s="6531" t="str">
        <f>IF(CN24=0,"",VLOOKUP(CN24,'Tablas psiquica'!$D$7:$R$145,10,FALSE))</f>
        <v/>
      </c>
      <c r="CR30" s="5988"/>
      <c r="CS30" s="5988"/>
      <c r="CT30" s="6225"/>
      <c r="CU30" s="1087"/>
      <c r="CV30" s="1627">
        <v>140</v>
      </c>
      <c r="CW30" s="6530" t="s">
        <v>6242</v>
      </c>
      <c r="CX30" s="6450"/>
      <c r="CY30" s="6531" t="str">
        <f>IF(CV24=0,"",VLOOKUP(CV24,'Tablas psiquica'!$D$7:$R$145,10,FALSE))</f>
        <v/>
      </c>
      <c r="CZ30" s="5988"/>
      <c r="DA30" s="5988"/>
      <c r="DB30" s="6225"/>
      <c r="DC30" s="402"/>
      <c r="DD30" s="396"/>
    </row>
    <row r="31" spans="1:108" ht="12" customHeight="1" x14ac:dyDescent="0.2">
      <c r="A31" s="396"/>
      <c r="B31" s="1087"/>
      <c r="C31" s="1626">
        <v>180</v>
      </c>
      <c r="D31" s="6526" t="s">
        <v>1735</v>
      </c>
      <c r="E31" s="6445"/>
      <c r="F31" s="6527" t="str">
        <f>IF(C24=0,"",VLOOKUP(C24,'Tablas psiquica'!$D$7:$R$145,11,FALSE))</f>
        <v/>
      </c>
      <c r="G31" s="6528"/>
      <c r="H31" s="6528"/>
      <c r="I31" s="6529"/>
      <c r="J31" s="658"/>
      <c r="K31" s="1626">
        <v>180</v>
      </c>
      <c r="L31" s="6526" t="s">
        <v>1735</v>
      </c>
      <c r="M31" s="6445"/>
      <c r="N31" s="6527" t="str">
        <f>IF(K24=0,"",VLOOKUP(K24,'Tablas psiquica'!$D$7:$R$145,11,FALSE))</f>
        <v/>
      </c>
      <c r="O31" s="6528"/>
      <c r="P31" s="6528"/>
      <c r="Q31" s="6529"/>
      <c r="R31" s="1087"/>
      <c r="S31" s="1626">
        <v>180</v>
      </c>
      <c r="T31" s="6526" t="s">
        <v>1735</v>
      </c>
      <c r="U31" s="6445"/>
      <c r="V31" s="6527" t="str">
        <f>IF(S24=0,"",VLOOKUP(S24,'Tablas psiquica'!$D$7:$R$145,11,FALSE))</f>
        <v/>
      </c>
      <c r="W31" s="6528"/>
      <c r="X31" s="6528"/>
      <c r="Y31" s="6529"/>
      <c r="Z31" s="402"/>
      <c r="AA31" s="396"/>
      <c r="AB31" s="396"/>
      <c r="AC31" s="1087"/>
      <c r="AD31" s="1626">
        <v>180</v>
      </c>
      <c r="AE31" s="6526" t="s">
        <v>1735</v>
      </c>
      <c r="AF31" s="6445"/>
      <c r="AG31" s="6527" t="str">
        <f>IF(AD24=0,"",VLOOKUP(AD24,'Tablas psiquica'!$D$7:$R$145,11,FALSE))</f>
        <v/>
      </c>
      <c r="AH31" s="6528"/>
      <c r="AI31" s="6528"/>
      <c r="AJ31" s="6529"/>
      <c r="AK31" s="658"/>
      <c r="AL31" s="1626">
        <v>180</v>
      </c>
      <c r="AM31" s="6526" t="s">
        <v>1735</v>
      </c>
      <c r="AN31" s="6445"/>
      <c r="AO31" s="6527" t="str">
        <f>IF(AL24=0,"",VLOOKUP(AL24,'Tablas psiquica'!$D$7:$R$145,11,FALSE))</f>
        <v/>
      </c>
      <c r="AP31" s="6528"/>
      <c r="AQ31" s="6528"/>
      <c r="AR31" s="6529"/>
      <c r="AS31" s="1087"/>
      <c r="AT31" s="1626">
        <v>180</v>
      </c>
      <c r="AU31" s="6526" t="s">
        <v>1735</v>
      </c>
      <c r="AV31" s="6445"/>
      <c r="AW31" s="6527" t="str">
        <f>IF(AT24=0,"",VLOOKUP(AT24,'Tablas psiquica'!$D$7:$R$145,11,FALSE))</f>
        <v/>
      </c>
      <c r="AX31" s="6528"/>
      <c r="AY31" s="6528"/>
      <c r="AZ31" s="6529"/>
      <c r="BA31" s="402"/>
      <c r="BB31" s="396"/>
      <c r="BC31" s="396"/>
      <c r="BD31" s="1087"/>
      <c r="BE31" s="1626">
        <v>180</v>
      </c>
      <c r="BF31" s="6526" t="s">
        <v>1735</v>
      </c>
      <c r="BG31" s="6445"/>
      <c r="BH31" s="6527" t="str">
        <f>IF(BE24=0,"",VLOOKUP(BE24,'Tablas psiquica'!$D$7:$R$145,11,FALSE))</f>
        <v/>
      </c>
      <c r="BI31" s="6528"/>
      <c r="BJ31" s="6528"/>
      <c r="BK31" s="6529"/>
      <c r="BL31" s="658"/>
      <c r="BM31" s="1626">
        <v>180</v>
      </c>
      <c r="BN31" s="6526" t="s">
        <v>1735</v>
      </c>
      <c r="BO31" s="6445"/>
      <c r="BP31" s="6527" t="str">
        <f>IF(BM24=0,"",VLOOKUP(BM24,'Tablas psiquica'!$D$7:$R$145,11,FALSE))</f>
        <v/>
      </c>
      <c r="BQ31" s="6528"/>
      <c r="BR31" s="6528"/>
      <c r="BS31" s="6529"/>
      <c r="BT31" s="1087"/>
      <c r="BU31" s="1626">
        <v>180</v>
      </c>
      <c r="BV31" s="6526" t="s">
        <v>1735</v>
      </c>
      <c r="BW31" s="6445"/>
      <c r="BX31" s="6527" t="str">
        <f>IF(BU24=0,"",VLOOKUP(BU24,'Tablas psiquica'!$D$7:$R$145,11,FALSE))</f>
        <v/>
      </c>
      <c r="BY31" s="6528"/>
      <c r="BZ31" s="6528"/>
      <c r="CA31" s="6529"/>
      <c r="CB31" s="402"/>
      <c r="CC31" s="396"/>
      <c r="CD31" s="396"/>
      <c r="CE31" s="1087"/>
      <c r="CF31" s="1626">
        <v>180</v>
      </c>
      <c r="CG31" s="6526" t="s">
        <v>1735</v>
      </c>
      <c r="CH31" s="6445"/>
      <c r="CI31" s="6527" t="str">
        <f>IF(CF24=0,"",VLOOKUP(CF24,'Tablas psiquica'!$D$7:$R$145,11,FALSE))</f>
        <v/>
      </c>
      <c r="CJ31" s="6528"/>
      <c r="CK31" s="6528"/>
      <c r="CL31" s="6529"/>
      <c r="CM31" s="658"/>
      <c r="CN31" s="1626">
        <v>180</v>
      </c>
      <c r="CO31" s="6526" t="s">
        <v>1735</v>
      </c>
      <c r="CP31" s="6445"/>
      <c r="CQ31" s="6527" t="str">
        <f>IF(CN24=0,"",VLOOKUP(CN24,'Tablas psiquica'!$D$7:$R$145,11,FALSE))</f>
        <v/>
      </c>
      <c r="CR31" s="6528"/>
      <c r="CS31" s="6528"/>
      <c r="CT31" s="6529"/>
      <c r="CU31" s="1087"/>
      <c r="CV31" s="1626">
        <v>180</v>
      </c>
      <c r="CW31" s="6526" t="s">
        <v>1735</v>
      </c>
      <c r="CX31" s="6445"/>
      <c r="CY31" s="6527" t="str">
        <f>IF(CV24=0,"",VLOOKUP(CV24,'Tablas psiquica'!$D$7:$R$145,11,FALSE))</f>
        <v/>
      </c>
      <c r="CZ31" s="6528"/>
      <c r="DA31" s="6528"/>
      <c r="DB31" s="6529"/>
      <c r="DC31" s="402"/>
      <c r="DD31" s="396"/>
    </row>
    <row r="32" spans="1:108" ht="12" customHeight="1" x14ac:dyDescent="0.2">
      <c r="A32" s="396"/>
      <c r="B32" s="1087"/>
      <c r="C32" s="1627">
        <v>240</v>
      </c>
      <c r="D32" s="6530" t="s">
        <v>6243</v>
      </c>
      <c r="E32" s="6450"/>
      <c r="F32" s="6531" t="str">
        <f>IF(C24=0,"",VLOOKUP(C24,'Tablas psiquica'!$D$7:$R$145,12,FALSE))</f>
        <v/>
      </c>
      <c r="G32" s="5988"/>
      <c r="H32" s="5988"/>
      <c r="I32" s="6225"/>
      <c r="J32" s="658"/>
      <c r="K32" s="1627">
        <v>240</v>
      </c>
      <c r="L32" s="6530" t="s">
        <v>6243</v>
      </c>
      <c r="M32" s="6450"/>
      <c r="N32" s="6531" t="str">
        <f>IF(K24=0,"",VLOOKUP(K24,'Tablas psiquica'!$D$7:$R$145,12,FALSE))</f>
        <v/>
      </c>
      <c r="O32" s="5988"/>
      <c r="P32" s="5988"/>
      <c r="Q32" s="6225"/>
      <c r="R32" s="1087"/>
      <c r="S32" s="1627">
        <v>240</v>
      </c>
      <c r="T32" s="6530" t="s">
        <v>6243</v>
      </c>
      <c r="U32" s="6450"/>
      <c r="V32" s="6531" t="str">
        <f>IF(S24=0,"",VLOOKUP(S24,'Tablas psiquica'!$D$7:$R$145,12,FALSE))</f>
        <v/>
      </c>
      <c r="W32" s="5988"/>
      <c r="X32" s="5988"/>
      <c r="Y32" s="6225"/>
      <c r="Z32" s="402"/>
      <c r="AA32" s="396"/>
      <c r="AB32" s="396"/>
      <c r="AC32" s="1087"/>
      <c r="AD32" s="1627">
        <v>240</v>
      </c>
      <c r="AE32" s="6530" t="s">
        <v>6243</v>
      </c>
      <c r="AF32" s="6450"/>
      <c r="AG32" s="6531" t="str">
        <f>IF(AD24=0,"",VLOOKUP(AD24,'Tablas psiquica'!$D$7:$R$145,12,FALSE))</f>
        <v/>
      </c>
      <c r="AH32" s="5988"/>
      <c r="AI32" s="5988"/>
      <c r="AJ32" s="6225"/>
      <c r="AK32" s="658"/>
      <c r="AL32" s="1627">
        <v>240</v>
      </c>
      <c r="AM32" s="6530" t="s">
        <v>6243</v>
      </c>
      <c r="AN32" s="6450"/>
      <c r="AO32" s="6531" t="str">
        <f>IF(AL24=0,"",VLOOKUP(AL24,'Tablas psiquica'!$D$7:$R$145,12,FALSE))</f>
        <v/>
      </c>
      <c r="AP32" s="5988"/>
      <c r="AQ32" s="5988"/>
      <c r="AR32" s="6225"/>
      <c r="AS32" s="1087"/>
      <c r="AT32" s="1627">
        <v>240</v>
      </c>
      <c r="AU32" s="6530" t="s">
        <v>6243</v>
      </c>
      <c r="AV32" s="6450"/>
      <c r="AW32" s="6531" t="str">
        <f>IF(AT24=0,"",VLOOKUP(AT24,'Tablas psiquica'!$D$7:$R$145,12,FALSE))</f>
        <v/>
      </c>
      <c r="AX32" s="5988"/>
      <c r="AY32" s="5988"/>
      <c r="AZ32" s="6225"/>
      <c r="BA32" s="402"/>
      <c r="BB32" s="396"/>
      <c r="BC32" s="396"/>
      <c r="BD32" s="1087"/>
      <c r="BE32" s="1627">
        <v>240</v>
      </c>
      <c r="BF32" s="6530" t="s">
        <v>6243</v>
      </c>
      <c r="BG32" s="6450"/>
      <c r="BH32" s="6531" t="str">
        <f>IF(BE24=0,"",VLOOKUP(BE24,'Tablas psiquica'!$D$7:$R$145,12,FALSE))</f>
        <v/>
      </c>
      <c r="BI32" s="5988"/>
      <c r="BJ32" s="5988"/>
      <c r="BK32" s="6225"/>
      <c r="BL32" s="658"/>
      <c r="BM32" s="1627">
        <v>240</v>
      </c>
      <c r="BN32" s="6530" t="s">
        <v>6243</v>
      </c>
      <c r="BO32" s="6450"/>
      <c r="BP32" s="6531" t="str">
        <f>IF(BM24=0,"",VLOOKUP(BM24,'Tablas psiquica'!$D$7:$R$145,12,FALSE))</f>
        <v/>
      </c>
      <c r="BQ32" s="5988"/>
      <c r="BR32" s="5988"/>
      <c r="BS32" s="6225"/>
      <c r="BT32" s="1087"/>
      <c r="BU32" s="1627">
        <v>240</v>
      </c>
      <c r="BV32" s="6530" t="s">
        <v>6243</v>
      </c>
      <c r="BW32" s="6450"/>
      <c r="BX32" s="6531" t="str">
        <f>IF(BU24=0,"",VLOOKUP(BU24,'Tablas psiquica'!$D$7:$R$145,12,FALSE))</f>
        <v/>
      </c>
      <c r="BY32" s="5988"/>
      <c r="BZ32" s="5988"/>
      <c r="CA32" s="6225"/>
      <c r="CB32" s="402"/>
      <c r="CC32" s="396"/>
      <c r="CD32" s="396"/>
      <c r="CE32" s="1087"/>
      <c r="CF32" s="1627">
        <v>240</v>
      </c>
      <c r="CG32" s="6530" t="s">
        <v>6243</v>
      </c>
      <c r="CH32" s="6450"/>
      <c r="CI32" s="6531" t="str">
        <f>IF(CF24=0,"",VLOOKUP(CF24,'Tablas psiquica'!$D$7:$R$145,12,FALSE))</f>
        <v/>
      </c>
      <c r="CJ32" s="5988"/>
      <c r="CK32" s="5988"/>
      <c r="CL32" s="6225"/>
      <c r="CM32" s="658"/>
      <c r="CN32" s="1627">
        <v>240</v>
      </c>
      <c r="CO32" s="6530" t="s">
        <v>6243</v>
      </c>
      <c r="CP32" s="6450"/>
      <c r="CQ32" s="6531" t="str">
        <f>IF(CN24=0,"",VLOOKUP(CN24,'Tablas psiquica'!$D$7:$R$145,12,FALSE))</f>
        <v/>
      </c>
      <c r="CR32" s="5988"/>
      <c r="CS32" s="5988"/>
      <c r="CT32" s="6225"/>
      <c r="CU32" s="1087"/>
      <c r="CV32" s="1627">
        <v>240</v>
      </c>
      <c r="CW32" s="6530" t="s">
        <v>6243</v>
      </c>
      <c r="CX32" s="6450"/>
      <c r="CY32" s="6531" t="str">
        <f>IF(CV24=0,"",VLOOKUP(CV24,'Tablas psiquica'!$D$7:$R$145,12,FALSE))</f>
        <v/>
      </c>
      <c r="CZ32" s="5988"/>
      <c r="DA32" s="5988"/>
      <c r="DB32" s="6225"/>
      <c r="DC32" s="402"/>
      <c r="DD32" s="396"/>
    </row>
    <row r="33" spans="1:108" ht="12" customHeight="1" x14ac:dyDescent="0.2">
      <c r="A33" s="396"/>
      <c r="B33" s="1087"/>
      <c r="C33" s="1626">
        <v>280</v>
      </c>
      <c r="D33" s="6526" t="s">
        <v>1738</v>
      </c>
      <c r="E33" s="6445"/>
      <c r="F33" s="6527" t="str">
        <f>IF(C24=0,"",VLOOKUP(C24,'Tablas psiquica'!$D$7:$R$145,13,FALSE))</f>
        <v/>
      </c>
      <c r="G33" s="6528"/>
      <c r="H33" s="6528"/>
      <c r="I33" s="6529"/>
      <c r="J33" s="658"/>
      <c r="K33" s="1626">
        <v>280</v>
      </c>
      <c r="L33" s="6526" t="s">
        <v>1738</v>
      </c>
      <c r="M33" s="6445"/>
      <c r="N33" s="6527" t="str">
        <f>IF(K24=0,"",VLOOKUP(K24,'Tablas psiquica'!$D$7:$R$145,13,FALSE))</f>
        <v/>
      </c>
      <c r="O33" s="6528"/>
      <c r="P33" s="6528"/>
      <c r="Q33" s="6529"/>
      <c r="R33" s="1087"/>
      <c r="S33" s="1626">
        <v>280</v>
      </c>
      <c r="T33" s="6526" t="s">
        <v>1738</v>
      </c>
      <c r="U33" s="6445"/>
      <c r="V33" s="6527" t="str">
        <f>IF(S24=0,"",VLOOKUP(S24,'Tablas psiquica'!$D$7:$R$145,13,FALSE))</f>
        <v/>
      </c>
      <c r="W33" s="6528"/>
      <c r="X33" s="6528"/>
      <c r="Y33" s="6529"/>
      <c r="Z33" s="402"/>
      <c r="AA33" s="396"/>
      <c r="AB33" s="396"/>
      <c r="AC33" s="1087"/>
      <c r="AD33" s="1626">
        <v>280</v>
      </c>
      <c r="AE33" s="6526" t="s">
        <v>1738</v>
      </c>
      <c r="AF33" s="6445"/>
      <c r="AG33" s="6527" t="str">
        <f>IF(AD24=0,"",VLOOKUP(AD24,'Tablas psiquica'!$D$7:$R$145,13,FALSE))</f>
        <v/>
      </c>
      <c r="AH33" s="6528"/>
      <c r="AI33" s="6528"/>
      <c r="AJ33" s="6529"/>
      <c r="AK33" s="658"/>
      <c r="AL33" s="1626">
        <v>280</v>
      </c>
      <c r="AM33" s="6526" t="s">
        <v>1738</v>
      </c>
      <c r="AN33" s="6445"/>
      <c r="AO33" s="6527" t="str">
        <f>IF(AL24=0,"",VLOOKUP(AL24,'Tablas psiquica'!$D$7:$R$145,13,FALSE))</f>
        <v/>
      </c>
      <c r="AP33" s="6528"/>
      <c r="AQ33" s="6528"/>
      <c r="AR33" s="6529"/>
      <c r="AS33" s="1087"/>
      <c r="AT33" s="1626">
        <v>280</v>
      </c>
      <c r="AU33" s="6526" t="s">
        <v>1738</v>
      </c>
      <c r="AV33" s="6445"/>
      <c r="AW33" s="6527" t="str">
        <f>IF(AT24=0,"",VLOOKUP(AT24,'Tablas psiquica'!$D$7:$R$145,13,FALSE))</f>
        <v/>
      </c>
      <c r="AX33" s="6528"/>
      <c r="AY33" s="6528"/>
      <c r="AZ33" s="6529"/>
      <c r="BA33" s="402"/>
      <c r="BB33" s="396"/>
      <c r="BC33" s="396"/>
      <c r="BD33" s="1087"/>
      <c r="BE33" s="1626">
        <v>280</v>
      </c>
      <c r="BF33" s="6526" t="s">
        <v>1738</v>
      </c>
      <c r="BG33" s="6445"/>
      <c r="BH33" s="6527" t="str">
        <f>IF(BE24=0,"",VLOOKUP(BE24,'Tablas psiquica'!$D$7:$R$145,13,FALSE))</f>
        <v/>
      </c>
      <c r="BI33" s="6528"/>
      <c r="BJ33" s="6528"/>
      <c r="BK33" s="6529"/>
      <c r="BL33" s="658"/>
      <c r="BM33" s="1626">
        <v>280</v>
      </c>
      <c r="BN33" s="6526" t="s">
        <v>1738</v>
      </c>
      <c r="BO33" s="6445"/>
      <c r="BP33" s="6527" t="str">
        <f>IF(BM24=0,"",VLOOKUP(BM24,'Tablas psiquica'!$D$7:$R$145,13,FALSE))</f>
        <v/>
      </c>
      <c r="BQ33" s="6528"/>
      <c r="BR33" s="6528"/>
      <c r="BS33" s="6529"/>
      <c r="BT33" s="1087"/>
      <c r="BU33" s="1626">
        <v>280</v>
      </c>
      <c r="BV33" s="6526" t="s">
        <v>1738</v>
      </c>
      <c r="BW33" s="6445"/>
      <c r="BX33" s="6527" t="str">
        <f>IF(BU24=0,"",VLOOKUP(BU24,'Tablas psiquica'!$D$7:$R$145,13,FALSE))</f>
        <v/>
      </c>
      <c r="BY33" s="6528"/>
      <c r="BZ33" s="6528"/>
      <c r="CA33" s="6529"/>
      <c r="CB33" s="402"/>
      <c r="CC33" s="396"/>
      <c r="CD33" s="396"/>
      <c r="CE33" s="1087"/>
      <c r="CF33" s="1626">
        <v>280</v>
      </c>
      <c r="CG33" s="6526" t="s">
        <v>1738</v>
      </c>
      <c r="CH33" s="6445"/>
      <c r="CI33" s="6527" t="str">
        <f>IF(CF24=0,"",VLOOKUP(CF24,'Tablas psiquica'!$D$7:$R$145,13,FALSE))</f>
        <v/>
      </c>
      <c r="CJ33" s="6528"/>
      <c r="CK33" s="6528"/>
      <c r="CL33" s="6529"/>
      <c r="CM33" s="658"/>
      <c r="CN33" s="1626">
        <v>280</v>
      </c>
      <c r="CO33" s="6526" t="s">
        <v>1738</v>
      </c>
      <c r="CP33" s="6445"/>
      <c r="CQ33" s="6527" t="str">
        <f>IF(CN24=0,"",VLOOKUP(CN24,'Tablas psiquica'!$D$7:$R$145,13,FALSE))</f>
        <v/>
      </c>
      <c r="CR33" s="6528"/>
      <c r="CS33" s="6528"/>
      <c r="CT33" s="6529"/>
      <c r="CU33" s="1087"/>
      <c r="CV33" s="1626">
        <v>280</v>
      </c>
      <c r="CW33" s="6526" t="s">
        <v>1738</v>
      </c>
      <c r="CX33" s="6445"/>
      <c r="CY33" s="6527" t="str">
        <f>IF(CV24=0,"",VLOOKUP(CV24,'Tablas psiquica'!$D$7:$R$145,13,FALSE))</f>
        <v/>
      </c>
      <c r="CZ33" s="6528"/>
      <c r="DA33" s="6528"/>
      <c r="DB33" s="6529"/>
      <c r="DC33" s="402"/>
      <c r="DD33" s="396"/>
    </row>
    <row r="34" spans="1:108" ht="12" customHeight="1" x14ac:dyDescent="0.2">
      <c r="A34" s="396"/>
      <c r="B34" s="1087"/>
      <c r="C34" s="1627">
        <v>320</v>
      </c>
      <c r="D34" s="6530" t="s">
        <v>1740</v>
      </c>
      <c r="E34" s="6450"/>
      <c r="F34" s="6531" t="str">
        <f>IF(C24=0,"",VLOOKUP(C24,'Tablas psiquica'!$D$7:$R$145,14,FALSE))</f>
        <v/>
      </c>
      <c r="G34" s="5988"/>
      <c r="H34" s="5988"/>
      <c r="I34" s="6225"/>
      <c r="J34" s="658"/>
      <c r="K34" s="1627">
        <v>320</v>
      </c>
      <c r="L34" s="6530" t="s">
        <v>1740</v>
      </c>
      <c r="M34" s="6450"/>
      <c r="N34" s="6531" t="str">
        <f>IF(K24=0,"",VLOOKUP(K24,'Tablas psiquica'!$D$7:$R$145,14,FALSE))</f>
        <v/>
      </c>
      <c r="O34" s="5988"/>
      <c r="P34" s="5988"/>
      <c r="Q34" s="6225"/>
      <c r="R34" s="1087"/>
      <c r="S34" s="1627">
        <v>320</v>
      </c>
      <c r="T34" s="6530" t="s">
        <v>1740</v>
      </c>
      <c r="U34" s="6450"/>
      <c r="V34" s="6531" t="str">
        <f>IF(S24=0,"",VLOOKUP(S24,'Tablas psiquica'!$D$7:$R$145,14,FALSE))</f>
        <v/>
      </c>
      <c r="W34" s="5988"/>
      <c r="X34" s="5988"/>
      <c r="Y34" s="6225"/>
      <c r="Z34" s="402"/>
      <c r="AA34" s="396"/>
      <c r="AB34" s="396"/>
      <c r="AC34" s="1087"/>
      <c r="AD34" s="1627">
        <v>320</v>
      </c>
      <c r="AE34" s="6530" t="s">
        <v>1740</v>
      </c>
      <c r="AF34" s="6450"/>
      <c r="AG34" s="6531" t="str">
        <f>IF(AD24=0,"",VLOOKUP(AD24,'Tablas psiquica'!$D$7:$R$145,14,FALSE))</f>
        <v/>
      </c>
      <c r="AH34" s="5988"/>
      <c r="AI34" s="5988"/>
      <c r="AJ34" s="6225"/>
      <c r="AK34" s="658"/>
      <c r="AL34" s="1627">
        <v>320</v>
      </c>
      <c r="AM34" s="6530" t="s">
        <v>1740</v>
      </c>
      <c r="AN34" s="6450"/>
      <c r="AO34" s="6531" t="str">
        <f>IF(AL24=0,"",VLOOKUP(AL24,'Tablas psiquica'!$D$7:$R$145,14,FALSE))</f>
        <v/>
      </c>
      <c r="AP34" s="5988"/>
      <c r="AQ34" s="5988"/>
      <c r="AR34" s="6225"/>
      <c r="AS34" s="1087"/>
      <c r="AT34" s="1627">
        <v>320</v>
      </c>
      <c r="AU34" s="6530" t="s">
        <v>1740</v>
      </c>
      <c r="AV34" s="6450"/>
      <c r="AW34" s="6531" t="str">
        <f>IF(AT24=0,"",VLOOKUP(AT24,'Tablas psiquica'!$D$7:$R$145,14,FALSE))</f>
        <v/>
      </c>
      <c r="AX34" s="5988"/>
      <c r="AY34" s="5988"/>
      <c r="AZ34" s="6225"/>
      <c r="BA34" s="402"/>
      <c r="BB34" s="396"/>
      <c r="BC34" s="396"/>
      <c r="BD34" s="1087"/>
      <c r="BE34" s="1627">
        <v>320</v>
      </c>
      <c r="BF34" s="6530" t="s">
        <v>1740</v>
      </c>
      <c r="BG34" s="6450"/>
      <c r="BH34" s="6531" t="str">
        <f>IF(BE24=0,"",VLOOKUP(BE24,'Tablas psiquica'!$D$7:$R$145,14,FALSE))</f>
        <v/>
      </c>
      <c r="BI34" s="5988"/>
      <c r="BJ34" s="5988"/>
      <c r="BK34" s="6225"/>
      <c r="BL34" s="658"/>
      <c r="BM34" s="1627">
        <v>320</v>
      </c>
      <c r="BN34" s="6530" t="s">
        <v>1740</v>
      </c>
      <c r="BO34" s="6450"/>
      <c r="BP34" s="6531" t="str">
        <f>IF(BM24=0,"",VLOOKUP(BM24,'Tablas psiquica'!$D$7:$R$145,14,FALSE))</f>
        <v/>
      </c>
      <c r="BQ34" s="5988"/>
      <c r="BR34" s="5988"/>
      <c r="BS34" s="6225"/>
      <c r="BT34" s="1087"/>
      <c r="BU34" s="1627">
        <v>320</v>
      </c>
      <c r="BV34" s="6530" t="s">
        <v>1740</v>
      </c>
      <c r="BW34" s="6450"/>
      <c r="BX34" s="6531" t="str">
        <f>IF(BU24=0,"",VLOOKUP(BU24,'Tablas psiquica'!$D$7:$R$145,14,FALSE))</f>
        <v/>
      </c>
      <c r="BY34" s="5988"/>
      <c r="BZ34" s="5988"/>
      <c r="CA34" s="6225"/>
      <c r="CB34" s="402"/>
      <c r="CC34" s="396"/>
      <c r="CD34" s="396"/>
      <c r="CE34" s="1087"/>
      <c r="CF34" s="1627">
        <v>320</v>
      </c>
      <c r="CG34" s="6530" t="s">
        <v>1740</v>
      </c>
      <c r="CH34" s="6450"/>
      <c r="CI34" s="6531" t="str">
        <f>IF(CF24=0,"",VLOOKUP(CF24,'Tablas psiquica'!$D$7:$R$145,14,FALSE))</f>
        <v/>
      </c>
      <c r="CJ34" s="5988"/>
      <c r="CK34" s="5988"/>
      <c r="CL34" s="6225"/>
      <c r="CM34" s="658"/>
      <c r="CN34" s="1627">
        <v>320</v>
      </c>
      <c r="CO34" s="6530" t="s">
        <v>1740</v>
      </c>
      <c r="CP34" s="6450"/>
      <c r="CQ34" s="6531" t="str">
        <f>IF(CN24=0,"",VLOOKUP(CN24,'Tablas psiquica'!$D$7:$R$145,14,FALSE))</f>
        <v/>
      </c>
      <c r="CR34" s="5988"/>
      <c r="CS34" s="5988"/>
      <c r="CT34" s="6225"/>
      <c r="CU34" s="1087"/>
      <c r="CV34" s="1627">
        <v>320</v>
      </c>
      <c r="CW34" s="6530" t="s">
        <v>1740</v>
      </c>
      <c r="CX34" s="6450"/>
      <c r="CY34" s="6531" t="str">
        <f>IF(CV24=0,"",VLOOKUP(CV24,'Tablas psiquica'!$D$7:$R$145,14,FALSE))</f>
        <v/>
      </c>
      <c r="CZ34" s="5988"/>
      <c r="DA34" s="5988"/>
      <c r="DB34" s="6225"/>
      <c r="DC34" s="402"/>
      <c r="DD34" s="396"/>
    </row>
    <row r="35" spans="1:108" ht="12" customHeight="1" x14ac:dyDescent="0.2">
      <c r="A35" s="396"/>
      <c r="B35" s="1087"/>
      <c r="C35" s="428">
        <v>440</v>
      </c>
      <c r="D35" s="6532" t="s">
        <v>1683</v>
      </c>
      <c r="E35" s="6533"/>
      <c r="F35" s="6534" t="str">
        <f>IF(C24=0,"",VLOOKUP(C24,'Tablas psiquica'!$D$7:$R$145,15,FALSE))</f>
        <v/>
      </c>
      <c r="G35" s="6535"/>
      <c r="H35" s="6535"/>
      <c r="I35" s="6536"/>
      <c r="J35" s="658"/>
      <c r="K35" s="428">
        <v>440</v>
      </c>
      <c r="L35" s="6532" t="s">
        <v>1683</v>
      </c>
      <c r="M35" s="6533"/>
      <c r="N35" s="6534" t="str">
        <f>IF(K24=0,"",VLOOKUP(K24,'Tablas psiquica'!$D$7:$R$145,15,FALSE))</f>
        <v/>
      </c>
      <c r="O35" s="6535"/>
      <c r="P35" s="6535"/>
      <c r="Q35" s="6536"/>
      <c r="R35" s="1087"/>
      <c r="S35" s="428">
        <v>440</v>
      </c>
      <c r="T35" s="6532" t="s">
        <v>1683</v>
      </c>
      <c r="U35" s="6533"/>
      <c r="V35" s="6534" t="str">
        <f>IF(S24=0,"",VLOOKUP(S24,'Tablas psiquica'!$D$7:$R$145,15,FALSE))</f>
        <v/>
      </c>
      <c r="W35" s="6535"/>
      <c r="X35" s="6535"/>
      <c r="Y35" s="6536"/>
      <c r="Z35" s="402"/>
      <c r="AA35" s="396"/>
      <c r="AB35" s="396"/>
      <c r="AC35" s="1087"/>
      <c r="AD35" s="428">
        <v>440</v>
      </c>
      <c r="AE35" s="6532" t="s">
        <v>1683</v>
      </c>
      <c r="AF35" s="6533"/>
      <c r="AG35" s="6534" t="str">
        <f>IF(AD24=0,"",VLOOKUP(AD24,'Tablas psiquica'!$D$7:$R$145,15,FALSE))</f>
        <v/>
      </c>
      <c r="AH35" s="6535"/>
      <c r="AI35" s="6535"/>
      <c r="AJ35" s="6536"/>
      <c r="AK35" s="658"/>
      <c r="AL35" s="428">
        <v>440</v>
      </c>
      <c r="AM35" s="6532" t="s">
        <v>1683</v>
      </c>
      <c r="AN35" s="6533"/>
      <c r="AO35" s="6534" t="str">
        <f>IF(AL24=0,"",VLOOKUP(AL24,'Tablas psiquica'!$D$7:$R$145,15,FALSE))</f>
        <v/>
      </c>
      <c r="AP35" s="6535"/>
      <c r="AQ35" s="6535"/>
      <c r="AR35" s="6536"/>
      <c r="AS35" s="1087"/>
      <c r="AT35" s="428">
        <v>440</v>
      </c>
      <c r="AU35" s="6532" t="s">
        <v>1683</v>
      </c>
      <c r="AV35" s="6533"/>
      <c r="AW35" s="6534" t="str">
        <f>IF(AT24=0,"",VLOOKUP(AT24,'Tablas psiquica'!$D$7:$R$145,15,FALSE))</f>
        <v/>
      </c>
      <c r="AX35" s="6535"/>
      <c r="AY35" s="6535"/>
      <c r="AZ35" s="6536"/>
      <c r="BA35" s="402"/>
      <c r="BB35" s="396"/>
      <c r="BC35" s="396"/>
      <c r="BD35" s="1087"/>
      <c r="BE35" s="428">
        <v>440</v>
      </c>
      <c r="BF35" s="6532" t="s">
        <v>1683</v>
      </c>
      <c r="BG35" s="6533"/>
      <c r="BH35" s="6534" t="str">
        <f>IF(BE24=0,"",VLOOKUP(BE24,'Tablas psiquica'!$D$7:$R$145,15,FALSE))</f>
        <v/>
      </c>
      <c r="BI35" s="6535"/>
      <c r="BJ35" s="6535"/>
      <c r="BK35" s="6536"/>
      <c r="BL35" s="658"/>
      <c r="BM35" s="428">
        <v>440</v>
      </c>
      <c r="BN35" s="6532" t="s">
        <v>1683</v>
      </c>
      <c r="BO35" s="6533"/>
      <c r="BP35" s="6534" t="str">
        <f>IF(BM24=0,"",VLOOKUP(BM24,'Tablas psiquica'!$D$7:$R$145,15,FALSE))</f>
        <v/>
      </c>
      <c r="BQ35" s="6535"/>
      <c r="BR35" s="6535"/>
      <c r="BS35" s="6536"/>
      <c r="BT35" s="1087"/>
      <c r="BU35" s="428">
        <v>440</v>
      </c>
      <c r="BV35" s="6532" t="s">
        <v>1683</v>
      </c>
      <c r="BW35" s="6533"/>
      <c r="BX35" s="6534" t="str">
        <f>IF(BU24=0,"",VLOOKUP(BU24,'Tablas psiquica'!$D$7:$R$145,15,FALSE))</f>
        <v/>
      </c>
      <c r="BY35" s="6535"/>
      <c r="BZ35" s="6535"/>
      <c r="CA35" s="6536"/>
      <c r="CB35" s="402"/>
      <c r="CC35" s="396"/>
      <c r="CD35" s="396"/>
      <c r="CE35" s="1087"/>
      <c r="CF35" s="428">
        <v>440</v>
      </c>
      <c r="CG35" s="6532" t="s">
        <v>1683</v>
      </c>
      <c r="CH35" s="6533"/>
      <c r="CI35" s="6534" t="str">
        <f>IF(CF24=0,"",VLOOKUP(CF24,'Tablas psiquica'!$D$7:$R$145,15,FALSE))</f>
        <v/>
      </c>
      <c r="CJ35" s="6535"/>
      <c r="CK35" s="6535"/>
      <c r="CL35" s="6536"/>
      <c r="CM35" s="658"/>
      <c r="CN35" s="428">
        <v>440</v>
      </c>
      <c r="CO35" s="6532" t="s">
        <v>1683</v>
      </c>
      <c r="CP35" s="6533"/>
      <c r="CQ35" s="6534" t="str">
        <f>IF(CN24=0,"",VLOOKUP(CN24,'Tablas psiquica'!$D$7:$R$145,15,FALSE))</f>
        <v/>
      </c>
      <c r="CR35" s="6535"/>
      <c r="CS35" s="6535"/>
      <c r="CT35" s="6536"/>
      <c r="CU35" s="1087"/>
      <c r="CV35" s="428">
        <v>440</v>
      </c>
      <c r="CW35" s="6532" t="s">
        <v>1683</v>
      </c>
      <c r="CX35" s="6533"/>
      <c r="CY35" s="6534" t="str">
        <f>IF(CV24=0,"",VLOOKUP(CV24,'Tablas psiquica'!$D$7:$R$145,15,FALSE))</f>
        <v/>
      </c>
      <c r="CZ35" s="6535"/>
      <c r="DA35" s="6535"/>
      <c r="DB35" s="6536"/>
      <c r="DC35" s="402"/>
      <c r="DD35" s="396"/>
    </row>
    <row r="36" spans="1:108" ht="12" customHeight="1" thickBot="1" x14ac:dyDescent="0.25">
      <c r="A36" s="396"/>
      <c r="B36" s="1087"/>
      <c r="C36" s="6537" t="s">
        <v>6244</v>
      </c>
      <c r="D36" s="6538"/>
      <c r="E36" s="429" t="str">
        <f>IF(C24=0,"",VLOOKUP(C24,'Tablas psiquica'!$D$7:$R$145,4,FALSE))</f>
        <v/>
      </c>
      <c r="F36" s="6539" t="s">
        <v>6239</v>
      </c>
      <c r="G36" s="6539"/>
      <c r="H36" s="6540" t="str">
        <f>IF(C24=0,"",VLOOKUP(C24,'Tablas psiquica'!$D$7:$R$145,5,FALSE))</f>
        <v/>
      </c>
      <c r="I36" s="6541"/>
      <c r="J36" s="658"/>
      <c r="K36" s="6537" t="s">
        <v>6244</v>
      </c>
      <c r="L36" s="6538"/>
      <c r="M36" s="429" t="str">
        <f>IF(K24=0,"",VLOOKUP(K24,'Tablas psiquica'!$D$7:$R$145,4,FALSE))</f>
        <v/>
      </c>
      <c r="N36" s="6539" t="s">
        <v>6239</v>
      </c>
      <c r="O36" s="6539"/>
      <c r="P36" s="6540" t="str">
        <f>IF(K24=0,"",VLOOKUP(K24,'Tablas psiquica'!$D$7:$R$145,5,FALSE))</f>
        <v/>
      </c>
      <c r="Q36" s="6541"/>
      <c r="R36" s="1087"/>
      <c r="S36" s="6537" t="s">
        <v>6244</v>
      </c>
      <c r="T36" s="6538"/>
      <c r="U36" s="429" t="str">
        <f>IF(S24=0,"",VLOOKUP(S24,'Tablas psiquica'!$D$7:$R$145,4,FALSE))</f>
        <v/>
      </c>
      <c r="V36" s="6539" t="s">
        <v>6239</v>
      </c>
      <c r="W36" s="6539"/>
      <c r="X36" s="6540" t="str">
        <f>IF(S24=0,"",VLOOKUP(S24,'Tablas psiquica'!$D$7:$R$145,5,FALSE))</f>
        <v/>
      </c>
      <c r="Y36" s="6541"/>
      <c r="Z36" s="402"/>
      <c r="AA36" s="396"/>
      <c r="AB36" s="396"/>
      <c r="AC36" s="1087"/>
      <c r="AD36" s="6537" t="s">
        <v>6244</v>
      </c>
      <c r="AE36" s="6538"/>
      <c r="AF36" s="429" t="str">
        <f>IF(AD24=0,"",VLOOKUP(AD24,'Tablas psiquica'!$D$7:$R$145,4,FALSE))</f>
        <v/>
      </c>
      <c r="AG36" s="6539" t="s">
        <v>6239</v>
      </c>
      <c r="AH36" s="6539"/>
      <c r="AI36" s="6540" t="str">
        <f>IF(AD24=0,"",VLOOKUP(AD24,'Tablas psiquica'!$D$7:$R$145,5,FALSE))</f>
        <v/>
      </c>
      <c r="AJ36" s="6541"/>
      <c r="AK36" s="658"/>
      <c r="AL36" s="6537" t="s">
        <v>6244</v>
      </c>
      <c r="AM36" s="6538"/>
      <c r="AN36" s="429" t="str">
        <f>IF(AL24=0,"",VLOOKUP(AL24,'Tablas psiquica'!$D$7:$R$145,4,FALSE))</f>
        <v/>
      </c>
      <c r="AO36" s="6539" t="s">
        <v>6239</v>
      </c>
      <c r="AP36" s="6539"/>
      <c r="AQ36" s="6540" t="str">
        <f>IF(AL24=0,"",VLOOKUP(AL24,'Tablas psiquica'!$D$7:$R$145,5,FALSE))</f>
        <v/>
      </c>
      <c r="AR36" s="6541"/>
      <c r="AS36" s="1087"/>
      <c r="AT36" s="6537" t="s">
        <v>6244</v>
      </c>
      <c r="AU36" s="6538"/>
      <c r="AV36" s="429" t="str">
        <f>IF(AT24=0,"",VLOOKUP(AT24,'Tablas psiquica'!$D$7:$R$145,4,FALSE))</f>
        <v/>
      </c>
      <c r="AW36" s="6539" t="s">
        <v>6239</v>
      </c>
      <c r="AX36" s="6539"/>
      <c r="AY36" s="6540" t="str">
        <f>IF(AT24=0,"",VLOOKUP(AT24,'Tablas psiquica'!$D$7:$R$145,5,FALSE))</f>
        <v/>
      </c>
      <c r="AZ36" s="6541"/>
      <c r="BA36" s="402"/>
      <c r="BB36" s="396"/>
      <c r="BC36" s="396"/>
      <c r="BD36" s="1087"/>
      <c r="BE36" s="6537" t="s">
        <v>6244</v>
      </c>
      <c r="BF36" s="6538"/>
      <c r="BG36" s="429" t="str">
        <f>IF(BE24=0,"",VLOOKUP(BE24,'Tablas psiquica'!$D$7:$R$145,4,FALSE))</f>
        <v/>
      </c>
      <c r="BH36" s="6539" t="s">
        <v>6239</v>
      </c>
      <c r="BI36" s="6539"/>
      <c r="BJ36" s="6540" t="str">
        <f>IF(BE24=0,"",VLOOKUP(BE24,'Tablas psiquica'!$D$7:$R$145,5,FALSE))</f>
        <v/>
      </c>
      <c r="BK36" s="6541"/>
      <c r="BL36" s="658"/>
      <c r="BM36" s="6537" t="s">
        <v>6244</v>
      </c>
      <c r="BN36" s="6538"/>
      <c r="BO36" s="429" t="str">
        <f>IF(BM24=0,"",VLOOKUP(BM24,'Tablas psiquica'!$D$7:$R$145,4,FALSE))</f>
        <v/>
      </c>
      <c r="BP36" s="6539" t="s">
        <v>6239</v>
      </c>
      <c r="BQ36" s="6539"/>
      <c r="BR36" s="6540" t="str">
        <f>IF(BM24=0,"",VLOOKUP(BM24,'Tablas psiquica'!$D$7:$R$145,5,FALSE))</f>
        <v/>
      </c>
      <c r="BS36" s="6541"/>
      <c r="BT36" s="1087"/>
      <c r="BU36" s="6537" t="s">
        <v>6244</v>
      </c>
      <c r="BV36" s="6538"/>
      <c r="BW36" s="429" t="str">
        <f>IF(BU24=0,"",VLOOKUP(BU24,'Tablas psiquica'!$D$7:$R$145,4,FALSE))</f>
        <v/>
      </c>
      <c r="BX36" s="6539" t="s">
        <v>6239</v>
      </c>
      <c r="BY36" s="6539"/>
      <c r="BZ36" s="6540" t="str">
        <f>IF(BU24=0,"",VLOOKUP(BU24,'Tablas psiquica'!$D$7:$R$145,5,FALSE))</f>
        <v/>
      </c>
      <c r="CA36" s="6541"/>
      <c r="CB36" s="402"/>
      <c r="CC36" s="396"/>
      <c r="CD36" s="396"/>
      <c r="CE36" s="1087"/>
      <c r="CF36" s="6537" t="s">
        <v>6244</v>
      </c>
      <c r="CG36" s="6538"/>
      <c r="CH36" s="429" t="str">
        <f>IF(CF24=0,"",VLOOKUP(CF24,'Tablas psiquica'!$D$7:$R$145,4,FALSE))</f>
        <v/>
      </c>
      <c r="CI36" s="6539" t="s">
        <v>6239</v>
      </c>
      <c r="CJ36" s="6539"/>
      <c r="CK36" s="6540" t="str">
        <f>IF(CF24=0,"",VLOOKUP(CF24,'Tablas psiquica'!$D$7:$R$145,5,FALSE))</f>
        <v/>
      </c>
      <c r="CL36" s="6541"/>
      <c r="CM36" s="658"/>
      <c r="CN36" s="6537" t="s">
        <v>6244</v>
      </c>
      <c r="CO36" s="6538"/>
      <c r="CP36" s="429" t="str">
        <f>IF(CN24=0,"",VLOOKUP(CN24,'Tablas psiquica'!$D$7:$R$145,4,FALSE))</f>
        <v/>
      </c>
      <c r="CQ36" s="6539" t="s">
        <v>6239</v>
      </c>
      <c r="CR36" s="6539"/>
      <c r="CS36" s="6540" t="str">
        <f>IF(CN24=0,"",VLOOKUP(CN24,'Tablas psiquica'!$D$7:$R$145,5,FALSE))</f>
        <v/>
      </c>
      <c r="CT36" s="6541"/>
      <c r="CU36" s="1087"/>
      <c r="CV36" s="6537" t="s">
        <v>6244</v>
      </c>
      <c r="CW36" s="6538"/>
      <c r="CX36" s="429" t="str">
        <f>IF(CV24=0,"",VLOOKUP(CV24,'Tablas psiquica'!$D$7:$R$145,4,FALSE))</f>
        <v/>
      </c>
      <c r="CY36" s="6539" t="s">
        <v>6239</v>
      </c>
      <c r="CZ36" s="6539"/>
      <c r="DA36" s="6540" t="str">
        <f>IF(CV24=0,"",VLOOKUP(CV24,'Tablas psiquica'!$D$7:$R$145,5,FALSE))</f>
        <v/>
      </c>
      <c r="DB36" s="6541"/>
      <c r="DC36" s="402"/>
      <c r="DD36" s="396"/>
    </row>
    <row r="37" spans="1:108" ht="12" customHeight="1" thickBot="1" x14ac:dyDescent="0.25">
      <c r="A37" s="396"/>
      <c r="B37" s="1087"/>
      <c r="C37" s="1080"/>
      <c r="J37" s="658"/>
      <c r="K37" s="1080"/>
      <c r="R37" s="658"/>
      <c r="S37" s="1080"/>
      <c r="Z37" s="402"/>
      <c r="AA37" s="396"/>
      <c r="AB37" s="396"/>
      <c r="AC37" s="1087"/>
      <c r="AD37" s="1080"/>
      <c r="AK37" s="658"/>
      <c r="AL37" s="1080"/>
      <c r="AS37" s="658"/>
      <c r="AT37" s="1080"/>
      <c r="BA37" s="402"/>
      <c r="BB37" s="396"/>
      <c r="BC37" s="396"/>
      <c r="BD37" s="1087"/>
      <c r="BE37" s="1080"/>
      <c r="BL37" s="658"/>
      <c r="BM37" s="1080"/>
      <c r="BT37" s="658"/>
      <c r="BU37" s="1080"/>
      <c r="CB37" s="402"/>
      <c r="CC37" s="396"/>
      <c r="CD37" s="396"/>
      <c r="CE37" s="1087"/>
      <c r="CF37" s="1080"/>
      <c r="CM37" s="658"/>
      <c r="CN37" s="1080"/>
      <c r="CU37" s="658"/>
      <c r="CV37" s="1080"/>
      <c r="DC37" s="402"/>
      <c r="DD37" s="396"/>
    </row>
    <row r="38" spans="1:108" ht="12" customHeight="1" x14ac:dyDescent="0.2">
      <c r="A38" s="396"/>
      <c r="B38" s="1087">
        <v>7</v>
      </c>
      <c r="C38" s="6515">
        <f>IFERROR(INDEX('Tablas psiquica'!$U$116:$AH$130,B38,Y$7),0)</f>
        <v>0</v>
      </c>
      <c r="D38" s="6516"/>
      <c r="E38" s="6516"/>
      <c r="F38" s="6516"/>
      <c r="G38" s="6516"/>
      <c r="H38" s="6516"/>
      <c r="I38" s="427" t="s">
        <v>1403</v>
      </c>
      <c r="J38" s="658">
        <v>8</v>
      </c>
      <c r="K38" s="6515">
        <f>IFERROR(INDEX('Tablas psiquica'!$U$116:$AH$130,J38,Y$7),0)</f>
        <v>0</v>
      </c>
      <c r="L38" s="6516"/>
      <c r="M38" s="6516"/>
      <c r="N38" s="6516"/>
      <c r="O38" s="6516"/>
      <c r="P38" s="6516"/>
      <c r="Q38" s="427" t="s">
        <v>1403</v>
      </c>
      <c r="R38" s="1087">
        <v>9</v>
      </c>
      <c r="S38" s="6515">
        <f>IFERROR(INDEX('Tablas psiquica'!$U$116:$AH$130,R38,Y$7),0)</f>
        <v>0</v>
      </c>
      <c r="T38" s="6516"/>
      <c r="U38" s="6516"/>
      <c r="V38" s="6516"/>
      <c r="W38" s="6516"/>
      <c r="X38" s="6516"/>
      <c r="Y38" s="427" t="s">
        <v>1403</v>
      </c>
      <c r="Z38" s="402"/>
      <c r="AA38" s="396"/>
      <c r="AB38" s="396"/>
      <c r="AC38" s="1087">
        <v>7</v>
      </c>
      <c r="AD38" s="6515">
        <f>IFERROR(INDEX('Tablas psiquica'!$U$116:$AH$130,AC38,AZ$7),0)</f>
        <v>0</v>
      </c>
      <c r="AE38" s="6516"/>
      <c r="AF38" s="6516"/>
      <c r="AG38" s="6516"/>
      <c r="AH38" s="6516"/>
      <c r="AI38" s="6516"/>
      <c r="AJ38" s="427" t="s">
        <v>1403</v>
      </c>
      <c r="AK38" s="658">
        <v>8</v>
      </c>
      <c r="AL38" s="6515">
        <f>IFERROR(INDEX('Tablas psiquica'!$U$116:$AH$130,AK38,AZ$7),0)</f>
        <v>0</v>
      </c>
      <c r="AM38" s="6516"/>
      <c r="AN38" s="6516"/>
      <c r="AO38" s="6516"/>
      <c r="AP38" s="6516"/>
      <c r="AQ38" s="6516"/>
      <c r="AR38" s="427" t="s">
        <v>1403</v>
      </c>
      <c r="AS38" s="1087">
        <v>9</v>
      </c>
      <c r="AT38" s="6515">
        <f>IFERROR(INDEX('Tablas psiquica'!$U$116:$AH$130,AS38,AZ$7),0)</f>
        <v>0</v>
      </c>
      <c r="AU38" s="6516"/>
      <c r="AV38" s="6516"/>
      <c r="AW38" s="6516"/>
      <c r="AX38" s="6516"/>
      <c r="AY38" s="6516"/>
      <c r="AZ38" s="427" t="s">
        <v>1403</v>
      </c>
      <c r="BA38" s="402"/>
      <c r="BB38" s="396"/>
      <c r="BC38" s="396"/>
      <c r="BD38" s="1087">
        <v>7</v>
      </c>
      <c r="BE38" s="6515">
        <f>IFERROR(INDEX('Tablas psiquica'!$U$116:$AH$130,BD38,CA$7),0)</f>
        <v>0</v>
      </c>
      <c r="BF38" s="6516"/>
      <c r="BG38" s="6516"/>
      <c r="BH38" s="6516"/>
      <c r="BI38" s="6516"/>
      <c r="BJ38" s="6516"/>
      <c r="BK38" s="427" t="s">
        <v>1403</v>
      </c>
      <c r="BL38" s="658">
        <v>8</v>
      </c>
      <c r="BM38" s="6515">
        <f>IFERROR(INDEX('Tablas psiquica'!$U$116:$AH$130,BL38,CA$7),0)</f>
        <v>0</v>
      </c>
      <c r="BN38" s="6516"/>
      <c r="BO38" s="6516"/>
      <c r="BP38" s="6516"/>
      <c r="BQ38" s="6516"/>
      <c r="BR38" s="6516"/>
      <c r="BS38" s="427" t="s">
        <v>1403</v>
      </c>
      <c r="BT38" s="1087">
        <v>9</v>
      </c>
      <c r="BU38" s="6515">
        <f>IFERROR(INDEX('Tablas psiquica'!$U$116:$AH$130,BT38,CA$7),0)</f>
        <v>0</v>
      </c>
      <c r="BV38" s="6516"/>
      <c r="BW38" s="6516"/>
      <c r="BX38" s="6516"/>
      <c r="BY38" s="6516"/>
      <c r="BZ38" s="6516"/>
      <c r="CA38" s="427" t="s">
        <v>1403</v>
      </c>
      <c r="CB38" s="402"/>
      <c r="CC38" s="396"/>
      <c r="CD38" s="396"/>
      <c r="CE38" s="1087">
        <v>7</v>
      </c>
      <c r="CF38" s="6515">
        <f>IFERROR(INDEX('Tablas psiquica'!$U$116:$AH$130,CE38,DB$7),0)</f>
        <v>0</v>
      </c>
      <c r="CG38" s="6516"/>
      <c r="CH38" s="6516"/>
      <c r="CI38" s="6516"/>
      <c r="CJ38" s="6516"/>
      <c r="CK38" s="6516"/>
      <c r="CL38" s="427" t="s">
        <v>1403</v>
      </c>
      <c r="CM38" s="658">
        <v>8</v>
      </c>
      <c r="CN38" s="6515">
        <f>IFERROR(INDEX('Tablas psiquica'!$U$116:$AH$130,CM38,DB$7),0)</f>
        <v>0</v>
      </c>
      <c r="CO38" s="6516"/>
      <c r="CP38" s="6516"/>
      <c r="CQ38" s="6516"/>
      <c r="CR38" s="6516"/>
      <c r="CS38" s="6516"/>
      <c r="CT38" s="427" t="s">
        <v>1403</v>
      </c>
      <c r="CU38" s="1087">
        <v>9</v>
      </c>
      <c r="CV38" s="6515">
        <f>IFERROR(INDEX('Tablas psiquica'!$U$116:$AH$130,CU38,DB$7),0)</f>
        <v>0</v>
      </c>
      <c r="CW38" s="6516"/>
      <c r="CX38" s="6516"/>
      <c r="CY38" s="6516"/>
      <c r="CZ38" s="6516"/>
      <c r="DA38" s="6516"/>
      <c r="DB38" s="427" t="s">
        <v>1403</v>
      </c>
      <c r="DC38" s="402"/>
      <c r="DD38" s="396"/>
    </row>
    <row r="39" spans="1:108" ht="12" customHeight="1" x14ac:dyDescent="0.2">
      <c r="A39" s="396"/>
      <c r="B39" s="1087"/>
      <c r="C39" s="6517" t="str">
        <f>IF(C38=0,"",VLOOKUP(C38,'Tablas psiquica'!$D$7:$R$145,2,FALSE))</f>
        <v/>
      </c>
      <c r="D39" s="6518"/>
      <c r="E39" s="6518"/>
      <c r="F39" s="6519"/>
      <c r="G39" s="6520" t="str">
        <f>IF(C38=0,"",IF(INDEX('Tablas psiquica'!$U$115:$AH$115,1,$Y$7)=0,"No Accesible",IF(ISNA(VLOOKUP(C38,Psíquicos!$AS$17:$AS$43,1,0)),"Accesible CV","Aprendido")))</f>
        <v/>
      </c>
      <c r="H39" s="6521"/>
      <c r="I39" s="1658" t="str">
        <f>IF(C38=0,"",VLOOKUP(C38,'Tablas psiquica'!$D$7:$R$145,3,FALSE))</f>
        <v/>
      </c>
      <c r="J39" s="896"/>
      <c r="K39" s="6517" t="str">
        <f>IF(K38=0,"",VLOOKUP(K38,'Tablas psiquica'!$D$7:$R$145,2,FALSE))</f>
        <v/>
      </c>
      <c r="L39" s="6518"/>
      <c r="M39" s="6518"/>
      <c r="N39" s="6519"/>
      <c r="O39" s="6520" t="str">
        <f>IF(K38=0,"",IF(INDEX('Tablas psiquica'!$U$115:$AH$115,1,$Y$7)=0,"No Accesible",IF(ISNA(VLOOKUP(K38,Psíquicos!$AS$17:$AS$43,1,0)),"Accesible CV","Aprendido")))</f>
        <v/>
      </c>
      <c r="P39" s="6521"/>
      <c r="Q39" s="1658" t="str">
        <f>IF(K38=0,"",VLOOKUP(K38,'Tablas psiquica'!$D$7:$R$145,3,FALSE))</f>
        <v/>
      </c>
      <c r="R39" s="1087"/>
      <c r="S39" s="6517" t="str">
        <f>IF(S38=0,"",VLOOKUP(S38,'Tablas psiquica'!$D$7:$R$145,2,FALSE))</f>
        <v/>
      </c>
      <c r="T39" s="6518"/>
      <c r="U39" s="6518"/>
      <c r="V39" s="6519"/>
      <c r="W39" s="6520" t="str">
        <f>IF(S38=0,"",IF(INDEX('Tablas psiquica'!$U$115:$AH$115,1,$Y$7)=0,"No Accesible",IF(ISNA(VLOOKUP(S38,Psíquicos!$AS$17:$AS$43,1,0)),"Accesible CV","Aprendido")))</f>
        <v/>
      </c>
      <c r="X39" s="6521"/>
      <c r="Y39" s="1658" t="str">
        <f>IF(S38=0,"",VLOOKUP(S38,'Tablas psiquica'!$D$7:$R$145,3,FALSE))</f>
        <v/>
      </c>
      <c r="Z39" s="402"/>
      <c r="AA39" s="396"/>
      <c r="AB39" s="396"/>
      <c r="AC39" s="1087"/>
      <c r="AD39" s="6517" t="str">
        <f>IF(AD38=0,"",VLOOKUP(AD38,'Tablas psiquica'!$D$7:$R$145,2,FALSE))</f>
        <v/>
      </c>
      <c r="AE39" s="6518"/>
      <c r="AF39" s="6518"/>
      <c r="AG39" s="6519"/>
      <c r="AH39" s="6520" t="str">
        <f>IF(AD38=0,"",IF(INDEX('Tablas psiquica'!$U$115:$AH$115,1,$AZ$7)=0,"No Accesible",IF(ISNA(VLOOKUP(AD38,Psíquicos!$AS$17:$AS$43,1,0)),"Accesible CV","Aprendido")))</f>
        <v/>
      </c>
      <c r="AI39" s="6521"/>
      <c r="AJ39" s="1658" t="str">
        <f>IF(AD38=0,"",VLOOKUP(AD38,'Tablas psiquica'!$D$7:$R$145,3,FALSE))</f>
        <v/>
      </c>
      <c r="AK39" s="896"/>
      <c r="AL39" s="6517" t="str">
        <f>IF(AL38=0,"",VLOOKUP(AL38,'Tablas psiquica'!$D$7:$R$145,2,FALSE))</f>
        <v/>
      </c>
      <c r="AM39" s="6518"/>
      <c r="AN39" s="6518"/>
      <c r="AO39" s="6519"/>
      <c r="AP39" s="6520" t="str">
        <f>IF(AL38=0,"",IF(INDEX('Tablas psiquica'!$U$115:$AH$115,1,$AZ$7)=0,"No Accesible",IF(ISNA(VLOOKUP(AL38,Psíquicos!$AS$17:$AS$43,1,0)),"Accesible CV","Aprendido")))</f>
        <v/>
      </c>
      <c r="AQ39" s="6521"/>
      <c r="AR39" s="1658" t="str">
        <f>IF(AL38=0,"",VLOOKUP(AL38,'Tablas psiquica'!$D$7:$R$145,3,FALSE))</f>
        <v/>
      </c>
      <c r="AS39" s="1087"/>
      <c r="AT39" s="6517" t="str">
        <f>IF(AT38=0,"",VLOOKUP(AT38,'Tablas psiquica'!$D$7:$R$145,2,FALSE))</f>
        <v/>
      </c>
      <c r="AU39" s="6518"/>
      <c r="AV39" s="6518"/>
      <c r="AW39" s="6519"/>
      <c r="AX39" s="6520" t="str">
        <f>IF(AT38=0,"",IF(INDEX('Tablas psiquica'!$U$115:$AH$115,1,$AZ$7)=0,"No Accesible",IF(ISNA(VLOOKUP(AT38,Psíquicos!$AS$17:$AS$43,1,0)),"Accesible CV","Aprendido")))</f>
        <v/>
      </c>
      <c r="AY39" s="6521"/>
      <c r="AZ39" s="1658" t="str">
        <f>IF(AT38=0,"",VLOOKUP(AT38,'Tablas psiquica'!$D$7:$R$145,3,FALSE))</f>
        <v/>
      </c>
      <c r="BA39" s="402"/>
      <c r="BB39" s="396"/>
      <c r="BC39" s="396"/>
      <c r="BD39" s="1087"/>
      <c r="BE39" s="6517" t="str">
        <f>IF(BE38=0,"",VLOOKUP(BE38,'Tablas psiquica'!$D$7:$R$145,2,FALSE))</f>
        <v/>
      </c>
      <c r="BF39" s="6518"/>
      <c r="BG39" s="6518"/>
      <c r="BH39" s="6519"/>
      <c r="BI39" s="6520" t="str">
        <f>IF(BE38=0,"",IF(INDEX('Tablas psiquica'!$U$115:$AH$115,1,$CA$7)=0,"No Accesible",IF(ISNA(VLOOKUP(BE38,Psíquicos!$AS$17:$AS$43,1,0)),"Accesible CV","Aprendido")))</f>
        <v/>
      </c>
      <c r="BJ39" s="6521"/>
      <c r="BK39" s="1658" t="str">
        <f>IF(BE38=0,"",VLOOKUP(BE38,'Tablas psiquica'!$D$7:$R$145,3,FALSE))</f>
        <v/>
      </c>
      <c r="BL39" s="896"/>
      <c r="BM39" s="6517" t="str">
        <f>IF(BM38=0,"",VLOOKUP(BM38,'Tablas psiquica'!$D$7:$R$145,2,FALSE))</f>
        <v/>
      </c>
      <c r="BN39" s="6518"/>
      <c r="BO39" s="6518"/>
      <c r="BP39" s="6519"/>
      <c r="BQ39" s="6520" t="str">
        <f>IF(BM38=0,"",IF(INDEX('Tablas psiquica'!$U$115:$AH$115,1,$CA$7)=0,"No Accesible",IF(ISNA(VLOOKUP(BM38,Psíquicos!$AS$17:$AS$43,1,0)),"Accesible CV","Aprendido")))</f>
        <v/>
      </c>
      <c r="BR39" s="6521"/>
      <c r="BS39" s="1658" t="str">
        <f>IF(BM38=0,"",VLOOKUP(BM38,'Tablas psiquica'!$D$7:$R$145,3,FALSE))</f>
        <v/>
      </c>
      <c r="BT39" s="1087"/>
      <c r="BU39" s="6517" t="str">
        <f>IF(BU38=0,"",VLOOKUP(BU38,'Tablas psiquica'!$D$7:$R$145,2,FALSE))</f>
        <v/>
      </c>
      <c r="BV39" s="6518"/>
      <c r="BW39" s="6518"/>
      <c r="BX39" s="6519"/>
      <c r="BY39" s="6520" t="str">
        <f>IF(BU38=0,"",IF(INDEX('Tablas psiquica'!$U$115:$AH$115,1,$CA$7)=0,"No Accesible",IF(ISNA(VLOOKUP(BU38,Psíquicos!$AS$17:$AS$43,1,0)),"Accesible CV","Aprendido")))</f>
        <v/>
      </c>
      <c r="BZ39" s="6521"/>
      <c r="CA39" s="1658" t="str">
        <f>IF(BU38=0,"",VLOOKUP(BU38,'Tablas psiquica'!$D$7:$R$145,3,FALSE))</f>
        <v/>
      </c>
      <c r="CB39" s="402"/>
      <c r="CC39" s="396"/>
      <c r="CD39" s="396"/>
      <c r="CE39" s="1087"/>
      <c r="CF39" s="6517" t="str">
        <f>IF(CF38=0,"",VLOOKUP(CF38,'Tablas psiquica'!$D$7:$R$145,2,FALSE))</f>
        <v/>
      </c>
      <c r="CG39" s="6518"/>
      <c r="CH39" s="6518"/>
      <c r="CI39" s="6519"/>
      <c r="CJ39" s="6520" t="str">
        <f>IF(CF38=0,"",IF(INDEX('Tablas psiquica'!$U$115:$AH$115,1,$DB$7)=0,"No Accesible",IF(ISNA(VLOOKUP(CF38,Psíquicos!$AS$17:$AS$43,1,0)),"Accesible CV","Aprendido")))</f>
        <v/>
      </c>
      <c r="CK39" s="6521"/>
      <c r="CL39" s="1658" t="str">
        <f>IF(CF38=0,"",VLOOKUP(CF38,'Tablas psiquica'!$D$7:$R$145,3,FALSE))</f>
        <v/>
      </c>
      <c r="CM39" s="896"/>
      <c r="CN39" s="6517" t="str">
        <f>IF(CN38=0,"",VLOOKUP(CN38,'Tablas psiquica'!$D$7:$R$145,2,FALSE))</f>
        <v/>
      </c>
      <c r="CO39" s="6518"/>
      <c r="CP39" s="6518"/>
      <c r="CQ39" s="6519"/>
      <c r="CR39" s="6520" t="str">
        <f>IF(CN38=0,"",IF(INDEX('Tablas psiquica'!$U$115:$AH$115,1,$DB$7)=0,"No Accesible",IF(ISNA(VLOOKUP(CN38,Psíquicos!$AS$17:$AS$43,1,0)),"Accesible CV","Aprendido")))</f>
        <v/>
      </c>
      <c r="CS39" s="6521"/>
      <c r="CT39" s="1658" t="str">
        <f>IF(CN38=0,"",VLOOKUP(CN38,'Tablas psiquica'!$D$7:$R$145,3,FALSE))</f>
        <v/>
      </c>
      <c r="CU39" s="1087"/>
      <c r="CV39" s="6517" t="str">
        <f>IF(CV38=0,"",VLOOKUP(CV38,'Tablas psiquica'!$D$7:$R$145,2,FALSE))</f>
        <v/>
      </c>
      <c r="CW39" s="6518"/>
      <c r="CX39" s="6518"/>
      <c r="CY39" s="6519"/>
      <c r="CZ39" s="6520" t="str">
        <f>IF(CV38=0,"",IF(INDEX('Tablas psiquica'!$U$115:$AH$115,1,$DB$7)=0,"No Accesible",IF(ISNA(VLOOKUP(CV38,Psíquicos!$AS$17:$AS$43,1,0)),"Accesible CV","Aprendido")))</f>
        <v/>
      </c>
      <c r="DA39" s="6521"/>
      <c r="DB39" s="1658" t="str">
        <f>IF(CV38=0,"",VLOOKUP(CV38,'Tablas psiquica'!$D$7:$R$145,3,FALSE))</f>
        <v/>
      </c>
      <c r="DC39" s="402"/>
      <c r="DD39" s="396"/>
    </row>
    <row r="40" spans="1:108" ht="12" customHeight="1" x14ac:dyDescent="0.2">
      <c r="A40" s="396"/>
      <c r="B40" s="1087"/>
      <c r="C40" s="1627">
        <v>20</v>
      </c>
      <c r="D40" s="6530" t="s">
        <v>1723</v>
      </c>
      <c r="E40" s="6450"/>
      <c r="F40" s="6531" t="str">
        <f>IF(C38=0,"",VLOOKUP(C38,'Tablas psiquica'!$D$7:$R$145,6,FALSE))</f>
        <v/>
      </c>
      <c r="G40" s="5988"/>
      <c r="H40" s="5988"/>
      <c r="I40" s="6225"/>
      <c r="J40" s="658"/>
      <c r="K40" s="1627">
        <v>20</v>
      </c>
      <c r="L40" s="6530" t="s">
        <v>1723</v>
      </c>
      <c r="M40" s="6450"/>
      <c r="N40" s="6531" t="str">
        <f>IF(K38=0,"",VLOOKUP(K38,'Tablas psiquica'!$D$7:$R$145,6,FALSE))</f>
        <v/>
      </c>
      <c r="O40" s="5988"/>
      <c r="P40" s="5988"/>
      <c r="Q40" s="6225"/>
      <c r="R40" s="1087"/>
      <c r="S40" s="1627">
        <v>20</v>
      </c>
      <c r="T40" s="6530" t="s">
        <v>1723</v>
      </c>
      <c r="U40" s="6450"/>
      <c r="V40" s="6531" t="str">
        <f>IF(S38=0,"",VLOOKUP(S38,'Tablas psiquica'!$D$7:$R$145,6,FALSE))</f>
        <v/>
      </c>
      <c r="W40" s="5988"/>
      <c r="X40" s="5988"/>
      <c r="Y40" s="6225"/>
      <c r="Z40" s="402"/>
      <c r="AA40" s="396"/>
      <c r="AB40" s="396"/>
      <c r="AC40" s="1087"/>
      <c r="AD40" s="1627">
        <v>20</v>
      </c>
      <c r="AE40" s="6530" t="s">
        <v>1723</v>
      </c>
      <c r="AF40" s="6450"/>
      <c r="AG40" s="6531" t="str">
        <f>IF(AD38=0,"",VLOOKUP(AD38,'Tablas psiquica'!$D$7:$R$145,6,FALSE))</f>
        <v/>
      </c>
      <c r="AH40" s="5988"/>
      <c r="AI40" s="5988"/>
      <c r="AJ40" s="6225"/>
      <c r="AK40" s="658"/>
      <c r="AL40" s="1627">
        <v>20</v>
      </c>
      <c r="AM40" s="6530" t="s">
        <v>1723</v>
      </c>
      <c r="AN40" s="6450"/>
      <c r="AO40" s="6531" t="str">
        <f>IF(AL38=0,"",VLOOKUP(AL38,'Tablas psiquica'!$D$7:$R$145,6,FALSE))</f>
        <v/>
      </c>
      <c r="AP40" s="5988"/>
      <c r="AQ40" s="5988"/>
      <c r="AR40" s="6225"/>
      <c r="AS40" s="1087"/>
      <c r="AT40" s="1627">
        <v>20</v>
      </c>
      <c r="AU40" s="6530" t="s">
        <v>1723</v>
      </c>
      <c r="AV40" s="6450"/>
      <c r="AW40" s="6531" t="str">
        <f>IF(AT38=0,"",VLOOKUP(AT38,'Tablas psiquica'!$D$7:$R$145,6,FALSE))</f>
        <v/>
      </c>
      <c r="AX40" s="5988"/>
      <c r="AY40" s="5988"/>
      <c r="AZ40" s="6225"/>
      <c r="BA40" s="402"/>
      <c r="BB40" s="396"/>
      <c r="BC40" s="396"/>
      <c r="BD40" s="1087"/>
      <c r="BE40" s="1627">
        <v>20</v>
      </c>
      <c r="BF40" s="6530" t="s">
        <v>1723</v>
      </c>
      <c r="BG40" s="6450"/>
      <c r="BH40" s="6531" t="str">
        <f>IF(BE38=0,"",VLOOKUP(BE38,'Tablas psiquica'!$D$7:$R$145,6,FALSE))</f>
        <v/>
      </c>
      <c r="BI40" s="5988"/>
      <c r="BJ40" s="5988"/>
      <c r="BK40" s="6225"/>
      <c r="BL40" s="658"/>
      <c r="BM40" s="1627">
        <v>20</v>
      </c>
      <c r="BN40" s="6530" t="s">
        <v>1723</v>
      </c>
      <c r="BO40" s="6450"/>
      <c r="BP40" s="6531" t="str">
        <f>IF(BM38=0,"",VLOOKUP(BM38,'Tablas psiquica'!$D$7:$R$145,6,FALSE))</f>
        <v/>
      </c>
      <c r="BQ40" s="5988"/>
      <c r="BR40" s="5988"/>
      <c r="BS40" s="6225"/>
      <c r="BT40" s="1087"/>
      <c r="BU40" s="1627">
        <v>20</v>
      </c>
      <c r="BV40" s="6530" t="s">
        <v>1723</v>
      </c>
      <c r="BW40" s="6450"/>
      <c r="BX40" s="6531" t="str">
        <f>IF(BU38=0,"",VLOOKUP(BU38,'Tablas psiquica'!$D$7:$R$145,6,FALSE))</f>
        <v/>
      </c>
      <c r="BY40" s="5988"/>
      <c r="BZ40" s="5988"/>
      <c r="CA40" s="6225"/>
      <c r="CB40" s="402"/>
      <c r="CC40" s="396"/>
      <c r="CD40" s="396"/>
      <c r="CE40" s="1087"/>
      <c r="CF40" s="1627">
        <v>20</v>
      </c>
      <c r="CG40" s="6530" t="s">
        <v>1723</v>
      </c>
      <c r="CH40" s="6450"/>
      <c r="CI40" s="6531" t="str">
        <f>IF(CF38=0,"",VLOOKUP(CF38,'Tablas psiquica'!$D$7:$R$145,6,FALSE))</f>
        <v/>
      </c>
      <c r="CJ40" s="5988"/>
      <c r="CK40" s="5988"/>
      <c r="CL40" s="6225"/>
      <c r="CM40" s="658"/>
      <c r="CN40" s="1627">
        <v>20</v>
      </c>
      <c r="CO40" s="6530" t="s">
        <v>1723</v>
      </c>
      <c r="CP40" s="6450"/>
      <c r="CQ40" s="6531" t="str">
        <f>IF(CN38=0,"",VLOOKUP(CN38,'Tablas psiquica'!$D$7:$R$145,6,FALSE))</f>
        <v/>
      </c>
      <c r="CR40" s="5988"/>
      <c r="CS40" s="5988"/>
      <c r="CT40" s="6225"/>
      <c r="CU40" s="1087"/>
      <c r="CV40" s="1627">
        <v>20</v>
      </c>
      <c r="CW40" s="6530" t="s">
        <v>1723</v>
      </c>
      <c r="CX40" s="6450"/>
      <c r="CY40" s="6531" t="str">
        <f>IF(CV38=0,"",VLOOKUP(CV38,'Tablas psiquica'!$D$7:$R$145,6,FALSE))</f>
        <v/>
      </c>
      <c r="CZ40" s="5988"/>
      <c r="DA40" s="5988"/>
      <c r="DB40" s="6225"/>
      <c r="DC40" s="402"/>
      <c r="DD40" s="396"/>
    </row>
    <row r="41" spans="1:108" ht="12" customHeight="1" x14ac:dyDescent="0.2">
      <c r="A41" s="396"/>
      <c r="B41" s="1087"/>
      <c r="C41" s="1626">
        <v>40</v>
      </c>
      <c r="D41" s="6526" t="s">
        <v>1725</v>
      </c>
      <c r="E41" s="6445"/>
      <c r="F41" s="6527" t="str">
        <f>IF(C38=0,"",VLOOKUP(C38,'Tablas psiquica'!$D$7:$R$145,7,FALSE))</f>
        <v/>
      </c>
      <c r="G41" s="6528"/>
      <c r="H41" s="6528"/>
      <c r="I41" s="6529"/>
      <c r="J41" s="658"/>
      <c r="K41" s="1626">
        <v>40</v>
      </c>
      <c r="L41" s="6526" t="s">
        <v>1725</v>
      </c>
      <c r="M41" s="6445"/>
      <c r="N41" s="6527" t="str">
        <f>IF(K38=0,"",VLOOKUP(K38,'Tablas psiquica'!$D$7:$R$145,7,FALSE))</f>
        <v/>
      </c>
      <c r="O41" s="6528"/>
      <c r="P41" s="6528"/>
      <c r="Q41" s="6529"/>
      <c r="R41" s="1087"/>
      <c r="S41" s="1626">
        <v>40</v>
      </c>
      <c r="T41" s="6526" t="s">
        <v>1725</v>
      </c>
      <c r="U41" s="6445"/>
      <c r="V41" s="6527" t="str">
        <f>IF(S38=0,"",VLOOKUP(S38,'Tablas psiquica'!$D$7:$R$145,7,FALSE))</f>
        <v/>
      </c>
      <c r="W41" s="6528"/>
      <c r="X41" s="6528"/>
      <c r="Y41" s="6529"/>
      <c r="Z41" s="402"/>
      <c r="AA41" s="396"/>
      <c r="AB41" s="396"/>
      <c r="AC41" s="1087"/>
      <c r="AD41" s="1626">
        <v>40</v>
      </c>
      <c r="AE41" s="6526" t="s">
        <v>1725</v>
      </c>
      <c r="AF41" s="6445"/>
      <c r="AG41" s="6527" t="str">
        <f>IF(AD38=0,"",VLOOKUP(AD38,'Tablas psiquica'!$D$7:$R$145,7,FALSE))</f>
        <v/>
      </c>
      <c r="AH41" s="6528"/>
      <c r="AI41" s="6528"/>
      <c r="AJ41" s="6529"/>
      <c r="AK41" s="658"/>
      <c r="AL41" s="1626">
        <v>40</v>
      </c>
      <c r="AM41" s="6526" t="s">
        <v>1725</v>
      </c>
      <c r="AN41" s="6445"/>
      <c r="AO41" s="6527" t="str">
        <f>IF(AL38=0,"",VLOOKUP(AL38,'Tablas psiquica'!$D$7:$R$145,7,FALSE))</f>
        <v/>
      </c>
      <c r="AP41" s="6528"/>
      <c r="AQ41" s="6528"/>
      <c r="AR41" s="6529"/>
      <c r="AS41" s="1087"/>
      <c r="AT41" s="1626">
        <v>40</v>
      </c>
      <c r="AU41" s="6526" t="s">
        <v>1725</v>
      </c>
      <c r="AV41" s="6445"/>
      <c r="AW41" s="6527" t="str">
        <f>IF(AT38=0,"",VLOOKUP(AT38,'Tablas psiquica'!$D$7:$R$145,7,FALSE))</f>
        <v/>
      </c>
      <c r="AX41" s="6528"/>
      <c r="AY41" s="6528"/>
      <c r="AZ41" s="6529"/>
      <c r="BA41" s="402"/>
      <c r="BB41" s="396"/>
      <c r="BC41" s="396"/>
      <c r="BD41" s="1087"/>
      <c r="BE41" s="1626">
        <v>40</v>
      </c>
      <c r="BF41" s="6526" t="s">
        <v>1725</v>
      </c>
      <c r="BG41" s="6445"/>
      <c r="BH41" s="6527" t="str">
        <f>IF(BE38=0,"",VLOOKUP(BE38,'Tablas psiquica'!$D$7:$R$145,7,FALSE))</f>
        <v/>
      </c>
      <c r="BI41" s="6528"/>
      <c r="BJ41" s="6528"/>
      <c r="BK41" s="6529"/>
      <c r="BL41" s="658"/>
      <c r="BM41" s="1626">
        <v>40</v>
      </c>
      <c r="BN41" s="6526" t="s">
        <v>1725</v>
      </c>
      <c r="BO41" s="6445"/>
      <c r="BP41" s="6527" t="str">
        <f>IF(BM38=0,"",VLOOKUP(BM38,'Tablas psiquica'!$D$7:$R$145,7,FALSE))</f>
        <v/>
      </c>
      <c r="BQ41" s="6528"/>
      <c r="BR41" s="6528"/>
      <c r="BS41" s="6529"/>
      <c r="BT41" s="1087"/>
      <c r="BU41" s="1626">
        <v>40</v>
      </c>
      <c r="BV41" s="6526" t="s">
        <v>1725</v>
      </c>
      <c r="BW41" s="6445"/>
      <c r="BX41" s="6527" t="str">
        <f>IF(BU38=0,"",VLOOKUP(BU38,'Tablas psiquica'!$D$7:$R$145,7,FALSE))</f>
        <v/>
      </c>
      <c r="BY41" s="6528"/>
      <c r="BZ41" s="6528"/>
      <c r="CA41" s="6529"/>
      <c r="CB41" s="402"/>
      <c r="CC41" s="396"/>
      <c r="CD41" s="396"/>
      <c r="CE41" s="1087"/>
      <c r="CF41" s="1626">
        <v>40</v>
      </c>
      <c r="CG41" s="6526" t="s">
        <v>1725</v>
      </c>
      <c r="CH41" s="6445"/>
      <c r="CI41" s="6527" t="str">
        <f>IF(CF38=0,"",VLOOKUP(CF38,'Tablas psiquica'!$D$7:$R$145,7,FALSE))</f>
        <v/>
      </c>
      <c r="CJ41" s="6528"/>
      <c r="CK41" s="6528"/>
      <c r="CL41" s="6529"/>
      <c r="CM41" s="658"/>
      <c r="CN41" s="1626">
        <v>40</v>
      </c>
      <c r="CO41" s="6526" t="s">
        <v>1725</v>
      </c>
      <c r="CP41" s="6445"/>
      <c r="CQ41" s="6527" t="str">
        <f>IF(CN38=0,"",VLOOKUP(CN38,'Tablas psiquica'!$D$7:$R$145,7,FALSE))</f>
        <v/>
      </c>
      <c r="CR41" s="6528"/>
      <c r="CS41" s="6528"/>
      <c r="CT41" s="6529"/>
      <c r="CU41" s="1087"/>
      <c r="CV41" s="1626">
        <v>40</v>
      </c>
      <c r="CW41" s="6526" t="s">
        <v>1725</v>
      </c>
      <c r="CX41" s="6445"/>
      <c r="CY41" s="6527" t="str">
        <f>IF(CV38=0,"",VLOOKUP(CV38,'Tablas psiquica'!$D$7:$R$145,7,FALSE))</f>
        <v/>
      </c>
      <c r="CZ41" s="6528"/>
      <c r="DA41" s="6528"/>
      <c r="DB41" s="6529"/>
      <c r="DC41" s="402"/>
      <c r="DD41" s="396"/>
    </row>
    <row r="42" spans="1:108" ht="12" customHeight="1" x14ac:dyDescent="0.2">
      <c r="A42" s="396"/>
      <c r="B42" s="1087"/>
      <c r="C42" s="1627">
        <v>80</v>
      </c>
      <c r="D42" s="6530" t="s">
        <v>1728</v>
      </c>
      <c r="E42" s="6450"/>
      <c r="F42" s="6531" t="str">
        <f>IF(C38=0,"",VLOOKUP(C38,'Tablas psiquica'!$D$7:$R$145,8,FALSE))</f>
        <v/>
      </c>
      <c r="G42" s="5988"/>
      <c r="H42" s="5988"/>
      <c r="I42" s="6225"/>
      <c r="J42" s="658"/>
      <c r="K42" s="1627">
        <v>80</v>
      </c>
      <c r="L42" s="6530" t="s">
        <v>1728</v>
      </c>
      <c r="M42" s="6450"/>
      <c r="N42" s="6531" t="str">
        <f>IF(K38=0,"",VLOOKUP(K38,'Tablas psiquica'!$D$7:$R$145,8,FALSE))</f>
        <v/>
      </c>
      <c r="O42" s="5988"/>
      <c r="P42" s="5988"/>
      <c r="Q42" s="6225"/>
      <c r="R42" s="1087"/>
      <c r="S42" s="1627">
        <v>80</v>
      </c>
      <c r="T42" s="6530" t="s">
        <v>1728</v>
      </c>
      <c r="U42" s="6450"/>
      <c r="V42" s="6531" t="str">
        <f>IF(S38=0,"",VLOOKUP(S38,'Tablas psiquica'!$D$7:$R$145,8,FALSE))</f>
        <v/>
      </c>
      <c r="W42" s="5988"/>
      <c r="X42" s="5988"/>
      <c r="Y42" s="6225"/>
      <c r="Z42" s="402"/>
      <c r="AA42" s="396"/>
      <c r="AB42" s="396"/>
      <c r="AC42" s="1087"/>
      <c r="AD42" s="1627">
        <v>80</v>
      </c>
      <c r="AE42" s="6530" t="s">
        <v>1728</v>
      </c>
      <c r="AF42" s="6450"/>
      <c r="AG42" s="6531" t="str">
        <f>IF(AD38=0,"",VLOOKUP(AD38,'Tablas psiquica'!$D$7:$R$145,8,FALSE))</f>
        <v/>
      </c>
      <c r="AH42" s="5988"/>
      <c r="AI42" s="5988"/>
      <c r="AJ42" s="6225"/>
      <c r="AK42" s="658"/>
      <c r="AL42" s="1627">
        <v>80</v>
      </c>
      <c r="AM42" s="6530" t="s">
        <v>1728</v>
      </c>
      <c r="AN42" s="6450"/>
      <c r="AO42" s="6531" t="str">
        <f>IF(AL38=0,"",VLOOKUP(AL38,'Tablas psiquica'!$D$7:$R$145,8,FALSE))</f>
        <v/>
      </c>
      <c r="AP42" s="5988"/>
      <c r="AQ42" s="5988"/>
      <c r="AR42" s="6225"/>
      <c r="AS42" s="1087"/>
      <c r="AT42" s="1627">
        <v>80</v>
      </c>
      <c r="AU42" s="6530" t="s">
        <v>1728</v>
      </c>
      <c r="AV42" s="6450"/>
      <c r="AW42" s="6531" t="str">
        <f>IF(AT38=0,"",VLOOKUP(AT38,'Tablas psiquica'!$D$7:$R$145,8,FALSE))</f>
        <v/>
      </c>
      <c r="AX42" s="5988"/>
      <c r="AY42" s="5988"/>
      <c r="AZ42" s="6225"/>
      <c r="BA42" s="402"/>
      <c r="BB42" s="396"/>
      <c r="BC42" s="396"/>
      <c r="BD42" s="1087"/>
      <c r="BE42" s="1627">
        <v>80</v>
      </c>
      <c r="BF42" s="6530" t="s">
        <v>1728</v>
      </c>
      <c r="BG42" s="6450"/>
      <c r="BH42" s="6531" t="str">
        <f>IF(BE38=0,"",VLOOKUP(BE38,'Tablas psiquica'!$D$7:$R$145,8,FALSE))</f>
        <v/>
      </c>
      <c r="BI42" s="5988"/>
      <c r="BJ42" s="5988"/>
      <c r="BK42" s="6225"/>
      <c r="BL42" s="658"/>
      <c r="BM42" s="1627">
        <v>80</v>
      </c>
      <c r="BN42" s="6530" t="s">
        <v>1728</v>
      </c>
      <c r="BO42" s="6450"/>
      <c r="BP42" s="6531" t="str">
        <f>IF(BM38=0,"",VLOOKUP(BM38,'Tablas psiquica'!$D$7:$R$145,8,FALSE))</f>
        <v/>
      </c>
      <c r="BQ42" s="5988"/>
      <c r="BR42" s="5988"/>
      <c r="BS42" s="6225"/>
      <c r="BT42" s="1087"/>
      <c r="BU42" s="1627">
        <v>80</v>
      </c>
      <c r="BV42" s="6530" t="s">
        <v>1728</v>
      </c>
      <c r="BW42" s="6450"/>
      <c r="BX42" s="6531" t="str">
        <f>IF(BU38=0,"",VLOOKUP(BU38,'Tablas psiquica'!$D$7:$R$145,8,FALSE))</f>
        <v/>
      </c>
      <c r="BY42" s="5988"/>
      <c r="BZ42" s="5988"/>
      <c r="CA42" s="6225"/>
      <c r="CB42" s="402"/>
      <c r="CC42" s="396"/>
      <c r="CD42" s="396"/>
      <c r="CE42" s="1087"/>
      <c r="CF42" s="1627">
        <v>80</v>
      </c>
      <c r="CG42" s="6530" t="s">
        <v>1728</v>
      </c>
      <c r="CH42" s="6450"/>
      <c r="CI42" s="6531" t="str">
        <f>IF(CF38=0,"",VLOOKUP(CF38,'Tablas psiquica'!$D$7:$R$145,8,FALSE))</f>
        <v/>
      </c>
      <c r="CJ42" s="5988"/>
      <c r="CK42" s="5988"/>
      <c r="CL42" s="6225"/>
      <c r="CM42" s="658"/>
      <c r="CN42" s="1627">
        <v>80</v>
      </c>
      <c r="CO42" s="6530" t="s">
        <v>1728</v>
      </c>
      <c r="CP42" s="6450"/>
      <c r="CQ42" s="6531" t="str">
        <f>IF(CN38=0,"",VLOOKUP(CN38,'Tablas psiquica'!$D$7:$R$145,8,FALSE))</f>
        <v/>
      </c>
      <c r="CR42" s="5988"/>
      <c r="CS42" s="5988"/>
      <c r="CT42" s="6225"/>
      <c r="CU42" s="1087"/>
      <c r="CV42" s="1627">
        <v>80</v>
      </c>
      <c r="CW42" s="6530" t="s">
        <v>1728</v>
      </c>
      <c r="CX42" s="6450"/>
      <c r="CY42" s="6531" t="str">
        <f>IF(CV38=0,"",VLOOKUP(CV38,'Tablas psiquica'!$D$7:$R$145,8,FALSE))</f>
        <v/>
      </c>
      <c r="CZ42" s="5988"/>
      <c r="DA42" s="5988"/>
      <c r="DB42" s="6225"/>
      <c r="DC42" s="402"/>
      <c r="DD42" s="396"/>
    </row>
    <row r="43" spans="1:108" ht="12" customHeight="1" x14ac:dyDescent="0.2">
      <c r="A43" s="396"/>
      <c r="B43" s="1087"/>
      <c r="C43" s="1626">
        <v>120</v>
      </c>
      <c r="D43" s="6526" t="s">
        <v>1731</v>
      </c>
      <c r="E43" s="6445"/>
      <c r="F43" s="6527" t="str">
        <f>IF(C38=0,"",VLOOKUP(C38,'Tablas psiquica'!$D$7:$R$145,9,FALSE))</f>
        <v/>
      </c>
      <c r="G43" s="6528"/>
      <c r="H43" s="6528"/>
      <c r="I43" s="6529"/>
      <c r="J43" s="658"/>
      <c r="K43" s="1626">
        <v>120</v>
      </c>
      <c r="L43" s="6526" t="s">
        <v>1731</v>
      </c>
      <c r="M43" s="6445"/>
      <c r="N43" s="6527" t="str">
        <f>IF(K38=0,"",VLOOKUP(K38,'Tablas psiquica'!$D$7:$R$145,9,FALSE))</f>
        <v/>
      </c>
      <c r="O43" s="6528"/>
      <c r="P43" s="6528"/>
      <c r="Q43" s="6529"/>
      <c r="R43" s="1087"/>
      <c r="S43" s="1626">
        <v>120</v>
      </c>
      <c r="T43" s="6526" t="s">
        <v>1731</v>
      </c>
      <c r="U43" s="6445"/>
      <c r="V43" s="6527" t="str">
        <f>IF(S38=0,"",VLOOKUP(S38,'Tablas psiquica'!$D$7:$R$145,9,FALSE))</f>
        <v/>
      </c>
      <c r="W43" s="6528"/>
      <c r="X43" s="6528"/>
      <c r="Y43" s="6529"/>
      <c r="Z43" s="402"/>
      <c r="AA43" s="396"/>
      <c r="AB43" s="396"/>
      <c r="AC43" s="1087"/>
      <c r="AD43" s="1626">
        <v>120</v>
      </c>
      <c r="AE43" s="6526" t="s">
        <v>1731</v>
      </c>
      <c r="AF43" s="6445"/>
      <c r="AG43" s="6527" t="str">
        <f>IF(AD38=0,"",VLOOKUP(AD38,'Tablas psiquica'!$D$7:$R$145,9,FALSE))</f>
        <v/>
      </c>
      <c r="AH43" s="6528"/>
      <c r="AI43" s="6528"/>
      <c r="AJ43" s="6529"/>
      <c r="AK43" s="658"/>
      <c r="AL43" s="1626">
        <v>120</v>
      </c>
      <c r="AM43" s="6526" t="s">
        <v>1731</v>
      </c>
      <c r="AN43" s="6445"/>
      <c r="AO43" s="6527" t="str">
        <f>IF(AL38=0,"",VLOOKUP(AL38,'Tablas psiquica'!$D$7:$R$145,9,FALSE))</f>
        <v/>
      </c>
      <c r="AP43" s="6528"/>
      <c r="AQ43" s="6528"/>
      <c r="AR43" s="6529"/>
      <c r="AS43" s="1087"/>
      <c r="AT43" s="1626">
        <v>120</v>
      </c>
      <c r="AU43" s="6526" t="s">
        <v>1731</v>
      </c>
      <c r="AV43" s="6445"/>
      <c r="AW43" s="6527" t="str">
        <f>IF(AT38=0,"",VLOOKUP(AT38,'Tablas psiquica'!$D$7:$R$145,9,FALSE))</f>
        <v/>
      </c>
      <c r="AX43" s="6528"/>
      <c r="AY43" s="6528"/>
      <c r="AZ43" s="6529"/>
      <c r="BA43" s="402"/>
      <c r="BB43" s="396"/>
      <c r="BC43" s="396"/>
      <c r="BD43" s="1087"/>
      <c r="BE43" s="1626">
        <v>120</v>
      </c>
      <c r="BF43" s="6526" t="s">
        <v>1731</v>
      </c>
      <c r="BG43" s="6445"/>
      <c r="BH43" s="6527" t="str">
        <f>IF(BE38=0,"",VLOOKUP(BE38,'Tablas psiquica'!$D$7:$R$145,9,FALSE))</f>
        <v/>
      </c>
      <c r="BI43" s="6528"/>
      <c r="BJ43" s="6528"/>
      <c r="BK43" s="6529"/>
      <c r="BL43" s="658"/>
      <c r="BM43" s="1626">
        <v>120</v>
      </c>
      <c r="BN43" s="6526" t="s">
        <v>1731</v>
      </c>
      <c r="BO43" s="6445"/>
      <c r="BP43" s="6527" t="str">
        <f>IF(BM38=0,"",VLOOKUP(BM38,'Tablas psiquica'!$D$7:$R$145,9,FALSE))</f>
        <v/>
      </c>
      <c r="BQ43" s="6528"/>
      <c r="BR43" s="6528"/>
      <c r="BS43" s="6529"/>
      <c r="BT43" s="1087"/>
      <c r="BU43" s="1626">
        <v>120</v>
      </c>
      <c r="BV43" s="6526" t="s">
        <v>1731</v>
      </c>
      <c r="BW43" s="6445"/>
      <c r="BX43" s="6527" t="str">
        <f>IF(BU38=0,"",VLOOKUP(BU38,'Tablas psiquica'!$D$7:$R$145,9,FALSE))</f>
        <v/>
      </c>
      <c r="BY43" s="6528"/>
      <c r="BZ43" s="6528"/>
      <c r="CA43" s="6529"/>
      <c r="CB43" s="402"/>
      <c r="CC43" s="396"/>
      <c r="CD43" s="396"/>
      <c r="CE43" s="1087"/>
      <c r="CF43" s="1626">
        <v>120</v>
      </c>
      <c r="CG43" s="6526" t="s">
        <v>1731</v>
      </c>
      <c r="CH43" s="6445"/>
      <c r="CI43" s="6527" t="str">
        <f>IF(CF38=0,"",VLOOKUP(CF38,'Tablas psiquica'!$D$7:$R$145,9,FALSE))</f>
        <v/>
      </c>
      <c r="CJ43" s="6528"/>
      <c r="CK43" s="6528"/>
      <c r="CL43" s="6529"/>
      <c r="CM43" s="658"/>
      <c r="CN43" s="1626">
        <v>120</v>
      </c>
      <c r="CO43" s="6526" t="s">
        <v>1731</v>
      </c>
      <c r="CP43" s="6445"/>
      <c r="CQ43" s="6527" t="str">
        <f>IF(CN38=0,"",VLOOKUP(CN38,'Tablas psiquica'!$D$7:$R$145,9,FALSE))</f>
        <v/>
      </c>
      <c r="CR43" s="6528"/>
      <c r="CS43" s="6528"/>
      <c r="CT43" s="6529"/>
      <c r="CU43" s="1087"/>
      <c r="CV43" s="1626">
        <v>120</v>
      </c>
      <c r="CW43" s="6526" t="s">
        <v>1731</v>
      </c>
      <c r="CX43" s="6445"/>
      <c r="CY43" s="6527" t="str">
        <f>IF(CV38=0,"",VLOOKUP(CV38,'Tablas psiquica'!$D$7:$R$145,9,FALSE))</f>
        <v/>
      </c>
      <c r="CZ43" s="6528"/>
      <c r="DA43" s="6528"/>
      <c r="DB43" s="6529"/>
      <c r="DC43" s="402"/>
      <c r="DD43" s="396"/>
    </row>
    <row r="44" spans="1:108" ht="12" customHeight="1" x14ac:dyDescent="0.2">
      <c r="A44" s="396"/>
      <c r="B44" s="1087"/>
      <c r="C44" s="1627">
        <v>140</v>
      </c>
      <c r="D44" s="6530" t="s">
        <v>6242</v>
      </c>
      <c r="E44" s="6450"/>
      <c r="F44" s="6531" t="str">
        <f>IF(C38=0,"",VLOOKUP(C38,'Tablas psiquica'!$D$7:$R$145,10,FALSE))</f>
        <v/>
      </c>
      <c r="G44" s="5988"/>
      <c r="H44" s="5988"/>
      <c r="I44" s="6225"/>
      <c r="J44" s="658"/>
      <c r="K44" s="1627">
        <v>140</v>
      </c>
      <c r="L44" s="6530" t="s">
        <v>6242</v>
      </c>
      <c r="M44" s="6450"/>
      <c r="N44" s="6531" t="str">
        <f>IF(K38=0,"",VLOOKUP(K38,'Tablas psiquica'!$D$7:$R$145,10,FALSE))</f>
        <v/>
      </c>
      <c r="O44" s="5988"/>
      <c r="P44" s="5988"/>
      <c r="Q44" s="6225"/>
      <c r="R44" s="1087"/>
      <c r="S44" s="1627">
        <v>140</v>
      </c>
      <c r="T44" s="6530" t="s">
        <v>6242</v>
      </c>
      <c r="U44" s="6450"/>
      <c r="V44" s="6531" t="str">
        <f>IF(S38=0,"",VLOOKUP(S38,'Tablas psiquica'!$D$7:$R$145,10,FALSE))</f>
        <v/>
      </c>
      <c r="W44" s="5988"/>
      <c r="X44" s="5988"/>
      <c r="Y44" s="6225"/>
      <c r="Z44" s="402"/>
      <c r="AA44" s="396"/>
      <c r="AB44" s="396"/>
      <c r="AC44" s="1087"/>
      <c r="AD44" s="1627">
        <v>140</v>
      </c>
      <c r="AE44" s="6530" t="s">
        <v>6242</v>
      </c>
      <c r="AF44" s="6450"/>
      <c r="AG44" s="6531" t="str">
        <f>IF(AD38=0,"",VLOOKUP(AD38,'Tablas psiquica'!$D$7:$R$145,10,FALSE))</f>
        <v/>
      </c>
      <c r="AH44" s="5988"/>
      <c r="AI44" s="5988"/>
      <c r="AJ44" s="6225"/>
      <c r="AK44" s="658"/>
      <c r="AL44" s="1627">
        <v>140</v>
      </c>
      <c r="AM44" s="6530" t="s">
        <v>6242</v>
      </c>
      <c r="AN44" s="6450"/>
      <c r="AO44" s="6531" t="str">
        <f>IF(AL38=0,"",VLOOKUP(AL38,'Tablas psiquica'!$D$7:$R$145,10,FALSE))</f>
        <v/>
      </c>
      <c r="AP44" s="5988"/>
      <c r="AQ44" s="5988"/>
      <c r="AR44" s="6225"/>
      <c r="AS44" s="1087"/>
      <c r="AT44" s="1627">
        <v>140</v>
      </c>
      <c r="AU44" s="6530" t="s">
        <v>6242</v>
      </c>
      <c r="AV44" s="6450"/>
      <c r="AW44" s="6531" t="str">
        <f>IF(AT38=0,"",VLOOKUP(AT38,'Tablas psiquica'!$D$7:$R$145,10,FALSE))</f>
        <v/>
      </c>
      <c r="AX44" s="5988"/>
      <c r="AY44" s="5988"/>
      <c r="AZ44" s="6225"/>
      <c r="BA44" s="402"/>
      <c r="BB44" s="396"/>
      <c r="BC44" s="396"/>
      <c r="BD44" s="1087"/>
      <c r="BE44" s="1627">
        <v>140</v>
      </c>
      <c r="BF44" s="6530" t="s">
        <v>6242</v>
      </c>
      <c r="BG44" s="6450"/>
      <c r="BH44" s="6531" t="str">
        <f>IF(BE38=0,"",VLOOKUP(BE38,'Tablas psiquica'!$D$7:$R$145,10,FALSE))</f>
        <v/>
      </c>
      <c r="BI44" s="5988"/>
      <c r="BJ44" s="5988"/>
      <c r="BK44" s="6225"/>
      <c r="BL44" s="658"/>
      <c r="BM44" s="1627">
        <v>140</v>
      </c>
      <c r="BN44" s="6530" t="s">
        <v>6242</v>
      </c>
      <c r="BO44" s="6450"/>
      <c r="BP44" s="6531" t="str">
        <f>IF(BM38=0,"",VLOOKUP(BM38,'Tablas psiquica'!$D$7:$R$145,10,FALSE))</f>
        <v/>
      </c>
      <c r="BQ44" s="5988"/>
      <c r="BR44" s="5988"/>
      <c r="BS44" s="6225"/>
      <c r="BT44" s="1087"/>
      <c r="BU44" s="1627">
        <v>140</v>
      </c>
      <c r="BV44" s="6530" t="s">
        <v>6242</v>
      </c>
      <c r="BW44" s="6450"/>
      <c r="BX44" s="6531" t="str">
        <f>IF(BU38=0,"",VLOOKUP(BU38,'Tablas psiquica'!$D$7:$R$145,10,FALSE))</f>
        <v/>
      </c>
      <c r="BY44" s="5988"/>
      <c r="BZ44" s="5988"/>
      <c r="CA44" s="6225"/>
      <c r="CB44" s="402"/>
      <c r="CC44" s="396"/>
      <c r="CD44" s="396"/>
      <c r="CE44" s="1087"/>
      <c r="CF44" s="1627">
        <v>140</v>
      </c>
      <c r="CG44" s="6530" t="s">
        <v>6242</v>
      </c>
      <c r="CH44" s="6450"/>
      <c r="CI44" s="6531" t="str">
        <f>IF(CF38=0,"",VLOOKUP(CF38,'Tablas psiquica'!$D$7:$R$145,10,FALSE))</f>
        <v/>
      </c>
      <c r="CJ44" s="5988"/>
      <c r="CK44" s="5988"/>
      <c r="CL44" s="6225"/>
      <c r="CM44" s="658"/>
      <c r="CN44" s="1627">
        <v>140</v>
      </c>
      <c r="CO44" s="6530" t="s">
        <v>6242</v>
      </c>
      <c r="CP44" s="6450"/>
      <c r="CQ44" s="6531" t="str">
        <f>IF(CN38=0,"",VLOOKUP(CN38,'Tablas psiquica'!$D$7:$R$145,10,FALSE))</f>
        <v/>
      </c>
      <c r="CR44" s="5988"/>
      <c r="CS44" s="5988"/>
      <c r="CT44" s="6225"/>
      <c r="CU44" s="1087"/>
      <c r="CV44" s="1627">
        <v>140</v>
      </c>
      <c r="CW44" s="6530" t="s">
        <v>6242</v>
      </c>
      <c r="CX44" s="6450"/>
      <c r="CY44" s="6531" t="str">
        <f>IF(CV38=0,"",VLOOKUP(CV38,'Tablas psiquica'!$D$7:$R$145,10,FALSE))</f>
        <v/>
      </c>
      <c r="CZ44" s="5988"/>
      <c r="DA44" s="5988"/>
      <c r="DB44" s="6225"/>
      <c r="DC44" s="402"/>
      <c r="DD44" s="396"/>
    </row>
    <row r="45" spans="1:108" ht="12" customHeight="1" x14ac:dyDescent="0.2">
      <c r="A45" s="396"/>
      <c r="B45" s="1087"/>
      <c r="C45" s="1626">
        <v>180</v>
      </c>
      <c r="D45" s="6526" t="s">
        <v>1735</v>
      </c>
      <c r="E45" s="6445"/>
      <c r="F45" s="6527" t="str">
        <f>IF(C38=0,"",VLOOKUP(C38,'Tablas psiquica'!$D$7:$R$145,11,FALSE))</f>
        <v/>
      </c>
      <c r="G45" s="6528"/>
      <c r="H45" s="6528"/>
      <c r="I45" s="6529"/>
      <c r="J45" s="658"/>
      <c r="K45" s="1626">
        <v>180</v>
      </c>
      <c r="L45" s="6526" t="s">
        <v>1735</v>
      </c>
      <c r="M45" s="6445"/>
      <c r="N45" s="6527" t="str">
        <f>IF(K38=0,"",VLOOKUP(K38,'Tablas psiquica'!$D$7:$R$145,11,FALSE))</f>
        <v/>
      </c>
      <c r="O45" s="6528"/>
      <c r="P45" s="6528"/>
      <c r="Q45" s="6529"/>
      <c r="R45" s="1087"/>
      <c r="S45" s="1626">
        <v>180</v>
      </c>
      <c r="T45" s="6526" t="s">
        <v>1735</v>
      </c>
      <c r="U45" s="6445"/>
      <c r="V45" s="6527" t="str">
        <f>IF(S38=0,"",VLOOKUP(S38,'Tablas psiquica'!$D$7:$R$145,11,FALSE))</f>
        <v/>
      </c>
      <c r="W45" s="6528"/>
      <c r="X45" s="6528"/>
      <c r="Y45" s="6529"/>
      <c r="Z45" s="402"/>
      <c r="AA45" s="396"/>
      <c r="AB45" s="396"/>
      <c r="AC45" s="1087"/>
      <c r="AD45" s="1626">
        <v>180</v>
      </c>
      <c r="AE45" s="6526" t="s">
        <v>1735</v>
      </c>
      <c r="AF45" s="6445"/>
      <c r="AG45" s="6527" t="str">
        <f>IF(AD38=0,"",VLOOKUP(AD38,'Tablas psiquica'!$D$7:$R$145,11,FALSE))</f>
        <v/>
      </c>
      <c r="AH45" s="6528"/>
      <c r="AI45" s="6528"/>
      <c r="AJ45" s="6529"/>
      <c r="AK45" s="658"/>
      <c r="AL45" s="1626">
        <v>180</v>
      </c>
      <c r="AM45" s="6526" t="s">
        <v>1735</v>
      </c>
      <c r="AN45" s="6445"/>
      <c r="AO45" s="6527" t="str">
        <f>IF(AL38=0,"",VLOOKUP(AL38,'Tablas psiquica'!$D$7:$R$145,11,FALSE))</f>
        <v/>
      </c>
      <c r="AP45" s="6528"/>
      <c r="AQ45" s="6528"/>
      <c r="AR45" s="6529"/>
      <c r="AS45" s="1087"/>
      <c r="AT45" s="1626">
        <v>180</v>
      </c>
      <c r="AU45" s="6526" t="s">
        <v>1735</v>
      </c>
      <c r="AV45" s="6445"/>
      <c r="AW45" s="6527" t="str">
        <f>IF(AT38=0,"",VLOOKUP(AT38,'Tablas psiquica'!$D$7:$R$145,11,FALSE))</f>
        <v/>
      </c>
      <c r="AX45" s="6528"/>
      <c r="AY45" s="6528"/>
      <c r="AZ45" s="6529"/>
      <c r="BA45" s="402"/>
      <c r="BB45" s="396"/>
      <c r="BC45" s="396"/>
      <c r="BD45" s="1087"/>
      <c r="BE45" s="1626">
        <v>180</v>
      </c>
      <c r="BF45" s="6526" t="s">
        <v>1735</v>
      </c>
      <c r="BG45" s="6445"/>
      <c r="BH45" s="6527" t="str">
        <f>IF(BE38=0,"",VLOOKUP(BE38,'Tablas psiquica'!$D$7:$R$145,11,FALSE))</f>
        <v/>
      </c>
      <c r="BI45" s="6528"/>
      <c r="BJ45" s="6528"/>
      <c r="BK45" s="6529"/>
      <c r="BL45" s="658"/>
      <c r="BM45" s="1626">
        <v>180</v>
      </c>
      <c r="BN45" s="6526" t="s">
        <v>1735</v>
      </c>
      <c r="BO45" s="6445"/>
      <c r="BP45" s="6527" t="str">
        <f>IF(BM38=0,"",VLOOKUP(BM38,'Tablas psiquica'!$D$7:$R$145,11,FALSE))</f>
        <v/>
      </c>
      <c r="BQ45" s="6528"/>
      <c r="BR45" s="6528"/>
      <c r="BS45" s="6529"/>
      <c r="BT45" s="1087"/>
      <c r="BU45" s="1626">
        <v>180</v>
      </c>
      <c r="BV45" s="6526" t="s">
        <v>1735</v>
      </c>
      <c r="BW45" s="6445"/>
      <c r="BX45" s="6527" t="str">
        <f>IF(BU38=0,"",VLOOKUP(BU38,'Tablas psiquica'!$D$7:$R$145,11,FALSE))</f>
        <v/>
      </c>
      <c r="BY45" s="6528"/>
      <c r="BZ45" s="6528"/>
      <c r="CA45" s="6529"/>
      <c r="CB45" s="402"/>
      <c r="CC45" s="396"/>
      <c r="CD45" s="396"/>
      <c r="CE45" s="1087"/>
      <c r="CF45" s="1626">
        <v>180</v>
      </c>
      <c r="CG45" s="6526" t="s">
        <v>1735</v>
      </c>
      <c r="CH45" s="6445"/>
      <c r="CI45" s="6527" t="str">
        <f>IF(CF38=0,"",VLOOKUP(CF38,'Tablas psiquica'!$D$7:$R$145,11,FALSE))</f>
        <v/>
      </c>
      <c r="CJ45" s="6528"/>
      <c r="CK45" s="6528"/>
      <c r="CL45" s="6529"/>
      <c r="CM45" s="658"/>
      <c r="CN45" s="1626">
        <v>180</v>
      </c>
      <c r="CO45" s="6526" t="s">
        <v>1735</v>
      </c>
      <c r="CP45" s="6445"/>
      <c r="CQ45" s="6527" t="str">
        <f>IF(CN38=0,"",VLOOKUP(CN38,'Tablas psiquica'!$D$7:$R$145,11,FALSE))</f>
        <v/>
      </c>
      <c r="CR45" s="6528"/>
      <c r="CS45" s="6528"/>
      <c r="CT45" s="6529"/>
      <c r="CU45" s="1087"/>
      <c r="CV45" s="1626">
        <v>180</v>
      </c>
      <c r="CW45" s="6526" t="s">
        <v>1735</v>
      </c>
      <c r="CX45" s="6445"/>
      <c r="CY45" s="6527" t="str">
        <f>IF(CV38=0,"",VLOOKUP(CV38,'Tablas psiquica'!$D$7:$R$145,11,FALSE))</f>
        <v/>
      </c>
      <c r="CZ45" s="6528"/>
      <c r="DA45" s="6528"/>
      <c r="DB45" s="6529"/>
      <c r="DC45" s="402"/>
      <c r="DD45" s="396"/>
    </row>
    <row r="46" spans="1:108" ht="12" customHeight="1" x14ac:dyDescent="0.2">
      <c r="A46" s="396"/>
      <c r="B46" s="1087"/>
      <c r="C46" s="1627">
        <v>240</v>
      </c>
      <c r="D46" s="6530" t="s">
        <v>6243</v>
      </c>
      <c r="E46" s="6450"/>
      <c r="F46" s="6531" t="str">
        <f>IF(C38=0,"",VLOOKUP(C38,'Tablas psiquica'!$D$7:$R$145,12,FALSE))</f>
        <v/>
      </c>
      <c r="G46" s="5988"/>
      <c r="H46" s="5988"/>
      <c r="I46" s="6225"/>
      <c r="J46" s="658"/>
      <c r="K46" s="1627">
        <v>240</v>
      </c>
      <c r="L46" s="6530" t="s">
        <v>6243</v>
      </c>
      <c r="M46" s="6450"/>
      <c r="N46" s="6531" t="str">
        <f>IF(K38=0,"",VLOOKUP(K38,'Tablas psiquica'!$D$7:$R$145,12,FALSE))</f>
        <v/>
      </c>
      <c r="O46" s="5988"/>
      <c r="P46" s="5988"/>
      <c r="Q46" s="6225"/>
      <c r="R46" s="1087"/>
      <c r="S46" s="1627">
        <v>240</v>
      </c>
      <c r="T46" s="6530" t="s">
        <v>6243</v>
      </c>
      <c r="U46" s="6450"/>
      <c r="V46" s="6531" t="str">
        <f>IF(S38=0,"",VLOOKUP(S38,'Tablas psiquica'!$D$7:$R$145,12,FALSE))</f>
        <v/>
      </c>
      <c r="W46" s="5988"/>
      <c r="X46" s="5988"/>
      <c r="Y46" s="6225"/>
      <c r="Z46" s="402"/>
      <c r="AA46" s="396"/>
      <c r="AB46" s="396"/>
      <c r="AC46" s="1087"/>
      <c r="AD46" s="1627">
        <v>240</v>
      </c>
      <c r="AE46" s="6530" t="s">
        <v>6243</v>
      </c>
      <c r="AF46" s="6450"/>
      <c r="AG46" s="6531" t="str">
        <f>IF(AD38=0,"",VLOOKUP(AD38,'Tablas psiquica'!$D$7:$R$145,12,FALSE))</f>
        <v/>
      </c>
      <c r="AH46" s="5988"/>
      <c r="AI46" s="5988"/>
      <c r="AJ46" s="6225"/>
      <c r="AK46" s="658"/>
      <c r="AL46" s="1627">
        <v>240</v>
      </c>
      <c r="AM46" s="6530" t="s">
        <v>6243</v>
      </c>
      <c r="AN46" s="6450"/>
      <c r="AO46" s="6531" t="str">
        <f>IF(AL38=0,"",VLOOKUP(AL38,'Tablas psiquica'!$D$7:$R$145,12,FALSE))</f>
        <v/>
      </c>
      <c r="AP46" s="5988"/>
      <c r="AQ46" s="5988"/>
      <c r="AR46" s="6225"/>
      <c r="AS46" s="1087"/>
      <c r="AT46" s="1627">
        <v>240</v>
      </c>
      <c r="AU46" s="6530" t="s">
        <v>6243</v>
      </c>
      <c r="AV46" s="6450"/>
      <c r="AW46" s="6531" t="str">
        <f>IF(AT38=0,"",VLOOKUP(AT38,'Tablas psiquica'!$D$7:$R$145,12,FALSE))</f>
        <v/>
      </c>
      <c r="AX46" s="5988"/>
      <c r="AY46" s="5988"/>
      <c r="AZ46" s="6225"/>
      <c r="BA46" s="402"/>
      <c r="BB46" s="396"/>
      <c r="BC46" s="396"/>
      <c r="BD46" s="1087"/>
      <c r="BE46" s="1627">
        <v>240</v>
      </c>
      <c r="BF46" s="6530" t="s">
        <v>6243</v>
      </c>
      <c r="BG46" s="6450"/>
      <c r="BH46" s="6531" t="str">
        <f>IF(BE38=0,"",VLOOKUP(BE38,'Tablas psiquica'!$D$7:$R$145,12,FALSE))</f>
        <v/>
      </c>
      <c r="BI46" s="5988"/>
      <c r="BJ46" s="5988"/>
      <c r="BK46" s="6225"/>
      <c r="BL46" s="658"/>
      <c r="BM46" s="1627">
        <v>240</v>
      </c>
      <c r="BN46" s="6530" t="s">
        <v>6243</v>
      </c>
      <c r="BO46" s="6450"/>
      <c r="BP46" s="6531" t="str">
        <f>IF(BM38=0,"",VLOOKUP(BM38,'Tablas psiquica'!$D$7:$R$145,12,FALSE))</f>
        <v/>
      </c>
      <c r="BQ46" s="5988"/>
      <c r="BR46" s="5988"/>
      <c r="BS46" s="6225"/>
      <c r="BT46" s="1087"/>
      <c r="BU46" s="1627">
        <v>240</v>
      </c>
      <c r="BV46" s="6530" t="s">
        <v>6243</v>
      </c>
      <c r="BW46" s="6450"/>
      <c r="BX46" s="6531" t="str">
        <f>IF(BU38=0,"",VLOOKUP(BU38,'Tablas psiquica'!$D$7:$R$145,12,FALSE))</f>
        <v/>
      </c>
      <c r="BY46" s="5988"/>
      <c r="BZ46" s="5988"/>
      <c r="CA46" s="6225"/>
      <c r="CB46" s="402"/>
      <c r="CC46" s="396"/>
      <c r="CD46" s="396"/>
      <c r="CE46" s="1087"/>
      <c r="CF46" s="1627">
        <v>240</v>
      </c>
      <c r="CG46" s="6530" t="s">
        <v>6243</v>
      </c>
      <c r="CH46" s="6450"/>
      <c r="CI46" s="6531" t="str">
        <f>IF(CF38=0,"",VLOOKUP(CF38,'Tablas psiquica'!$D$7:$R$145,12,FALSE))</f>
        <v/>
      </c>
      <c r="CJ46" s="5988"/>
      <c r="CK46" s="5988"/>
      <c r="CL46" s="6225"/>
      <c r="CM46" s="658"/>
      <c r="CN46" s="1627">
        <v>240</v>
      </c>
      <c r="CO46" s="6530" t="s">
        <v>6243</v>
      </c>
      <c r="CP46" s="6450"/>
      <c r="CQ46" s="6531" t="str">
        <f>IF(CN38=0,"",VLOOKUP(CN38,'Tablas psiquica'!$D$7:$R$145,12,FALSE))</f>
        <v/>
      </c>
      <c r="CR46" s="5988"/>
      <c r="CS46" s="5988"/>
      <c r="CT46" s="6225"/>
      <c r="CU46" s="1087"/>
      <c r="CV46" s="1627">
        <v>240</v>
      </c>
      <c r="CW46" s="6530" t="s">
        <v>6243</v>
      </c>
      <c r="CX46" s="6450"/>
      <c r="CY46" s="6531" t="str">
        <f>IF(CV38=0,"",VLOOKUP(CV38,'Tablas psiquica'!$D$7:$R$145,12,FALSE))</f>
        <v/>
      </c>
      <c r="CZ46" s="5988"/>
      <c r="DA46" s="5988"/>
      <c r="DB46" s="6225"/>
      <c r="DC46" s="402"/>
      <c r="DD46" s="396"/>
    </row>
    <row r="47" spans="1:108" ht="12" customHeight="1" x14ac:dyDescent="0.2">
      <c r="A47" s="396"/>
      <c r="B47" s="1087"/>
      <c r="C47" s="1626">
        <v>280</v>
      </c>
      <c r="D47" s="6526" t="s">
        <v>1738</v>
      </c>
      <c r="E47" s="6445"/>
      <c r="F47" s="6527" t="str">
        <f>IF(C38=0,"",VLOOKUP(C38,'Tablas psiquica'!$D$7:$R$145,13,FALSE))</f>
        <v/>
      </c>
      <c r="G47" s="6528"/>
      <c r="H47" s="6528"/>
      <c r="I47" s="6529"/>
      <c r="J47" s="658"/>
      <c r="K47" s="1626">
        <v>280</v>
      </c>
      <c r="L47" s="6526" t="s">
        <v>1738</v>
      </c>
      <c r="M47" s="6445"/>
      <c r="N47" s="6527" t="str">
        <f>IF(K38=0,"",VLOOKUP(K38,'Tablas psiquica'!$D$7:$R$145,13,FALSE))</f>
        <v/>
      </c>
      <c r="O47" s="6528"/>
      <c r="P47" s="6528"/>
      <c r="Q47" s="6529"/>
      <c r="R47" s="1087"/>
      <c r="S47" s="1626">
        <v>280</v>
      </c>
      <c r="T47" s="6526" t="s">
        <v>1738</v>
      </c>
      <c r="U47" s="6445"/>
      <c r="V47" s="6527" t="str">
        <f>IF(S38=0,"",VLOOKUP(S38,'Tablas psiquica'!$D$7:$R$145,13,FALSE))</f>
        <v/>
      </c>
      <c r="W47" s="6528"/>
      <c r="X47" s="6528"/>
      <c r="Y47" s="6529"/>
      <c r="Z47" s="402"/>
      <c r="AA47" s="396"/>
      <c r="AB47" s="396"/>
      <c r="AC47" s="1087"/>
      <c r="AD47" s="1626">
        <v>280</v>
      </c>
      <c r="AE47" s="6526" t="s">
        <v>1738</v>
      </c>
      <c r="AF47" s="6445"/>
      <c r="AG47" s="6527" t="str">
        <f>IF(AD38=0,"",VLOOKUP(AD38,'Tablas psiquica'!$D$7:$R$145,13,FALSE))</f>
        <v/>
      </c>
      <c r="AH47" s="6528"/>
      <c r="AI47" s="6528"/>
      <c r="AJ47" s="6529"/>
      <c r="AK47" s="658"/>
      <c r="AL47" s="1626">
        <v>280</v>
      </c>
      <c r="AM47" s="6526" t="s">
        <v>1738</v>
      </c>
      <c r="AN47" s="6445"/>
      <c r="AO47" s="6527" t="str">
        <f>IF(AL38=0,"",VLOOKUP(AL38,'Tablas psiquica'!$D$7:$R$145,13,FALSE))</f>
        <v/>
      </c>
      <c r="AP47" s="6528"/>
      <c r="AQ47" s="6528"/>
      <c r="AR47" s="6529"/>
      <c r="AS47" s="1087"/>
      <c r="AT47" s="1626">
        <v>280</v>
      </c>
      <c r="AU47" s="6526" t="s">
        <v>1738</v>
      </c>
      <c r="AV47" s="6445"/>
      <c r="AW47" s="6527" t="str">
        <f>IF(AT38=0,"",VLOOKUP(AT38,'Tablas psiquica'!$D$7:$R$145,13,FALSE))</f>
        <v/>
      </c>
      <c r="AX47" s="6528"/>
      <c r="AY47" s="6528"/>
      <c r="AZ47" s="6529"/>
      <c r="BA47" s="402"/>
      <c r="BB47" s="396"/>
      <c r="BC47" s="396"/>
      <c r="BD47" s="1087"/>
      <c r="BE47" s="1626">
        <v>280</v>
      </c>
      <c r="BF47" s="6526" t="s">
        <v>1738</v>
      </c>
      <c r="BG47" s="6445"/>
      <c r="BH47" s="6527" t="str">
        <f>IF(BE38=0,"",VLOOKUP(BE38,'Tablas psiquica'!$D$7:$R$145,13,FALSE))</f>
        <v/>
      </c>
      <c r="BI47" s="6528"/>
      <c r="BJ47" s="6528"/>
      <c r="BK47" s="6529"/>
      <c r="BL47" s="658"/>
      <c r="BM47" s="1626">
        <v>280</v>
      </c>
      <c r="BN47" s="6526" t="s">
        <v>1738</v>
      </c>
      <c r="BO47" s="6445"/>
      <c r="BP47" s="6527" t="str">
        <f>IF(BM38=0,"",VLOOKUP(BM38,'Tablas psiquica'!$D$7:$R$145,13,FALSE))</f>
        <v/>
      </c>
      <c r="BQ47" s="6528"/>
      <c r="BR47" s="6528"/>
      <c r="BS47" s="6529"/>
      <c r="BT47" s="1087"/>
      <c r="BU47" s="1626">
        <v>280</v>
      </c>
      <c r="BV47" s="6526" t="s">
        <v>1738</v>
      </c>
      <c r="BW47" s="6445"/>
      <c r="BX47" s="6527" t="str">
        <f>IF(BU38=0,"",VLOOKUP(BU38,'Tablas psiquica'!$D$7:$R$145,13,FALSE))</f>
        <v/>
      </c>
      <c r="BY47" s="6528"/>
      <c r="BZ47" s="6528"/>
      <c r="CA47" s="6529"/>
      <c r="CB47" s="402"/>
      <c r="CC47" s="396"/>
      <c r="CD47" s="396"/>
      <c r="CE47" s="1087"/>
      <c r="CF47" s="1626">
        <v>280</v>
      </c>
      <c r="CG47" s="6526" t="s">
        <v>1738</v>
      </c>
      <c r="CH47" s="6445"/>
      <c r="CI47" s="6527" t="str">
        <f>IF(CF38=0,"",VLOOKUP(CF38,'Tablas psiquica'!$D$7:$R$145,13,FALSE))</f>
        <v/>
      </c>
      <c r="CJ47" s="6528"/>
      <c r="CK47" s="6528"/>
      <c r="CL47" s="6529"/>
      <c r="CM47" s="658"/>
      <c r="CN47" s="1626">
        <v>280</v>
      </c>
      <c r="CO47" s="6526" t="s">
        <v>1738</v>
      </c>
      <c r="CP47" s="6445"/>
      <c r="CQ47" s="6527" t="str">
        <f>IF(CN38=0,"",VLOOKUP(CN38,'Tablas psiquica'!$D$7:$R$145,13,FALSE))</f>
        <v/>
      </c>
      <c r="CR47" s="6528"/>
      <c r="CS47" s="6528"/>
      <c r="CT47" s="6529"/>
      <c r="CU47" s="1087"/>
      <c r="CV47" s="1626">
        <v>280</v>
      </c>
      <c r="CW47" s="6526" t="s">
        <v>1738</v>
      </c>
      <c r="CX47" s="6445"/>
      <c r="CY47" s="6527" t="str">
        <f>IF(CV38=0,"",VLOOKUP(CV38,'Tablas psiquica'!$D$7:$R$145,13,FALSE))</f>
        <v/>
      </c>
      <c r="CZ47" s="6528"/>
      <c r="DA47" s="6528"/>
      <c r="DB47" s="6529"/>
      <c r="DC47" s="402"/>
      <c r="DD47" s="396"/>
    </row>
    <row r="48" spans="1:108" ht="12" customHeight="1" x14ac:dyDescent="0.2">
      <c r="A48" s="396"/>
      <c r="B48" s="1087"/>
      <c r="C48" s="1627">
        <v>320</v>
      </c>
      <c r="D48" s="6530" t="s">
        <v>1740</v>
      </c>
      <c r="E48" s="6450"/>
      <c r="F48" s="6531" t="str">
        <f>IF(C38=0,"",VLOOKUP(C38,'Tablas psiquica'!$D$7:$R$145,14,FALSE))</f>
        <v/>
      </c>
      <c r="G48" s="5988"/>
      <c r="H48" s="5988"/>
      <c r="I48" s="6225"/>
      <c r="J48" s="658"/>
      <c r="K48" s="1627">
        <v>320</v>
      </c>
      <c r="L48" s="6530" t="s">
        <v>1740</v>
      </c>
      <c r="M48" s="6450"/>
      <c r="N48" s="6531" t="str">
        <f>IF(K38=0,"",VLOOKUP(K38,'Tablas psiquica'!$D$7:$R$145,14,FALSE))</f>
        <v/>
      </c>
      <c r="O48" s="5988"/>
      <c r="P48" s="5988"/>
      <c r="Q48" s="6225"/>
      <c r="R48" s="1087"/>
      <c r="S48" s="1627">
        <v>320</v>
      </c>
      <c r="T48" s="6530" t="s">
        <v>1740</v>
      </c>
      <c r="U48" s="6450"/>
      <c r="V48" s="6531" t="str">
        <f>IF(S38=0,"",VLOOKUP(S38,'Tablas psiquica'!$D$7:$R$145,14,FALSE))</f>
        <v/>
      </c>
      <c r="W48" s="5988"/>
      <c r="X48" s="5988"/>
      <c r="Y48" s="6225"/>
      <c r="Z48" s="402"/>
      <c r="AA48" s="396"/>
      <c r="AB48" s="396"/>
      <c r="AC48" s="1087"/>
      <c r="AD48" s="1627">
        <v>320</v>
      </c>
      <c r="AE48" s="6530" t="s">
        <v>1740</v>
      </c>
      <c r="AF48" s="6450"/>
      <c r="AG48" s="6531" t="str">
        <f>IF(AD38=0,"",VLOOKUP(AD38,'Tablas psiquica'!$D$7:$R$145,14,FALSE))</f>
        <v/>
      </c>
      <c r="AH48" s="5988"/>
      <c r="AI48" s="5988"/>
      <c r="AJ48" s="6225"/>
      <c r="AK48" s="658"/>
      <c r="AL48" s="1627">
        <v>320</v>
      </c>
      <c r="AM48" s="6530" t="s">
        <v>1740</v>
      </c>
      <c r="AN48" s="6450"/>
      <c r="AO48" s="6531" t="str">
        <f>IF(AL38=0,"",VLOOKUP(AL38,'Tablas psiquica'!$D$7:$R$145,14,FALSE))</f>
        <v/>
      </c>
      <c r="AP48" s="5988"/>
      <c r="AQ48" s="5988"/>
      <c r="AR48" s="6225"/>
      <c r="AS48" s="1087"/>
      <c r="AT48" s="1627">
        <v>320</v>
      </c>
      <c r="AU48" s="6530" t="s">
        <v>1740</v>
      </c>
      <c r="AV48" s="6450"/>
      <c r="AW48" s="6531" t="str">
        <f>IF(AT38=0,"",VLOOKUP(AT38,'Tablas psiquica'!$D$7:$R$145,14,FALSE))</f>
        <v/>
      </c>
      <c r="AX48" s="5988"/>
      <c r="AY48" s="5988"/>
      <c r="AZ48" s="6225"/>
      <c r="BA48" s="402"/>
      <c r="BB48" s="396"/>
      <c r="BC48" s="396"/>
      <c r="BD48" s="1087"/>
      <c r="BE48" s="1627">
        <v>320</v>
      </c>
      <c r="BF48" s="6530" t="s">
        <v>1740</v>
      </c>
      <c r="BG48" s="6450"/>
      <c r="BH48" s="6531" t="str">
        <f>IF(BE38=0,"",VLOOKUP(BE38,'Tablas psiquica'!$D$7:$R$145,14,FALSE))</f>
        <v/>
      </c>
      <c r="BI48" s="5988"/>
      <c r="BJ48" s="5988"/>
      <c r="BK48" s="6225"/>
      <c r="BL48" s="658"/>
      <c r="BM48" s="1627">
        <v>320</v>
      </c>
      <c r="BN48" s="6530" t="s">
        <v>1740</v>
      </c>
      <c r="BO48" s="6450"/>
      <c r="BP48" s="6531" t="str">
        <f>IF(BM38=0,"",VLOOKUP(BM38,'Tablas psiquica'!$D$7:$R$145,14,FALSE))</f>
        <v/>
      </c>
      <c r="BQ48" s="5988"/>
      <c r="BR48" s="5988"/>
      <c r="BS48" s="6225"/>
      <c r="BT48" s="1087"/>
      <c r="BU48" s="1627">
        <v>320</v>
      </c>
      <c r="BV48" s="6530" t="s">
        <v>1740</v>
      </c>
      <c r="BW48" s="6450"/>
      <c r="BX48" s="6531" t="str">
        <f>IF(BU38=0,"",VLOOKUP(BU38,'Tablas psiquica'!$D$7:$R$145,14,FALSE))</f>
        <v/>
      </c>
      <c r="BY48" s="5988"/>
      <c r="BZ48" s="5988"/>
      <c r="CA48" s="6225"/>
      <c r="CB48" s="402"/>
      <c r="CC48" s="396"/>
      <c r="CD48" s="396"/>
      <c r="CE48" s="1087"/>
      <c r="CF48" s="1627">
        <v>320</v>
      </c>
      <c r="CG48" s="6530" t="s">
        <v>1740</v>
      </c>
      <c r="CH48" s="6450"/>
      <c r="CI48" s="6531" t="str">
        <f>IF(CF38=0,"",VLOOKUP(CF38,'Tablas psiquica'!$D$7:$R$145,14,FALSE))</f>
        <v/>
      </c>
      <c r="CJ48" s="5988"/>
      <c r="CK48" s="5988"/>
      <c r="CL48" s="6225"/>
      <c r="CM48" s="658"/>
      <c r="CN48" s="1627">
        <v>320</v>
      </c>
      <c r="CO48" s="6530" t="s">
        <v>1740</v>
      </c>
      <c r="CP48" s="6450"/>
      <c r="CQ48" s="6531" t="str">
        <f>IF(CN38=0,"",VLOOKUP(CN38,'Tablas psiquica'!$D$7:$R$145,14,FALSE))</f>
        <v/>
      </c>
      <c r="CR48" s="5988"/>
      <c r="CS48" s="5988"/>
      <c r="CT48" s="6225"/>
      <c r="CU48" s="1087"/>
      <c r="CV48" s="1627">
        <v>320</v>
      </c>
      <c r="CW48" s="6530" t="s">
        <v>1740</v>
      </c>
      <c r="CX48" s="6450"/>
      <c r="CY48" s="6531" t="str">
        <f>IF(CV38=0,"",VLOOKUP(CV38,'Tablas psiquica'!$D$7:$R$145,14,FALSE))</f>
        <v/>
      </c>
      <c r="CZ48" s="5988"/>
      <c r="DA48" s="5988"/>
      <c r="DB48" s="6225"/>
      <c r="DC48" s="402"/>
      <c r="DD48" s="396"/>
    </row>
    <row r="49" spans="1:108" ht="12" customHeight="1" x14ac:dyDescent="0.2">
      <c r="A49" s="396"/>
      <c r="B49" s="1087"/>
      <c r="C49" s="428">
        <v>440</v>
      </c>
      <c r="D49" s="6532" t="s">
        <v>1683</v>
      </c>
      <c r="E49" s="6533"/>
      <c r="F49" s="6534" t="str">
        <f>IF(C38=0,"",VLOOKUP(C38,'Tablas psiquica'!$D$7:$R$145,15,FALSE))</f>
        <v/>
      </c>
      <c r="G49" s="6535"/>
      <c r="H49" s="6535"/>
      <c r="I49" s="6536"/>
      <c r="J49" s="658"/>
      <c r="K49" s="428">
        <v>440</v>
      </c>
      <c r="L49" s="6532" t="s">
        <v>1683</v>
      </c>
      <c r="M49" s="6533"/>
      <c r="N49" s="6534" t="str">
        <f>IF(K38=0,"",VLOOKUP(K38,'Tablas psiquica'!$D$7:$R$145,15,FALSE))</f>
        <v/>
      </c>
      <c r="O49" s="6535"/>
      <c r="P49" s="6535"/>
      <c r="Q49" s="6536"/>
      <c r="R49" s="1087"/>
      <c r="S49" s="428">
        <v>440</v>
      </c>
      <c r="T49" s="6532" t="s">
        <v>1683</v>
      </c>
      <c r="U49" s="6533"/>
      <c r="V49" s="6534" t="str">
        <f>IF(S38=0,"",VLOOKUP(S38,'Tablas psiquica'!$D$7:$R$145,15,FALSE))</f>
        <v/>
      </c>
      <c r="W49" s="6535"/>
      <c r="X49" s="6535"/>
      <c r="Y49" s="6536"/>
      <c r="Z49" s="402"/>
      <c r="AA49" s="396"/>
      <c r="AB49" s="396"/>
      <c r="AC49" s="1087"/>
      <c r="AD49" s="428">
        <v>440</v>
      </c>
      <c r="AE49" s="6532" t="s">
        <v>1683</v>
      </c>
      <c r="AF49" s="6533"/>
      <c r="AG49" s="6534" t="str">
        <f>IF(AD38=0,"",VLOOKUP(AD38,'Tablas psiquica'!$D$7:$R$145,15,FALSE))</f>
        <v/>
      </c>
      <c r="AH49" s="6535"/>
      <c r="AI49" s="6535"/>
      <c r="AJ49" s="6536"/>
      <c r="AK49" s="658"/>
      <c r="AL49" s="428">
        <v>440</v>
      </c>
      <c r="AM49" s="6532" t="s">
        <v>1683</v>
      </c>
      <c r="AN49" s="6533"/>
      <c r="AO49" s="6534" t="str">
        <f>IF(AL38=0,"",VLOOKUP(AL38,'Tablas psiquica'!$D$7:$R$145,15,FALSE))</f>
        <v/>
      </c>
      <c r="AP49" s="6535"/>
      <c r="AQ49" s="6535"/>
      <c r="AR49" s="6536"/>
      <c r="AS49" s="1087"/>
      <c r="AT49" s="428">
        <v>440</v>
      </c>
      <c r="AU49" s="6532" t="s">
        <v>1683</v>
      </c>
      <c r="AV49" s="6533"/>
      <c r="AW49" s="6534" t="str">
        <f>IF(AT38=0,"",VLOOKUP(AT38,'Tablas psiquica'!$D$7:$R$145,15,FALSE))</f>
        <v/>
      </c>
      <c r="AX49" s="6535"/>
      <c r="AY49" s="6535"/>
      <c r="AZ49" s="6536"/>
      <c r="BA49" s="402"/>
      <c r="BB49" s="396"/>
      <c r="BC49" s="396"/>
      <c r="BD49" s="1087"/>
      <c r="BE49" s="428">
        <v>440</v>
      </c>
      <c r="BF49" s="6532" t="s">
        <v>1683</v>
      </c>
      <c r="BG49" s="6533"/>
      <c r="BH49" s="6534" t="str">
        <f>IF(BE38=0,"",VLOOKUP(BE38,'Tablas psiquica'!$D$7:$R$145,15,FALSE))</f>
        <v/>
      </c>
      <c r="BI49" s="6535"/>
      <c r="BJ49" s="6535"/>
      <c r="BK49" s="6536"/>
      <c r="BL49" s="658"/>
      <c r="BM49" s="428">
        <v>440</v>
      </c>
      <c r="BN49" s="6532" t="s">
        <v>1683</v>
      </c>
      <c r="BO49" s="6533"/>
      <c r="BP49" s="6534" t="str">
        <f>IF(BM38=0,"",VLOOKUP(BM38,'Tablas psiquica'!$D$7:$R$145,15,FALSE))</f>
        <v/>
      </c>
      <c r="BQ49" s="6535"/>
      <c r="BR49" s="6535"/>
      <c r="BS49" s="6536"/>
      <c r="BT49" s="1087"/>
      <c r="BU49" s="428">
        <v>440</v>
      </c>
      <c r="BV49" s="6532" t="s">
        <v>1683</v>
      </c>
      <c r="BW49" s="6533"/>
      <c r="BX49" s="6534" t="str">
        <f>IF(BU38=0,"",VLOOKUP(BU38,'Tablas psiquica'!$D$7:$R$145,15,FALSE))</f>
        <v/>
      </c>
      <c r="BY49" s="6535"/>
      <c r="BZ49" s="6535"/>
      <c r="CA49" s="6536"/>
      <c r="CB49" s="402"/>
      <c r="CC49" s="396"/>
      <c r="CD49" s="396"/>
      <c r="CE49" s="1087"/>
      <c r="CF49" s="428">
        <v>440</v>
      </c>
      <c r="CG49" s="6532" t="s">
        <v>1683</v>
      </c>
      <c r="CH49" s="6533"/>
      <c r="CI49" s="6534" t="str">
        <f>IF(CF38=0,"",VLOOKUP(CF38,'Tablas psiquica'!$D$7:$R$145,15,FALSE))</f>
        <v/>
      </c>
      <c r="CJ49" s="6535"/>
      <c r="CK49" s="6535"/>
      <c r="CL49" s="6536"/>
      <c r="CM49" s="658"/>
      <c r="CN49" s="428">
        <v>440</v>
      </c>
      <c r="CO49" s="6532" t="s">
        <v>1683</v>
      </c>
      <c r="CP49" s="6533"/>
      <c r="CQ49" s="6534" t="str">
        <f>IF(CN38=0,"",VLOOKUP(CN38,'Tablas psiquica'!$D$7:$R$145,15,FALSE))</f>
        <v/>
      </c>
      <c r="CR49" s="6535"/>
      <c r="CS49" s="6535"/>
      <c r="CT49" s="6536"/>
      <c r="CU49" s="1087"/>
      <c r="CV49" s="428">
        <v>440</v>
      </c>
      <c r="CW49" s="6532" t="s">
        <v>1683</v>
      </c>
      <c r="CX49" s="6533"/>
      <c r="CY49" s="6534" t="str">
        <f>IF(CV38=0,"",VLOOKUP(CV38,'Tablas psiquica'!$D$7:$R$145,15,FALSE))</f>
        <v/>
      </c>
      <c r="CZ49" s="6535"/>
      <c r="DA49" s="6535"/>
      <c r="DB49" s="6536"/>
      <c r="DC49" s="402"/>
      <c r="DD49" s="396"/>
    </row>
    <row r="50" spans="1:108" ht="12" customHeight="1" thickBot="1" x14ac:dyDescent="0.25">
      <c r="A50" s="396"/>
      <c r="B50" s="1087"/>
      <c r="C50" s="6537" t="s">
        <v>6244</v>
      </c>
      <c r="D50" s="6538"/>
      <c r="E50" s="429" t="str">
        <f>IF(C38=0,"",VLOOKUP(C38,'Tablas psiquica'!$D$7:$R$145,4,FALSE))</f>
        <v/>
      </c>
      <c r="F50" s="6539" t="s">
        <v>6239</v>
      </c>
      <c r="G50" s="6539"/>
      <c r="H50" s="6540" t="str">
        <f>IF(C38=0,"",VLOOKUP(C38,'Tablas psiquica'!$D$7:$R$145,5,FALSE))</f>
        <v/>
      </c>
      <c r="I50" s="6541"/>
      <c r="J50" s="658"/>
      <c r="K50" s="6537" t="s">
        <v>6244</v>
      </c>
      <c r="L50" s="6538"/>
      <c r="M50" s="429" t="str">
        <f>IF(K38=0,"",VLOOKUP(K38,'Tablas psiquica'!$D$7:$R$145,4,FALSE))</f>
        <v/>
      </c>
      <c r="N50" s="6539" t="s">
        <v>6239</v>
      </c>
      <c r="O50" s="6539"/>
      <c r="P50" s="6540" t="str">
        <f>IF(K38=0,"",VLOOKUP(K38,'Tablas psiquica'!$D$7:$R$145,5,FALSE))</f>
        <v/>
      </c>
      <c r="Q50" s="6541"/>
      <c r="R50" s="1087"/>
      <c r="S50" s="6537" t="s">
        <v>6244</v>
      </c>
      <c r="T50" s="6538"/>
      <c r="U50" s="429" t="str">
        <f>IF(S38=0,"",VLOOKUP(S38,'Tablas psiquica'!$D$7:$R$145,4,FALSE))</f>
        <v/>
      </c>
      <c r="V50" s="6539" t="s">
        <v>6239</v>
      </c>
      <c r="W50" s="6539"/>
      <c r="X50" s="6540" t="str">
        <f>IF(S38=0,"",VLOOKUP(S38,'Tablas psiquica'!$D$7:$R$145,5,FALSE))</f>
        <v/>
      </c>
      <c r="Y50" s="6541"/>
      <c r="Z50" s="402"/>
      <c r="AA50" s="396"/>
      <c r="AB50" s="396"/>
      <c r="AC50" s="1087"/>
      <c r="AD50" s="6537" t="s">
        <v>6244</v>
      </c>
      <c r="AE50" s="6538"/>
      <c r="AF50" s="429" t="str">
        <f>IF(AD38=0,"",VLOOKUP(AD38,'Tablas psiquica'!$D$7:$R$145,4,FALSE))</f>
        <v/>
      </c>
      <c r="AG50" s="6539" t="s">
        <v>6239</v>
      </c>
      <c r="AH50" s="6539"/>
      <c r="AI50" s="6540" t="str">
        <f>IF(AD38=0,"",VLOOKUP(AD38,'Tablas psiquica'!$D$7:$R$145,5,FALSE))</f>
        <v/>
      </c>
      <c r="AJ50" s="6541"/>
      <c r="AK50" s="658"/>
      <c r="AL50" s="6537" t="s">
        <v>6244</v>
      </c>
      <c r="AM50" s="6538"/>
      <c r="AN50" s="429" t="str">
        <f>IF(AL38=0,"",VLOOKUP(AL38,'Tablas psiquica'!$D$7:$R$145,4,FALSE))</f>
        <v/>
      </c>
      <c r="AO50" s="6539" t="s">
        <v>6239</v>
      </c>
      <c r="AP50" s="6539"/>
      <c r="AQ50" s="6540" t="str">
        <f>IF(AL38=0,"",VLOOKUP(AL38,'Tablas psiquica'!$D$7:$R$145,5,FALSE))</f>
        <v/>
      </c>
      <c r="AR50" s="6541"/>
      <c r="AS50" s="1087"/>
      <c r="AT50" s="6537" t="s">
        <v>6244</v>
      </c>
      <c r="AU50" s="6538"/>
      <c r="AV50" s="429" t="str">
        <f>IF(AT38=0,"",VLOOKUP(AT38,'Tablas psiquica'!$D$7:$R$145,4,FALSE))</f>
        <v/>
      </c>
      <c r="AW50" s="6539" t="s">
        <v>6239</v>
      </c>
      <c r="AX50" s="6539"/>
      <c r="AY50" s="6540" t="str">
        <f>IF(AT38=0,"",VLOOKUP(AT38,'Tablas psiquica'!$D$7:$R$145,5,FALSE))</f>
        <v/>
      </c>
      <c r="AZ50" s="6541"/>
      <c r="BA50" s="402"/>
      <c r="BB50" s="396"/>
      <c r="BC50" s="396"/>
      <c r="BD50" s="1087"/>
      <c r="BE50" s="6537" t="s">
        <v>6244</v>
      </c>
      <c r="BF50" s="6538"/>
      <c r="BG50" s="429" t="str">
        <f>IF(BE38=0,"",VLOOKUP(BE38,'Tablas psiquica'!$D$7:$R$145,4,FALSE))</f>
        <v/>
      </c>
      <c r="BH50" s="6539" t="s">
        <v>6239</v>
      </c>
      <c r="BI50" s="6539"/>
      <c r="BJ50" s="6540" t="str">
        <f>IF(BE38=0,"",VLOOKUP(BE38,'Tablas psiquica'!$D$7:$R$145,5,FALSE))</f>
        <v/>
      </c>
      <c r="BK50" s="6541"/>
      <c r="BL50" s="658"/>
      <c r="BM50" s="6537" t="s">
        <v>6244</v>
      </c>
      <c r="BN50" s="6538"/>
      <c r="BO50" s="429" t="str">
        <f>IF(BM38=0,"",VLOOKUP(BM38,'Tablas psiquica'!$D$7:$R$145,4,FALSE))</f>
        <v/>
      </c>
      <c r="BP50" s="6539" t="s">
        <v>6239</v>
      </c>
      <c r="BQ50" s="6539"/>
      <c r="BR50" s="6540" t="str">
        <f>IF(BM38=0,"",VLOOKUP(BM38,'Tablas psiquica'!$D$7:$R$145,5,FALSE))</f>
        <v/>
      </c>
      <c r="BS50" s="6541"/>
      <c r="BT50" s="1087"/>
      <c r="BU50" s="6537" t="s">
        <v>6244</v>
      </c>
      <c r="BV50" s="6538"/>
      <c r="BW50" s="429" t="str">
        <f>IF(BU38=0,"",VLOOKUP(BU38,'Tablas psiquica'!$D$7:$R$145,4,FALSE))</f>
        <v/>
      </c>
      <c r="BX50" s="6539" t="s">
        <v>6239</v>
      </c>
      <c r="BY50" s="6539"/>
      <c r="BZ50" s="6540" t="str">
        <f>IF(BU38=0,"",VLOOKUP(BU38,'Tablas psiquica'!$D$7:$R$145,5,FALSE))</f>
        <v/>
      </c>
      <c r="CA50" s="6541"/>
      <c r="CB50" s="402"/>
      <c r="CC50" s="396"/>
      <c r="CD50" s="396"/>
      <c r="CE50" s="1087"/>
      <c r="CF50" s="6537" t="s">
        <v>6244</v>
      </c>
      <c r="CG50" s="6538"/>
      <c r="CH50" s="429" t="str">
        <f>IF(CF38=0,"",VLOOKUP(CF38,'Tablas psiquica'!$D$7:$R$145,4,FALSE))</f>
        <v/>
      </c>
      <c r="CI50" s="6539" t="s">
        <v>6239</v>
      </c>
      <c r="CJ50" s="6539"/>
      <c r="CK50" s="6540" t="str">
        <f>IF(CF38=0,"",VLOOKUP(CF38,'Tablas psiquica'!$D$7:$R$145,5,FALSE))</f>
        <v/>
      </c>
      <c r="CL50" s="6541"/>
      <c r="CM50" s="658"/>
      <c r="CN50" s="6537" t="s">
        <v>6244</v>
      </c>
      <c r="CO50" s="6538"/>
      <c r="CP50" s="429" t="str">
        <f>IF(CN38=0,"",VLOOKUP(CN38,'Tablas psiquica'!$D$7:$R$145,4,FALSE))</f>
        <v/>
      </c>
      <c r="CQ50" s="6539" t="s">
        <v>6239</v>
      </c>
      <c r="CR50" s="6539"/>
      <c r="CS50" s="6540" t="str">
        <f>IF(CN38=0,"",VLOOKUP(CN38,'Tablas psiquica'!$D$7:$R$145,5,FALSE))</f>
        <v/>
      </c>
      <c r="CT50" s="6541"/>
      <c r="CU50" s="1087"/>
      <c r="CV50" s="6537" t="s">
        <v>6244</v>
      </c>
      <c r="CW50" s="6538"/>
      <c r="CX50" s="429" t="str">
        <f>IF(CV38=0,"",VLOOKUP(CV38,'Tablas psiquica'!$D$7:$R$145,4,FALSE))</f>
        <v/>
      </c>
      <c r="CY50" s="6539" t="s">
        <v>6239</v>
      </c>
      <c r="CZ50" s="6539"/>
      <c r="DA50" s="6540" t="str">
        <f>IF(CV38=0,"",VLOOKUP(CV38,'Tablas psiquica'!$D$7:$R$145,5,FALSE))</f>
        <v/>
      </c>
      <c r="DB50" s="6541"/>
      <c r="DC50" s="402"/>
      <c r="DD50" s="396"/>
    </row>
    <row r="51" spans="1:108" ht="12" customHeight="1" thickBot="1" x14ac:dyDescent="0.25">
      <c r="A51" s="396"/>
      <c r="B51" s="1087"/>
      <c r="C51" s="1080"/>
      <c r="J51" s="658"/>
      <c r="K51" s="1080"/>
      <c r="R51" s="658"/>
      <c r="S51" s="1080"/>
      <c r="Z51" s="402"/>
      <c r="AA51" s="396"/>
      <c r="AB51" s="396"/>
      <c r="AC51" s="1087"/>
      <c r="AD51" s="1080"/>
      <c r="AK51" s="658"/>
      <c r="AL51" s="1080"/>
      <c r="AS51" s="658"/>
      <c r="AT51" s="1080"/>
      <c r="BA51" s="402"/>
      <c r="BB51" s="396"/>
      <c r="BC51" s="396"/>
      <c r="BD51" s="1087"/>
      <c r="BE51" s="1080"/>
      <c r="BL51" s="658"/>
      <c r="BM51" s="1080"/>
      <c r="BT51" s="658"/>
      <c r="BU51" s="1080"/>
      <c r="CB51" s="402"/>
      <c r="CC51" s="396"/>
      <c r="CD51" s="396"/>
      <c r="CE51" s="1087"/>
      <c r="CF51" s="1080"/>
      <c r="CM51" s="658"/>
      <c r="CN51" s="1080"/>
      <c r="CU51" s="658"/>
      <c r="CV51" s="1080"/>
      <c r="DC51" s="402"/>
      <c r="DD51" s="396"/>
    </row>
    <row r="52" spans="1:108" ht="12" customHeight="1" x14ac:dyDescent="0.2">
      <c r="A52" s="396"/>
      <c r="B52" s="1087">
        <v>10</v>
      </c>
      <c r="C52" s="6515">
        <f>IFERROR(INDEX('Tablas psiquica'!$U$116:$AH$130,B52,Y$7),0)</f>
        <v>0</v>
      </c>
      <c r="D52" s="6516"/>
      <c r="E52" s="6516"/>
      <c r="F52" s="6516"/>
      <c r="G52" s="6516"/>
      <c r="H52" s="6516"/>
      <c r="I52" s="427" t="s">
        <v>1403</v>
      </c>
      <c r="J52" s="658">
        <v>11</v>
      </c>
      <c r="K52" s="6515">
        <f>IFERROR(INDEX('Tablas psiquica'!$U$116:$AH$130,J52,Y$7),0)</f>
        <v>0</v>
      </c>
      <c r="L52" s="6516"/>
      <c r="M52" s="6516"/>
      <c r="N52" s="6516"/>
      <c r="O52" s="6516"/>
      <c r="P52" s="6516"/>
      <c r="Q52" s="427" t="s">
        <v>1403</v>
      </c>
      <c r="R52" s="1087">
        <v>12</v>
      </c>
      <c r="S52" s="6515">
        <f>IFERROR(INDEX('Tablas psiquica'!$U$116:$AH$130,R52,Y$7),0)</f>
        <v>0</v>
      </c>
      <c r="T52" s="6516"/>
      <c r="U52" s="6516"/>
      <c r="V52" s="6516"/>
      <c r="W52" s="6516"/>
      <c r="X52" s="6516"/>
      <c r="Y52" s="427" t="s">
        <v>1403</v>
      </c>
      <c r="Z52" s="402"/>
      <c r="AA52" s="396"/>
      <c r="AB52" s="396"/>
      <c r="AC52" s="1087">
        <v>10</v>
      </c>
      <c r="AD52" s="6515">
        <f>IFERROR(INDEX('Tablas psiquica'!$U$116:$AH$130,AC52,AZ$7),0)</f>
        <v>0</v>
      </c>
      <c r="AE52" s="6516"/>
      <c r="AF52" s="6516"/>
      <c r="AG52" s="6516"/>
      <c r="AH52" s="6516"/>
      <c r="AI52" s="6516"/>
      <c r="AJ52" s="427" t="s">
        <v>1403</v>
      </c>
      <c r="AK52" s="658">
        <v>11</v>
      </c>
      <c r="AL52" s="6515">
        <f>IFERROR(INDEX('Tablas psiquica'!$U$116:$AH$130,AK52,AZ$7),0)</f>
        <v>0</v>
      </c>
      <c r="AM52" s="6516"/>
      <c r="AN52" s="6516"/>
      <c r="AO52" s="6516"/>
      <c r="AP52" s="6516"/>
      <c r="AQ52" s="6516"/>
      <c r="AR52" s="427" t="s">
        <v>1403</v>
      </c>
      <c r="AS52" s="1087">
        <v>12</v>
      </c>
      <c r="AT52" s="6515">
        <f>IFERROR(INDEX('Tablas psiquica'!$U$116:$AH$130,AS52,AZ$7),0)</f>
        <v>0</v>
      </c>
      <c r="AU52" s="6516"/>
      <c r="AV52" s="6516"/>
      <c r="AW52" s="6516"/>
      <c r="AX52" s="6516"/>
      <c r="AY52" s="6516"/>
      <c r="AZ52" s="427" t="s">
        <v>1403</v>
      </c>
      <c r="BA52" s="402"/>
      <c r="BB52" s="396"/>
      <c r="BC52" s="396"/>
      <c r="BD52" s="1087">
        <v>10</v>
      </c>
      <c r="BE52" s="6515">
        <f>IFERROR(INDEX('Tablas psiquica'!$U$116:$AH$130,BD52,CA$7),0)</f>
        <v>0</v>
      </c>
      <c r="BF52" s="6516"/>
      <c r="BG52" s="6516"/>
      <c r="BH52" s="6516"/>
      <c r="BI52" s="6516"/>
      <c r="BJ52" s="6516"/>
      <c r="BK52" s="427" t="s">
        <v>1403</v>
      </c>
      <c r="BL52" s="658">
        <v>11</v>
      </c>
      <c r="BM52" s="6515">
        <f>IFERROR(INDEX('Tablas psiquica'!$U$116:$AH$130,BL52,CA$7),0)</f>
        <v>0</v>
      </c>
      <c r="BN52" s="6516"/>
      <c r="BO52" s="6516"/>
      <c r="BP52" s="6516"/>
      <c r="BQ52" s="6516"/>
      <c r="BR52" s="6516"/>
      <c r="BS52" s="427" t="s">
        <v>1403</v>
      </c>
      <c r="BT52" s="1087">
        <v>12</v>
      </c>
      <c r="BU52" s="6515">
        <f>IFERROR(INDEX('Tablas psiquica'!$U$116:$AH$130,BT52,CA$7),0)</f>
        <v>0</v>
      </c>
      <c r="BV52" s="6516"/>
      <c r="BW52" s="6516"/>
      <c r="BX52" s="6516"/>
      <c r="BY52" s="6516"/>
      <c r="BZ52" s="6516"/>
      <c r="CA52" s="427" t="s">
        <v>1403</v>
      </c>
      <c r="CB52" s="402"/>
      <c r="CC52" s="396"/>
      <c r="CD52" s="396"/>
      <c r="CE52" s="1087">
        <v>10</v>
      </c>
      <c r="CF52" s="6515">
        <f>IFERROR(INDEX('Tablas psiquica'!$U$116:$AH$130,CE52,DB$7),0)</f>
        <v>0</v>
      </c>
      <c r="CG52" s="6516"/>
      <c r="CH52" s="6516"/>
      <c r="CI52" s="6516"/>
      <c r="CJ52" s="6516"/>
      <c r="CK52" s="6516"/>
      <c r="CL52" s="427" t="s">
        <v>1403</v>
      </c>
      <c r="CM52" s="658">
        <v>11</v>
      </c>
      <c r="CN52" s="6515">
        <f>IFERROR(INDEX('Tablas psiquica'!$U$116:$AH$130,CM52,DB$7),0)</f>
        <v>0</v>
      </c>
      <c r="CO52" s="6516"/>
      <c r="CP52" s="6516"/>
      <c r="CQ52" s="6516"/>
      <c r="CR52" s="6516"/>
      <c r="CS52" s="6516"/>
      <c r="CT52" s="427" t="s">
        <v>1403</v>
      </c>
      <c r="CU52" s="1087">
        <v>12</v>
      </c>
      <c r="CV52" s="6515">
        <f>IFERROR(INDEX('Tablas psiquica'!$U$116:$AH$130,CU52,DB$7),0)</f>
        <v>0</v>
      </c>
      <c r="CW52" s="6516"/>
      <c r="CX52" s="6516"/>
      <c r="CY52" s="6516"/>
      <c r="CZ52" s="6516"/>
      <c r="DA52" s="6516"/>
      <c r="DB52" s="427" t="s">
        <v>1403</v>
      </c>
      <c r="DC52" s="402"/>
      <c r="DD52" s="396"/>
    </row>
    <row r="53" spans="1:108" ht="12" customHeight="1" x14ac:dyDescent="0.2">
      <c r="A53" s="396"/>
      <c r="B53" s="1087"/>
      <c r="C53" s="6517" t="str">
        <f>IF(C52=0,"",VLOOKUP(C52,'Tablas psiquica'!$D$7:$R$145,2,FALSE))</f>
        <v/>
      </c>
      <c r="D53" s="6518"/>
      <c r="E53" s="6518"/>
      <c r="F53" s="6519"/>
      <c r="G53" s="6520" t="str">
        <f>IF(C52=0,"",IF(INDEX('Tablas psiquica'!$U$115:$AH$115,1,$Y$7)=0,"No Accesible",IF(ISNA(VLOOKUP(C52,Psíquicos!$AS$17:$AS$43,1,0)),"Accesible CV","Aprendido")))</f>
        <v/>
      </c>
      <c r="H53" s="6521"/>
      <c r="I53" s="1658" t="str">
        <f>IF(C52=0,"",VLOOKUP(C52,'Tablas psiquica'!$D$7:$R$145,3,FALSE))</f>
        <v/>
      </c>
      <c r="J53" s="658"/>
      <c r="K53" s="6517" t="str">
        <f>IF(K52=0,"",VLOOKUP(K52,'Tablas psiquica'!$D$7:$R$145,2,FALSE))</f>
        <v/>
      </c>
      <c r="L53" s="6518"/>
      <c r="M53" s="6518"/>
      <c r="N53" s="6519"/>
      <c r="O53" s="6520" t="str">
        <f>IF(K52=0,"",IF(INDEX('Tablas psiquica'!$U$115:$AH$115,1,$Y$7)=0,"No Accesible",IF(ISNA(VLOOKUP(K52,Psíquicos!$AS$17:$AS$43,1,0)),"Accesible CV","Aprendido")))</f>
        <v/>
      </c>
      <c r="P53" s="6521"/>
      <c r="Q53" s="1658" t="str">
        <f>IF(K52=0,"",VLOOKUP(K52,'Tablas psiquica'!$D$7:$R$145,3,FALSE))</f>
        <v/>
      </c>
      <c r="R53" s="1087"/>
      <c r="S53" s="6517" t="str">
        <f>IF(S52=0,"",VLOOKUP(S52,'Tablas psiquica'!$D$7:$R$145,2,FALSE))</f>
        <v/>
      </c>
      <c r="T53" s="6518"/>
      <c r="U53" s="6518"/>
      <c r="V53" s="6519"/>
      <c r="W53" s="6520" t="str">
        <f>IF(S52=0,"",IF(INDEX('Tablas psiquica'!$U$115:$AH$115,1,$Y$7)=0,"No Accesible",IF(ISNA(VLOOKUP(S52,Psíquicos!$AS$17:$AS$43,1,0)),"Accesible CV","Aprendido")))</f>
        <v/>
      </c>
      <c r="X53" s="6521"/>
      <c r="Y53" s="1658" t="str">
        <f>IF(S52=0,"",VLOOKUP(S52,'Tablas psiquica'!$D$7:$R$145,3,FALSE))</f>
        <v/>
      </c>
      <c r="Z53" s="402"/>
      <c r="AA53" s="396"/>
      <c r="AB53" s="396"/>
      <c r="AC53" s="1087"/>
      <c r="AD53" s="6517" t="str">
        <f>IF(AD52=0,"",VLOOKUP(AD52,'Tablas psiquica'!$D$7:$R$145,2,FALSE))</f>
        <v/>
      </c>
      <c r="AE53" s="6518"/>
      <c r="AF53" s="6518"/>
      <c r="AG53" s="6519"/>
      <c r="AH53" s="6520" t="str">
        <f>IF(AD52=0,"",IF(INDEX('Tablas psiquica'!$U$115:$AH$115,1,$AZ$7)=0,"No Accesible",IF(ISNA(VLOOKUP(AD52,Psíquicos!$AS$17:$AS$43,1,0)),"Accesible CV","Aprendido")))</f>
        <v/>
      </c>
      <c r="AI53" s="6521"/>
      <c r="AJ53" s="1658" t="str">
        <f>IF(AD52=0,"",VLOOKUP(AD52,'Tablas psiquica'!$D$7:$R$145,3,FALSE))</f>
        <v/>
      </c>
      <c r="AK53" s="658"/>
      <c r="AL53" s="6517" t="str">
        <f>IF(AL52=0,"",VLOOKUP(AL52,'Tablas psiquica'!$D$7:$R$145,2,FALSE))</f>
        <v/>
      </c>
      <c r="AM53" s="6518"/>
      <c r="AN53" s="6518"/>
      <c r="AO53" s="6519"/>
      <c r="AP53" s="6520" t="str">
        <f>IF(AL52=0,"",IF(INDEX('Tablas psiquica'!$U$115:$AH$115,1,$AZ$7)=0,"No Accesible",IF(ISNA(VLOOKUP(AL52,Psíquicos!$AS$17:$AS$43,1,0)),"Accesible CV","Aprendido")))</f>
        <v/>
      </c>
      <c r="AQ53" s="6521"/>
      <c r="AR53" s="1658" t="str">
        <f>IF(AL52=0,"",VLOOKUP(AL52,'Tablas psiquica'!$D$7:$R$145,3,FALSE))</f>
        <v/>
      </c>
      <c r="AS53" s="1087"/>
      <c r="AT53" s="6517" t="str">
        <f>IF(AT52=0,"",VLOOKUP(AT52,'Tablas psiquica'!$D$7:$R$145,2,FALSE))</f>
        <v/>
      </c>
      <c r="AU53" s="6518"/>
      <c r="AV53" s="6518"/>
      <c r="AW53" s="6519"/>
      <c r="AX53" s="6520" t="str">
        <f>IF(AT52=0,"",IF(INDEX('Tablas psiquica'!$U$115:$AH$115,1,$AZ$7)=0,"No Accesible",IF(ISNA(VLOOKUP(AT52,Psíquicos!$AS$17:$AS$43,1,0)),"Accesible CV","Aprendido")))</f>
        <v/>
      </c>
      <c r="AY53" s="6521"/>
      <c r="AZ53" s="1658" t="str">
        <f>IF(AT52=0,"",VLOOKUP(AT52,'Tablas psiquica'!$D$7:$R$145,3,FALSE))</f>
        <v/>
      </c>
      <c r="BA53" s="402"/>
      <c r="BB53" s="396"/>
      <c r="BC53" s="396"/>
      <c r="BD53" s="1087"/>
      <c r="BE53" s="6517" t="str">
        <f>IF(BE52=0,"",VLOOKUP(BE52,'Tablas psiquica'!$D$7:$R$145,2,FALSE))</f>
        <v/>
      </c>
      <c r="BF53" s="6518"/>
      <c r="BG53" s="6518"/>
      <c r="BH53" s="6519"/>
      <c r="BI53" s="6520" t="str">
        <f>IF(BE52=0,"",IF(INDEX('Tablas psiquica'!$U$115:$AH$115,1,$CA$7)=0,"No Accesible",IF(ISNA(VLOOKUP(BE52,Psíquicos!$AS$17:$AS$43,1,0)),"Accesible CV","Aprendido")))</f>
        <v/>
      </c>
      <c r="BJ53" s="6521"/>
      <c r="BK53" s="1658" t="str">
        <f>IF(BE52=0,"",VLOOKUP(BE52,'Tablas psiquica'!$D$7:$R$145,3,FALSE))</f>
        <v/>
      </c>
      <c r="BL53" s="658"/>
      <c r="BM53" s="6517" t="str">
        <f>IF(BM52=0,"",VLOOKUP(BM52,'Tablas psiquica'!$D$7:$R$145,2,FALSE))</f>
        <v/>
      </c>
      <c r="BN53" s="6518"/>
      <c r="BO53" s="6518"/>
      <c r="BP53" s="6519"/>
      <c r="BQ53" s="6520" t="str">
        <f>IF(BM52=0,"",IF(INDEX('Tablas psiquica'!$U$115:$AH$115,1,$CA$7)=0,"No Accesible",IF(ISNA(VLOOKUP(BM52,Psíquicos!$AS$17:$AS$43,1,0)),"Accesible CV","Aprendido")))</f>
        <v/>
      </c>
      <c r="BR53" s="6521"/>
      <c r="BS53" s="1658" t="str">
        <f>IF(BM52=0,"",VLOOKUP(BM52,'Tablas psiquica'!$D$7:$R$145,3,FALSE))</f>
        <v/>
      </c>
      <c r="BT53" s="1087"/>
      <c r="BU53" s="6517" t="str">
        <f>IF(BU52=0,"",VLOOKUP(BU52,'Tablas psiquica'!$D$7:$R$145,2,FALSE))</f>
        <v/>
      </c>
      <c r="BV53" s="6518"/>
      <c r="BW53" s="6518"/>
      <c r="BX53" s="6519"/>
      <c r="BY53" s="6520" t="str">
        <f>IF(BU52=0,"",IF(INDEX('Tablas psiquica'!$U$115:$AH$115,1,$CA$7)=0,"No Accesible",IF(ISNA(VLOOKUP(BU52,Psíquicos!$AS$17:$AS$43,1,0)),"Accesible CV","Aprendido")))</f>
        <v/>
      </c>
      <c r="BZ53" s="6521"/>
      <c r="CA53" s="1658" t="str">
        <f>IF(BU52=0,"",VLOOKUP(BU52,'Tablas psiquica'!$D$7:$R$145,3,FALSE))</f>
        <v/>
      </c>
      <c r="CB53" s="402"/>
      <c r="CC53" s="396"/>
      <c r="CD53" s="396"/>
      <c r="CE53" s="1087"/>
      <c r="CF53" s="6517" t="str">
        <f>IF(CF52=0,"",VLOOKUP(CF52,'Tablas psiquica'!$D$7:$R$145,2,FALSE))</f>
        <v/>
      </c>
      <c r="CG53" s="6518"/>
      <c r="CH53" s="6518"/>
      <c r="CI53" s="6519"/>
      <c r="CJ53" s="6520" t="str">
        <f>IF(CF52=0,"",IF(INDEX('Tablas psiquica'!$U$115:$AH$115,1,$DB$7)=0,"No Accesible",IF(ISNA(VLOOKUP(CF52,Psíquicos!$AS$17:$AS$43,1,0)),"Accesible CV","Aprendido")))</f>
        <v/>
      </c>
      <c r="CK53" s="6521"/>
      <c r="CL53" s="1658" t="str">
        <f>IF(CF52=0,"",VLOOKUP(CF52,'Tablas psiquica'!$D$7:$R$145,3,FALSE))</f>
        <v/>
      </c>
      <c r="CM53" s="658"/>
      <c r="CN53" s="6517" t="str">
        <f>IF(CN52=0,"",VLOOKUP(CN52,'Tablas psiquica'!$D$7:$R$145,2,FALSE))</f>
        <v/>
      </c>
      <c r="CO53" s="6518"/>
      <c r="CP53" s="6518"/>
      <c r="CQ53" s="6519"/>
      <c r="CR53" s="6520" t="str">
        <f>IF(CN52=0,"",IF(INDEX('Tablas psiquica'!$U$115:$AH$115,1,$DB$7)=0,"No Accesible",IF(ISNA(VLOOKUP(CN52,Psíquicos!$AS$17:$AS$43,1,0)),"Accesible CV","Aprendido")))</f>
        <v/>
      </c>
      <c r="CS53" s="6521"/>
      <c r="CT53" s="1658" t="str">
        <f>IF(CN52=0,"",VLOOKUP(CN52,'Tablas psiquica'!$D$7:$R$145,3,FALSE))</f>
        <v/>
      </c>
      <c r="CU53" s="1087"/>
      <c r="CV53" s="6517" t="str">
        <f>IF(CV52=0,"",VLOOKUP(CV52,'Tablas psiquica'!$D$7:$R$145,2,FALSE))</f>
        <v/>
      </c>
      <c r="CW53" s="6518"/>
      <c r="CX53" s="6518"/>
      <c r="CY53" s="6519"/>
      <c r="CZ53" s="6520" t="str">
        <f>IF(CV52=0,"",IF(INDEX('Tablas psiquica'!$U$115:$AH$115,1,$DB$7)=0,"No Accesible",IF(ISNA(VLOOKUP(CV52,Psíquicos!$AS$17:$AS$43,1,0)),"Accesible CV","Aprendido")))</f>
        <v/>
      </c>
      <c r="DA53" s="6521"/>
      <c r="DB53" s="1658" t="str">
        <f>IF(CV52=0,"",VLOOKUP(CV52,'Tablas psiquica'!$D$7:$R$145,3,FALSE))</f>
        <v/>
      </c>
      <c r="DC53" s="402"/>
      <c r="DD53" s="396"/>
    </row>
    <row r="54" spans="1:108" ht="12" customHeight="1" x14ac:dyDescent="0.2">
      <c r="A54" s="396"/>
      <c r="B54" s="1087"/>
      <c r="C54" s="1627">
        <v>20</v>
      </c>
      <c r="D54" s="6530" t="s">
        <v>1723</v>
      </c>
      <c r="E54" s="6450"/>
      <c r="F54" s="6531" t="str">
        <f>IF(C52=0,"",VLOOKUP(C52,'Tablas psiquica'!$D$7:$R$145,6,FALSE))</f>
        <v/>
      </c>
      <c r="G54" s="5988"/>
      <c r="H54" s="5988"/>
      <c r="I54" s="6225"/>
      <c r="J54" s="658"/>
      <c r="K54" s="1627">
        <v>20</v>
      </c>
      <c r="L54" s="6530" t="s">
        <v>1723</v>
      </c>
      <c r="M54" s="6450"/>
      <c r="N54" s="6531" t="str">
        <f>IF(K52=0,"",VLOOKUP(K52,'Tablas psiquica'!$D$7:$R$145,6,FALSE))</f>
        <v/>
      </c>
      <c r="O54" s="5988"/>
      <c r="P54" s="5988"/>
      <c r="Q54" s="6225"/>
      <c r="R54" s="1087"/>
      <c r="S54" s="1627">
        <v>20</v>
      </c>
      <c r="T54" s="6530" t="s">
        <v>1723</v>
      </c>
      <c r="U54" s="6450"/>
      <c r="V54" s="6531" t="str">
        <f>IF(S52=0,"",VLOOKUP(S52,'Tablas psiquica'!$D$7:$R$145,6,FALSE))</f>
        <v/>
      </c>
      <c r="W54" s="5988"/>
      <c r="X54" s="5988"/>
      <c r="Y54" s="6225"/>
      <c r="Z54" s="402"/>
      <c r="AA54" s="396"/>
      <c r="AB54" s="396"/>
      <c r="AC54" s="1087"/>
      <c r="AD54" s="1627">
        <v>20</v>
      </c>
      <c r="AE54" s="6530" t="s">
        <v>1723</v>
      </c>
      <c r="AF54" s="6450"/>
      <c r="AG54" s="6531" t="str">
        <f>IF(AD52=0,"",VLOOKUP(AD52,'Tablas psiquica'!$D$7:$R$145,6,FALSE))</f>
        <v/>
      </c>
      <c r="AH54" s="5988"/>
      <c r="AI54" s="5988"/>
      <c r="AJ54" s="6225"/>
      <c r="AK54" s="658"/>
      <c r="AL54" s="1627">
        <v>20</v>
      </c>
      <c r="AM54" s="6530" t="s">
        <v>1723</v>
      </c>
      <c r="AN54" s="6450"/>
      <c r="AO54" s="6531" t="str">
        <f>IF(AL52=0,"",VLOOKUP(AL52,'Tablas psiquica'!$D$7:$R$145,6,FALSE))</f>
        <v/>
      </c>
      <c r="AP54" s="5988"/>
      <c r="AQ54" s="5988"/>
      <c r="AR54" s="6225"/>
      <c r="AS54" s="1087"/>
      <c r="AT54" s="1627">
        <v>20</v>
      </c>
      <c r="AU54" s="6530" t="s">
        <v>1723</v>
      </c>
      <c r="AV54" s="6450"/>
      <c r="AW54" s="6531" t="str">
        <f>IF(AT52=0,"",VLOOKUP(AT52,'Tablas psiquica'!$D$7:$R$145,6,FALSE))</f>
        <v/>
      </c>
      <c r="AX54" s="5988"/>
      <c r="AY54" s="5988"/>
      <c r="AZ54" s="6225"/>
      <c r="BA54" s="402"/>
      <c r="BB54" s="396"/>
      <c r="BC54" s="396"/>
      <c r="BD54" s="1087"/>
      <c r="BE54" s="1627">
        <v>20</v>
      </c>
      <c r="BF54" s="6530" t="s">
        <v>1723</v>
      </c>
      <c r="BG54" s="6450"/>
      <c r="BH54" s="6531" t="str">
        <f>IF(BE52=0,"",VLOOKUP(BE52,'Tablas psiquica'!$D$7:$R$145,6,FALSE))</f>
        <v/>
      </c>
      <c r="BI54" s="5988"/>
      <c r="BJ54" s="5988"/>
      <c r="BK54" s="6225"/>
      <c r="BL54" s="658"/>
      <c r="BM54" s="1627">
        <v>20</v>
      </c>
      <c r="BN54" s="6530" t="s">
        <v>1723</v>
      </c>
      <c r="BO54" s="6450"/>
      <c r="BP54" s="6531" t="str">
        <f>IF(BM52=0,"",VLOOKUP(BM52,'Tablas psiquica'!$D$7:$R$145,6,FALSE))</f>
        <v/>
      </c>
      <c r="BQ54" s="5988"/>
      <c r="BR54" s="5988"/>
      <c r="BS54" s="6225"/>
      <c r="BT54" s="1087"/>
      <c r="BU54" s="1627">
        <v>20</v>
      </c>
      <c r="BV54" s="6530" t="s">
        <v>1723</v>
      </c>
      <c r="BW54" s="6450"/>
      <c r="BX54" s="6531" t="str">
        <f>IF(BU52=0,"",VLOOKUP(BU52,'Tablas psiquica'!$D$7:$R$145,6,FALSE))</f>
        <v/>
      </c>
      <c r="BY54" s="5988"/>
      <c r="BZ54" s="5988"/>
      <c r="CA54" s="6225"/>
      <c r="CB54" s="402"/>
      <c r="CC54" s="396"/>
      <c r="CD54" s="396"/>
      <c r="CE54" s="1087"/>
      <c r="CF54" s="1627">
        <v>20</v>
      </c>
      <c r="CG54" s="6530" t="s">
        <v>1723</v>
      </c>
      <c r="CH54" s="6450"/>
      <c r="CI54" s="6531" t="str">
        <f>IF(CF52=0,"",VLOOKUP(CF52,'Tablas psiquica'!$D$7:$R$145,6,FALSE))</f>
        <v/>
      </c>
      <c r="CJ54" s="5988"/>
      <c r="CK54" s="5988"/>
      <c r="CL54" s="6225"/>
      <c r="CM54" s="658"/>
      <c r="CN54" s="1627">
        <v>20</v>
      </c>
      <c r="CO54" s="6530" t="s">
        <v>1723</v>
      </c>
      <c r="CP54" s="6450"/>
      <c r="CQ54" s="6531" t="str">
        <f>IF(CN52=0,"",VLOOKUP(CN52,'Tablas psiquica'!$D$7:$R$145,6,FALSE))</f>
        <v/>
      </c>
      <c r="CR54" s="5988"/>
      <c r="CS54" s="5988"/>
      <c r="CT54" s="6225"/>
      <c r="CU54" s="1087"/>
      <c r="CV54" s="1627">
        <v>20</v>
      </c>
      <c r="CW54" s="6530" t="s">
        <v>1723</v>
      </c>
      <c r="CX54" s="6450"/>
      <c r="CY54" s="6531" t="str">
        <f>IF(CV52=0,"",VLOOKUP(CV52,'Tablas psiquica'!$D$7:$R$145,6,FALSE))</f>
        <v/>
      </c>
      <c r="CZ54" s="5988"/>
      <c r="DA54" s="5988"/>
      <c r="DB54" s="6225"/>
      <c r="DC54" s="402"/>
      <c r="DD54" s="396"/>
    </row>
    <row r="55" spans="1:108" ht="12" customHeight="1" x14ac:dyDescent="0.2">
      <c r="A55" s="396"/>
      <c r="B55" s="1087"/>
      <c r="C55" s="1626">
        <v>40</v>
      </c>
      <c r="D55" s="6526" t="s">
        <v>1725</v>
      </c>
      <c r="E55" s="6445"/>
      <c r="F55" s="6527" t="str">
        <f>IF(C52=0,"",VLOOKUP(C52,'Tablas psiquica'!$D$7:$R$145,7,FALSE))</f>
        <v/>
      </c>
      <c r="G55" s="6528"/>
      <c r="H55" s="6528"/>
      <c r="I55" s="6529"/>
      <c r="J55" s="658"/>
      <c r="K55" s="1626">
        <v>40</v>
      </c>
      <c r="L55" s="6526" t="s">
        <v>1725</v>
      </c>
      <c r="M55" s="6445"/>
      <c r="N55" s="6527" t="str">
        <f>IF(K52=0,"",VLOOKUP(K52,'Tablas psiquica'!$D$7:$R$145,7,FALSE))</f>
        <v/>
      </c>
      <c r="O55" s="6528"/>
      <c r="P55" s="6528"/>
      <c r="Q55" s="6529"/>
      <c r="R55" s="1087"/>
      <c r="S55" s="1626">
        <v>40</v>
      </c>
      <c r="T55" s="6526" t="s">
        <v>1725</v>
      </c>
      <c r="U55" s="6445"/>
      <c r="V55" s="6527" t="str">
        <f>IF(S52=0,"",VLOOKUP(S52,'Tablas psiquica'!$D$7:$R$145,7,FALSE))</f>
        <v/>
      </c>
      <c r="W55" s="6528"/>
      <c r="X55" s="6528"/>
      <c r="Y55" s="6529"/>
      <c r="Z55" s="402"/>
      <c r="AA55" s="396"/>
      <c r="AB55" s="396"/>
      <c r="AC55" s="1087"/>
      <c r="AD55" s="1626">
        <v>40</v>
      </c>
      <c r="AE55" s="6526" t="s">
        <v>1725</v>
      </c>
      <c r="AF55" s="6445"/>
      <c r="AG55" s="6527" t="str">
        <f>IF(AD52=0,"",VLOOKUP(AD52,'Tablas psiquica'!$D$7:$R$145,7,FALSE))</f>
        <v/>
      </c>
      <c r="AH55" s="6528"/>
      <c r="AI55" s="6528"/>
      <c r="AJ55" s="6529"/>
      <c r="AK55" s="658"/>
      <c r="AL55" s="1626">
        <v>40</v>
      </c>
      <c r="AM55" s="6526" t="s">
        <v>1725</v>
      </c>
      <c r="AN55" s="6445"/>
      <c r="AO55" s="6527" t="str">
        <f>IF(AL52=0,"",VLOOKUP(AL52,'Tablas psiquica'!$D$7:$R$145,7,FALSE))</f>
        <v/>
      </c>
      <c r="AP55" s="6528"/>
      <c r="AQ55" s="6528"/>
      <c r="AR55" s="6529"/>
      <c r="AS55" s="1087"/>
      <c r="AT55" s="1626">
        <v>40</v>
      </c>
      <c r="AU55" s="6526" t="s">
        <v>1725</v>
      </c>
      <c r="AV55" s="6445"/>
      <c r="AW55" s="6527" t="str">
        <f>IF(AT52=0,"",VLOOKUP(AT52,'Tablas psiquica'!$D$7:$R$145,7,FALSE))</f>
        <v/>
      </c>
      <c r="AX55" s="6528"/>
      <c r="AY55" s="6528"/>
      <c r="AZ55" s="6529"/>
      <c r="BA55" s="402"/>
      <c r="BB55" s="396"/>
      <c r="BC55" s="396"/>
      <c r="BD55" s="1087"/>
      <c r="BE55" s="1626">
        <v>40</v>
      </c>
      <c r="BF55" s="6526" t="s">
        <v>1725</v>
      </c>
      <c r="BG55" s="6445"/>
      <c r="BH55" s="6527" t="str">
        <f>IF(BE52=0,"",VLOOKUP(BE52,'Tablas psiquica'!$D$7:$R$145,7,FALSE))</f>
        <v/>
      </c>
      <c r="BI55" s="6528"/>
      <c r="BJ55" s="6528"/>
      <c r="BK55" s="6529"/>
      <c r="BL55" s="658"/>
      <c r="BM55" s="1626">
        <v>40</v>
      </c>
      <c r="BN55" s="6526" t="s">
        <v>1725</v>
      </c>
      <c r="BO55" s="6445"/>
      <c r="BP55" s="6527" t="str">
        <f>IF(BM52=0,"",VLOOKUP(BM52,'Tablas psiquica'!$D$7:$R$145,7,FALSE))</f>
        <v/>
      </c>
      <c r="BQ55" s="6528"/>
      <c r="BR55" s="6528"/>
      <c r="BS55" s="6529"/>
      <c r="BT55" s="1087"/>
      <c r="BU55" s="1626">
        <v>40</v>
      </c>
      <c r="BV55" s="6526" t="s">
        <v>1725</v>
      </c>
      <c r="BW55" s="6445"/>
      <c r="BX55" s="6527" t="str">
        <f>IF(BU52=0,"",VLOOKUP(BU52,'Tablas psiquica'!$D$7:$R$145,7,FALSE))</f>
        <v/>
      </c>
      <c r="BY55" s="6528"/>
      <c r="BZ55" s="6528"/>
      <c r="CA55" s="6529"/>
      <c r="CB55" s="402"/>
      <c r="CC55" s="396"/>
      <c r="CD55" s="396"/>
      <c r="CE55" s="1087"/>
      <c r="CF55" s="1626">
        <v>40</v>
      </c>
      <c r="CG55" s="6526" t="s">
        <v>1725</v>
      </c>
      <c r="CH55" s="6445"/>
      <c r="CI55" s="6527" t="str">
        <f>IF(CF52=0,"",VLOOKUP(CF52,'Tablas psiquica'!$D$7:$R$145,7,FALSE))</f>
        <v/>
      </c>
      <c r="CJ55" s="6528"/>
      <c r="CK55" s="6528"/>
      <c r="CL55" s="6529"/>
      <c r="CM55" s="658"/>
      <c r="CN55" s="1626">
        <v>40</v>
      </c>
      <c r="CO55" s="6526" t="s">
        <v>1725</v>
      </c>
      <c r="CP55" s="6445"/>
      <c r="CQ55" s="6527" t="str">
        <f>IF(CN52=0,"",VLOOKUP(CN52,'Tablas psiquica'!$D$7:$R$145,7,FALSE))</f>
        <v/>
      </c>
      <c r="CR55" s="6528"/>
      <c r="CS55" s="6528"/>
      <c r="CT55" s="6529"/>
      <c r="CU55" s="1087"/>
      <c r="CV55" s="1626">
        <v>40</v>
      </c>
      <c r="CW55" s="6526" t="s">
        <v>1725</v>
      </c>
      <c r="CX55" s="6445"/>
      <c r="CY55" s="6527" t="str">
        <f>IF(CV52=0,"",VLOOKUP(CV52,'Tablas psiquica'!$D$7:$R$145,7,FALSE))</f>
        <v/>
      </c>
      <c r="CZ55" s="6528"/>
      <c r="DA55" s="6528"/>
      <c r="DB55" s="6529"/>
      <c r="DC55" s="402"/>
      <c r="DD55" s="396"/>
    </row>
    <row r="56" spans="1:108" ht="12" customHeight="1" x14ac:dyDescent="0.2">
      <c r="A56" s="396"/>
      <c r="B56" s="1087"/>
      <c r="C56" s="1627">
        <v>80</v>
      </c>
      <c r="D56" s="6530" t="s">
        <v>1728</v>
      </c>
      <c r="E56" s="6450"/>
      <c r="F56" s="6531" t="str">
        <f>IF(C52=0,"",VLOOKUP(C52,'Tablas psiquica'!$D$7:$R$145,8,FALSE))</f>
        <v/>
      </c>
      <c r="G56" s="5988"/>
      <c r="H56" s="5988"/>
      <c r="I56" s="6225"/>
      <c r="J56" s="658"/>
      <c r="K56" s="1627">
        <v>80</v>
      </c>
      <c r="L56" s="6530" t="s">
        <v>1728</v>
      </c>
      <c r="M56" s="6450"/>
      <c r="N56" s="6531" t="str">
        <f>IF(K52=0,"",VLOOKUP(K52,'Tablas psiquica'!$D$7:$R$145,8,FALSE))</f>
        <v/>
      </c>
      <c r="O56" s="5988"/>
      <c r="P56" s="5988"/>
      <c r="Q56" s="6225"/>
      <c r="R56" s="1087"/>
      <c r="S56" s="1627">
        <v>80</v>
      </c>
      <c r="T56" s="6530" t="s">
        <v>1728</v>
      </c>
      <c r="U56" s="6450"/>
      <c r="V56" s="6531" t="str">
        <f>IF(S52=0,"",VLOOKUP(S52,'Tablas psiquica'!$D$7:$R$145,8,FALSE))</f>
        <v/>
      </c>
      <c r="W56" s="5988"/>
      <c r="X56" s="5988"/>
      <c r="Y56" s="6225"/>
      <c r="Z56" s="402"/>
      <c r="AA56" s="396"/>
      <c r="AB56" s="396"/>
      <c r="AC56" s="1087"/>
      <c r="AD56" s="1627">
        <v>80</v>
      </c>
      <c r="AE56" s="6530" t="s">
        <v>1728</v>
      </c>
      <c r="AF56" s="6450"/>
      <c r="AG56" s="6531" t="str">
        <f>IF(AD52=0,"",VLOOKUP(AD52,'Tablas psiquica'!$D$7:$R$145,8,FALSE))</f>
        <v/>
      </c>
      <c r="AH56" s="5988"/>
      <c r="AI56" s="5988"/>
      <c r="AJ56" s="6225"/>
      <c r="AK56" s="658"/>
      <c r="AL56" s="1627">
        <v>80</v>
      </c>
      <c r="AM56" s="6530" t="s">
        <v>1728</v>
      </c>
      <c r="AN56" s="6450"/>
      <c r="AO56" s="6531" t="str">
        <f>IF(AL52=0,"",VLOOKUP(AL52,'Tablas psiquica'!$D$7:$R$145,8,FALSE))</f>
        <v/>
      </c>
      <c r="AP56" s="5988"/>
      <c r="AQ56" s="5988"/>
      <c r="AR56" s="6225"/>
      <c r="AS56" s="1087"/>
      <c r="AT56" s="1627">
        <v>80</v>
      </c>
      <c r="AU56" s="6530" t="s">
        <v>1728</v>
      </c>
      <c r="AV56" s="6450"/>
      <c r="AW56" s="6531" t="str">
        <f>IF(AT52=0,"",VLOOKUP(AT52,'Tablas psiquica'!$D$7:$R$145,8,FALSE))</f>
        <v/>
      </c>
      <c r="AX56" s="5988"/>
      <c r="AY56" s="5988"/>
      <c r="AZ56" s="6225"/>
      <c r="BA56" s="402"/>
      <c r="BB56" s="396"/>
      <c r="BC56" s="396"/>
      <c r="BD56" s="1087"/>
      <c r="BE56" s="1627">
        <v>80</v>
      </c>
      <c r="BF56" s="6530" t="s">
        <v>1728</v>
      </c>
      <c r="BG56" s="6450"/>
      <c r="BH56" s="6531" t="str">
        <f>IF(BE52=0,"",VLOOKUP(BE52,'Tablas psiquica'!$D$7:$R$145,8,FALSE))</f>
        <v/>
      </c>
      <c r="BI56" s="5988"/>
      <c r="BJ56" s="5988"/>
      <c r="BK56" s="6225"/>
      <c r="BL56" s="658"/>
      <c r="BM56" s="1627">
        <v>80</v>
      </c>
      <c r="BN56" s="6530" t="s">
        <v>1728</v>
      </c>
      <c r="BO56" s="6450"/>
      <c r="BP56" s="6531" t="str">
        <f>IF(BM52=0,"",VLOOKUP(BM52,'Tablas psiquica'!$D$7:$R$145,8,FALSE))</f>
        <v/>
      </c>
      <c r="BQ56" s="5988"/>
      <c r="BR56" s="5988"/>
      <c r="BS56" s="6225"/>
      <c r="BT56" s="1087"/>
      <c r="BU56" s="1627">
        <v>80</v>
      </c>
      <c r="BV56" s="6530" t="s">
        <v>1728</v>
      </c>
      <c r="BW56" s="6450"/>
      <c r="BX56" s="6531" t="str">
        <f>IF(BU52=0,"",VLOOKUP(BU52,'Tablas psiquica'!$D$7:$R$145,8,FALSE))</f>
        <v/>
      </c>
      <c r="BY56" s="5988"/>
      <c r="BZ56" s="5988"/>
      <c r="CA56" s="6225"/>
      <c r="CB56" s="402"/>
      <c r="CC56" s="396"/>
      <c r="CD56" s="396"/>
      <c r="CE56" s="1087"/>
      <c r="CF56" s="1627">
        <v>80</v>
      </c>
      <c r="CG56" s="6530" t="s">
        <v>1728</v>
      </c>
      <c r="CH56" s="6450"/>
      <c r="CI56" s="6531" t="str">
        <f>IF(CF52=0,"",VLOOKUP(CF52,'Tablas psiquica'!$D$7:$R$145,8,FALSE))</f>
        <v/>
      </c>
      <c r="CJ56" s="5988"/>
      <c r="CK56" s="5988"/>
      <c r="CL56" s="6225"/>
      <c r="CM56" s="658"/>
      <c r="CN56" s="1627">
        <v>80</v>
      </c>
      <c r="CO56" s="6530" t="s">
        <v>1728</v>
      </c>
      <c r="CP56" s="6450"/>
      <c r="CQ56" s="6531" t="str">
        <f>IF(CN52=0,"",VLOOKUP(CN52,'Tablas psiquica'!$D$7:$R$145,8,FALSE))</f>
        <v/>
      </c>
      <c r="CR56" s="5988"/>
      <c r="CS56" s="5988"/>
      <c r="CT56" s="6225"/>
      <c r="CU56" s="1087"/>
      <c r="CV56" s="1627">
        <v>80</v>
      </c>
      <c r="CW56" s="6530" t="s">
        <v>1728</v>
      </c>
      <c r="CX56" s="6450"/>
      <c r="CY56" s="6531" t="str">
        <f>IF(CV52=0,"",VLOOKUP(CV52,'Tablas psiquica'!$D$7:$R$145,8,FALSE))</f>
        <v/>
      </c>
      <c r="CZ56" s="5988"/>
      <c r="DA56" s="5988"/>
      <c r="DB56" s="6225"/>
      <c r="DC56" s="402"/>
      <c r="DD56" s="396"/>
    </row>
    <row r="57" spans="1:108" ht="12" customHeight="1" x14ac:dyDescent="0.2">
      <c r="A57" s="396"/>
      <c r="B57" s="1087"/>
      <c r="C57" s="1626">
        <v>120</v>
      </c>
      <c r="D57" s="6526" t="s">
        <v>1731</v>
      </c>
      <c r="E57" s="6445"/>
      <c r="F57" s="6527" t="str">
        <f>IF(C52=0,"",VLOOKUP(C52,'Tablas psiquica'!$D$7:$R$145,9,FALSE))</f>
        <v/>
      </c>
      <c r="G57" s="6528"/>
      <c r="H57" s="6528"/>
      <c r="I57" s="6529"/>
      <c r="J57" s="658"/>
      <c r="K57" s="1626">
        <v>120</v>
      </c>
      <c r="L57" s="6526" t="s">
        <v>1731</v>
      </c>
      <c r="M57" s="6445"/>
      <c r="N57" s="6527" t="str">
        <f>IF(K52=0,"",VLOOKUP(K52,'Tablas psiquica'!$D$7:$R$145,9,FALSE))</f>
        <v/>
      </c>
      <c r="O57" s="6528"/>
      <c r="P57" s="6528"/>
      <c r="Q57" s="6529"/>
      <c r="R57" s="1087"/>
      <c r="S57" s="1626">
        <v>120</v>
      </c>
      <c r="T57" s="6526" t="s">
        <v>1731</v>
      </c>
      <c r="U57" s="6445"/>
      <c r="V57" s="6527" t="str">
        <f>IF(S52=0,"",VLOOKUP(S52,'Tablas psiquica'!$D$7:$R$145,9,FALSE))</f>
        <v/>
      </c>
      <c r="W57" s="6528"/>
      <c r="X57" s="6528"/>
      <c r="Y57" s="6529"/>
      <c r="Z57" s="402"/>
      <c r="AA57" s="396"/>
      <c r="AB57" s="396"/>
      <c r="AC57" s="1087"/>
      <c r="AD57" s="1626">
        <v>120</v>
      </c>
      <c r="AE57" s="6526" t="s">
        <v>1731</v>
      </c>
      <c r="AF57" s="6445"/>
      <c r="AG57" s="6527" t="str">
        <f>IF(AD52=0,"",VLOOKUP(AD52,'Tablas psiquica'!$D$7:$R$145,9,FALSE))</f>
        <v/>
      </c>
      <c r="AH57" s="6528"/>
      <c r="AI57" s="6528"/>
      <c r="AJ57" s="6529"/>
      <c r="AK57" s="658"/>
      <c r="AL57" s="1626">
        <v>120</v>
      </c>
      <c r="AM57" s="6526" t="s">
        <v>1731</v>
      </c>
      <c r="AN57" s="6445"/>
      <c r="AO57" s="6527" t="str">
        <f>IF(AL52=0,"",VLOOKUP(AL52,'Tablas psiquica'!$D$7:$R$145,9,FALSE))</f>
        <v/>
      </c>
      <c r="AP57" s="6528"/>
      <c r="AQ57" s="6528"/>
      <c r="AR57" s="6529"/>
      <c r="AS57" s="1087"/>
      <c r="AT57" s="1626">
        <v>120</v>
      </c>
      <c r="AU57" s="6526" t="s">
        <v>1731</v>
      </c>
      <c r="AV57" s="6445"/>
      <c r="AW57" s="6527" t="str">
        <f>IF(AT52=0,"",VLOOKUP(AT52,'Tablas psiquica'!$D$7:$R$145,9,FALSE))</f>
        <v/>
      </c>
      <c r="AX57" s="6528"/>
      <c r="AY57" s="6528"/>
      <c r="AZ57" s="6529"/>
      <c r="BA57" s="402"/>
      <c r="BB57" s="396"/>
      <c r="BC57" s="396"/>
      <c r="BD57" s="1087"/>
      <c r="BE57" s="1626">
        <v>120</v>
      </c>
      <c r="BF57" s="6526" t="s">
        <v>1731</v>
      </c>
      <c r="BG57" s="6445"/>
      <c r="BH57" s="6527" t="str">
        <f>IF(BE52=0,"",VLOOKUP(BE52,'Tablas psiquica'!$D$7:$R$145,9,FALSE))</f>
        <v/>
      </c>
      <c r="BI57" s="6528"/>
      <c r="BJ57" s="6528"/>
      <c r="BK57" s="6529"/>
      <c r="BL57" s="658"/>
      <c r="BM57" s="1626">
        <v>120</v>
      </c>
      <c r="BN57" s="6526" t="s">
        <v>1731</v>
      </c>
      <c r="BO57" s="6445"/>
      <c r="BP57" s="6527" t="str">
        <f>IF(BM52=0,"",VLOOKUP(BM52,'Tablas psiquica'!$D$7:$R$145,9,FALSE))</f>
        <v/>
      </c>
      <c r="BQ57" s="6528"/>
      <c r="BR57" s="6528"/>
      <c r="BS57" s="6529"/>
      <c r="BT57" s="1087"/>
      <c r="BU57" s="1626">
        <v>120</v>
      </c>
      <c r="BV57" s="6526" t="s">
        <v>1731</v>
      </c>
      <c r="BW57" s="6445"/>
      <c r="BX57" s="6527" t="str">
        <f>IF(BU52=0,"",VLOOKUP(BU52,'Tablas psiquica'!$D$7:$R$145,9,FALSE))</f>
        <v/>
      </c>
      <c r="BY57" s="6528"/>
      <c r="BZ57" s="6528"/>
      <c r="CA57" s="6529"/>
      <c r="CB57" s="402"/>
      <c r="CC57" s="396"/>
      <c r="CD57" s="396"/>
      <c r="CE57" s="1087"/>
      <c r="CF57" s="1626">
        <v>120</v>
      </c>
      <c r="CG57" s="6526" t="s">
        <v>1731</v>
      </c>
      <c r="CH57" s="6445"/>
      <c r="CI57" s="6527" t="str">
        <f>IF(CF52=0,"",VLOOKUP(CF52,'Tablas psiquica'!$D$7:$R$145,9,FALSE))</f>
        <v/>
      </c>
      <c r="CJ57" s="6528"/>
      <c r="CK57" s="6528"/>
      <c r="CL57" s="6529"/>
      <c r="CM57" s="658"/>
      <c r="CN57" s="1626">
        <v>120</v>
      </c>
      <c r="CO57" s="6526" t="s">
        <v>1731</v>
      </c>
      <c r="CP57" s="6445"/>
      <c r="CQ57" s="6527" t="str">
        <f>IF(CN52=0,"",VLOOKUP(CN52,'Tablas psiquica'!$D$7:$R$145,9,FALSE))</f>
        <v/>
      </c>
      <c r="CR57" s="6528"/>
      <c r="CS57" s="6528"/>
      <c r="CT57" s="6529"/>
      <c r="CU57" s="1087"/>
      <c r="CV57" s="1626">
        <v>120</v>
      </c>
      <c r="CW57" s="6526" t="s">
        <v>1731</v>
      </c>
      <c r="CX57" s="6445"/>
      <c r="CY57" s="6527" t="str">
        <f>IF(CV52=0,"",VLOOKUP(CV52,'Tablas psiquica'!$D$7:$R$145,9,FALSE))</f>
        <v/>
      </c>
      <c r="CZ57" s="6528"/>
      <c r="DA57" s="6528"/>
      <c r="DB57" s="6529"/>
      <c r="DC57" s="402"/>
      <c r="DD57" s="396"/>
    </row>
    <row r="58" spans="1:108" ht="12" customHeight="1" x14ac:dyDescent="0.2">
      <c r="A58" s="396"/>
      <c r="B58" s="1087"/>
      <c r="C58" s="1627">
        <v>140</v>
      </c>
      <c r="D58" s="6530" t="s">
        <v>6242</v>
      </c>
      <c r="E58" s="6450"/>
      <c r="F58" s="6531" t="str">
        <f>IF(C52=0,"",VLOOKUP(C52,'Tablas psiquica'!$D$7:$R$145,10,FALSE))</f>
        <v/>
      </c>
      <c r="G58" s="5988"/>
      <c r="H58" s="5988"/>
      <c r="I58" s="6225"/>
      <c r="J58" s="658"/>
      <c r="K58" s="1627">
        <v>140</v>
      </c>
      <c r="L58" s="6530" t="s">
        <v>6242</v>
      </c>
      <c r="M58" s="6450"/>
      <c r="N58" s="6531" t="str">
        <f>IF(K52=0,"",VLOOKUP(K52,'Tablas psiquica'!$D$7:$R$145,10,FALSE))</f>
        <v/>
      </c>
      <c r="O58" s="5988"/>
      <c r="P58" s="5988"/>
      <c r="Q58" s="6225"/>
      <c r="R58" s="1087"/>
      <c r="S58" s="1627">
        <v>140</v>
      </c>
      <c r="T58" s="6530" t="s">
        <v>6242</v>
      </c>
      <c r="U58" s="6450"/>
      <c r="V58" s="6531" t="str">
        <f>IF(S52=0,"",VLOOKUP(S52,'Tablas psiquica'!$D$7:$R$145,10,FALSE))</f>
        <v/>
      </c>
      <c r="W58" s="5988"/>
      <c r="X58" s="5988"/>
      <c r="Y58" s="6225"/>
      <c r="Z58" s="402"/>
      <c r="AA58" s="396"/>
      <c r="AB58" s="396"/>
      <c r="AC58" s="1087"/>
      <c r="AD58" s="1627">
        <v>140</v>
      </c>
      <c r="AE58" s="6530" t="s">
        <v>6242</v>
      </c>
      <c r="AF58" s="6450"/>
      <c r="AG58" s="6531" t="str">
        <f>IF(AD52=0,"",VLOOKUP(AD52,'Tablas psiquica'!$D$7:$R$145,10,FALSE))</f>
        <v/>
      </c>
      <c r="AH58" s="5988"/>
      <c r="AI58" s="5988"/>
      <c r="AJ58" s="6225"/>
      <c r="AK58" s="658"/>
      <c r="AL58" s="1627">
        <v>140</v>
      </c>
      <c r="AM58" s="6530" t="s">
        <v>6242</v>
      </c>
      <c r="AN58" s="6450"/>
      <c r="AO58" s="6531" t="str">
        <f>IF(AL52=0,"",VLOOKUP(AL52,'Tablas psiquica'!$D$7:$R$145,10,FALSE))</f>
        <v/>
      </c>
      <c r="AP58" s="5988"/>
      <c r="AQ58" s="5988"/>
      <c r="AR58" s="6225"/>
      <c r="AS58" s="1087"/>
      <c r="AT58" s="1627">
        <v>140</v>
      </c>
      <c r="AU58" s="6530" t="s">
        <v>6242</v>
      </c>
      <c r="AV58" s="6450"/>
      <c r="AW58" s="6531" t="str">
        <f>IF(AT52=0,"",VLOOKUP(AT52,'Tablas psiquica'!$D$7:$R$145,10,FALSE))</f>
        <v/>
      </c>
      <c r="AX58" s="5988"/>
      <c r="AY58" s="5988"/>
      <c r="AZ58" s="6225"/>
      <c r="BA58" s="402"/>
      <c r="BB58" s="396"/>
      <c r="BC58" s="396"/>
      <c r="BD58" s="1087"/>
      <c r="BE58" s="1627">
        <v>140</v>
      </c>
      <c r="BF58" s="6530" t="s">
        <v>6242</v>
      </c>
      <c r="BG58" s="6450"/>
      <c r="BH58" s="6531" t="str">
        <f>IF(BE52=0,"",VLOOKUP(BE52,'Tablas psiquica'!$D$7:$R$145,10,FALSE))</f>
        <v/>
      </c>
      <c r="BI58" s="5988"/>
      <c r="BJ58" s="5988"/>
      <c r="BK58" s="6225"/>
      <c r="BL58" s="658"/>
      <c r="BM58" s="1627">
        <v>140</v>
      </c>
      <c r="BN58" s="6530" t="s">
        <v>6242</v>
      </c>
      <c r="BO58" s="6450"/>
      <c r="BP58" s="6531" t="str">
        <f>IF(BM52=0,"",VLOOKUP(BM52,'Tablas psiquica'!$D$7:$R$145,10,FALSE))</f>
        <v/>
      </c>
      <c r="BQ58" s="5988"/>
      <c r="BR58" s="5988"/>
      <c r="BS58" s="6225"/>
      <c r="BT58" s="1087"/>
      <c r="BU58" s="1627">
        <v>140</v>
      </c>
      <c r="BV58" s="6530" t="s">
        <v>6242</v>
      </c>
      <c r="BW58" s="6450"/>
      <c r="BX58" s="6531" t="str">
        <f>IF(BU52=0,"",VLOOKUP(BU52,'Tablas psiquica'!$D$7:$R$145,10,FALSE))</f>
        <v/>
      </c>
      <c r="BY58" s="5988"/>
      <c r="BZ58" s="5988"/>
      <c r="CA58" s="6225"/>
      <c r="CB58" s="402"/>
      <c r="CC58" s="396"/>
      <c r="CD58" s="396"/>
      <c r="CE58" s="1087"/>
      <c r="CF58" s="1627">
        <v>140</v>
      </c>
      <c r="CG58" s="6530" t="s">
        <v>6242</v>
      </c>
      <c r="CH58" s="6450"/>
      <c r="CI58" s="6531" t="str">
        <f>IF(CF52=0,"",VLOOKUP(CF52,'Tablas psiquica'!$D$7:$R$145,10,FALSE))</f>
        <v/>
      </c>
      <c r="CJ58" s="5988"/>
      <c r="CK58" s="5988"/>
      <c r="CL58" s="6225"/>
      <c r="CM58" s="658"/>
      <c r="CN58" s="1627">
        <v>140</v>
      </c>
      <c r="CO58" s="6530" t="s">
        <v>6242</v>
      </c>
      <c r="CP58" s="6450"/>
      <c r="CQ58" s="6531" t="str">
        <f>IF(CN52=0,"",VLOOKUP(CN52,'Tablas psiquica'!$D$7:$R$145,10,FALSE))</f>
        <v/>
      </c>
      <c r="CR58" s="5988"/>
      <c r="CS58" s="5988"/>
      <c r="CT58" s="6225"/>
      <c r="CU58" s="1087"/>
      <c r="CV58" s="1627">
        <v>140</v>
      </c>
      <c r="CW58" s="6530" t="s">
        <v>6242</v>
      </c>
      <c r="CX58" s="6450"/>
      <c r="CY58" s="6531" t="str">
        <f>IF(CV52=0,"",VLOOKUP(CV52,'Tablas psiquica'!$D$7:$R$145,10,FALSE))</f>
        <v/>
      </c>
      <c r="CZ58" s="5988"/>
      <c r="DA58" s="5988"/>
      <c r="DB58" s="6225"/>
      <c r="DC58" s="402"/>
      <c r="DD58" s="396"/>
    </row>
    <row r="59" spans="1:108" ht="12" customHeight="1" x14ac:dyDescent="0.2">
      <c r="A59" s="396"/>
      <c r="B59" s="1087"/>
      <c r="C59" s="1626">
        <v>180</v>
      </c>
      <c r="D59" s="6526" t="s">
        <v>1735</v>
      </c>
      <c r="E59" s="6445"/>
      <c r="F59" s="6527" t="str">
        <f>IF(C52=0,"",VLOOKUP(C52,'Tablas psiquica'!$D$7:$R$145,11,FALSE))</f>
        <v/>
      </c>
      <c r="G59" s="6528"/>
      <c r="H59" s="6528"/>
      <c r="I59" s="6529"/>
      <c r="J59" s="658"/>
      <c r="K59" s="1626">
        <v>180</v>
      </c>
      <c r="L59" s="6526" t="s">
        <v>1735</v>
      </c>
      <c r="M59" s="6445"/>
      <c r="N59" s="6527" t="str">
        <f>IF(K52=0,"",VLOOKUP(K52,'Tablas psiquica'!$D$7:$R$145,11,FALSE))</f>
        <v/>
      </c>
      <c r="O59" s="6528"/>
      <c r="P59" s="6528"/>
      <c r="Q59" s="6529"/>
      <c r="R59" s="1087"/>
      <c r="S59" s="1626">
        <v>180</v>
      </c>
      <c r="T59" s="6526" t="s">
        <v>1735</v>
      </c>
      <c r="U59" s="6445"/>
      <c r="V59" s="6527" t="str">
        <f>IF(S52=0,"",VLOOKUP(S52,'Tablas psiquica'!$D$7:$R$145,11,FALSE))</f>
        <v/>
      </c>
      <c r="W59" s="6528"/>
      <c r="X59" s="6528"/>
      <c r="Y59" s="6529"/>
      <c r="Z59" s="402"/>
      <c r="AA59" s="396"/>
      <c r="AB59" s="396"/>
      <c r="AC59" s="1087"/>
      <c r="AD59" s="1626">
        <v>180</v>
      </c>
      <c r="AE59" s="6526" t="s">
        <v>1735</v>
      </c>
      <c r="AF59" s="6445"/>
      <c r="AG59" s="6527" t="str">
        <f>IF(AD52=0,"",VLOOKUP(AD52,'Tablas psiquica'!$D$7:$R$145,11,FALSE))</f>
        <v/>
      </c>
      <c r="AH59" s="6528"/>
      <c r="AI59" s="6528"/>
      <c r="AJ59" s="6529"/>
      <c r="AK59" s="658"/>
      <c r="AL59" s="1626">
        <v>180</v>
      </c>
      <c r="AM59" s="6526" t="s">
        <v>1735</v>
      </c>
      <c r="AN59" s="6445"/>
      <c r="AO59" s="6527" t="str">
        <f>IF(AL52=0,"",VLOOKUP(AL52,'Tablas psiquica'!$D$7:$R$145,11,FALSE))</f>
        <v/>
      </c>
      <c r="AP59" s="6528"/>
      <c r="AQ59" s="6528"/>
      <c r="AR59" s="6529"/>
      <c r="AS59" s="1087"/>
      <c r="AT59" s="1626">
        <v>180</v>
      </c>
      <c r="AU59" s="6526" t="s">
        <v>1735</v>
      </c>
      <c r="AV59" s="6445"/>
      <c r="AW59" s="6527" t="str">
        <f>IF(AT52=0,"",VLOOKUP(AT52,'Tablas psiquica'!$D$7:$R$145,11,FALSE))</f>
        <v/>
      </c>
      <c r="AX59" s="6528"/>
      <c r="AY59" s="6528"/>
      <c r="AZ59" s="6529"/>
      <c r="BA59" s="402"/>
      <c r="BB59" s="396"/>
      <c r="BC59" s="396"/>
      <c r="BD59" s="1087"/>
      <c r="BE59" s="1626">
        <v>180</v>
      </c>
      <c r="BF59" s="6526" t="s">
        <v>1735</v>
      </c>
      <c r="BG59" s="6445"/>
      <c r="BH59" s="6527" t="str">
        <f>IF(BE52=0,"",VLOOKUP(BE52,'Tablas psiquica'!$D$7:$R$145,11,FALSE))</f>
        <v/>
      </c>
      <c r="BI59" s="6528"/>
      <c r="BJ59" s="6528"/>
      <c r="BK59" s="6529"/>
      <c r="BL59" s="658"/>
      <c r="BM59" s="1626">
        <v>180</v>
      </c>
      <c r="BN59" s="6526" t="s">
        <v>1735</v>
      </c>
      <c r="BO59" s="6445"/>
      <c r="BP59" s="6527" t="str">
        <f>IF(BM52=0,"",VLOOKUP(BM52,'Tablas psiquica'!$D$7:$R$145,11,FALSE))</f>
        <v/>
      </c>
      <c r="BQ59" s="6528"/>
      <c r="BR59" s="6528"/>
      <c r="BS59" s="6529"/>
      <c r="BT59" s="1087"/>
      <c r="BU59" s="1626">
        <v>180</v>
      </c>
      <c r="BV59" s="6526" t="s">
        <v>1735</v>
      </c>
      <c r="BW59" s="6445"/>
      <c r="BX59" s="6527" t="str">
        <f>IF(BU52=0,"",VLOOKUP(BU52,'Tablas psiquica'!$D$7:$R$145,11,FALSE))</f>
        <v/>
      </c>
      <c r="BY59" s="6528"/>
      <c r="BZ59" s="6528"/>
      <c r="CA59" s="6529"/>
      <c r="CB59" s="402"/>
      <c r="CC59" s="396"/>
      <c r="CD59" s="396"/>
      <c r="CE59" s="1087"/>
      <c r="CF59" s="1626">
        <v>180</v>
      </c>
      <c r="CG59" s="6526" t="s">
        <v>1735</v>
      </c>
      <c r="CH59" s="6445"/>
      <c r="CI59" s="6527" t="str">
        <f>IF(CF52=0,"",VLOOKUP(CF52,'Tablas psiquica'!$D$7:$R$145,11,FALSE))</f>
        <v/>
      </c>
      <c r="CJ59" s="6528"/>
      <c r="CK59" s="6528"/>
      <c r="CL59" s="6529"/>
      <c r="CM59" s="658"/>
      <c r="CN59" s="1626">
        <v>180</v>
      </c>
      <c r="CO59" s="6526" t="s">
        <v>1735</v>
      </c>
      <c r="CP59" s="6445"/>
      <c r="CQ59" s="6527" t="str">
        <f>IF(CN52=0,"",VLOOKUP(CN52,'Tablas psiquica'!$D$7:$R$145,11,FALSE))</f>
        <v/>
      </c>
      <c r="CR59" s="6528"/>
      <c r="CS59" s="6528"/>
      <c r="CT59" s="6529"/>
      <c r="CU59" s="1087"/>
      <c r="CV59" s="1626">
        <v>180</v>
      </c>
      <c r="CW59" s="6526" t="s">
        <v>1735</v>
      </c>
      <c r="CX59" s="6445"/>
      <c r="CY59" s="6527" t="str">
        <f>IF(CV52=0,"",VLOOKUP(CV52,'Tablas psiquica'!$D$7:$R$145,11,FALSE))</f>
        <v/>
      </c>
      <c r="CZ59" s="6528"/>
      <c r="DA59" s="6528"/>
      <c r="DB59" s="6529"/>
      <c r="DC59" s="402"/>
      <c r="DD59" s="396"/>
    </row>
    <row r="60" spans="1:108" ht="12" customHeight="1" x14ac:dyDescent="0.2">
      <c r="A60" s="396"/>
      <c r="B60" s="1087"/>
      <c r="C60" s="1627">
        <v>240</v>
      </c>
      <c r="D60" s="6530" t="s">
        <v>6243</v>
      </c>
      <c r="E60" s="6450"/>
      <c r="F60" s="6531" t="str">
        <f>IF(C52=0,"",VLOOKUP(C52,'Tablas psiquica'!$D$7:$R$145,12,FALSE))</f>
        <v/>
      </c>
      <c r="G60" s="5988"/>
      <c r="H60" s="5988"/>
      <c r="I60" s="6225"/>
      <c r="J60" s="658"/>
      <c r="K60" s="1627">
        <v>240</v>
      </c>
      <c r="L60" s="6530" t="s">
        <v>6243</v>
      </c>
      <c r="M60" s="6450"/>
      <c r="N60" s="6531" t="str">
        <f>IF(K52=0,"",VLOOKUP(K52,'Tablas psiquica'!$D$7:$R$145,12,FALSE))</f>
        <v/>
      </c>
      <c r="O60" s="5988"/>
      <c r="P60" s="5988"/>
      <c r="Q60" s="6225"/>
      <c r="R60" s="1087"/>
      <c r="S60" s="1627">
        <v>240</v>
      </c>
      <c r="T60" s="6530" t="s">
        <v>6243</v>
      </c>
      <c r="U60" s="6450"/>
      <c r="V60" s="6531" t="str">
        <f>IF(S52=0,"",VLOOKUP(S52,'Tablas psiquica'!$D$7:$R$145,12,FALSE))</f>
        <v/>
      </c>
      <c r="W60" s="5988"/>
      <c r="X60" s="5988"/>
      <c r="Y60" s="6225"/>
      <c r="Z60" s="402"/>
      <c r="AA60" s="396"/>
      <c r="AB60" s="396"/>
      <c r="AC60" s="1087"/>
      <c r="AD60" s="1627">
        <v>240</v>
      </c>
      <c r="AE60" s="6530" t="s">
        <v>6243</v>
      </c>
      <c r="AF60" s="6450"/>
      <c r="AG60" s="6531" t="str">
        <f>IF(AD52=0,"",VLOOKUP(AD52,'Tablas psiquica'!$D$7:$R$145,12,FALSE))</f>
        <v/>
      </c>
      <c r="AH60" s="5988"/>
      <c r="AI60" s="5988"/>
      <c r="AJ60" s="6225"/>
      <c r="AK60" s="658"/>
      <c r="AL60" s="1627">
        <v>240</v>
      </c>
      <c r="AM60" s="6530" t="s">
        <v>6243</v>
      </c>
      <c r="AN60" s="6450"/>
      <c r="AO60" s="6531" t="str">
        <f>IF(AL52=0,"",VLOOKUP(AL52,'Tablas psiquica'!$D$7:$R$145,12,FALSE))</f>
        <v/>
      </c>
      <c r="AP60" s="5988"/>
      <c r="AQ60" s="5988"/>
      <c r="AR60" s="6225"/>
      <c r="AS60" s="1087"/>
      <c r="AT60" s="1627">
        <v>240</v>
      </c>
      <c r="AU60" s="6530" t="s">
        <v>6243</v>
      </c>
      <c r="AV60" s="6450"/>
      <c r="AW60" s="6531" t="str">
        <f>IF(AT52=0,"",VLOOKUP(AT52,'Tablas psiquica'!$D$7:$R$145,12,FALSE))</f>
        <v/>
      </c>
      <c r="AX60" s="5988"/>
      <c r="AY60" s="5988"/>
      <c r="AZ60" s="6225"/>
      <c r="BA60" s="402"/>
      <c r="BB60" s="396"/>
      <c r="BC60" s="396"/>
      <c r="BD60" s="1087"/>
      <c r="BE60" s="1627">
        <v>240</v>
      </c>
      <c r="BF60" s="6530" t="s">
        <v>6243</v>
      </c>
      <c r="BG60" s="6450"/>
      <c r="BH60" s="6531" t="str">
        <f>IF(BE52=0,"",VLOOKUP(BE52,'Tablas psiquica'!$D$7:$R$145,12,FALSE))</f>
        <v/>
      </c>
      <c r="BI60" s="5988"/>
      <c r="BJ60" s="5988"/>
      <c r="BK60" s="6225"/>
      <c r="BL60" s="658"/>
      <c r="BM60" s="1627">
        <v>240</v>
      </c>
      <c r="BN60" s="6530" t="s">
        <v>6243</v>
      </c>
      <c r="BO60" s="6450"/>
      <c r="BP60" s="6531" t="str">
        <f>IF(BM52=0,"",VLOOKUP(BM52,'Tablas psiquica'!$D$7:$R$145,12,FALSE))</f>
        <v/>
      </c>
      <c r="BQ60" s="5988"/>
      <c r="BR60" s="5988"/>
      <c r="BS60" s="6225"/>
      <c r="BT60" s="1087"/>
      <c r="BU60" s="1627">
        <v>240</v>
      </c>
      <c r="BV60" s="6530" t="s">
        <v>6243</v>
      </c>
      <c r="BW60" s="6450"/>
      <c r="BX60" s="6531" t="str">
        <f>IF(BU52=0,"",VLOOKUP(BU52,'Tablas psiquica'!$D$7:$R$145,12,FALSE))</f>
        <v/>
      </c>
      <c r="BY60" s="5988"/>
      <c r="BZ60" s="5988"/>
      <c r="CA60" s="6225"/>
      <c r="CB60" s="402"/>
      <c r="CC60" s="396"/>
      <c r="CD60" s="396"/>
      <c r="CE60" s="1087"/>
      <c r="CF60" s="1627">
        <v>240</v>
      </c>
      <c r="CG60" s="6530" t="s">
        <v>6243</v>
      </c>
      <c r="CH60" s="6450"/>
      <c r="CI60" s="6531" t="str">
        <f>IF(CF52=0,"",VLOOKUP(CF52,'Tablas psiquica'!$D$7:$R$145,12,FALSE))</f>
        <v/>
      </c>
      <c r="CJ60" s="5988"/>
      <c r="CK60" s="5988"/>
      <c r="CL60" s="6225"/>
      <c r="CM60" s="658"/>
      <c r="CN60" s="1627">
        <v>240</v>
      </c>
      <c r="CO60" s="6530" t="s">
        <v>6243</v>
      </c>
      <c r="CP60" s="6450"/>
      <c r="CQ60" s="6531" t="str">
        <f>IF(CN52=0,"",VLOOKUP(CN52,'Tablas psiquica'!$D$7:$R$145,12,FALSE))</f>
        <v/>
      </c>
      <c r="CR60" s="5988"/>
      <c r="CS60" s="5988"/>
      <c r="CT60" s="6225"/>
      <c r="CU60" s="1087"/>
      <c r="CV60" s="1627">
        <v>240</v>
      </c>
      <c r="CW60" s="6530" t="s">
        <v>6243</v>
      </c>
      <c r="CX60" s="6450"/>
      <c r="CY60" s="6531" t="str">
        <f>IF(CV52=0,"",VLOOKUP(CV52,'Tablas psiquica'!$D$7:$R$145,12,FALSE))</f>
        <v/>
      </c>
      <c r="CZ60" s="5988"/>
      <c r="DA60" s="5988"/>
      <c r="DB60" s="6225"/>
      <c r="DC60" s="402"/>
      <c r="DD60" s="396"/>
    </row>
    <row r="61" spans="1:108" ht="12" customHeight="1" x14ac:dyDescent="0.2">
      <c r="A61" s="396"/>
      <c r="B61" s="1087"/>
      <c r="C61" s="1626">
        <v>280</v>
      </c>
      <c r="D61" s="6526" t="s">
        <v>1738</v>
      </c>
      <c r="E61" s="6445"/>
      <c r="F61" s="6527" t="str">
        <f>IF(C52=0,"",VLOOKUP(C52,'Tablas psiquica'!$D$7:$R$145,13,FALSE))</f>
        <v/>
      </c>
      <c r="G61" s="6528"/>
      <c r="H61" s="6528"/>
      <c r="I61" s="6529"/>
      <c r="J61" s="658"/>
      <c r="K61" s="1626">
        <v>280</v>
      </c>
      <c r="L61" s="6526" t="s">
        <v>1738</v>
      </c>
      <c r="M61" s="6445"/>
      <c r="N61" s="6527" t="str">
        <f>IF(K52=0,"",VLOOKUP(K52,'Tablas psiquica'!$D$7:$R$145,13,FALSE))</f>
        <v/>
      </c>
      <c r="O61" s="6528"/>
      <c r="P61" s="6528"/>
      <c r="Q61" s="6529"/>
      <c r="R61" s="1087"/>
      <c r="S61" s="1626">
        <v>280</v>
      </c>
      <c r="T61" s="6526" t="s">
        <v>1738</v>
      </c>
      <c r="U61" s="6445"/>
      <c r="V61" s="6527" t="str">
        <f>IF(S52=0,"",VLOOKUP(S52,'Tablas psiquica'!$D$7:$R$145,13,FALSE))</f>
        <v/>
      </c>
      <c r="W61" s="6528"/>
      <c r="X61" s="6528"/>
      <c r="Y61" s="6529"/>
      <c r="Z61" s="402"/>
      <c r="AA61" s="396"/>
      <c r="AB61" s="396"/>
      <c r="AC61" s="1087"/>
      <c r="AD61" s="1626">
        <v>280</v>
      </c>
      <c r="AE61" s="6526" t="s">
        <v>1738</v>
      </c>
      <c r="AF61" s="6445"/>
      <c r="AG61" s="6527" t="str">
        <f>IF(AD52=0,"",VLOOKUP(AD52,'Tablas psiquica'!$D$7:$R$145,13,FALSE))</f>
        <v/>
      </c>
      <c r="AH61" s="6528"/>
      <c r="AI61" s="6528"/>
      <c r="AJ61" s="6529"/>
      <c r="AK61" s="658"/>
      <c r="AL61" s="1626">
        <v>280</v>
      </c>
      <c r="AM61" s="6526" t="s">
        <v>1738</v>
      </c>
      <c r="AN61" s="6445"/>
      <c r="AO61" s="6527" t="str">
        <f>IF(AL52=0,"",VLOOKUP(AL52,'Tablas psiquica'!$D$7:$R$145,13,FALSE))</f>
        <v/>
      </c>
      <c r="AP61" s="6528"/>
      <c r="AQ61" s="6528"/>
      <c r="AR61" s="6529"/>
      <c r="AS61" s="1087"/>
      <c r="AT61" s="1626">
        <v>280</v>
      </c>
      <c r="AU61" s="6526" t="s">
        <v>1738</v>
      </c>
      <c r="AV61" s="6445"/>
      <c r="AW61" s="6527" t="str">
        <f>IF(AT52=0,"",VLOOKUP(AT52,'Tablas psiquica'!$D$7:$R$145,13,FALSE))</f>
        <v/>
      </c>
      <c r="AX61" s="6528"/>
      <c r="AY61" s="6528"/>
      <c r="AZ61" s="6529"/>
      <c r="BA61" s="402"/>
      <c r="BB61" s="396"/>
      <c r="BC61" s="396"/>
      <c r="BD61" s="1087"/>
      <c r="BE61" s="1626">
        <v>280</v>
      </c>
      <c r="BF61" s="6526" t="s">
        <v>1738</v>
      </c>
      <c r="BG61" s="6445"/>
      <c r="BH61" s="6527" t="str">
        <f>IF(BE52=0,"",VLOOKUP(BE52,'Tablas psiquica'!$D$7:$R$145,13,FALSE))</f>
        <v/>
      </c>
      <c r="BI61" s="6528"/>
      <c r="BJ61" s="6528"/>
      <c r="BK61" s="6529"/>
      <c r="BL61" s="658"/>
      <c r="BM61" s="1626">
        <v>280</v>
      </c>
      <c r="BN61" s="6526" t="s">
        <v>1738</v>
      </c>
      <c r="BO61" s="6445"/>
      <c r="BP61" s="6527" t="str">
        <f>IF(BM52=0,"",VLOOKUP(BM52,'Tablas psiquica'!$D$7:$R$145,13,FALSE))</f>
        <v/>
      </c>
      <c r="BQ61" s="6528"/>
      <c r="BR61" s="6528"/>
      <c r="BS61" s="6529"/>
      <c r="BT61" s="1087"/>
      <c r="BU61" s="1626">
        <v>280</v>
      </c>
      <c r="BV61" s="6526" t="s">
        <v>1738</v>
      </c>
      <c r="BW61" s="6445"/>
      <c r="BX61" s="6527" t="str">
        <f>IF(BU52=0,"",VLOOKUP(BU52,'Tablas psiquica'!$D$7:$R$145,13,FALSE))</f>
        <v/>
      </c>
      <c r="BY61" s="6528"/>
      <c r="BZ61" s="6528"/>
      <c r="CA61" s="6529"/>
      <c r="CB61" s="402"/>
      <c r="CC61" s="396"/>
      <c r="CD61" s="396"/>
      <c r="CE61" s="1087"/>
      <c r="CF61" s="1626">
        <v>280</v>
      </c>
      <c r="CG61" s="6526" t="s">
        <v>1738</v>
      </c>
      <c r="CH61" s="6445"/>
      <c r="CI61" s="6527" t="str">
        <f>IF(CF52=0,"",VLOOKUP(CF52,'Tablas psiquica'!$D$7:$R$145,13,FALSE))</f>
        <v/>
      </c>
      <c r="CJ61" s="6528"/>
      <c r="CK61" s="6528"/>
      <c r="CL61" s="6529"/>
      <c r="CM61" s="658"/>
      <c r="CN61" s="1626">
        <v>280</v>
      </c>
      <c r="CO61" s="6526" t="s">
        <v>1738</v>
      </c>
      <c r="CP61" s="6445"/>
      <c r="CQ61" s="6527" t="str">
        <f>IF(CN52=0,"",VLOOKUP(CN52,'Tablas psiquica'!$D$7:$R$145,13,FALSE))</f>
        <v/>
      </c>
      <c r="CR61" s="6528"/>
      <c r="CS61" s="6528"/>
      <c r="CT61" s="6529"/>
      <c r="CU61" s="1087"/>
      <c r="CV61" s="1626">
        <v>280</v>
      </c>
      <c r="CW61" s="6526" t="s">
        <v>1738</v>
      </c>
      <c r="CX61" s="6445"/>
      <c r="CY61" s="6527" t="str">
        <f>IF(CV52=0,"",VLOOKUP(CV52,'Tablas psiquica'!$D$7:$R$145,13,FALSE))</f>
        <v/>
      </c>
      <c r="CZ61" s="6528"/>
      <c r="DA61" s="6528"/>
      <c r="DB61" s="6529"/>
      <c r="DC61" s="402"/>
      <c r="DD61" s="396"/>
    </row>
    <row r="62" spans="1:108" ht="12" customHeight="1" x14ac:dyDescent="0.2">
      <c r="A62" s="396"/>
      <c r="B62" s="1087"/>
      <c r="C62" s="1627">
        <v>320</v>
      </c>
      <c r="D62" s="6530" t="s">
        <v>1740</v>
      </c>
      <c r="E62" s="6450"/>
      <c r="F62" s="6531" t="str">
        <f>IF(C52=0,"",VLOOKUP(C52,'Tablas psiquica'!$D$7:$R$145,14,FALSE))</f>
        <v/>
      </c>
      <c r="G62" s="5988"/>
      <c r="H62" s="5988"/>
      <c r="I62" s="6225"/>
      <c r="J62" s="658"/>
      <c r="K62" s="1627">
        <v>320</v>
      </c>
      <c r="L62" s="6530" t="s">
        <v>1740</v>
      </c>
      <c r="M62" s="6450"/>
      <c r="N62" s="6531" t="str">
        <f>IF(K52=0,"",VLOOKUP(K52,'Tablas psiquica'!$D$7:$R$145,14,FALSE))</f>
        <v/>
      </c>
      <c r="O62" s="5988"/>
      <c r="P62" s="5988"/>
      <c r="Q62" s="6225"/>
      <c r="R62" s="1087"/>
      <c r="S62" s="1627">
        <v>320</v>
      </c>
      <c r="T62" s="6530" t="s">
        <v>1740</v>
      </c>
      <c r="U62" s="6450"/>
      <c r="V62" s="6531" t="str">
        <f>IF(S52=0,"",VLOOKUP(S52,'Tablas psiquica'!$D$7:$R$145,14,FALSE))</f>
        <v/>
      </c>
      <c r="W62" s="5988"/>
      <c r="X62" s="5988"/>
      <c r="Y62" s="6225"/>
      <c r="Z62" s="402"/>
      <c r="AA62" s="396"/>
      <c r="AB62" s="396"/>
      <c r="AC62" s="1087"/>
      <c r="AD62" s="1627">
        <v>320</v>
      </c>
      <c r="AE62" s="6530" t="s">
        <v>1740</v>
      </c>
      <c r="AF62" s="6450"/>
      <c r="AG62" s="6531" t="str">
        <f>IF(AD52=0,"",VLOOKUP(AD52,'Tablas psiquica'!$D$7:$R$145,14,FALSE))</f>
        <v/>
      </c>
      <c r="AH62" s="5988"/>
      <c r="AI62" s="5988"/>
      <c r="AJ62" s="6225"/>
      <c r="AK62" s="658"/>
      <c r="AL62" s="1627">
        <v>320</v>
      </c>
      <c r="AM62" s="6530" t="s">
        <v>1740</v>
      </c>
      <c r="AN62" s="6450"/>
      <c r="AO62" s="6531" t="str">
        <f>IF(AL52=0,"",VLOOKUP(AL52,'Tablas psiquica'!$D$7:$R$145,14,FALSE))</f>
        <v/>
      </c>
      <c r="AP62" s="5988"/>
      <c r="AQ62" s="5988"/>
      <c r="AR62" s="6225"/>
      <c r="AS62" s="1087"/>
      <c r="AT62" s="1627">
        <v>320</v>
      </c>
      <c r="AU62" s="6530" t="s">
        <v>1740</v>
      </c>
      <c r="AV62" s="6450"/>
      <c r="AW62" s="6531" t="str">
        <f>IF(AT52=0,"",VLOOKUP(AT52,'Tablas psiquica'!$D$7:$R$145,14,FALSE))</f>
        <v/>
      </c>
      <c r="AX62" s="5988"/>
      <c r="AY62" s="5988"/>
      <c r="AZ62" s="6225"/>
      <c r="BA62" s="402"/>
      <c r="BB62" s="396"/>
      <c r="BC62" s="396"/>
      <c r="BD62" s="1087"/>
      <c r="BE62" s="1627">
        <v>320</v>
      </c>
      <c r="BF62" s="6530" t="s">
        <v>1740</v>
      </c>
      <c r="BG62" s="6450"/>
      <c r="BH62" s="6531" t="str">
        <f>IF(BE52=0,"",VLOOKUP(BE52,'Tablas psiquica'!$D$7:$R$145,14,FALSE))</f>
        <v/>
      </c>
      <c r="BI62" s="5988"/>
      <c r="BJ62" s="5988"/>
      <c r="BK62" s="6225"/>
      <c r="BL62" s="658"/>
      <c r="BM62" s="1627">
        <v>320</v>
      </c>
      <c r="BN62" s="6530" t="s">
        <v>1740</v>
      </c>
      <c r="BO62" s="6450"/>
      <c r="BP62" s="6531" t="str">
        <f>IF(BM52=0,"",VLOOKUP(BM52,'Tablas psiquica'!$D$7:$R$145,14,FALSE))</f>
        <v/>
      </c>
      <c r="BQ62" s="5988"/>
      <c r="BR62" s="5988"/>
      <c r="BS62" s="6225"/>
      <c r="BT62" s="1087"/>
      <c r="BU62" s="1627">
        <v>320</v>
      </c>
      <c r="BV62" s="6530" t="s">
        <v>1740</v>
      </c>
      <c r="BW62" s="6450"/>
      <c r="BX62" s="6531" t="str">
        <f>IF(BU52=0,"",VLOOKUP(BU52,'Tablas psiquica'!$D$7:$R$145,14,FALSE))</f>
        <v/>
      </c>
      <c r="BY62" s="5988"/>
      <c r="BZ62" s="5988"/>
      <c r="CA62" s="6225"/>
      <c r="CB62" s="402"/>
      <c r="CC62" s="396"/>
      <c r="CD62" s="396"/>
      <c r="CE62" s="1087"/>
      <c r="CF62" s="1627">
        <v>320</v>
      </c>
      <c r="CG62" s="6530" t="s">
        <v>1740</v>
      </c>
      <c r="CH62" s="6450"/>
      <c r="CI62" s="6531" t="str">
        <f>IF(CF52=0,"",VLOOKUP(CF52,'Tablas psiquica'!$D$7:$R$145,14,FALSE))</f>
        <v/>
      </c>
      <c r="CJ62" s="5988"/>
      <c r="CK62" s="5988"/>
      <c r="CL62" s="6225"/>
      <c r="CM62" s="658"/>
      <c r="CN62" s="1627">
        <v>320</v>
      </c>
      <c r="CO62" s="6530" t="s">
        <v>1740</v>
      </c>
      <c r="CP62" s="6450"/>
      <c r="CQ62" s="6531" t="str">
        <f>IF(CN52=0,"",VLOOKUP(CN52,'Tablas psiquica'!$D$7:$R$145,14,FALSE))</f>
        <v/>
      </c>
      <c r="CR62" s="5988"/>
      <c r="CS62" s="5988"/>
      <c r="CT62" s="6225"/>
      <c r="CU62" s="1087"/>
      <c r="CV62" s="1627">
        <v>320</v>
      </c>
      <c r="CW62" s="6530" t="s">
        <v>1740</v>
      </c>
      <c r="CX62" s="6450"/>
      <c r="CY62" s="6531" t="str">
        <f>IF(CV52=0,"",VLOOKUP(CV52,'Tablas psiquica'!$D$7:$R$145,14,FALSE))</f>
        <v/>
      </c>
      <c r="CZ62" s="5988"/>
      <c r="DA62" s="5988"/>
      <c r="DB62" s="6225"/>
      <c r="DC62" s="402"/>
      <c r="DD62" s="396"/>
    </row>
    <row r="63" spans="1:108" ht="12" customHeight="1" x14ac:dyDescent="0.2">
      <c r="A63" s="396"/>
      <c r="B63" s="1087"/>
      <c r="C63" s="428">
        <v>440</v>
      </c>
      <c r="D63" s="6532" t="s">
        <v>1683</v>
      </c>
      <c r="E63" s="6533"/>
      <c r="F63" s="6534" t="str">
        <f>IF(C52=0,"",VLOOKUP(C52,'Tablas psiquica'!$D$7:$R$145,15,FALSE))</f>
        <v/>
      </c>
      <c r="G63" s="6535"/>
      <c r="H63" s="6535"/>
      <c r="I63" s="6536"/>
      <c r="J63" s="658"/>
      <c r="K63" s="428">
        <v>440</v>
      </c>
      <c r="L63" s="6532" t="s">
        <v>1683</v>
      </c>
      <c r="M63" s="6533"/>
      <c r="N63" s="6534" t="str">
        <f>IF(K52=0,"",VLOOKUP(K52,'Tablas psiquica'!$D$7:$R$145,15,FALSE))</f>
        <v/>
      </c>
      <c r="O63" s="6535"/>
      <c r="P63" s="6535"/>
      <c r="Q63" s="6536"/>
      <c r="R63" s="1087"/>
      <c r="S63" s="428">
        <v>440</v>
      </c>
      <c r="T63" s="6532" t="s">
        <v>1683</v>
      </c>
      <c r="U63" s="6533"/>
      <c r="V63" s="6534" t="str">
        <f>IF(S52=0,"",VLOOKUP(S52,'Tablas psiquica'!$D$7:$R$145,15,FALSE))</f>
        <v/>
      </c>
      <c r="W63" s="6535"/>
      <c r="X63" s="6535"/>
      <c r="Y63" s="6536"/>
      <c r="Z63" s="402"/>
      <c r="AA63" s="396"/>
      <c r="AB63" s="396"/>
      <c r="AC63" s="1087"/>
      <c r="AD63" s="428">
        <v>440</v>
      </c>
      <c r="AE63" s="6532" t="s">
        <v>1683</v>
      </c>
      <c r="AF63" s="6533"/>
      <c r="AG63" s="6534" t="str">
        <f>IF(AD52=0,"",VLOOKUP(AD52,'Tablas psiquica'!$D$7:$R$145,15,FALSE))</f>
        <v/>
      </c>
      <c r="AH63" s="6535"/>
      <c r="AI63" s="6535"/>
      <c r="AJ63" s="6536"/>
      <c r="AK63" s="658"/>
      <c r="AL63" s="428">
        <v>440</v>
      </c>
      <c r="AM63" s="6532" t="s">
        <v>1683</v>
      </c>
      <c r="AN63" s="6533"/>
      <c r="AO63" s="6534" t="str">
        <f>IF(AL52=0,"",VLOOKUP(AL52,'Tablas psiquica'!$D$7:$R$145,15,FALSE))</f>
        <v/>
      </c>
      <c r="AP63" s="6535"/>
      <c r="AQ63" s="6535"/>
      <c r="AR63" s="6536"/>
      <c r="AS63" s="1087"/>
      <c r="AT63" s="428">
        <v>440</v>
      </c>
      <c r="AU63" s="6532" t="s">
        <v>1683</v>
      </c>
      <c r="AV63" s="6533"/>
      <c r="AW63" s="6534" t="str">
        <f>IF(AT52=0,"",VLOOKUP(AT52,'Tablas psiquica'!$D$7:$R$145,15,FALSE))</f>
        <v/>
      </c>
      <c r="AX63" s="6535"/>
      <c r="AY63" s="6535"/>
      <c r="AZ63" s="6536"/>
      <c r="BA63" s="402"/>
      <c r="BB63" s="396"/>
      <c r="BC63" s="396"/>
      <c r="BD63" s="1087"/>
      <c r="BE63" s="428">
        <v>440</v>
      </c>
      <c r="BF63" s="6532" t="s">
        <v>1683</v>
      </c>
      <c r="BG63" s="6533"/>
      <c r="BH63" s="6534" t="str">
        <f>IF(BE52=0,"",VLOOKUP(BE52,'Tablas psiquica'!$D$7:$R$145,15,FALSE))</f>
        <v/>
      </c>
      <c r="BI63" s="6535"/>
      <c r="BJ63" s="6535"/>
      <c r="BK63" s="6536"/>
      <c r="BL63" s="658"/>
      <c r="BM63" s="428">
        <v>440</v>
      </c>
      <c r="BN63" s="6532" t="s">
        <v>1683</v>
      </c>
      <c r="BO63" s="6533"/>
      <c r="BP63" s="6534" t="str">
        <f>IF(BM52=0,"",VLOOKUP(BM52,'Tablas psiquica'!$D$7:$R$145,15,FALSE))</f>
        <v/>
      </c>
      <c r="BQ63" s="6535"/>
      <c r="BR63" s="6535"/>
      <c r="BS63" s="6536"/>
      <c r="BT63" s="1087"/>
      <c r="BU63" s="428">
        <v>440</v>
      </c>
      <c r="BV63" s="6532" t="s">
        <v>1683</v>
      </c>
      <c r="BW63" s="6533"/>
      <c r="BX63" s="6534" t="str">
        <f>IF(BU52=0,"",VLOOKUP(BU52,'Tablas psiquica'!$D$7:$R$145,15,FALSE))</f>
        <v/>
      </c>
      <c r="BY63" s="6535"/>
      <c r="BZ63" s="6535"/>
      <c r="CA63" s="6536"/>
      <c r="CB63" s="402"/>
      <c r="CC63" s="396"/>
      <c r="CD63" s="396"/>
      <c r="CE63" s="1087"/>
      <c r="CF63" s="428">
        <v>440</v>
      </c>
      <c r="CG63" s="6532" t="s">
        <v>1683</v>
      </c>
      <c r="CH63" s="6533"/>
      <c r="CI63" s="6534" t="str">
        <f>IF(CF52=0,"",VLOOKUP(CF52,'Tablas psiquica'!$D$7:$R$145,15,FALSE))</f>
        <v/>
      </c>
      <c r="CJ63" s="6535"/>
      <c r="CK63" s="6535"/>
      <c r="CL63" s="6536"/>
      <c r="CM63" s="658"/>
      <c r="CN63" s="428">
        <v>440</v>
      </c>
      <c r="CO63" s="6532" t="s">
        <v>1683</v>
      </c>
      <c r="CP63" s="6533"/>
      <c r="CQ63" s="6534" t="str">
        <f>IF(CN52=0,"",VLOOKUP(CN52,'Tablas psiquica'!$D$7:$R$145,15,FALSE))</f>
        <v/>
      </c>
      <c r="CR63" s="6535"/>
      <c r="CS63" s="6535"/>
      <c r="CT63" s="6536"/>
      <c r="CU63" s="1087"/>
      <c r="CV63" s="428">
        <v>440</v>
      </c>
      <c r="CW63" s="6532" t="s">
        <v>1683</v>
      </c>
      <c r="CX63" s="6533"/>
      <c r="CY63" s="6534" t="str">
        <f>IF(CV52=0,"",VLOOKUP(CV52,'Tablas psiquica'!$D$7:$R$145,15,FALSE))</f>
        <v/>
      </c>
      <c r="CZ63" s="6535"/>
      <c r="DA63" s="6535"/>
      <c r="DB63" s="6536"/>
      <c r="DC63" s="402"/>
      <c r="DD63" s="396"/>
    </row>
    <row r="64" spans="1:108" ht="12" customHeight="1" thickBot="1" x14ac:dyDescent="0.25">
      <c r="A64" s="396"/>
      <c r="B64" s="1087"/>
      <c r="C64" s="6537" t="s">
        <v>6244</v>
      </c>
      <c r="D64" s="6538"/>
      <c r="E64" s="429" t="str">
        <f>IF(C52=0,"",VLOOKUP(C52,'Tablas psiquica'!$D$7:$R$145,4,FALSE))</f>
        <v/>
      </c>
      <c r="F64" s="6539" t="s">
        <v>6239</v>
      </c>
      <c r="G64" s="6539"/>
      <c r="H64" s="6540" t="str">
        <f>IF(C52=0,"",VLOOKUP(C52,'Tablas psiquica'!$D$7:$R$145,5,FALSE))</f>
        <v/>
      </c>
      <c r="I64" s="6541"/>
      <c r="J64" s="658"/>
      <c r="K64" s="6537" t="s">
        <v>6244</v>
      </c>
      <c r="L64" s="6538"/>
      <c r="M64" s="429" t="str">
        <f>IF(K52=0,"",VLOOKUP(K52,'Tablas psiquica'!$D$7:$R$145,4,FALSE))</f>
        <v/>
      </c>
      <c r="N64" s="6539" t="s">
        <v>6239</v>
      </c>
      <c r="O64" s="6539"/>
      <c r="P64" s="6540" t="str">
        <f>IF(K52=0,"",VLOOKUP(K52,'Tablas psiquica'!$D$7:$R$145,5,FALSE))</f>
        <v/>
      </c>
      <c r="Q64" s="6541"/>
      <c r="R64" s="1087"/>
      <c r="S64" s="6537" t="s">
        <v>6244</v>
      </c>
      <c r="T64" s="6538"/>
      <c r="U64" s="429" t="str">
        <f>IF(S52=0,"",VLOOKUP(S52,'Tablas psiquica'!$D$7:$R$145,4,FALSE))</f>
        <v/>
      </c>
      <c r="V64" s="6539" t="s">
        <v>6239</v>
      </c>
      <c r="W64" s="6539"/>
      <c r="X64" s="6540" t="str">
        <f>IF(S52=0,"",VLOOKUP(S52,'Tablas psiquica'!$D$7:$R$145,5,FALSE))</f>
        <v/>
      </c>
      <c r="Y64" s="6541"/>
      <c r="Z64" s="402"/>
      <c r="AA64" s="396"/>
      <c r="AB64" s="396"/>
      <c r="AC64" s="1087"/>
      <c r="AD64" s="6537" t="s">
        <v>6244</v>
      </c>
      <c r="AE64" s="6538"/>
      <c r="AF64" s="429" t="str">
        <f>IF(AD52=0,"",VLOOKUP(AD52,'Tablas psiquica'!$D$7:$R$145,4,FALSE))</f>
        <v/>
      </c>
      <c r="AG64" s="6539" t="s">
        <v>6239</v>
      </c>
      <c r="AH64" s="6539"/>
      <c r="AI64" s="6540" t="str">
        <f>IF(AD52=0,"",VLOOKUP(AD52,'Tablas psiquica'!$D$7:$R$145,5,FALSE))</f>
        <v/>
      </c>
      <c r="AJ64" s="6541"/>
      <c r="AK64" s="658"/>
      <c r="AL64" s="6537" t="s">
        <v>6244</v>
      </c>
      <c r="AM64" s="6538"/>
      <c r="AN64" s="429" t="str">
        <f>IF(AL52=0,"",VLOOKUP(AL52,'Tablas psiquica'!$D$7:$R$145,4,FALSE))</f>
        <v/>
      </c>
      <c r="AO64" s="6539" t="s">
        <v>6239</v>
      </c>
      <c r="AP64" s="6539"/>
      <c r="AQ64" s="6540" t="str">
        <f>IF(AL52=0,"",VLOOKUP(AL52,'Tablas psiquica'!$D$7:$R$145,5,FALSE))</f>
        <v/>
      </c>
      <c r="AR64" s="6541"/>
      <c r="AS64" s="1087"/>
      <c r="AT64" s="6537" t="s">
        <v>6244</v>
      </c>
      <c r="AU64" s="6538"/>
      <c r="AV64" s="429" t="str">
        <f>IF(AT52=0,"",VLOOKUP(AT52,'Tablas psiquica'!$D$7:$R$145,4,FALSE))</f>
        <v/>
      </c>
      <c r="AW64" s="6539" t="s">
        <v>6239</v>
      </c>
      <c r="AX64" s="6539"/>
      <c r="AY64" s="6540" t="str">
        <f>IF(AT52=0,"",VLOOKUP(AT52,'Tablas psiquica'!$D$7:$R$145,5,FALSE))</f>
        <v/>
      </c>
      <c r="AZ64" s="6541"/>
      <c r="BA64" s="402"/>
      <c r="BB64" s="396"/>
      <c r="BC64" s="396"/>
      <c r="BD64" s="1087"/>
      <c r="BE64" s="6537" t="s">
        <v>6244</v>
      </c>
      <c r="BF64" s="6538"/>
      <c r="BG64" s="429" t="str">
        <f>IF(BE52=0,"",VLOOKUP(BE52,'Tablas psiquica'!$D$7:$R$145,4,FALSE))</f>
        <v/>
      </c>
      <c r="BH64" s="6539" t="s">
        <v>6239</v>
      </c>
      <c r="BI64" s="6539"/>
      <c r="BJ64" s="6540" t="str">
        <f>IF(BE52=0,"",VLOOKUP(BE52,'Tablas psiquica'!$D$7:$R$145,5,FALSE))</f>
        <v/>
      </c>
      <c r="BK64" s="6541"/>
      <c r="BL64" s="658"/>
      <c r="BM64" s="6537" t="s">
        <v>6244</v>
      </c>
      <c r="BN64" s="6538"/>
      <c r="BO64" s="429" t="str">
        <f>IF(BM52=0,"",VLOOKUP(BM52,'Tablas psiquica'!$D$7:$R$145,4,FALSE))</f>
        <v/>
      </c>
      <c r="BP64" s="6539" t="s">
        <v>6239</v>
      </c>
      <c r="BQ64" s="6539"/>
      <c r="BR64" s="6540" t="str">
        <f>IF(BM52=0,"",VLOOKUP(BM52,'Tablas psiquica'!$D$7:$R$145,5,FALSE))</f>
        <v/>
      </c>
      <c r="BS64" s="6541"/>
      <c r="BT64" s="1087"/>
      <c r="BU64" s="6537" t="s">
        <v>6244</v>
      </c>
      <c r="BV64" s="6538"/>
      <c r="BW64" s="429" t="str">
        <f>IF(BU52=0,"",VLOOKUP(BU52,'Tablas psiquica'!$D$7:$R$145,4,FALSE))</f>
        <v/>
      </c>
      <c r="BX64" s="6539" t="s">
        <v>6239</v>
      </c>
      <c r="BY64" s="6539"/>
      <c r="BZ64" s="6540" t="str">
        <f>IF(BU52=0,"",VLOOKUP(BU52,'Tablas psiquica'!$D$7:$R$145,5,FALSE))</f>
        <v/>
      </c>
      <c r="CA64" s="6541"/>
      <c r="CB64" s="402"/>
      <c r="CC64" s="396"/>
      <c r="CD64" s="396"/>
      <c r="CE64" s="1087"/>
      <c r="CF64" s="6537" t="s">
        <v>6244</v>
      </c>
      <c r="CG64" s="6538"/>
      <c r="CH64" s="429" t="str">
        <f>IF(CF52=0,"",VLOOKUP(CF52,'Tablas psiquica'!$D$7:$R$145,4,FALSE))</f>
        <v/>
      </c>
      <c r="CI64" s="6539" t="s">
        <v>6239</v>
      </c>
      <c r="CJ64" s="6539"/>
      <c r="CK64" s="6540" t="str">
        <f>IF(CF52=0,"",VLOOKUP(CF52,'Tablas psiquica'!$D$7:$R$145,5,FALSE))</f>
        <v/>
      </c>
      <c r="CL64" s="6541"/>
      <c r="CM64" s="658"/>
      <c r="CN64" s="6537" t="s">
        <v>6244</v>
      </c>
      <c r="CO64" s="6538"/>
      <c r="CP64" s="429" t="str">
        <f>IF(CN52=0,"",VLOOKUP(CN52,'Tablas psiquica'!$D$7:$R$145,4,FALSE))</f>
        <v/>
      </c>
      <c r="CQ64" s="6539" t="s">
        <v>6239</v>
      </c>
      <c r="CR64" s="6539"/>
      <c r="CS64" s="6540" t="str">
        <f>IF(CN52=0,"",VLOOKUP(CN52,'Tablas psiquica'!$D$7:$R$145,5,FALSE))</f>
        <v/>
      </c>
      <c r="CT64" s="6541"/>
      <c r="CU64" s="1087"/>
      <c r="CV64" s="6537" t="s">
        <v>6244</v>
      </c>
      <c r="CW64" s="6538"/>
      <c r="CX64" s="429" t="str">
        <f>IF(CV52=0,"",VLOOKUP(CV52,'Tablas psiquica'!$D$7:$R$145,4,FALSE))</f>
        <v/>
      </c>
      <c r="CY64" s="6539" t="s">
        <v>6239</v>
      </c>
      <c r="CZ64" s="6539"/>
      <c r="DA64" s="6540" t="str">
        <f>IF(CV52=0,"",VLOOKUP(CV52,'Tablas psiquica'!$D$7:$R$145,5,FALSE))</f>
        <v/>
      </c>
      <c r="DB64" s="6541"/>
      <c r="DC64" s="402"/>
      <c r="DD64" s="396"/>
    </row>
    <row r="65" spans="1:108" ht="12" customHeight="1" thickBot="1" x14ac:dyDescent="0.25">
      <c r="A65" s="396"/>
      <c r="B65" s="1087"/>
      <c r="C65" s="1080"/>
      <c r="J65" s="658"/>
      <c r="K65" s="1080"/>
      <c r="R65" s="658"/>
      <c r="S65" s="1080"/>
      <c r="Z65" s="402"/>
      <c r="AA65" s="396"/>
      <c r="AB65" s="396"/>
      <c r="AC65" s="1087"/>
      <c r="AD65" s="1080"/>
      <c r="AK65" s="658"/>
      <c r="AL65" s="1080"/>
      <c r="AS65" s="658"/>
      <c r="AT65" s="1080"/>
      <c r="BA65" s="402"/>
      <c r="BB65" s="396"/>
      <c r="BC65" s="396"/>
      <c r="BD65" s="1087"/>
      <c r="BE65" s="1080"/>
      <c r="BL65" s="658"/>
      <c r="BM65" s="1080"/>
      <c r="BT65" s="658"/>
      <c r="BU65" s="1080"/>
      <c r="CB65" s="402"/>
      <c r="CC65" s="396"/>
      <c r="CD65" s="396"/>
      <c r="CE65" s="1087"/>
      <c r="CF65" s="1080"/>
      <c r="CM65" s="658"/>
      <c r="CN65" s="1080"/>
      <c r="CU65" s="658"/>
      <c r="CV65" s="1080"/>
      <c r="DC65" s="402"/>
      <c r="DD65" s="396"/>
    </row>
    <row r="66" spans="1:108" ht="12" customHeight="1" x14ac:dyDescent="0.2">
      <c r="A66" s="396"/>
      <c r="B66" s="1087">
        <v>13</v>
      </c>
      <c r="C66" s="6515">
        <f>IFERROR(INDEX('Tablas psiquica'!$U$116:$AH$130,B66,Y$7),0)</f>
        <v>0</v>
      </c>
      <c r="D66" s="6516"/>
      <c r="E66" s="6516"/>
      <c r="F66" s="6516"/>
      <c r="G66" s="6516"/>
      <c r="H66" s="6516"/>
      <c r="I66" s="427" t="s">
        <v>1403</v>
      </c>
      <c r="J66" s="658">
        <v>14</v>
      </c>
      <c r="K66" s="6515">
        <f>IFERROR(INDEX('Tablas psiquica'!$U$116:$AH$130,J66,Y$7),0)</f>
        <v>0</v>
      </c>
      <c r="L66" s="6516"/>
      <c r="M66" s="6516"/>
      <c r="N66" s="6516"/>
      <c r="O66" s="6516"/>
      <c r="P66" s="6516"/>
      <c r="Q66" s="427" t="s">
        <v>1403</v>
      </c>
      <c r="R66" s="1087">
        <v>15</v>
      </c>
      <c r="S66" s="6515">
        <f>IFERROR(INDEX('Tablas psiquica'!$U$116:$AH$130,R66,Y$7),0)</f>
        <v>0</v>
      </c>
      <c r="T66" s="6516"/>
      <c r="U66" s="6516"/>
      <c r="V66" s="6516"/>
      <c r="W66" s="6516"/>
      <c r="X66" s="6516"/>
      <c r="Y66" s="427" t="s">
        <v>1403</v>
      </c>
      <c r="Z66" s="402"/>
      <c r="AA66" s="396"/>
      <c r="AB66" s="396"/>
      <c r="AC66" s="1087">
        <v>13</v>
      </c>
      <c r="AD66" s="6515">
        <f>IFERROR(INDEX('Tablas psiquica'!$U$116:$AH$130,AC66,AZ$7),0)</f>
        <v>0</v>
      </c>
      <c r="AE66" s="6516"/>
      <c r="AF66" s="6516"/>
      <c r="AG66" s="6516"/>
      <c r="AH66" s="6516"/>
      <c r="AI66" s="6516"/>
      <c r="AJ66" s="427" t="s">
        <v>1403</v>
      </c>
      <c r="AK66" s="658">
        <v>14</v>
      </c>
      <c r="AL66" s="6515">
        <f>IFERROR(INDEX('Tablas psiquica'!$U$116:$AH$130,AK66,AZ$7),0)</f>
        <v>0</v>
      </c>
      <c r="AM66" s="6516"/>
      <c r="AN66" s="6516"/>
      <c r="AO66" s="6516"/>
      <c r="AP66" s="6516"/>
      <c r="AQ66" s="6516"/>
      <c r="AR66" s="427" t="s">
        <v>1403</v>
      </c>
      <c r="AS66" s="1087">
        <v>15</v>
      </c>
      <c r="AT66" s="6515">
        <f>IFERROR(INDEX('Tablas psiquica'!$U$116:$AH$130,AS66,AZ$7),0)</f>
        <v>0</v>
      </c>
      <c r="AU66" s="6516"/>
      <c r="AV66" s="6516"/>
      <c r="AW66" s="6516"/>
      <c r="AX66" s="6516"/>
      <c r="AY66" s="6516"/>
      <c r="AZ66" s="427" t="s">
        <v>1403</v>
      </c>
      <c r="BA66" s="402"/>
      <c r="BB66" s="396"/>
      <c r="BC66" s="396"/>
      <c r="BD66" s="1087">
        <v>13</v>
      </c>
      <c r="BE66" s="6515">
        <f>IFERROR(INDEX('Tablas psiquica'!$U$116:$AH$130,BD66,CA$7),0)</f>
        <v>0</v>
      </c>
      <c r="BF66" s="6516"/>
      <c r="BG66" s="6516"/>
      <c r="BH66" s="6516"/>
      <c r="BI66" s="6516"/>
      <c r="BJ66" s="6516"/>
      <c r="BK66" s="427" t="s">
        <v>1403</v>
      </c>
      <c r="BL66" s="658">
        <v>14</v>
      </c>
      <c r="BM66" s="6515">
        <f>IFERROR(INDEX('Tablas psiquica'!$U$116:$AH$130,BL66,CA$7),0)</f>
        <v>0</v>
      </c>
      <c r="BN66" s="6516"/>
      <c r="BO66" s="6516"/>
      <c r="BP66" s="6516"/>
      <c r="BQ66" s="6516"/>
      <c r="BR66" s="6516"/>
      <c r="BS66" s="427" t="s">
        <v>1403</v>
      </c>
      <c r="BT66" s="1087">
        <v>15</v>
      </c>
      <c r="BU66" s="6515">
        <f>IFERROR(INDEX('Tablas psiquica'!$U$116:$AH$130,BT66,CA$7),0)</f>
        <v>0</v>
      </c>
      <c r="BV66" s="6516"/>
      <c r="BW66" s="6516"/>
      <c r="BX66" s="6516"/>
      <c r="BY66" s="6516"/>
      <c r="BZ66" s="6516"/>
      <c r="CA66" s="427" t="s">
        <v>1403</v>
      </c>
      <c r="CB66" s="402"/>
      <c r="CC66" s="396"/>
      <c r="CD66" s="396"/>
      <c r="CE66" s="1087">
        <v>13</v>
      </c>
      <c r="CF66" s="6515">
        <f>IFERROR(INDEX('Tablas psiquica'!$U$116:$AH$130,CE66,DB$7),0)</f>
        <v>0</v>
      </c>
      <c r="CG66" s="6516"/>
      <c r="CH66" s="6516"/>
      <c r="CI66" s="6516"/>
      <c r="CJ66" s="6516"/>
      <c r="CK66" s="6516"/>
      <c r="CL66" s="427" t="s">
        <v>1403</v>
      </c>
      <c r="CM66" s="658">
        <v>14</v>
      </c>
      <c r="CN66" s="6515">
        <f>IFERROR(INDEX('Tablas psiquica'!$U$116:$AH$130,CM66,DB$7),0)</f>
        <v>0</v>
      </c>
      <c r="CO66" s="6516"/>
      <c r="CP66" s="6516"/>
      <c r="CQ66" s="6516"/>
      <c r="CR66" s="6516"/>
      <c r="CS66" s="6516"/>
      <c r="CT66" s="427" t="s">
        <v>1403</v>
      </c>
      <c r="CU66" s="1087">
        <v>15</v>
      </c>
      <c r="CV66" s="6515">
        <f>IFERROR(INDEX('Tablas psiquica'!$U$116:$AH$130,CU66,DB$7),0)</f>
        <v>0</v>
      </c>
      <c r="CW66" s="6516"/>
      <c r="CX66" s="6516"/>
      <c r="CY66" s="6516"/>
      <c r="CZ66" s="6516"/>
      <c r="DA66" s="6516"/>
      <c r="DB66" s="427" t="s">
        <v>1403</v>
      </c>
      <c r="DC66" s="402"/>
      <c r="DD66" s="396"/>
    </row>
    <row r="67" spans="1:108" ht="12" customHeight="1" x14ac:dyDescent="0.2">
      <c r="A67" s="396"/>
      <c r="B67" s="279"/>
      <c r="C67" s="6517" t="str">
        <f>IF(C66=0,"",VLOOKUP(C66,'Tablas psiquica'!$D$7:$R$145,2,FALSE))</f>
        <v/>
      </c>
      <c r="D67" s="6518"/>
      <c r="E67" s="6518"/>
      <c r="F67" s="6519"/>
      <c r="G67" s="6520" t="str">
        <f>IF(C66=0,"",IF(INDEX('Tablas psiquica'!$U$115:$AH$115,1,$Y$7)=0,"No Accesible",IF(ISNA(VLOOKUP(C66,Psíquicos!$AS$17:$AS$43,1,0)),"Accesible CV","Aprendido")))</f>
        <v/>
      </c>
      <c r="H67" s="6521"/>
      <c r="I67" s="1658" t="str">
        <f>IF(C66=0,"",VLOOKUP(C66,'Tablas psiquica'!$D$7:$R$145,3,FALSE))</f>
        <v/>
      </c>
      <c r="K67" s="6517" t="str">
        <f>IF(K66=0,"",VLOOKUP(K66,'Tablas psiquica'!$D$7:$R$145,2,FALSE))</f>
        <v/>
      </c>
      <c r="L67" s="6518"/>
      <c r="M67" s="6518"/>
      <c r="N67" s="6519"/>
      <c r="O67" s="6520" t="str">
        <f>IF(K66=0,"",IF(INDEX('Tablas psiquica'!$U$115:$AH$115,1,$Y$7)=0,"No Accesible",IF(ISNA(VLOOKUP(K66,Psíquicos!$AS$17:$AS$43,1,0)),"Accesible CV","Aprendido")))</f>
        <v/>
      </c>
      <c r="P67" s="6521"/>
      <c r="Q67" s="1658" t="str">
        <f>IF(K66=0,"",VLOOKUP(K66,'Tablas psiquica'!$D$7:$R$145,3,FALSE))</f>
        <v/>
      </c>
      <c r="R67" s="279"/>
      <c r="S67" s="6517" t="str">
        <f>IF(S66=0,"",VLOOKUP(S66,'Tablas psiquica'!$D$7:$R$145,2,FALSE))</f>
        <v/>
      </c>
      <c r="T67" s="6518"/>
      <c r="U67" s="6518"/>
      <c r="V67" s="6519"/>
      <c r="W67" s="6520" t="str">
        <f>IF(S66=0,"",IF(INDEX('Tablas psiquica'!$U$115:$AH$115,1,$Y$7)=0,"No Accesible",IF(ISNA(VLOOKUP(S66,Psíquicos!$AS$17:$AS$43,1,0)),"Accesible CV","Aprendido")))</f>
        <v/>
      </c>
      <c r="X67" s="6521"/>
      <c r="Y67" s="1658" t="str">
        <f>IF(S66=0,"",VLOOKUP(S66,'Tablas psiquica'!$D$7:$R$145,3,FALSE))</f>
        <v/>
      </c>
      <c r="Z67" s="402"/>
      <c r="AA67" s="396"/>
      <c r="AB67" s="396"/>
      <c r="AC67" s="279"/>
      <c r="AD67" s="6517" t="str">
        <f>IF(AD66=0,"",VLOOKUP(AD66,'Tablas psiquica'!$D$7:$R$145,2,FALSE))</f>
        <v/>
      </c>
      <c r="AE67" s="6518"/>
      <c r="AF67" s="6518"/>
      <c r="AG67" s="6519"/>
      <c r="AH67" s="6520" t="str">
        <f>IF(AD66=0,"",IF(INDEX('Tablas psiquica'!$U$115:$AH$115,1,$AZ$7)=0,"No Accesible",IF(ISNA(VLOOKUP(AD66,Psíquicos!$AS$17:$AS$43,1,0)),"Accesible CV","Aprendido")))</f>
        <v/>
      </c>
      <c r="AI67" s="6521"/>
      <c r="AJ67" s="1658" t="str">
        <f>IF(AD66=0,"",VLOOKUP(AD66,'Tablas psiquica'!$D$7:$R$145,3,FALSE))</f>
        <v/>
      </c>
      <c r="AL67" s="6517" t="str">
        <f>IF(AL66=0,"",VLOOKUP(AL66,'Tablas psiquica'!$D$7:$R$145,2,FALSE))</f>
        <v/>
      </c>
      <c r="AM67" s="6518"/>
      <c r="AN67" s="6518"/>
      <c r="AO67" s="6519"/>
      <c r="AP67" s="6520" t="str">
        <f>IF(AL66=0,"",IF(INDEX('Tablas psiquica'!$U$115:$AH$115,1,$AZ$7)=0,"No Accesible",IF(ISNA(VLOOKUP(AL66,Psíquicos!$AS$17:$AS$43,1,0)),"Accesible CV","Aprendido")))</f>
        <v/>
      </c>
      <c r="AQ67" s="6521"/>
      <c r="AR67" s="1658" t="str">
        <f>IF(AL66=0,"",VLOOKUP(AL66,'Tablas psiquica'!$D$7:$R$145,3,FALSE))</f>
        <v/>
      </c>
      <c r="AS67" s="279"/>
      <c r="AT67" s="6517" t="str">
        <f>IF(AT66=0,"",VLOOKUP(AT66,'Tablas psiquica'!$D$7:$R$145,2,FALSE))</f>
        <v/>
      </c>
      <c r="AU67" s="6518"/>
      <c r="AV67" s="6518"/>
      <c r="AW67" s="6519"/>
      <c r="AX67" s="6520" t="str">
        <f>IF(AT66=0,"",IF(INDEX('Tablas psiquica'!$U$115:$AH$115,1,$AZ$7)=0,"No Accesible",IF(ISNA(VLOOKUP(AT66,Psíquicos!$AS$17:$AS$43,1,0)),"Accesible CV","Aprendido")))</f>
        <v/>
      </c>
      <c r="AY67" s="6521"/>
      <c r="AZ67" s="1658" t="str">
        <f>IF(AT66=0,"",VLOOKUP(AT66,'Tablas psiquica'!$D$7:$R$145,3,FALSE))</f>
        <v/>
      </c>
      <c r="BA67" s="402"/>
      <c r="BB67" s="396"/>
      <c r="BC67" s="396"/>
      <c r="BD67" s="279"/>
      <c r="BE67" s="6517" t="str">
        <f>IF(BE66=0,"",VLOOKUP(BE66,'Tablas psiquica'!$D$7:$R$145,2,FALSE))</f>
        <v/>
      </c>
      <c r="BF67" s="6518"/>
      <c r="BG67" s="6518"/>
      <c r="BH67" s="6519"/>
      <c r="BI67" s="6520" t="str">
        <f>IF(BE66=0,"",IF(INDEX('Tablas psiquica'!$U$115:$AH$115,1,$CA$7)=0,"No Accesible",IF(ISNA(VLOOKUP(BE66,Psíquicos!$AS$17:$AS$43,1,0)),"Accesible CV","Aprendido")))</f>
        <v/>
      </c>
      <c r="BJ67" s="6521"/>
      <c r="BK67" s="1658" t="str">
        <f>IF(BE66=0,"",VLOOKUP(BE66,'Tablas psiquica'!$D$7:$R$145,3,FALSE))</f>
        <v/>
      </c>
      <c r="BM67" s="6517" t="str">
        <f>IF(BM66=0,"",VLOOKUP(BM66,'Tablas psiquica'!$D$7:$R$145,2,FALSE))</f>
        <v/>
      </c>
      <c r="BN67" s="6518"/>
      <c r="BO67" s="6518"/>
      <c r="BP67" s="6519"/>
      <c r="BQ67" s="6520" t="str">
        <f>IF(BM66=0,"",IF(INDEX('Tablas psiquica'!$U$115:$AH$115,1,$CA$7)=0,"No Accesible",IF(ISNA(VLOOKUP(BM66,Psíquicos!$AS$17:$AS$43,1,0)),"Accesible CV","Aprendido")))</f>
        <v/>
      </c>
      <c r="BR67" s="6521"/>
      <c r="BS67" s="1658" t="str">
        <f>IF(BM66=0,"",VLOOKUP(BM66,'Tablas psiquica'!$D$7:$R$145,3,FALSE))</f>
        <v/>
      </c>
      <c r="BT67" s="279"/>
      <c r="BU67" s="6517" t="str">
        <f>IF(BU66=0,"",VLOOKUP(BU66,'Tablas psiquica'!$D$7:$R$145,2,FALSE))</f>
        <v/>
      </c>
      <c r="BV67" s="6518"/>
      <c r="BW67" s="6518"/>
      <c r="BX67" s="6519"/>
      <c r="BY67" s="6520" t="str">
        <f>IF(BU66=0,"",IF(INDEX('Tablas psiquica'!$U$115:$AH$115,1,$CA$7)=0,"No Accesible",IF(ISNA(VLOOKUP(BU66,Psíquicos!$AS$17:$AS$43,1,0)),"Accesible CV","Aprendido")))</f>
        <v/>
      </c>
      <c r="BZ67" s="6521"/>
      <c r="CA67" s="1658" t="str">
        <f>IF(BU66=0,"",VLOOKUP(BU66,'Tablas psiquica'!$D$7:$R$145,3,FALSE))</f>
        <v/>
      </c>
      <c r="CB67" s="402"/>
      <c r="CC67" s="396"/>
      <c r="CD67" s="396"/>
      <c r="CE67" s="279"/>
      <c r="CF67" s="6517" t="str">
        <f>IF(CF66=0,"",VLOOKUP(CF66,'Tablas psiquica'!$D$7:$R$145,2,FALSE))</f>
        <v/>
      </c>
      <c r="CG67" s="6518"/>
      <c r="CH67" s="6518"/>
      <c r="CI67" s="6519"/>
      <c r="CJ67" s="6520" t="str">
        <f>IF(CF66=0,"",IF(INDEX('Tablas psiquica'!$U$115:$AH$115,1,$DB$7)=0,"No Accesible",IF(ISNA(VLOOKUP(CF66,Psíquicos!$AS$17:$AS$43,1,0)),"Accesible CV","Aprendido")))</f>
        <v/>
      </c>
      <c r="CK67" s="6521"/>
      <c r="CL67" s="1658" t="str">
        <f>IF(CF66=0,"",VLOOKUP(CF66,'Tablas psiquica'!$D$7:$R$145,3,FALSE))</f>
        <v/>
      </c>
      <c r="CN67" s="6517" t="str">
        <f>IF(CN66=0,"",VLOOKUP(CN66,'Tablas psiquica'!$D$7:$R$145,2,FALSE))</f>
        <v/>
      </c>
      <c r="CO67" s="6518"/>
      <c r="CP67" s="6518"/>
      <c r="CQ67" s="6519"/>
      <c r="CR67" s="6520" t="str">
        <f>IF(CN66=0,"",IF(INDEX('Tablas psiquica'!$U$115:$AH$115,1,$DB$7)=0,"No Accesible",IF(ISNA(VLOOKUP(CN66,Psíquicos!$AS$17:$AS$43,1,0)),"Accesible CV","Aprendido")))</f>
        <v/>
      </c>
      <c r="CS67" s="6521"/>
      <c r="CT67" s="1658" t="str">
        <f>IF(CN66=0,"",VLOOKUP(CN66,'Tablas psiquica'!$D$7:$R$145,3,FALSE))</f>
        <v/>
      </c>
      <c r="CU67" s="279"/>
      <c r="CV67" s="6517" t="str">
        <f>IF(CV66=0,"",VLOOKUP(CV66,'Tablas psiquica'!$D$7:$R$145,2,FALSE))</f>
        <v/>
      </c>
      <c r="CW67" s="6518"/>
      <c r="CX67" s="6518"/>
      <c r="CY67" s="6519"/>
      <c r="CZ67" s="6520" t="str">
        <f>IF(CV66=0,"",IF(INDEX('Tablas psiquica'!$U$115:$AH$115,1,$DB$7)=0,"No Accesible",IF(ISNA(VLOOKUP(CV66,Psíquicos!$AS$17:$AS$43,1,0)),"Accesible CV","Aprendido")))</f>
        <v/>
      </c>
      <c r="DA67" s="6521"/>
      <c r="DB67" s="1658" t="str">
        <f>IF(CV66=0,"",VLOOKUP(CV66,'Tablas psiquica'!$D$7:$R$145,3,FALSE))</f>
        <v/>
      </c>
      <c r="DC67" s="402"/>
      <c r="DD67" s="396"/>
    </row>
    <row r="68" spans="1:108" ht="12" customHeight="1" x14ac:dyDescent="0.2">
      <c r="A68" s="396"/>
      <c r="B68" s="279"/>
      <c r="C68" s="1627">
        <v>20</v>
      </c>
      <c r="D68" s="6530" t="s">
        <v>1723</v>
      </c>
      <c r="E68" s="6450"/>
      <c r="F68" s="6531" t="str">
        <f>IF(C66=0,"",VLOOKUP(C66,'Tablas psiquica'!$D$7:$R$145,6,FALSE))</f>
        <v/>
      </c>
      <c r="G68" s="5988"/>
      <c r="H68" s="5988"/>
      <c r="I68" s="6225"/>
      <c r="K68" s="1627">
        <v>20</v>
      </c>
      <c r="L68" s="6530" t="s">
        <v>1723</v>
      </c>
      <c r="M68" s="6450"/>
      <c r="N68" s="6531" t="str">
        <f>IF(K66=0,"",VLOOKUP(K66,'Tablas psiquica'!$D$7:$R$145,6,FALSE))</f>
        <v/>
      </c>
      <c r="O68" s="5988"/>
      <c r="P68" s="5988"/>
      <c r="Q68" s="6225"/>
      <c r="R68" s="279"/>
      <c r="S68" s="1627">
        <v>20</v>
      </c>
      <c r="T68" s="6530" t="s">
        <v>1723</v>
      </c>
      <c r="U68" s="6450"/>
      <c r="V68" s="6531" t="str">
        <f>IF(S66=0,"",VLOOKUP(S66,'Tablas psiquica'!$D$7:$R$145,6,FALSE))</f>
        <v/>
      </c>
      <c r="W68" s="5988"/>
      <c r="X68" s="5988"/>
      <c r="Y68" s="6225"/>
      <c r="Z68" s="402"/>
      <c r="AA68" s="396"/>
      <c r="AB68" s="396"/>
      <c r="AC68" s="279"/>
      <c r="AD68" s="1627">
        <v>20</v>
      </c>
      <c r="AE68" s="6530" t="s">
        <v>1723</v>
      </c>
      <c r="AF68" s="6450"/>
      <c r="AG68" s="6531" t="str">
        <f>IF(AD66=0,"",VLOOKUP(AD66,'Tablas psiquica'!$D$7:$R$145,6,FALSE))</f>
        <v/>
      </c>
      <c r="AH68" s="5988"/>
      <c r="AI68" s="5988"/>
      <c r="AJ68" s="6225"/>
      <c r="AL68" s="1627">
        <v>20</v>
      </c>
      <c r="AM68" s="6530" t="s">
        <v>1723</v>
      </c>
      <c r="AN68" s="6450"/>
      <c r="AO68" s="6531" t="str">
        <f>IF(AL66=0,"",VLOOKUP(AL66,'Tablas psiquica'!$D$7:$R$145,6,FALSE))</f>
        <v/>
      </c>
      <c r="AP68" s="5988"/>
      <c r="AQ68" s="5988"/>
      <c r="AR68" s="6225"/>
      <c r="AS68" s="279"/>
      <c r="AT68" s="1627">
        <v>20</v>
      </c>
      <c r="AU68" s="6530" t="s">
        <v>1723</v>
      </c>
      <c r="AV68" s="6450"/>
      <c r="AW68" s="6531" t="str">
        <f>IF(AT66=0,"",VLOOKUP(AT66,'Tablas psiquica'!$D$7:$R$145,6,FALSE))</f>
        <v/>
      </c>
      <c r="AX68" s="5988"/>
      <c r="AY68" s="5988"/>
      <c r="AZ68" s="6225"/>
      <c r="BA68" s="402"/>
      <c r="BB68" s="396"/>
      <c r="BC68" s="396"/>
      <c r="BD68" s="279"/>
      <c r="BE68" s="1627">
        <v>20</v>
      </c>
      <c r="BF68" s="6530" t="s">
        <v>1723</v>
      </c>
      <c r="BG68" s="6450"/>
      <c r="BH68" s="6531" t="str">
        <f>IF(BE66=0,"",VLOOKUP(BE66,'Tablas psiquica'!$D$7:$R$145,6,FALSE))</f>
        <v/>
      </c>
      <c r="BI68" s="5988"/>
      <c r="BJ68" s="5988"/>
      <c r="BK68" s="6225"/>
      <c r="BM68" s="1627">
        <v>20</v>
      </c>
      <c r="BN68" s="6530" t="s">
        <v>1723</v>
      </c>
      <c r="BO68" s="6450"/>
      <c r="BP68" s="6531" t="str">
        <f>IF(BM66=0,"",VLOOKUP(BM66,'Tablas psiquica'!$D$7:$R$145,6,FALSE))</f>
        <v/>
      </c>
      <c r="BQ68" s="5988"/>
      <c r="BR68" s="5988"/>
      <c r="BS68" s="6225"/>
      <c r="BT68" s="279"/>
      <c r="BU68" s="1627">
        <v>20</v>
      </c>
      <c r="BV68" s="6530" t="s">
        <v>1723</v>
      </c>
      <c r="BW68" s="6450"/>
      <c r="BX68" s="6531" t="str">
        <f>IF(BU66=0,"",VLOOKUP(BU66,'Tablas psiquica'!$D$7:$R$145,6,FALSE))</f>
        <v/>
      </c>
      <c r="BY68" s="5988"/>
      <c r="BZ68" s="5988"/>
      <c r="CA68" s="6225"/>
      <c r="CB68" s="402"/>
      <c r="CC68" s="396"/>
      <c r="CD68" s="396"/>
      <c r="CE68" s="279"/>
      <c r="CF68" s="1627">
        <v>20</v>
      </c>
      <c r="CG68" s="6530" t="s">
        <v>1723</v>
      </c>
      <c r="CH68" s="6450"/>
      <c r="CI68" s="6531" t="str">
        <f>IF(CF66=0,"",VLOOKUP(CF66,'Tablas psiquica'!$D$7:$R$145,6,FALSE))</f>
        <v/>
      </c>
      <c r="CJ68" s="5988"/>
      <c r="CK68" s="5988"/>
      <c r="CL68" s="6225"/>
      <c r="CN68" s="1627">
        <v>20</v>
      </c>
      <c r="CO68" s="6530" t="s">
        <v>1723</v>
      </c>
      <c r="CP68" s="6450"/>
      <c r="CQ68" s="6531" t="str">
        <f>IF(CN66=0,"",VLOOKUP(CN66,'Tablas psiquica'!$D$7:$R$145,6,FALSE))</f>
        <v/>
      </c>
      <c r="CR68" s="5988"/>
      <c r="CS68" s="5988"/>
      <c r="CT68" s="6225"/>
      <c r="CU68" s="279"/>
      <c r="CV68" s="1627">
        <v>20</v>
      </c>
      <c r="CW68" s="6530" t="s">
        <v>1723</v>
      </c>
      <c r="CX68" s="6450"/>
      <c r="CY68" s="6531" t="str">
        <f>IF(CV66=0,"",VLOOKUP(CV66,'Tablas psiquica'!$D$7:$R$145,6,FALSE))</f>
        <v/>
      </c>
      <c r="CZ68" s="5988"/>
      <c r="DA68" s="5988"/>
      <c r="DB68" s="6225"/>
      <c r="DC68" s="402"/>
      <c r="DD68" s="396"/>
    </row>
    <row r="69" spans="1:108" ht="12" customHeight="1" x14ac:dyDescent="0.2">
      <c r="A69" s="396"/>
      <c r="B69" s="279"/>
      <c r="C69" s="1626">
        <v>40</v>
      </c>
      <c r="D69" s="6526" t="s">
        <v>1725</v>
      </c>
      <c r="E69" s="6445"/>
      <c r="F69" s="6527" t="str">
        <f>IF(C66=0,"",VLOOKUP(C66,'Tablas psiquica'!$D$7:$R$145,7,FALSE))</f>
        <v/>
      </c>
      <c r="G69" s="6528"/>
      <c r="H69" s="6528"/>
      <c r="I69" s="6529"/>
      <c r="K69" s="1626">
        <v>40</v>
      </c>
      <c r="L69" s="6526" t="s">
        <v>1725</v>
      </c>
      <c r="M69" s="6445"/>
      <c r="N69" s="6527" t="str">
        <f>IF(K66=0,"",VLOOKUP(K66,'Tablas psiquica'!$D$7:$R$145,7,FALSE))</f>
        <v/>
      </c>
      <c r="O69" s="6528"/>
      <c r="P69" s="6528"/>
      <c r="Q69" s="6529"/>
      <c r="R69" s="279"/>
      <c r="S69" s="1626">
        <v>40</v>
      </c>
      <c r="T69" s="6526" t="s">
        <v>1725</v>
      </c>
      <c r="U69" s="6445"/>
      <c r="V69" s="6527" t="str">
        <f>IF(S66=0,"",VLOOKUP(S66,'Tablas psiquica'!$D$7:$R$145,7,FALSE))</f>
        <v/>
      </c>
      <c r="W69" s="6528"/>
      <c r="X69" s="6528"/>
      <c r="Y69" s="6529"/>
      <c r="Z69" s="402"/>
      <c r="AA69" s="396"/>
      <c r="AB69" s="396"/>
      <c r="AC69" s="279"/>
      <c r="AD69" s="1626">
        <v>40</v>
      </c>
      <c r="AE69" s="6526" t="s">
        <v>1725</v>
      </c>
      <c r="AF69" s="6445"/>
      <c r="AG69" s="6527" t="str">
        <f>IF(AD66=0,"",VLOOKUP(AD66,'Tablas psiquica'!$D$7:$R$145,7,FALSE))</f>
        <v/>
      </c>
      <c r="AH69" s="6528"/>
      <c r="AI69" s="6528"/>
      <c r="AJ69" s="6529"/>
      <c r="AL69" s="1626">
        <v>40</v>
      </c>
      <c r="AM69" s="6526" t="s">
        <v>1725</v>
      </c>
      <c r="AN69" s="6445"/>
      <c r="AO69" s="6527" t="str">
        <f>IF(AL66=0,"",VLOOKUP(AL66,'Tablas psiquica'!$D$7:$R$145,7,FALSE))</f>
        <v/>
      </c>
      <c r="AP69" s="6528"/>
      <c r="AQ69" s="6528"/>
      <c r="AR69" s="6529"/>
      <c r="AS69" s="279"/>
      <c r="AT69" s="1626">
        <v>40</v>
      </c>
      <c r="AU69" s="6526" t="s">
        <v>1725</v>
      </c>
      <c r="AV69" s="6445"/>
      <c r="AW69" s="6527" t="str">
        <f>IF(AT66=0,"",VLOOKUP(AT66,'Tablas psiquica'!$D$7:$R$145,7,FALSE))</f>
        <v/>
      </c>
      <c r="AX69" s="6528"/>
      <c r="AY69" s="6528"/>
      <c r="AZ69" s="6529"/>
      <c r="BA69" s="402"/>
      <c r="BB69" s="396"/>
      <c r="BC69" s="396"/>
      <c r="BD69" s="279"/>
      <c r="BE69" s="1626">
        <v>40</v>
      </c>
      <c r="BF69" s="6526" t="s">
        <v>1725</v>
      </c>
      <c r="BG69" s="6445"/>
      <c r="BH69" s="6527" t="str">
        <f>IF(BE66=0,"",VLOOKUP(BE66,'Tablas psiquica'!$D$7:$R$145,7,FALSE))</f>
        <v/>
      </c>
      <c r="BI69" s="6528"/>
      <c r="BJ69" s="6528"/>
      <c r="BK69" s="6529"/>
      <c r="BM69" s="1626">
        <v>40</v>
      </c>
      <c r="BN69" s="6526" t="s">
        <v>1725</v>
      </c>
      <c r="BO69" s="6445"/>
      <c r="BP69" s="6527" t="str">
        <f>IF(BM66=0,"",VLOOKUP(BM66,'Tablas psiquica'!$D$7:$R$145,7,FALSE))</f>
        <v/>
      </c>
      <c r="BQ69" s="6528"/>
      <c r="BR69" s="6528"/>
      <c r="BS69" s="6529"/>
      <c r="BT69" s="279"/>
      <c r="BU69" s="1626">
        <v>40</v>
      </c>
      <c r="BV69" s="6526" t="s">
        <v>1725</v>
      </c>
      <c r="BW69" s="6445"/>
      <c r="BX69" s="6527" t="str">
        <f>IF(BU66=0,"",VLOOKUP(BU66,'Tablas psiquica'!$D$7:$R$145,7,FALSE))</f>
        <v/>
      </c>
      <c r="BY69" s="6528"/>
      <c r="BZ69" s="6528"/>
      <c r="CA69" s="6529"/>
      <c r="CB69" s="402"/>
      <c r="CC69" s="396"/>
      <c r="CD69" s="396"/>
      <c r="CE69" s="279"/>
      <c r="CF69" s="1626">
        <v>40</v>
      </c>
      <c r="CG69" s="6526" t="s">
        <v>1725</v>
      </c>
      <c r="CH69" s="6445"/>
      <c r="CI69" s="6527" t="str">
        <f>IF(CF66=0,"",VLOOKUP(CF66,'Tablas psiquica'!$D$7:$R$145,7,FALSE))</f>
        <v/>
      </c>
      <c r="CJ69" s="6528"/>
      <c r="CK69" s="6528"/>
      <c r="CL69" s="6529"/>
      <c r="CN69" s="1626">
        <v>40</v>
      </c>
      <c r="CO69" s="6526" t="s">
        <v>1725</v>
      </c>
      <c r="CP69" s="6445"/>
      <c r="CQ69" s="6527" t="str">
        <f>IF(CN66=0,"",VLOOKUP(CN66,'Tablas psiquica'!$D$7:$R$145,7,FALSE))</f>
        <v/>
      </c>
      <c r="CR69" s="6528"/>
      <c r="CS69" s="6528"/>
      <c r="CT69" s="6529"/>
      <c r="CU69" s="279"/>
      <c r="CV69" s="1626">
        <v>40</v>
      </c>
      <c r="CW69" s="6526" t="s">
        <v>1725</v>
      </c>
      <c r="CX69" s="6445"/>
      <c r="CY69" s="6527" t="str">
        <f>IF(CV66=0,"",VLOOKUP(CV66,'Tablas psiquica'!$D$7:$R$145,7,FALSE))</f>
        <v/>
      </c>
      <c r="CZ69" s="6528"/>
      <c r="DA69" s="6528"/>
      <c r="DB69" s="6529"/>
      <c r="DC69" s="402"/>
      <c r="DD69" s="396"/>
    </row>
    <row r="70" spans="1:108" ht="12" customHeight="1" x14ac:dyDescent="0.2">
      <c r="A70" s="396"/>
      <c r="B70" s="279"/>
      <c r="C70" s="1627">
        <v>80</v>
      </c>
      <c r="D70" s="6530" t="s">
        <v>1728</v>
      </c>
      <c r="E70" s="6450"/>
      <c r="F70" s="6531" t="str">
        <f>IF(C66=0,"",VLOOKUP(C66,'Tablas psiquica'!$D$7:$R$145,8,FALSE))</f>
        <v/>
      </c>
      <c r="G70" s="5988"/>
      <c r="H70" s="5988"/>
      <c r="I70" s="6225"/>
      <c r="K70" s="1627">
        <v>80</v>
      </c>
      <c r="L70" s="6530" t="s">
        <v>1728</v>
      </c>
      <c r="M70" s="6450"/>
      <c r="N70" s="6531" t="str">
        <f>IF(K66=0,"",VLOOKUP(K66,'Tablas psiquica'!$D$7:$R$145,8,FALSE))</f>
        <v/>
      </c>
      <c r="O70" s="5988"/>
      <c r="P70" s="5988"/>
      <c r="Q70" s="6225"/>
      <c r="R70" s="279"/>
      <c r="S70" s="1627">
        <v>80</v>
      </c>
      <c r="T70" s="6530" t="s">
        <v>1728</v>
      </c>
      <c r="U70" s="6450"/>
      <c r="V70" s="6531" t="str">
        <f>IF(S66=0,"",VLOOKUP(S66,'Tablas psiquica'!$D$7:$R$145,8,FALSE))</f>
        <v/>
      </c>
      <c r="W70" s="5988"/>
      <c r="X70" s="5988"/>
      <c r="Y70" s="6225"/>
      <c r="Z70" s="402"/>
      <c r="AA70" s="396"/>
      <c r="AB70" s="396"/>
      <c r="AC70" s="279"/>
      <c r="AD70" s="1627">
        <v>80</v>
      </c>
      <c r="AE70" s="6530" t="s">
        <v>1728</v>
      </c>
      <c r="AF70" s="6450"/>
      <c r="AG70" s="6531" t="str">
        <f>IF(AD66=0,"",VLOOKUP(AD66,'Tablas psiquica'!$D$7:$R$145,8,FALSE))</f>
        <v/>
      </c>
      <c r="AH70" s="5988"/>
      <c r="AI70" s="5988"/>
      <c r="AJ70" s="6225"/>
      <c r="AL70" s="1627">
        <v>80</v>
      </c>
      <c r="AM70" s="6530" t="s">
        <v>1728</v>
      </c>
      <c r="AN70" s="6450"/>
      <c r="AO70" s="6531" t="str">
        <f>IF(AL66=0,"",VLOOKUP(AL66,'Tablas psiquica'!$D$7:$R$145,8,FALSE))</f>
        <v/>
      </c>
      <c r="AP70" s="5988"/>
      <c r="AQ70" s="5988"/>
      <c r="AR70" s="6225"/>
      <c r="AS70" s="279"/>
      <c r="AT70" s="1627">
        <v>80</v>
      </c>
      <c r="AU70" s="6530" t="s">
        <v>1728</v>
      </c>
      <c r="AV70" s="6450"/>
      <c r="AW70" s="6531" t="str">
        <f>IF(AT66=0,"",VLOOKUP(AT66,'Tablas psiquica'!$D$7:$R$145,8,FALSE))</f>
        <v/>
      </c>
      <c r="AX70" s="5988"/>
      <c r="AY70" s="5988"/>
      <c r="AZ70" s="6225"/>
      <c r="BA70" s="402"/>
      <c r="BB70" s="396"/>
      <c r="BC70" s="396"/>
      <c r="BD70" s="279"/>
      <c r="BE70" s="1627">
        <v>80</v>
      </c>
      <c r="BF70" s="6530" t="s">
        <v>1728</v>
      </c>
      <c r="BG70" s="6450"/>
      <c r="BH70" s="6531" t="str">
        <f>IF(BE66=0,"",VLOOKUP(BE66,'Tablas psiquica'!$D$7:$R$145,8,FALSE))</f>
        <v/>
      </c>
      <c r="BI70" s="5988"/>
      <c r="BJ70" s="5988"/>
      <c r="BK70" s="6225"/>
      <c r="BM70" s="1627">
        <v>80</v>
      </c>
      <c r="BN70" s="6530" t="s">
        <v>1728</v>
      </c>
      <c r="BO70" s="6450"/>
      <c r="BP70" s="6531" t="str">
        <f>IF(BM66=0,"",VLOOKUP(BM66,'Tablas psiquica'!$D$7:$R$145,8,FALSE))</f>
        <v/>
      </c>
      <c r="BQ70" s="5988"/>
      <c r="BR70" s="5988"/>
      <c r="BS70" s="6225"/>
      <c r="BT70" s="279"/>
      <c r="BU70" s="1627">
        <v>80</v>
      </c>
      <c r="BV70" s="6530" t="s">
        <v>1728</v>
      </c>
      <c r="BW70" s="6450"/>
      <c r="BX70" s="6531" t="str">
        <f>IF(BU66=0,"",VLOOKUP(BU66,'Tablas psiquica'!$D$7:$R$145,8,FALSE))</f>
        <v/>
      </c>
      <c r="BY70" s="5988"/>
      <c r="BZ70" s="5988"/>
      <c r="CA70" s="6225"/>
      <c r="CB70" s="402"/>
      <c r="CC70" s="396"/>
      <c r="CD70" s="396"/>
      <c r="CE70" s="279"/>
      <c r="CF70" s="1627">
        <v>80</v>
      </c>
      <c r="CG70" s="6530" t="s">
        <v>1728</v>
      </c>
      <c r="CH70" s="6450"/>
      <c r="CI70" s="6531" t="str">
        <f>IF(CF66=0,"",VLOOKUP(CF66,'Tablas psiquica'!$D$7:$R$145,8,FALSE))</f>
        <v/>
      </c>
      <c r="CJ70" s="5988"/>
      <c r="CK70" s="5988"/>
      <c r="CL70" s="6225"/>
      <c r="CN70" s="1627">
        <v>80</v>
      </c>
      <c r="CO70" s="6530" t="s">
        <v>1728</v>
      </c>
      <c r="CP70" s="6450"/>
      <c r="CQ70" s="6531" t="str">
        <f>IF(CN66=0,"",VLOOKUP(CN66,'Tablas psiquica'!$D$7:$R$145,8,FALSE))</f>
        <v/>
      </c>
      <c r="CR70" s="5988"/>
      <c r="CS70" s="5988"/>
      <c r="CT70" s="6225"/>
      <c r="CU70" s="279"/>
      <c r="CV70" s="1627">
        <v>80</v>
      </c>
      <c r="CW70" s="6530" t="s">
        <v>1728</v>
      </c>
      <c r="CX70" s="6450"/>
      <c r="CY70" s="6531" t="str">
        <f>IF(CV66=0,"",VLOOKUP(CV66,'Tablas psiquica'!$D$7:$R$145,8,FALSE))</f>
        <v/>
      </c>
      <c r="CZ70" s="5988"/>
      <c r="DA70" s="5988"/>
      <c r="DB70" s="6225"/>
      <c r="DC70" s="402"/>
      <c r="DD70" s="396"/>
    </row>
    <row r="71" spans="1:108" ht="12" customHeight="1" x14ac:dyDescent="0.2">
      <c r="A71" s="396"/>
      <c r="B71" s="279"/>
      <c r="C71" s="1626">
        <v>120</v>
      </c>
      <c r="D71" s="6526" t="s">
        <v>1731</v>
      </c>
      <c r="E71" s="6445"/>
      <c r="F71" s="6527" t="str">
        <f>IF(C66=0,"",VLOOKUP(C66,'Tablas psiquica'!$D$7:$R$145,9,FALSE))</f>
        <v/>
      </c>
      <c r="G71" s="6528"/>
      <c r="H71" s="6528"/>
      <c r="I71" s="6529"/>
      <c r="K71" s="1626">
        <v>120</v>
      </c>
      <c r="L71" s="6526" t="s">
        <v>1731</v>
      </c>
      <c r="M71" s="6445"/>
      <c r="N71" s="6527" t="str">
        <f>IF(K66=0,"",VLOOKUP(K66,'Tablas psiquica'!$D$7:$R$145,9,FALSE))</f>
        <v/>
      </c>
      <c r="O71" s="6528"/>
      <c r="P71" s="6528"/>
      <c r="Q71" s="6529"/>
      <c r="R71" s="279"/>
      <c r="S71" s="1626">
        <v>120</v>
      </c>
      <c r="T71" s="6526" t="s">
        <v>1731</v>
      </c>
      <c r="U71" s="6445"/>
      <c r="V71" s="6527" t="str">
        <f>IF(S66=0,"",VLOOKUP(S66,'Tablas psiquica'!$D$7:$R$145,9,FALSE))</f>
        <v/>
      </c>
      <c r="W71" s="6528"/>
      <c r="X71" s="6528"/>
      <c r="Y71" s="6529"/>
      <c r="Z71" s="402"/>
      <c r="AA71" s="396"/>
      <c r="AB71" s="396"/>
      <c r="AC71" s="279"/>
      <c r="AD71" s="1626">
        <v>120</v>
      </c>
      <c r="AE71" s="6526" t="s">
        <v>1731</v>
      </c>
      <c r="AF71" s="6445"/>
      <c r="AG71" s="6527" t="str">
        <f>IF(AD66=0,"",VLOOKUP(AD66,'Tablas psiquica'!$D$7:$R$145,9,FALSE))</f>
        <v/>
      </c>
      <c r="AH71" s="6528"/>
      <c r="AI71" s="6528"/>
      <c r="AJ71" s="6529"/>
      <c r="AL71" s="1626">
        <v>120</v>
      </c>
      <c r="AM71" s="6526" t="s">
        <v>1731</v>
      </c>
      <c r="AN71" s="6445"/>
      <c r="AO71" s="6527" t="str">
        <f>IF(AL66=0,"",VLOOKUP(AL66,'Tablas psiquica'!$D$7:$R$145,9,FALSE))</f>
        <v/>
      </c>
      <c r="AP71" s="6528"/>
      <c r="AQ71" s="6528"/>
      <c r="AR71" s="6529"/>
      <c r="AS71" s="279"/>
      <c r="AT71" s="1626">
        <v>120</v>
      </c>
      <c r="AU71" s="6526" t="s">
        <v>1731</v>
      </c>
      <c r="AV71" s="6445"/>
      <c r="AW71" s="6527" t="str">
        <f>IF(AT66=0,"",VLOOKUP(AT66,'Tablas psiquica'!$D$7:$R$145,9,FALSE))</f>
        <v/>
      </c>
      <c r="AX71" s="6528"/>
      <c r="AY71" s="6528"/>
      <c r="AZ71" s="6529"/>
      <c r="BA71" s="402"/>
      <c r="BB71" s="396"/>
      <c r="BC71" s="396"/>
      <c r="BD71" s="279"/>
      <c r="BE71" s="1626">
        <v>120</v>
      </c>
      <c r="BF71" s="6526" t="s">
        <v>1731</v>
      </c>
      <c r="BG71" s="6445"/>
      <c r="BH71" s="6527" t="str">
        <f>IF(BE66=0,"",VLOOKUP(BE66,'Tablas psiquica'!$D$7:$R$145,9,FALSE))</f>
        <v/>
      </c>
      <c r="BI71" s="6528"/>
      <c r="BJ71" s="6528"/>
      <c r="BK71" s="6529"/>
      <c r="BM71" s="1626">
        <v>120</v>
      </c>
      <c r="BN71" s="6526" t="s">
        <v>1731</v>
      </c>
      <c r="BO71" s="6445"/>
      <c r="BP71" s="6527" t="str">
        <f>IF(BM66=0,"",VLOOKUP(BM66,'Tablas psiquica'!$D$7:$R$145,9,FALSE))</f>
        <v/>
      </c>
      <c r="BQ71" s="6528"/>
      <c r="BR71" s="6528"/>
      <c r="BS71" s="6529"/>
      <c r="BT71" s="279"/>
      <c r="BU71" s="1626">
        <v>120</v>
      </c>
      <c r="BV71" s="6526" t="s">
        <v>1731</v>
      </c>
      <c r="BW71" s="6445"/>
      <c r="BX71" s="6527" t="str">
        <f>IF(BU66=0,"",VLOOKUP(BU66,'Tablas psiquica'!$D$7:$R$145,9,FALSE))</f>
        <v/>
      </c>
      <c r="BY71" s="6528"/>
      <c r="BZ71" s="6528"/>
      <c r="CA71" s="6529"/>
      <c r="CB71" s="402"/>
      <c r="CC71" s="396"/>
      <c r="CD71" s="396"/>
      <c r="CE71" s="279"/>
      <c r="CF71" s="1626">
        <v>120</v>
      </c>
      <c r="CG71" s="6526" t="s">
        <v>1731</v>
      </c>
      <c r="CH71" s="6445"/>
      <c r="CI71" s="6527" t="str">
        <f>IF(CF66=0,"",VLOOKUP(CF66,'Tablas psiquica'!$D$7:$R$145,9,FALSE))</f>
        <v/>
      </c>
      <c r="CJ71" s="6528"/>
      <c r="CK71" s="6528"/>
      <c r="CL71" s="6529"/>
      <c r="CN71" s="1626">
        <v>120</v>
      </c>
      <c r="CO71" s="6526" t="s">
        <v>1731</v>
      </c>
      <c r="CP71" s="6445"/>
      <c r="CQ71" s="6527" t="str">
        <f>IF(CN66=0,"",VLOOKUP(CN66,'Tablas psiquica'!$D$7:$R$145,9,FALSE))</f>
        <v/>
      </c>
      <c r="CR71" s="6528"/>
      <c r="CS71" s="6528"/>
      <c r="CT71" s="6529"/>
      <c r="CU71" s="279"/>
      <c r="CV71" s="1626">
        <v>120</v>
      </c>
      <c r="CW71" s="6526" t="s">
        <v>1731</v>
      </c>
      <c r="CX71" s="6445"/>
      <c r="CY71" s="6527" t="str">
        <f>IF(CV66=0,"",VLOOKUP(CV66,'Tablas psiquica'!$D$7:$R$145,9,FALSE))</f>
        <v/>
      </c>
      <c r="CZ71" s="6528"/>
      <c r="DA71" s="6528"/>
      <c r="DB71" s="6529"/>
      <c r="DC71" s="402"/>
      <c r="DD71" s="396"/>
    </row>
    <row r="72" spans="1:108" ht="12" customHeight="1" x14ac:dyDescent="0.2">
      <c r="A72" s="396"/>
      <c r="B72" s="279"/>
      <c r="C72" s="1627">
        <v>140</v>
      </c>
      <c r="D72" s="6530" t="s">
        <v>6242</v>
      </c>
      <c r="E72" s="6450"/>
      <c r="F72" s="6531" t="str">
        <f>IF(C66=0,"",VLOOKUP(C66,'Tablas psiquica'!$D$7:$R$145,10,FALSE))</f>
        <v/>
      </c>
      <c r="G72" s="5988"/>
      <c r="H72" s="5988"/>
      <c r="I72" s="6225"/>
      <c r="K72" s="1627">
        <v>140</v>
      </c>
      <c r="L72" s="6530" t="s">
        <v>6242</v>
      </c>
      <c r="M72" s="6450"/>
      <c r="N72" s="6531" t="str">
        <f>IF(K66=0,"",VLOOKUP(K66,'Tablas psiquica'!$D$7:$R$145,10,FALSE))</f>
        <v/>
      </c>
      <c r="O72" s="5988"/>
      <c r="P72" s="5988"/>
      <c r="Q72" s="6225"/>
      <c r="R72" s="279"/>
      <c r="S72" s="1627">
        <v>140</v>
      </c>
      <c r="T72" s="6530" t="s">
        <v>6242</v>
      </c>
      <c r="U72" s="6450"/>
      <c r="V72" s="6531" t="str">
        <f>IF(S66=0,"",VLOOKUP(S66,'Tablas psiquica'!$D$7:$R$145,10,FALSE))</f>
        <v/>
      </c>
      <c r="W72" s="5988"/>
      <c r="X72" s="5988"/>
      <c r="Y72" s="6225"/>
      <c r="Z72" s="402"/>
      <c r="AA72" s="396"/>
      <c r="AB72" s="396"/>
      <c r="AC72" s="279"/>
      <c r="AD72" s="1627">
        <v>140</v>
      </c>
      <c r="AE72" s="6530" t="s">
        <v>6242</v>
      </c>
      <c r="AF72" s="6450"/>
      <c r="AG72" s="6531" t="str">
        <f>IF(AD66=0,"",VLOOKUP(AD66,'Tablas psiquica'!$D$7:$R$145,10,FALSE))</f>
        <v/>
      </c>
      <c r="AH72" s="5988"/>
      <c r="AI72" s="5988"/>
      <c r="AJ72" s="6225"/>
      <c r="AL72" s="1627">
        <v>140</v>
      </c>
      <c r="AM72" s="6530" t="s">
        <v>6242</v>
      </c>
      <c r="AN72" s="6450"/>
      <c r="AO72" s="6531" t="str">
        <f>IF(AL66=0,"",VLOOKUP(AL66,'Tablas psiquica'!$D$7:$R$145,10,FALSE))</f>
        <v/>
      </c>
      <c r="AP72" s="5988"/>
      <c r="AQ72" s="5988"/>
      <c r="AR72" s="6225"/>
      <c r="AS72" s="279"/>
      <c r="AT72" s="1627">
        <v>140</v>
      </c>
      <c r="AU72" s="6530" t="s">
        <v>6242</v>
      </c>
      <c r="AV72" s="6450"/>
      <c r="AW72" s="6531" t="str">
        <f>IF(AT66=0,"",VLOOKUP(AT66,'Tablas psiquica'!$D$7:$R$145,10,FALSE))</f>
        <v/>
      </c>
      <c r="AX72" s="5988"/>
      <c r="AY72" s="5988"/>
      <c r="AZ72" s="6225"/>
      <c r="BA72" s="402"/>
      <c r="BB72" s="396"/>
      <c r="BC72" s="396"/>
      <c r="BD72" s="279"/>
      <c r="BE72" s="1627">
        <v>140</v>
      </c>
      <c r="BF72" s="6530" t="s">
        <v>6242</v>
      </c>
      <c r="BG72" s="6450"/>
      <c r="BH72" s="6531" t="str">
        <f>IF(BE66=0,"",VLOOKUP(BE66,'Tablas psiquica'!$D$7:$R$145,10,FALSE))</f>
        <v/>
      </c>
      <c r="BI72" s="5988"/>
      <c r="BJ72" s="5988"/>
      <c r="BK72" s="6225"/>
      <c r="BM72" s="1627">
        <v>140</v>
      </c>
      <c r="BN72" s="6530" t="s">
        <v>6242</v>
      </c>
      <c r="BO72" s="6450"/>
      <c r="BP72" s="6531" t="str">
        <f>IF(BM66=0,"",VLOOKUP(BM66,'Tablas psiquica'!$D$7:$R$145,10,FALSE))</f>
        <v/>
      </c>
      <c r="BQ72" s="5988"/>
      <c r="BR72" s="5988"/>
      <c r="BS72" s="6225"/>
      <c r="BT72" s="279"/>
      <c r="BU72" s="1627">
        <v>140</v>
      </c>
      <c r="BV72" s="6530" t="s">
        <v>6242</v>
      </c>
      <c r="BW72" s="6450"/>
      <c r="BX72" s="6531" t="str">
        <f>IF(BU66=0,"",VLOOKUP(BU66,'Tablas psiquica'!$D$7:$R$145,10,FALSE))</f>
        <v/>
      </c>
      <c r="BY72" s="5988"/>
      <c r="BZ72" s="5988"/>
      <c r="CA72" s="6225"/>
      <c r="CB72" s="402"/>
      <c r="CC72" s="396"/>
      <c r="CD72" s="396"/>
      <c r="CE72" s="279"/>
      <c r="CF72" s="1627">
        <v>140</v>
      </c>
      <c r="CG72" s="6530" t="s">
        <v>6242</v>
      </c>
      <c r="CH72" s="6450"/>
      <c r="CI72" s="6531" t="str">
        <f>IF(CF66=0,"",VLOOKUP(CF66,'Tablas psiquica'!$D$7:$R$145,10,FALSE))</f>
        <v/>
      </c>
      <c r="CJ72" s="5988"/>
      <c r="CK72" s="5988"/>
      <c r="CL72" s="6225"/>
      <c r="CN72" s="1627">
        <v>140</v>
      </c>
      <c r="CO72" s="6530" t="s">
        <v>6242</v>
      </c>
      <c r="CP72" s="6450"/>
      <c r="CQ72" s="6531" t="str">
        <f>IF(CN66=0,"",VLOOKUP(CN66,'Tablas psiquica'!$D$7:$R$145,10,FALSE))</f>
        <v/>
      </c>
      <c r="CR72" s="5988"/>
      <c r="CS72" s="5988"/>
      <c r="CT72" s="6225"/>
      <c r="CU72" s="279"/>
      <c r="CV72" s="1627">
        <v>140</v>
      </c>
      <c r="CW72" s="6530" t="s">
        <v>6242</v>
      </c>
      <c r="CX72" s="6450"/>
      <c r="CY72" s="6531" t="str">
        <f>IF(CV66=0,"",VLOOKUP(CV66,'Tablas psiquica'!$D$7:$R$145,10,FALSE))</f>
        <v/>
      </c>
      <c r="CZ72" s="5988"/>
      <c r="DA72" s="5988"/>
      <c r="DB72" s="6225"/>
      <c r="DC72" s="402"/>
      <c r="DD72" s="396"/>
    </row>
    <row r="73" spans="1:108" ht="12" customHeight="1" x14ac:dyDescent="0.2">
      <c r="A73" s="396"/>
      <c r="B73" s="279"/>
      <c r="C73" s="1626">
        <v>180</v>
      </c>
      <c r="D73" s="6526" t="s">
        <v>1735</v>
      </c>
      <c r="E73" s="6445"/>
      <c r="F73" s="6527" t="str">
        <f>IF(C66=0,"",VLOOKUP(C66,'Tablas psiquica'!$D$7:$R$145,11,FALSE))</f>
        <v/>
      </c>
      <c r="G73" s="6528"/>
      <c r="H73" s="6528"/>
      <c r="I73" s="6529"/>
      <c r="K73" s="1626">
        <v>180</v>
      </c>
      <c r="L73" s="6526" t="s">
        <v>1735</v>
      </c>
      <c r="M73" s="6445"/>
      <c r="N73" s="6527" t="str">
        <f>IF(K66=0,"",VLOOKUP(K66,'Tablas psiquica'!$D$7:$R$145,11,FALSE))</f>
        <v/>
      </c>
      <c r="O73" s="6528"/>
      <c r="P73" s="6528"/>
      <c r="Q73" s="6529"/>
      <c r="R73" s="279"/>
      <c r="S73" s="1626">
        <v>180</v>
      </c>
      <c r="T73" s="6526" t="s">
        <v>1735</v>
      </c>
      <c r="U73" s="6445"/>
      <c r="V73" s="6527" t="str">
        <f>IF(S66=0,"",VLOOKUP(S66,'Tablas psiquica'!$D$7:$R$145,11,FALSE))</f>
        <v/>
      </c>
      <c r="W73" s="6528"/>
      <c r="X73" s="6528"/>
      <c r="Y73" s="6529"/>
      <c r="Z73" s="402"/>
      <c r="AA73" s="396"/>
      <c r="AB73" s="396"/>
      <c r="AC73" s="279"/>
      <c r="AD73" s="1626">
        <v>180</v>
      </c>
      <c r="AE73" s="6526" t="s">
        <v>1735</v>
      </c>
      <c r="AF73" s="6445"/>
      <c r="AG73" s="6527" t="str">
        <f>IF(AD66=0,"",VLOOKUP(AD66,'Tablas psiquica'!$D$7:$R$145,11,FALSE))</f>
        <v/>
      </c>
      <c r="AH73" s="6528"/>
      <c r="AI73" s="6528"/>
      <c r="AJ73" s="6529"/>
      <c r="AL73" s="1626">
        <v>180</v>
      </c>
      <c r="AM73" s="6526" t="s">
        <v>1735</v>
      </c>
      <c r="AN73" s="6445"/>
      <c r="AO73" s="6527" t="str">
        <f>IF(AL66=0,"",VLOOKUP(AL66,'Tablas psiquica'!$D$7:$R$145,11,FALSE))</f>
        <v/>
      </c>
      <c r="AP73" s="6528"/>
      <c r="AQ73" s="6528"/>
      <c r="AR73" s="6529"/>
      <c r="AS73" s="279"/>
      <c r="AT73" s="1626">
        <v>180</v>
      </c>
      <c r="AU73" s="6526" t="s">
        <v>1735</v>
      </c>
      <c r="AV73" s="6445"/>
      <c r="AW73" s="6527" t="str">
        <f>IF(AT66=0,"",VLOOKUP(AT66,'Tablas psiquica'!$D$7:$R$145,11,FALSE))</f>
        <v/>
      </c>
      <c r="AX73" s="6528"/>
      <c r="AY73" s="6528"/>
      <c r="AZ73" s="6529"/>
      <c r="BA73" s="402"/>
      <c r="BB73" s="396"/>
      <c r="BC73" s="396"/>
      <c r="BD73" s="279"/>
      <c r="BE73" s="1626">
        <v>180</v>
      </c>
      <c r="BF73" s="6526" t="s">
        <v>1735</v>
      </c>
      <c r="BG73" s="6445"/>
      <c r="BH73" s="6527" t="str">
        <f>IF(BE66=0,"",VLOOKUP(BE66,'Tablas psiquica'!$D$7:$R$145,11,FALSE))</f>
        <v/>
      </c>
      <c r="BI73" s="6528"/>
      <c r="BJ73" s="6528"/>
      <c r="BK73" s="6529"/>
      <c r="BM73" s="1626">
        <v>180</v>
      </c>
      <c r="BN73" s="6526" t="s">
        <v>1735</v>
      </c>
      <c r="BO73" s="6445"/>
      <c r="BP73" s="6527" t="str">
        <f>IF(BM66=0,"",VLOOKUP(BM66,'Tablas psiquica'!$D$7:$R$145,11,FALSE))</f>
        <v/>
      </c>
      <c r="BQ73" s="6528"/>
      <c r="BR73" s="6528"/>
      <c r="BS73" s="6529"/>
      <c r="BT73" s="279"/>
      <c r="BU73" s="1626">
        <v>180</v>
      </c>
      <c r="BV73" s="6526" t="s">
        <v>1735</v>
      </c>
      <c r="BW73" s="6445"/>
      <c r="BX73" s="6527" t="str">
        <f>IF(BU66=0,"",VLOOKUP(BU66,'Tablas psiquica'!$D$7:$R$145,11,FALSE))</f>
        <v/>
      </c>
      <c r="BY73" s="6528"/>
      <c r="BZ73" s="6528"/>
      <c r="CA73" s="6529"/>
      <c r="CB73" s="402"/>
      <c r="CC73" s="396"/>
      <c r="CD73" s="396"/>
      <c r="CE73" s="279"/>
      <c r="CF73" s="1626">
        <v>180</v>
      </c>
      <c r="CG73" s="6526" t="s">
        <v>1735</v>
      </c>
      <c r="CH73" s="6445"/>
      <c r="CI73" s="6527" t="str">
        <f>IF(CF66=0,"",VLOOKUP(CF66,'Tablas psiquica'!$D$7:$R$145,11,FALSE))</f>
        <v/>
      </c>
      <c r="CJ73" s="6528"/>
      <c r="CK73" s="6528"/>
      <c r="CL73" s="6529"/>
      <c r="CN73" s="1626">
        <v>180</v>
      </c>
      <c r="CO73" s="6526" t="s">
        <v>1735</v>
      </c>
      <c r="CP73" s="6445"/>
      <c r="CQ73" s="6527" t="str">
        <f>IF(CN66=0,"",VLOOKUP(CN66,'Tablas psiquica'!$D$7:$R$145,11,FALSE))</f>
        <v/>
      </c>
      <c r="CR73" s="6528"/>
      <c r="CS73" s="6528"/>
      <c r="CT73" s="6529"/>
      <c r="CU73" s="279"/>
      <c r="CV73" s="1626">
        <v>180</v>
      </c>
      <c r="CW73" s="6526" t="s">
        <v>1735</v>
      </c>
      <c r="CX73" s="6445"/>
      <c r="CY73" s="6527" t="str">
        <f>IF(CV66=0,"",VLOOKUP(CV66,'Tablas psiquica'!$D$7:$R$145,11,FALSE))</f>
        <v/>
      </c>
      <c r="CZ73" s="6528"/>
      <c r="DA73" s="6528"/>
      <c r="DB73" s="6529"/>
      <c r="DC73" s="402"/>
      <c r="DD73" s="396"/>
    </row>
    <row r="74" spans="1:108" ht="12" customHeight="1" x14ac:dyDescent="0.2">
      <c r="A74" s="396"/>
      <c r="B74" s="279"/>
      <c r="C74" s="1627">
        <v>240</v>
      </c>
      <c r="D74" s="6530" t="s">
        <v>6243</v>
      </c>
      <c r="E74" s="6450"/>
      <c r="F74" s="6531" t="str">
        <f>IF(C66=0,"",VLOOKUP(C66,'Tablas psiquica'!$D$7:$R$145,12,FALSE))</f>
        <v/>
      </c>
      <c r="G74" s="5988"/>
      <c r="H74" s="5988"/>
      <c r="I74" s="6225"/>
      <c r="K74" s="1627">
        <v>240</v>
      </c>
      <c r="L74" s="6530" t="s">
        <v>6243</v>
      </c>
      <c r="M74" s="6450"/>
      <c r="N74" s="6531" t="str">
        <f>IF(K66=0,"",VLOOKUP(K66,'Tablas psiquica'!$D$7:$R$145,12,FALSE))</f>
        <v/>
      </c>
      <c r="O74" s="5988"/>
      <c r="P74" s="5988"/>
      <c r="Q74" s="6225"/>
      <c r="R74" s="279"/>
      <c r="S74" s="1627">
        <v>240</v>
      </c>
      <c r="T74" s="6530" t="s">
        <v>6243</v>
      </c>
      <c r="U74" s="6450"/>
      <c r="V74" s="6531" t="str">
        <f>IF(S66=0,"",VLOOKUP(S66,'Tablas psiquica'!$D$7:$R$145,12,FALSE))</f>
        <v/>
      </c>
      <c r="W74" s="5988"/>
      <c r="X74" s="5988"/>
      <c r="Y74" s="6225"/>
      <c r="Z74" s="402"/>
      <c r="AA74" s="396"/>
      <c r="AB74" s="396"/>
      <c r="AC74" s="279"/>
      <c r="AD74" s="1627">
        <v>240</v>
      </c>
      <c r="AE74" s="6530" t="s">
        <v>6243</v>
      </c>
      <c r="AF74" s="6450"/>
      <c r="AG74" s="6531" t="str">
        <f>IF(AD66=0,"",VLOOKUP(AD66,'Tablas psiquica'!$D$7:$R$145,12,FALSE))</f>
        <v/>
      </c>
      <c r="AH74" s="5988"/>
      <c r="AI74" s="5988"/>
      <c r="AJ74" s="6225"/>
      <c r="AL74" s="1627">
        <v>240</v>
      </c>
      <c r="AM74" s="6530" t="s">
        <v>6243</v>
      </c>
      <c r="AN74" s="6450"/>
      <c r="AO74" s="6531" t="str">
        <f>IF(AL66=0,"",VLOOKUP(AL66,'Tablas psiquica'!$D$7:$R$145,12,FALSE))</f>
        <v/>
      </c>
      <c r="AP74" s="5988"/>
      <c r="AQ74" s="5988"/>
      <c r="AR74" s="6225"/>
      <c r="AS74" s="279"/>
      <c r="AT74" s="1627">
        <v>240</v>
      </c>
      <c r="AU74" s="6530" t="s">
        <v>6243</v>
      </c>
      <c r="AV74" s="6450"/>
      <c r="AW74" s="6531" t="str">
        <f>IF(AT66=0,"",VLOOKUP(AT66,'Tablas psiquica'!$D$7:$R$145,12,FALSE))</f>
        <v/>
      </c>
      <c r="AX74" s="5988"/>
      <c r="AY74" s="5988"/>
      <c r="AZ74" s="6225"/>
      <c r="BA74" s="402"/>
      <c r="BB74" s="396"/>
      <c r="BC74" s="396"/>
      <c r="BD74" s="279"/>
      <c r="BE74" s="1627">
        <v>240</v>
      </c>
      <c r="BF74" s="6530" t="s">
        <v>6243</v>
      </c>
      <c r="BG74" s="6450"/>
      <c r="BH74" s="6531" t="str">
        <f>IF(BE66=0,"",VLOOKUP(BE66,'Tablas psiquica'!$D$7:$R$145,12,FALSE))</f>
        <v/>
      </c>
      <c r="BI74" s="5988"/>
      <c r="BJ74" s="5988"/>
      <c r="BK74" s="6225"/>
      <c r="BM74" s="1627">
        <v>240</v>
      </c>
      <c r="BN74" s="6530" t="s">
        <v>6243</v>
      </c>
      <c r="BO74" s="6450"/>
      <c r="BP74" s="6531" t="str">
        <f>IF(BM66=0,"",VLOOKUP(BM66,'Tablas psiquica'!$D$7:$R$145,12,FALSE))</f>
        <v/>
      </c>
      <c r="BQ74" s="5988"/>
      <c r="BR74" s="5988"/>
      <c r="BS74" s="6225"/>
      <c r="BT74" s="279"/>
      <c r="BU74" s="1627">
        <v>240</v>
      </c>
      <c r="BV74" s="6530" t="s">
        <v>6243</v>
      </c>
      <c r="BW74" s="6450"/>
      <c r="BX74" s="6531" t="str">
        <f>IF(BU66=0,"",VLOOKUP(BU66,'Tablas psiquica'!$D$7:$R$145,12,FALSE))</f>
        <v/>
      </c>
      <c r="BY74" s="5988"/>
      <c r="BZ74" s="5988"/>
      <c r="CA74" s="6225"/>
      <c r="CB74" s="402"/>
      <c r="CC74" s="396"/>
      <c r="CD74" s="396"/>
      <c r="CE74" s="279"/>
      <c r="CF74" s="1627">
        <v>240</v>
      </c>
      <c r="CG74" s="6530" t="s">
        <v>6243</v>
      </c>
      <c r="CH74" s="6450"/>
      <c r="CI74" s="6531" t="str">
        <f>IF(CF66=0,"",VLOOKUP(CF66,'Tablas psiquica'!$D$7:$R$145,12,FALSE))</f>
        <v/>
      </c>
      <c r="CJ74" s="5988"/>
      <c r="CK74" s="5988"/>
      <c r="CL74" s="6225"/>
      <c r="CN74" s="1627">
        <v>240</v>
      </c>
      <c r="CO74" s="6530" t="s">
        <v>6243</v>
      </c>
      <c r="CP74" s="6450"/>
      <c r="CQ74" s="6531" t="str">
        <f>IF(CN66=0,"",VLOOKUP(CN66,'Tablas psiquica'!$D$7:$R$145,12,FALSE))</f>
        <v/>
      </c>
      <c r="CR74" s="5988"/>
      <c r="CS74" s="5988"/>
      <c r="CT74" s="6225"/>
      <c r="CU74" s="279"/>
      <c r="CV74" s="1627">
        <v>240</v>
      </c>
      <c r="CW74" s="6530" t="s">
        <v>6243</v>
      </c>
      <c r="CX74" s="6450"/>
      <c r="CY74" s="6531" t="str">
        <f>IF(CV66=0,"",VLOOKUP(CV66,'Tablas psiquica'!$D$7:$R$145,12,FALSE))</f>
        <v/>
      </c>
      <c r="CZ74" s="5988"/>
      <c r="DA74" s="5988"/>
      <c r="DB74" s="6225"/>
      <c r="DC74" s="402"/>
      <c r="DD74" s="396"/>
    </row>
    <row r="75" spans="1:108" ht="12" customHeight="1" x14ac:dyDescent="0.2">
      <c r="A75" s="396"/>
      <c r="B75" s="279"/>
      <c r="C75" s="1626">
        <v>280</v>
      </c>
      <c r="D75" s="6526" t="s">
        <v>1738</v>
      </c>
      <c r="E75" s="6445"/>
      <c r="F75" s="6527" t="str">
        <f>IF(C66=0,"",VLOOKUP(C66,'Tablas psiquica'!$D$7:$R$145,13,FALSE))</f>
        <v/>
      </c>
      <c r="G75" s="6528"/>
      <c r="H75" s="6528"/>
      <c r="I75" s="6529"/>
      <c r="K75" s="1626">
        <v>280</v>
      </c>
      <c r="L75" s="6526" t="s">
        <v>1738</v>
      </c>
      <c r="M75" s="6445"/>
      <c r="N75" s="6527" t="str">
        <f>IF(K66=0,"",VLOOKUP(K66,'Tablas psiquica'!$D$7:$R$145,13,FALSE))</f>
        <v/>
      </c>
      <c r="O75" s="6528"/>
      <c r="P75" s="6528"/>
      <c r="Q75" s="6529"/>
      <c r="R75" s="279"/>
      <c r="S75" s="1626">
        <v>280</v>
      </c>
      <c r="T75" s="6526" t="s">
        <v>1738</v>
      </c>
      <c r="U75" s="6445"/>
      <c r="V75" s="6527" t="str">
        <f>IF(S66=0,"",VLOOKUP(S66,'Tablas psiquica'!$D$7:$R$145,13,FALSE))</f>
        <v/>
      </c>
      <c r="W75" s="6528"/>
      <c r="X75" s="6528"/>
      <c r="Y75" s="6529"/>
      <c r="Z75" s="402"/>
      <c r="AA75" s="396"/>
      <c r="AB75" s="396"/>
      <c r="AC75" s="279"/>
      <c r="AD75" s="1626">
        <v>280</v>
      </c>
      <c r="AE75" s="6526" t="s">
        <v>1738</v>
      </c>
      <c r="AF75" s="6445"/>
      <c r="AG75" s="6527" t="str">
        <f>IF(AD66=0,"",VLOOKUP(AD66,'Tablas psiquica'!$D$7:$R$145,13,FALSE))</f>
        <v/>
      </c>
      <c r="AH75" s="6528"/>
      <c r="AI75" s="6528"/>
      <c r="AJ75" s="6529"/>
      <c r="AL75" s="1626">
        <v>280</v>
      </c>
      <c r="AM75" s="6526" t="s">
        <v>1738</v>
      </c>
      <c r="AN75" s="6445"/>
      <c r="AO75" s="6527" t="str">
        <f>IF(AL66=0,"",VLOOKUP(AL66,'Tablas psiquica'!$D$7:$R$145,13,FALSE))</f>
        <v/>
      </c>
      <c r="AP75" s="6528"/>
      <c r="AQ75" s="6528"/>
      <c r="AR75" s="6529"/>
      <c r="AS75" s="279"/>
      <c r="AT75" s="1626">
        <v>280</v>
      </c>
      <c r="AU75" s="6526" t="s">
        <v>1738</v>
      </c>
      <c r="AV75" s="6445"/>
      <c r="AW75" s="6527" t="str">
        <f>IF(AT66=0,"",VLOOKUP(AT66,'Tablas psiquica'!$D$7:$R$145,13,FALSE))</f>
        <v/>
      </c>
      <c r="AX75" s="6528"/>
      <c r="AY75" s="6528"/>
      <c r="AZ75" s="6529"/>
      <c r="BA75" s="402"/>
      <c r="BB75" s="396"/>
      <c r="BC75" s="396"/>
      <c r="BD75" s="279"/>
      <c r="BE75" s="1626">
        <v>280</v>
      </c>
      <c r="BF75" s="6526" t="s">
        <v>1738</v>
      </c>
      <c r="BG75" s="6445"/>
      <c r="BH75" s="6527" t="str">
        <f>IF(BE66=0,"",VLOOKUP(BE66,'Tablas psiquica'!$D$7:$R$145,13,FALSE))</f>
        <v/>
      </c>
      <c r="BI75" s="6528"/>
      <c r="BJ75" s="6528"/>
      <c r="BK75" s="6529"/>
      <c r="BM75" s="1626">
        <v>280</v>
      </c>
      <c r="BN75" s="6526" t="s">
        <v>1738</v>
      </c>
      <c r="BO75" s="6445"/>
      <c r="BP75" s="6527" t="str">
        <f>IF(BM66=0,"",VLOOKUP(BM66,'Tablas psiquica'!$D$7:$R$145,13,FALSE))</f>
        <v/>
      </c>
      <c r="BQ75" s="6528"/>
      <c r="BR75" s="6528"/>
      <c r="BS75" s="6529"/>
      <c r="BT75" s="279"/>
      <c r="BU75" s="1626">
        <v>280</v>
      </c>
      <c r="BV75" s="6526" t="s">
        <v>1738</v>
      </c>
      <c r="BW75" s="6445"/>
      <c r="BX75" s="6527" t="str">
        <f>IF(BU66=0,"",VLOOKUP(BU66,'Tablas psiquica'!$D$7:$R$145,13,FALSE))</f>
        <v/>
      </c>
      <c r="BY75" s="6528"/>
      <c r="BZ75" s="6528"/>
      <c r="CA75" s="6529"/>
      <c r="CB75" s="402"/>
      <c r="CC75" s="396"/>
      <c r="CD75" s="396"/>
      <c r="CE75" s="279"/>
      <c r="CF75" s="1626">
        <v>280</v>
      </c>
      <c r="CG75" s="6526" t="s">
        <v>1738</v>
      </c>
      <c r="CH75" s="6445"/>
      <c r="CI75" s="6527" t="str">
        <f>IF(CF66=0,"",VLOOKUP(CF66,'Tablas psiquica'!$D$7:$R$145,13,FALSE))</f>
        <v/>
      </c>
      <c r="CJ75" s="6528"/>
      <c r="CK75" s="6528"/>
      <c r="CL75" s="6529"/>
      <c r="CN75" s="1626">
        <v>280</v>
      </c>
      <c r="CO75" s="6526" t="s">
        <v>1738</v>
      </c>
      <c r="CP75" s="6445"/>
      <c r="CQ75" s="6527" t="str">
        <f>IF(CN66=0,"",VLOOKUP(CN66,'Tablas psiquica'!$D$7:$R$145,13,FALSE))</f>
        <v/>
      </c>
      <c r="CR75" s="6528"/>
      <c r="CS75" s="6528"/>
      <c r="CT75" s="6529"/>
      <c r="CU75" s="279"/>
      <c r="CV75" s="1626">
        <v>280</v>
      </c>
      <c r="CW75" s="6526" t="s">
        <v>1738</v>
      </c>
      <c r="CX75" s="6445"/>
      <c r="CY75" s="6527" t="str">
        <f>IF(CV66=0,"",VLOOKUP(CV66,'Tablas psiquica'!$D$7:$R$145,13,FALSE))</f>
        <v/>
      </c>
      <c r="CZ75" s="6528"/>
      <c r="DA75" s="6528"/>
      <c r="DB75" s="6529"/>
      <c r="DC75" s="402"/>
      <c r="DD75" s="396"/>
    </row>
    <row r="76" spans="1:108" ht="12" customHeight="1" x14ac:dyDescent="0.2">
      <c r="A76" s="396"/>
      <c r="B76" s="279"/>
      <c r="C76" s="1627">
        <v>320</v>
      </c>
      <c r="D76" s="6530" t="s">
        <v>1740</v>
      </c>
      <c r="E76" s="6450"/>
      <c r="F76" s="6531" t="str">
        <f>IF(C66=0,"",VLOOKUP(C66,'Tablas psiquica'!$D$7:$R$145,14,FALSE))</f>
        <v/>
      </c>
      <c r="G76" s="5988"/>
      <c r="H76" s="5988"/>
      <c r="I76" s="6225"/>
      <c r="K76" s="1627">
        <v>320</v>
      </c>
      <c r="L76" s="6530" t="s">
        <v>1740</v>
      </c>
      <c r="M76" s="6450"/>
      <c r="N76" s="6531" t="str">
        <f>IF(K66=0,"",VLOOKUP(K66,'Tablas psiquica'!$D$7:$R$145,14,FALSE))</f>
        <v/>
      </c>
      <c r="O76" s="5988"/>
      <c r="P76" s="5988"/>
      <c r="Q76" s="6225"/>
      <c r="R76" s="279"/>
      <c r="S76" s="1627">
        <v>320</v>
      </c>
      <c r="T76" s="6530" t="s">
        <v>1740</v>
      </c>
      <c r="U76" s="6450"/>
      <c r="V76" s="6531" t="str">
        <f>IF(S66=0,"",VLOOKUP(S66,'Tablas psiquica'!$D$7:$R$145,14,FALSE))</f>
        <v/>
      </c>
      <c r="W76" s="5988"/>
      <c r="X76" s="5988"/>
      <c r="Y76" s="6225"/>
      <c r="Z76" s="402"/>
      <c r="AA76" s="396"/>
      <c r="AB76" s="396"/>
      <c r="AC76" s="279"/>
      <c r="AD76" s="1627">
        <v>320</v>
      </c>
      <c r="AE76" s="6530" t="s">
        <v>1740</v>
      </c>
      <c r="AF76" s="6450"/>
      <c r="AG76" s="6531" t="str">
        <f>IF(AD66=0,"",VLOOKUP(AD66,'Tablas psiquica'!$D$7:$R$145,14,FALSE))</f>
        <v/>
      </c>
      <c r="AH76" s="5988"/>
      <c r="AI76" s="5988"/>
      <c r="AJ76" s="6225"/>
      <c r="AL76" s="1627">
        <v>320</v>
      </c>
      <c r="AM76" s="6530" t="s">
        <v>1740</v>
      </c>
      <c r="AN76" s="6450"/>
      <c r="AO76" s="6531" t="str">
        <f>IF(AL66=0,"",VLOOKUP(AL66,'Tablas psiquica'!$D$7:$R$145,14,FALSE))</f>
        <v/>
      </c>
      <c r="AP76" s="5988"/>
      <c r="AQ76" s="5988"/>
      <c r="AR76" s="6225"/>
      <c r="AS76" s="279"/>
      <c r="AT76" s="1627">
        <v>320</v>
      </c>
      <c r="AU76" s="6530" t="s">
        <v>1740</v>
      </c>
      <c r="AV76" s="6450"/>
      <c r="AW76" s="6531" t="str">
        <f>IF(AT66=0,"",VLOOKUP(AT66,'Tablas psiquica'!$D$7:$R$145,14,FALSE))</f>
        <v/>
      </c>
      <c r="AX76" s="5988"/>
      <c r="AY76" s="5988"/>
      <c r="AZ76" s="6225"/>
      <c r="BA76" s="402"/>
      <c r="BB76" s="396"/>
      <c r="BC76" s="396"/>
      <c r="BD76" s="279"/>
      <c r="BE76" s="1627">
        <v>320</v>
      </c>
      <c r="BF76" s="6530" t="s">
        <v>1740</v>
      </c>
      <c r="BG76" s="6450"/>
      <c r="BH76" s="6531" t="str">
        <f>IF(BE66=0,"",VLOOKUP(BE66,'Tablas psiquica'!$D$7:$R$145,14,FALSE))</f>
        <v/>
      </c>
      <c r="BI76" s="5988"/>
      <c r="BJ76" s="5988"/>
      <c r="BK76" s="6225"/>
      <c r="BM76" s="1627">
        <v>320</v>
      </c>
      <c r="BN76" s="6530" t="s">
        <v>1740</v>
      </c>
      <c r="BO76" s="6450"/>
      <c r="BP76" s="6531" t="str">
        <f>IF(BM66=0,"",VLOOKUP(BM66,'Tablas psiquica'!$D$7:$R$145,14,FALSE))</f>
        <v/>
      </c>
      <c r="BQ76" s="5988"/>
      <c r="BR76" s="5988"/>
      <c r="BS76" s="6225"/>
      <c r="BT76" s="279"/>
      <c r="BU76" s="1627">
        <v>320</v>
      </c>
      <c r="BV76" s="6530" t="s">
        <v>1740</v>
      </c>
      <c r="BW76" s="6450"/>
      <c r="BX76" s="6531" t="str">
        <f>IF(BU66=0,"",VLOOKUP(BU66,'Tablas psiquica'!$D$7:$R$145,14,FALSE))</f>
        <v/>
      </c>
      <c r="BY76" s="5988"/>
      <c r="BZ76" s="5988"/>
      <c r="CA76" s="6225"/>
      <c r="CB76" s="402"/>
      <c r="CC76" s="396"/>
      <c r="CD76" s="396"/>
      <c r="CE76" s="279"/>
      <c r="CF76" s="1627">
        <v>320</v>
      </c>
      <c r="CG76" s="6530" t="s">
        <v>1740</v>
      </c>
      <c r="CH76" s="6450"/>
      <c r="CI76" s="6531" t="str">
        <f>IF(CF66=0,"",VLOOKUP(CF66,'Tablas psiquica'!$D$7:$R$145,14,FALSE))</f>
        <v/>
      </c>
      <c r="CJ76" s="5988"/>
      <c r="CK76" s="5988"/>
      <c r="CL76" s="6225"/>
      <c r="CN76" s="1627">
        <v>320</v>
      </c>
      <c r="CO76" s="6530" t="s">
        <v>1740</v>
      </c>
      <c r="CP76" s="6450"/>
      <c r="CQ76" s="6531" t="str">
        <f>IF(CN66=0,"",VLOOKUP(CN66,'Tablas psiquica'!$D$7:$R$145,14,FALSE))</f>
        <v/>
      </c>
      <c r="CR76" s="5988"/>
      <c r="CS76" s="5988"/>
      <c r="CT76" s="6225"/>
      <c r="CU76" s="279"/>
      <c r="CV76" s="1627">
        <v>320</v>
      </c>
      <c r="CW76" s="6530" t="s">
        <v>1740</v>
      </c>
      <c r="CX76" s="6450"/>
      <c r="CY76" s="6531" t="str">
        <f>IF(CV66=0,"",VLOOKUP(CV66,'Tablas psiquica'!$D$7:$R$145,14,FALSE))</f>
        <v/>
      </c>
      <c r="CZ76" s="5988"/>
      <c r="DA76" s="5988"/>
      <c r="DB76" s="6225"/>
      <c r="DC76" s="402"/>
      <c r="DD76" s="396"/>
    </row>
    <row r="77" spans="1:108" ht="12" customHeight="1" x14ac:dyDescent="0.2">
      <c r="A77" s="396"/>
      <c r="B77" s="279"/>
      <c r="C77" s="428">
        <v>440</v>
      </c>
      <c r="D77" s="6532" t="s">
        <v>1683</v>
      </c>
      <c r="E77" s="6533"/>
      <c r="F77" s="6534" t="str">
        <f>IF(C66=0,"",VLOOKUP(C66,'Tablas psiquica'!$D$7:$R$145,15,FALSE))</f>
        <v/>
      </c>
      <c r="G77" s="6535"/>
      <c r="H77" s="6535"/>
      <c r="I77" s="6536"/>
      <c r="K77" s="428">
        <v>440</v>
      </c>
      <c r="L77" s="6532" t="s">
        <v>1683</v>
      </c>
      <c r="M77" s="6533"/>
      <c r="N77" s="6534" t="str">
        <f>IF(K66=0,"",VLOOKUP(K66,'Tablas psiquica'!$D$7:$R$145,15,FALSE))</f>
        <v/>
      </c>
      <c r="O77" s="6535"/>
      <c r="P77" s="6535"/>
      <c r="Q77" s="6536"/>
      <c r="R77" s="279"/>
      <c r="S77" s="428">
        <v>440</v>
      </c>
      <c r="T77" s="6532" t="s">
        <v>1683</v>
      </c>
      <c r="U77" s="6533"/>
      <c r="V77" s="6534" t="str">
        <f>IF(S66=0,"",VLOOKUP(S66,'Tablas psiquica'!$D$7:$R$145,15,FALSE))</f>
        <v/>
      </c>
      <c r="W77" s="6535"/>
      <c r="X77" s="6535"/>
      <c r="Y77" s="6536"/>
      <c r="Z77" s="402"/>
      <c r="AA77" s="396"/>
      <c r="AB77" s="396"/>
      <c r="AC77" s="279"/>
      <c r="AD77" s="428">
        <v>440</v>
      </c>
      <c r="AE77" s="6532" t="s">
        <v>1683</v>
      </c>
      <c r="AF77" s="6533"/>
      <c r="AG77" s="6534" t="str">
        <f>IF(AD66=0,"",VLOOKUP(AD66,'Tablas psiquica'!$D$7:$R$145,15,FALSE))</f>
        <v/>
      </c>
      <c r="AH77" s="6535"/>
      <c r="AI77" s="6535"/>
      <c r="AJ77" s="6536"/>
      <c r="AL77" s="428">
        <v>440</v>
      </c>
      <c r="AM77" s="6532" t="s">
        <v>1683</v>
      </c>
      <c r="AN77" s="6533"/>
      <c r="AO77" s="6534" t="str">
        <f>IF(AL66=0,"",VLOOKUP(AL66,'Tablas psiquica'!$D$7:$R$145,15,FALSE))</f>
        <v/>
      </c>
      <c r="AP77" s="6535"/>
      <c r="AQ77" s="6535"/>
      <c r="AR77" s="6536"/>
      <c r="AS77" s="279"/>
      <c r="AT77" s="428">
        <v>440</v>
      </c>
      <c r="AU77" s="6532" t="s">
        <v>1683</v>
      </c>
      <c r="AV77" s="6533"/>
      <c r="AW77" s="6534" t="str">
        <f>IF(AT66=0,"",VLOOKUP(AT66,'Tablas psiquica'!$D$7:$R$145,15,FALSE))</f>
        <v/>
      </c>
      <c r="AX77" s="6535"/>
      <c r="AY77" s="6535"/>
      <c r="AZ77" s="6536"/>
      <c r="BA77" s="402"/>
      <c r="BB77" s="396"/>
      <c r="BC77" s="396"/>
      <c r="BD77" s="279"/>
      <c r="BE77" s="428">
        <v>440</v>
      </c>
      <c r="BF77" s="6532" t="s">
        <v>1683</v>
      </c>
      <c r="BG77" s="6533"/>
      <c r="BH77" s="6534" t="str">
        <f>IF(BE66=0,"",VLOOKUP(BE66,'Tablas psiquica'!$D$7:$R$145,15,FALSE))</f>
        <v/>
      </c>
      <c r="BI77" s="6535"/>
      <c r="BJ77" s="6535"/>
      <c r="BK77" s="6536"/>
      <c r="BM77" s="428">
        <v>440</v>
      </c>
      <c r="BN77" s="6532" t="s">
        <v>1683</v>
      </c>
      <c r="BO77" s="6533"/>
      <c r="BP77" s="6534" t="str">
        <f>IF(BM66=0,"",VLOOKUP(BM66,'Tablas psiquica'!$D$7:$R$145,15,FALSE))</f>
        <v/>
      </c>
      <c r="BQ77" s="6535"/>
      <c r="BR77" s="6535"/>
      <c r="BS77" s="6536"/>
      <c r="BT77" s="279"/>
      <c r="BU77" s="428">
        <v>440</v>
      </c>
      <c r="BV77" s="6532" t="s">
        <v>1683</v>
      </c>
      <c r="BW77" s="6533"/>
      <c r="BX77" s="6534" t="str">
        <f>IF(BU66=0,"",VLOOKUP(BU66,'Tablas psiquica'!$D$7:$R$145,15,FALSE))</f>
        <v/>
      </c>
      <c r="BY77" s="6535"/>
      <c r="BZ77" s="6535"/>
      <c r="CA77" s="6536"/>
      <c r="CB77" s="402"/>
      <c r="CC77" s="396"/>
      <c r="CD77" s="396"/>
      <c r="CE77" s="279"/>
      <c r="CF77" s="428">
        <v>440</v>
      </c>
      <c r="CG77" s="6532" t="s">
        <v>1683</v>
      </c>
      <c r="CH77" s="6533"/>
      <c r="CI77" s="6534" t="str">
        <f>IF(CF66=0,"",VLOOKUP(CF66,'Tablas psiquica'!$D$7:$R$145,15,FALSE))</f>
        <v/>
      </c>
      <c r="CJ77" s="6535"/>
      <c r="CK77" s="6535"/>
      <c r="CL77" s="6536"/>
      <c r="CN77" s="428">
        <v>440</v>
      </c>
      <c r="CO77" s="6532" t="s">
        <v>1683</v>
      </c>
      <c r="CP77" s="6533"/>
      <c r="CQ77" s="6534" t="str">
        <f>IF(CN66=0,"",VLOOKUP(CN66,'Tablas psiquica'!$D$7:$R$145,15,FALSE))</f>
        <v/>
      </c>
      <c r="CR77" s="6535"/>
      <c r="CS77" s="6535"/>
      <c r="CT77" s="6536"/>
      <c r="CU77" s="279"/>
      <c r="CV77" s="428">
        <v>440</v>
      </c>
      <c r="CW77" s="6532" t="s">
        <v>1683</v>
      </c>
      <c r="CX77" s="6533"/>
      <c r="CY77" s="6534" t="str">
        <f>IF(CV66=0,"",VLOOKUP(CV66,'Tablas psiquica'!$D$7:$R$145,15,FALSE))</f>
        <v/>
      </c>
      <c r="CZ77" s="6535"/>
      <c r="DA77" s="6535"/>
      <c r="DB77" s="6536"/>
      <c r="DC77" s="402"/>
      <c r="DD77" s="396"/>
    </row>
    <row r="78" spans="1:108" ht="12" customHeight="1" thickBot="1" x14ac:dyDescent="0.25">
      <c r="A78" s="396"/>
      <c r="B78" s="279"/>
      <c r="C78" s="6537" t="s">
        <v>6244</v>
      </c>
      <c r="D78" s="6538"/>
      <c r="E78" s="429" t="str">
        <f>IF(C66=0,"",VLOOKUP(C66,'Tablas psiquica'!$D$7:$R$145,4,FALSE))</f>
        <v/>
      </c>
      <c r="F78" s="6539" t="s">
        <v>6239</v>
      </c>
      <c r="G78" s="6539"/>
      <c r="H78" s="6540" t="str">
        <f>IF(C66=0,"",VLOOKUP(C66,'Tablas psiquica'!$D$7:$R$145,5,FALSE))</f>
        <v/>
      </c>
      <c r="I78" s="6541"/>
      <c r="K78" s="6537" t="s">
        <v>6244</v>
      </c>
      <c r="L78" s="6538"/>
      <c r="M78" s="429" t="str">
        <f>IF(K66=0,"",VLOOKUP(K66,'Tablas psiquica'!$D$7:$R$145,4,FALSE))</f>
        <v/>
      </c>
      <c r="N78" s="6539" t="s">
        <v>6239</v>
      </c>
      <c r="O78" s="6539"/>
      <c r="P78" s="6540" t="str">
        <f>IF(K66=0,"",VLOOKUP(K66,'Tablas psiquica'!$D$7:$R$145,5,FALSE))</f>
        <v/>
      </c>
      <c r="Q78" s="6541"/>
      <c r="R78" s="279"/>
      <c r="S78" s="6537" t="s">
        <v>6244</v>
      </c>
      <c r="T78" s="6538"/>
      <c r="U78" s="429" t="str">
        <f>IF(S66=0,"",VLOOKUP(S66,'Tablas psiquica'!$D$7:$R$145,4,FALSE))</f>
        <v/>
      </c>
      <c r="V78" s="6539" t="s">
        <v>6239</v>
      </c>
      <c r="W78" s="6539"/>
      <c r="X78" s="6540" t="str">
        <f>IF(S66=0,"",VLOOKUP(S66,'Tablas psiquica'!$D$7:$R$145,5,FALSE))</f>
        <v/>
      </c>
      <c r="Y78" s="6541"/>
      <c r="Z78" s="402"/>
      <c r="AA78" s="396"/>
      <c r="AB78" s="396"/>
      <c r="AC78" s="279"/>
      <c r="AD78" s="6537" t="s">
        <v>6244</v>
      </c>
      <c r="AE78" s="6538"/>
      <c r="AF78" s="429" t="str">
        <f>IF(AD66=0,"",VLOOKUP(AD66,'Tablas psiquica'!$D$7:$R$145,4,FALSE))</f>
        <v/>
      </c>
      <c r="AG78" s="6539" t="s">
        <v>6239</v>
      </c>
      <c r="AH78" s="6539"/>
      <c r="AI78" s="6540" t="str">
        <f>IF(AD66=0,"",VLOOKUP(AD66,'Tablas psiquica'!$D$7:$R$145,5,FALSE))</f>
        <v/>
      </c>
      <c r="AJ78" s="6541"/>
      <c r="AL78" s="6537" t="s">
        <v>6244</v>
      </c>
      <c r="AM78" s="6538"/>
      <c r="AN78" s="429" t="str">
        <f>IF(AL66=0,"",VLOOKUP(AL66,'Tablas psiquica'!$D$7:$R$145,4,FALSE))</f>
        <v/>
      </c>
      <c r="AO78" s="6539" t="s">
        <v>6239</v>
      </c>
      <c r="AP78" s="6539"/>
      <c r="AQ78" s="6540" t="str">
        <f>IF(AL66=0,"",VLOOKUP(AL66,'Tablas psiquica'!$D$7:$R$145,5,FALSE))</f>
        <v/>
      </c>
      <c r="AR78" s="6541"/>
      <c r="AS78" s="279"/>
      <c r="AT78" s="6537" t="s">
        <v>6244</v>
      </c>
      <c r="AU78" s="6538"/>
      <c r="AV78" s="429" t="str">
        <f>IF(AT66=0,"",VLOOKUP(AT66,'Tablas psiquica'!$D$7:$R$145,4,FALSE))</f>
        <v/>
      </c>
      <c r="AW78" s="6539" t="s">
        <v>6239</v>
      </c>
      <c r="AX78" s="6539"/>
      <c r="AY78" s="6540" t="str">
        <f>IF(AT66=0,"",VLOOKUP(AT66,'Tablas psiquica'!$D$7:$R$145,5,FALSE))</f>
        <v/>
      </c>
      <c r="AZ78" s="6541"/>
      <c r="BA78" s="402"/>
      <c r="BB78" s="396"/>
      <c r="BC78" s="396"/>
      <c r="BD78" s="279"/>
      <c r="BE78" s="6537" t="s">
        <v>6244</v>
      </c>
      <c r="BF78" s="6538"/>
      <c r="BG78" s="429" t="str">
        <f>IF(BE66=0,"",VLOOKUP(BE66,'Tablas psiquica'!$D$7:$R$145,4,FALSE))</f>
        <v/>
      </c>
      <c r="BH78" s="6539" t="s">
        <v>6239</v>
      </c>
      <c r="BI78" s="6539"/>
      <c r="BJ78" s="6540" t="str">
        <f>IF(BE66=0,"",VLOOKUP(BE66,'Tablas psiquica'!$D$7:$R$145,5,FALSE))</f>
        <v/>
      </c>
      <c r="BK78" s="6541"/>
      <c r="BM78" s="6537" t="s">
        <v>6244</v>
      </c>
      <c r="BN78" s="6538"/>
      <c r="BO78" s="429" t="str">
        <f>IF(BM66=0,"",VLOOKUP(BM66,'Tablas psiquica'!$D$7:$R$145,4,FALSE))</f>
        <v/>
      </c>
      <c r="BP78" s="6539" t="s">
        <v>6239</v>
      </c>
      <c r="BQ78" s="6539"/>
      <c r="BR78" s="6540" t="str">
        <f>IF(BM66=0,"",VLOOKUP(BM66,'Tablas psiquica'!$D$7:$R$145,5,FALSE))</f>
        <v/>
      </c>
      <c r="BS78" s="6541"/>
      <c r="BT78" s="279"/>
      <c r="BU78" s="6537" t="s">
        <v>6244</v>
      </c>
      <c r="BV78" s="6538"/>
      <c r="BW78" s="429" t="str">
        <f>IF(BU66=0,"",VLOOKUP(BU66,'Tablas psiquica'!$D$7:$R$145,4,FALSE))</f>
        <v/>
      </c>
      <c r="BX78" s="6539" t="s">
        <v>6239</v>
      </c>
      <c r="BY78" s="6539"/>
      <c r="BZ78" s="6540" t="str">
        <f>IF(BU66=0,"",VLOOKUP(BU66,'Tablas psiquica'!$D$7:$R$145,5,FALSE))</f>
        <v/>
      </c>
      <c r="CA78" s="6541"/>
      <c r="CB78" s="402"/>
      <c r="CC78" s="396"/>
      <c r="CD78" s="396"/>
      <c r="CE78" s="279"/>
      <c r="CF78" s="6537" t="s">
        <v>6244</v>
      </c>
      <c r="CG78" s="6538"/>
      <c r="CH78" s="429" t="str">
        <f>IF(CF66=0,"",VLOOKUP(CF66,'Tablas psiquica'!$D$7:$R$145,4,FALSE))</f>
        <v/>
      </c>
      <c r="CI78" s="6539" t="s">
        <v>6239</v>
      </c>
      <c r="CJ78" s="6539"/>
      <c r="CK78" s="6540" t="str">
        <f>IF(CF66=0,"",VLOOKUP(CF66,'Tablas psiquica'!$D$7:$R$145,5,FALSE))</f>
        <v/>
      </c>
      <c r="CL78" s="6541"/>
      <c r="CN78" s="6537" t="s">
        <v>6244</v>
      </c>
      <c r="CO78" s="6538"/>
      <c r="CP78" s="429" t="str">
        <f>IF(CN66=0,"",VLOOKUP(CN66,'Tablas psiquica'!$D$7:$R$145,4,FALSE))</f>
        <v/>
      </c>
      <c r="CQ78" s="6539" t="s">
        <v>6239</v>
      </c>
      <c r="CR78" s="6539"/>
      <c r="CS78" s="6540" t="str">
        <f>IF(CN66=0,"",VLOOKUP(CN66,'Tablas psiquica'!$D$7:$R$145,5,FALSE))</f>
        <v/>
      </c>
      <c r="CT78" s="6541"/>
      <c r="CU78" s="279"/>
      <c r="CV78" s="6537" t="s">
        <v>6244</v>
      </c>
      <c r="CW78" s="6538"/>
      <c r="CX78" s="429" t="str">
        <f>IF(CV66=0,"",VLOOKUP(CV66,'Tablas psiquica'!$D$7:$R$145,4,FALSE))</f>
        <v/>
      </c>
      <c r="CY78" s="6539" t="s">
        <v>6239</v>
      </c>
      <c r="CZ78" s="6539"/>
      <c r="DA78" s="6540" t="str">
        <f>IF(CV66=0,"",VLOOKUP(CV66,'Tablas psiquica'!$D$7:$R$145,5,FALSE))</f>
        <v/>
      </c>
      <c r="DB78" s="6541"/>
      <c r="DC78" s="402"/>
      <c r="DD78" s="396"/>
    </row>
    <row r="79" spans="1:108" ht="12" customHeight="1" thickBot="1" x14ac:dyDescent="0.25">
      <c r="A79" s="396"/>
      <c r="B79" s="280"/>
      <c r="C79" s="424"/>
      <c r="D79" s="424"/>
      <c r="E79" s="424"/>
      <c r="F79" s="424"/>
      <c r="G79" s="424"/>
      <c r="H79" s="424"/>
      <c r="I79" s="424"/>
      <c r="J79" s="424"/>
      <c r="K79" s="424"/>
      <c r="L79" s="424"/>
      <c r="M79" s="424"/>
      <c r="N79" s="424"/>
      <c r="O79" s="424"/>
      <c r="P79" s="424"/>
      <c r="Q79" s="1659"/>
      <c r="R79" s="424"/>
      <c r="S79" s="424"/>
      <c r="T79" s="424"/>
      <c r="U79" s="424"/>
      <c r="V79" s="424"/>
      <c r="W79" s="424"/>
      <c r="X79" s="424"/>
      <c r="Y79" s="424"/>
      <c r="Z79" s="425"/>
      <c r="AA79" s="396"/>
      <c r="AB79" s="396"/>
      <c r="AC79" s="280"/>
      <c r="AD79" s="424"/>
      <c r="AE79" s="424"/>
      <c r="AF79" s="424"/>
      <c r="AG79" s="424"/>
      <c r="AH79" s="424"/>
      <c r="AI79" s="424"/>
      <c r="AJ79" s="424"/>
      <c r="AK79" s="424"/>
      <c r="AL79" s="424"/>
      <c r="AM79" s="424"/>
      <c r="AN79" s="424"/>
      <c r="AO79" s="424"/>
      <c r="AP79" s="424"/>
      <c r="AQ79" s="424"/>
      <c r="AR79" s="1659"/>
      <c r="AS79" s="424"/>
      <c r="AT79" s="424"/>
      <c r="AU79" s="424"/>
      <c r="AV79" s="424"/>
      <c r="AW79" s="424"/>
      <c r="AX79" s="424"/>
      <c r="AY79" s="424"/>
      <c r="AZ79" s="424"/>
      <c r="BA79" s="425"/>
      <c r="BB79" s="396"/>
      <c r="BC79" s="396"/>
      <c r="BD79" s="280"/>
      <c r="BE79" s="424"/>
      <c r="BF79" s="424"/>
      <c r="BG79" s="424"/>
      <c r="BH79" s="424"/>
      <c r="BI79" s="424"/>
      <c r="BJ79" s="424"/>
      <c r="BK79" s="424"/>
      <c r="BL79" s="424"/>
      <c r="BM79" s="424"/>
      <c r="BN79" s="424"/>
      <c r="BO79" s="424"/>
      <c r="BP79" s="424"/>
      <c r="BQ79" s="424"/>
      <c r="BR79" s="424"/>
      <c r="BS79" s="1659"/>
      <c r="BT79" s="424"/>
      <c r="BU79" s="424"/>
      <c r="BV79" s="424"/>
      <c r="BW79" s="424"/>
      <c r="BX79" s="424"/>
      <c r="BY79" s="424"/>
      <c r="BZ79" s="424"/>
      <c r="CA79" s="424"/>
      <c r="CB79" s="425"/>
      <c r="CC79" s="396"/>
      <c r="CD79" s="396"/>
      <c r="CE79" s="280"/>
      <c r="CF79" s="424"/>
      <c r="CG79" s="424"/>
      <c r="CH79" s="424"/>
      <c r="CI79" s="424"/>
      <c r="CJ79" s="424"/>
      <c r="CK79" s="424"/>
      <c r="CL79" s="424"/>
      <c r="CM79" s="424"/>
      <c r="CN79" s="424"/>
      <c r="CO79" s="424"/>
      <c r="CP79" s="424"/>
      <c r="CQ79" s="424"/>
      <c r="CR79" s="424"/>
      <c r="CS79" s="424"/>
      <c r="CT79" s="1659"/>
      <c r="CU79" s="424"/>
      <c r="CV79" s="424"/>
      <c r="CW79" s="424"/>
      <c r="CX79" s="424"/>
      <c r="CY79" s="424"/>
      <c r="CZ79" s="424"/>
      <c r="DA79" s="424"/>
      <c r="DB79" s="424"/>
      <c r="DC79" s="425"/>
      <c r="DD79" s="396"/>
    </row>
    <row r="80" spans="1:108" ht="12" customHeight="1" x14ac:dyDescent="0.2">
      <c r="A80" s="396"/>
      <c r="B80" s="396"/>
      <c r="C80" s="396"/>
      <c r="D80" s="396"/>
      <c r="E80" s="396"/>
      <c r="F80" s="396"/>
      <c r="G80" s="396"/>
      <c r="H80" s="396"/>
      <c r="I80" s="396"/>
      <c r="J80" s="396"/>
      <c r="K80" s="396"/>
      <c r="L80" s="396"/>
      <c r="M80" s="396"/>
      <c r="N80" s="396"/>
      <c r="O80" s="396"/>
      <c r="P80" s="396"/>
      <c r="Q80" s="396"/>
      <c r="R80" s="396"/>
      <c r="S80" s="396"/>
      <c r="T80" s="396"/>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573</vt:i4>
      </vt:variant>
    </vt:vector>
  </HeadingPairs>
  <TitlesOfParts>
    <vt:vector size="595"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2022-03-25T23:01:35Z</cp:lastPrinted>
  <dcterms:created xsi:type="dcterms:W3CDTF">2015-03-24T15:47:25Z</dcterms:created>
  <dcterms:modified xsi:type="dcterms:W3CDTF">2022-09-23T23:12:23Z</dcterms:modified>
</cp:coreProperties>
</file>